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trlProps/ctrlProp1.xml" ContentType="application/vnd.ms-excel.controlproperties+xml"/>
  <Override PartName="/xl/drawings/drawing11.xml" ContentType="application/vnd.openxmlformats-officedocument.drawing+xml"/>
  <Override PartName="/xl/ctrlProps/ctrlProp2.xml" ContentType="application/vnd.ms-excel.controlproperties+xml"/>
  <Override PartName="/xl/drawings/drawing12.xml" ContentType="application/vnd.openxmlformats-officedocument.drawing+xml"/>
  <Override PartName="/xl/ctrlProps/ctrlProp3.xml" ContentType="application/vnd.ms-excel.controlproperties+xml"/>
  <Override PartName="/xl/drawings/drawing13.xml" ContentType="application/vnd.openxmlformats-officedocument.drawing+xml"/>
  <Override PartName="/xl/ctrlProps/ctrlProp4.xml" ContentType="application/vnd.ms-excel.controlproperties+xml"/>
  <Override PartName="/xl/drawings/drawing14.xml" ContentType="application/vnd.openxmlformats-officedocument.drawing+xml"/>
  <Override PartName="/xl/drawings/drawing15.xml" ContentType="application/vnd.openxmlformats-officedocument.drawing+xml"/>
  <Override PartName="/xl/ctrlProps/ctrlProp5.xml" ContentType="application/vnd.ms-excel.controlproperties+xml"/>
  <Override PartName="/xl/drawings/drawing16.xml" ContentType="application/vnd.openxmlformats-officedocument.drawing+xml"/>
  <Override PartName="/xl/drawings/drawing17.xml" ContentType="application/vnd.openxmlformats-officedocument.drawing+xml"/>
  <Override PartName="/xl/ctrlProps/ctrlProp6.xml" ContentType="application/vnd.ms-excel.controlproperties+xml"/>
  <Override PartName="/xl/drawings/drawing18.xml" ContentType="application/vnd.openxmlformats-officedocument.drawing+xml"/>
  <Override PartName="/xl/charts/chart1.xml" ContentType="application/vnd.openxmlformats-officedocument.drawingml.chart+xml"/>
  <Override PartName="/xl/drawings/drawing19.xml" ContentType="application/vnd.openxmlformats-officedocument.drawing+xml"/>
  <Override PartName="/xl/ctrlProps/ctrlProp7.xml" ContentType="application/vnd.ms-excel.controlproperties+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cer\Documents\"/>
    </mc:Choice>
  </mc:AlternateContent>
  <bookViews>
    <workbookView xWindow="120" yWindow="60" windowWidth="19440" windowHeight="8010" tabRatio="885" activeTab="4"/>
  </bookViews>
  <sheets>
    <sheet name="Data" sheetId="14" r:id="rId1"/>
    <sheet name="Data2" sheetId="20" r:id="rId2"/>
    <sheet name="Blanko" sheetId="50" r:id="rId3"/>
    <sheet name="KD-PA" sheetId="28" r:id="rId4"/>
    <sheet name="PA" sheetId="1" r:id="rId5"/>
    <sheet name="PKn" sheetId="8" r:id="rId6"/>
    <sheet name="BInd" sheetId="7" r:id="rId7"/>
    <sheet name="Mat" sheetId="6" r:id="rId8"/>
    <sheet name="SEJ" sheetId="5" r:id="rId9"/>
    <sheet name="BIng" sheetId="4" r:id="rId10"/>
    <sheet name="SB" sheetId="2" r:id="rId11"/>
    <sheet name="pjok" sheetId="10" r:id="rId12"/>
    <sheet name="pkwu" sheetId="15" r:id="rId13"/>
    <sheet name="Mlk1" sheetId="11" r:id="rId14"/>
    <sheet name="Ml2" sheetId="49" r:id="rId15"/>
    <sheet name="sosio" sheetId="44" r:id="rId16"/>
    <sheet name="geog" sheetId="12" r:id="rId17"/>
    <sheet name="ekonomi" sheetId="39" r:id="rId18"/>
    <sheet name="sejarah peminatan" sheetId="38" r:id="rId19"/>
    <sheet name="PM5" sheetId="37" r:id="rId20"/>
    <sheet name="PM6" sheetId="41" r:id="rId21"/>
    <sheet name="biologi" sheetId="47" r:id="rId22"/>
    <sheet name="fissika" sheetId="40" r:id="rId23"/>
    <sheet name="Sikap" sheetId="31" r:id="rId24"/>
    <sheet name="AbEk" sheetId="16" r:id="rId25"/>
    <sheet name="Casi" sheetId="36" r:id="rId26"/>
    <sheet name="sklh" sheetId="42" state="hidden" r:id="rId27"/>
    <sheet name="Macro1" sheetId="51" r:id="rId28"/>
    <sheet name="NTS" sheetId="46" r:id="rId29"/>
    <sheet name="KKM-1" sheetId="34" r:id="rId30"/>
    <sheet name="Multi-KKM" sheetId="35" r:id="rId31"/>
    <sheet name="SKS" sheetId="43" r:id="rId32"/>
    <sheet name="Hal-1.2" sheetId="22" r:id="rId33"/>
    <sheet name="Hal-3" sheetId="21" r:id="rId34"/>
    <sheet name="DKN" sheetId="24" r:id="rId35"/>
    <sheet name="Leger" sheetId="45" r:id="rId36"/>
    <sheet name="Grafik" sheetId="48" r:id="rId37"/>
    <sheet name="Buku1" sheetId="27" r:id="rId38"/>
    <sheet name="Help" sheetId="30" r:id="rId39"/>
    <sheet name="Sheet1" sheetId="52" r:id="rId40"/>
    <sheet name="Sheet2" sheetId="53" r:id="rId41"/>
  </sheets>
  <definedNames>
    <definedName name="IDLOK">sklh!$E$4</definedName>
    <definedName name="LOKER">Data!$A$2</definedName>
    <definedName name="_xlnm.Print_Area" localSheetId="24">AbEk!$B$3:$U$58</definedName>
    <definedName name="_xlnm.Print_Area" localSheetId="6">BInd!$B$7:$BN$63</definedName>
    <definedName name="_xlnm.Print_Area" localSheetId="9">BIng!$B$7:$BN$63</definedName>
    <definedName name="_xlnm.Print_Area" localSheetId="2">Blanko!$B$2:$AK$73</definedName>
    <definedName name="_xlnm.Print_Area" localSheetId="37">Buku1!$A$1:$F$51</definedName>
    <definedName name="_xlnm.Print_Area" localSheetId="1">Data2!$B$3:$P$19</definedName>
    <definedName name="_xlnm.Print_Area" localSheetId="34">DKN!$B$2:$AW$67</definedName>
    <definedName name="_xlnm.Print_Area" localSheetId="16">geog!$B$7:$BN$63</definedName>
    <definedName name="_xlnm.Print_Area" localSheetId="36">Grafik!$B$8:$W$33</definedName>
    <definedName name="_xlnm.Print_Area" localSheetId="32">'Hal-1.2'!$B$2:$U$87</definedName>
    <definedName name="_xlnm.Print_Area" localSheetId="33">'Hal-3'!$D$4:$K$45</definedName>
    <definedName name="_xlnm.Print_Area" localSheetId="38">Help!$B$17:$D$52</definedName>
    <definedName name="_xlnm.Print_Area" localSheetId="29">'KKM-1'!$D$4:$M$135</definedName>
    <definedName name="_xlnm.Print_Area" localSheetId="35">Leger!$D$2:$BC$43</definedName>
    <definedName name="_xlnm.Print_Area" localSheetId="7">Mat!$B$7:$BN$63</definedName>
    <definedName name="_xlnm.Print_Area" localSheetId="13">'Mlk1'!$B$7:$BN$63</definedName>
    <definedName name="_xlnm.Print_Area" localSheetId="30">'Multi-KKM'!$D$4:$N$136</definedName>
    <definedName name="_xlnm.Print_Area" localSheetId="28">NTS!$D$4:$R$58</definedName>
    <definedName name="_xlnm.Print_Area" localSheetId="4">PA!$B$7:$BN$63</definedName>
    <definedName name="_xlnm.Print_Area" localSheetId="11">pjok!$B$7:$BN$63</definedName>
    <definedName name="_xlnm.Print_Area" localSheetId="5">PKn!$B$7:$BN$63</definedName>
    <definedName name="_xlnm.Print_Area" localSheetId="12">pkwu!$B$7:$BN$63</definedName>
    <definedName name="_xlnm.Print_Area" localSheetId="10">SB!$B$7:$BN$63</definedName>
    <definedName name="_xlnm.Print_Area" localSheetId="8">SEJ!$B$7:$BN$63</definedName>
    <definedName name="_xlnm.Print_Area" localSheetId="31">SKS!$D$4:$O$152</definedName>
    <definedName name="_xlnm.Print_Area" localSheetId="15">sosio!$B$7:$BN$63</definedName>
    <definedName name="_xlnm.Print_Titles" localSheetId="24">AbEk!$7:$8</definedName>
    <definedName name="_xlnm.Print_Titles" localSheetId="6">BInd!$B:$E,BInd!$11:$13</definedName>
    <definedName name="_xlnm.Print_Titles" localSheetId="9">BIng!$B:$E,BIng!$11:$13</definedName>
    <definedName name="_xlnm.Print_Titles" localSheetId="34">DKN!$B:$E</definedName>
    <definedName name="_xlnm.Print_Titles" localSheetId="16">geog!$B:$E,geog!$11:$13</definedName>
    <definedName name="_xlnm.Print_Titles" localSheetId="35">Leger!$D:$D</definedName>
    <definedName name="_xlnm.Print_Titles" localSheetId="7">Mat!$B:$E,Mat!$11:$13</definedName>
    <definedName name="_xlnm.Print_Titles" localSheetId="13">'Mlk1'!$B:$E,'Mlk1'!$11:$13</definedName>
    <definedName name="_xlnm.Print_Titles" localSheetId="4">PA!$B:$E,PA!$11:$13</definedName>
    <definedName name="_xlnm.Print_Titles" localSheetId="11">pjok!$B:$E,pjok!$11:$13</definedName>
    <definedName name="_xlnm.Print_Titles" localSheetId="5">PKn!$B:$E,PKn!$11:$13</definedName>
    <definedName name="_xlnm.Print_Titles" localSheetId="12">pkwu!$B:$E,pkwu!$11:$13</definedName>
    <definedName name="_xlnm.Print_Titles" localSheetId="10">SB!$B:$E,SB!$11:$13</definedName>
    <definedName name="_xlnm.Print_Titles" localSheetId="8">SEJ!$B:$E,SEJ!$11:$13</definedName>
    <definedName name="SKLH">sklh!$A$4:$D$880</definedName>
  </definedNames>
  <calcPr calcId="162913"/>
</workbook>
</file>

<file path=xl/calcChain.xml><?xml version="1.0" encoding="utf-8"?>
<calcChain xmlns="http://schemas.openxmlformats.org/spreadsheetml/2006/main">
  <c r="K12" i="20" l="1"/>
  <c r="I8" i="20"/>
  <c r="K8" i="20" s="1"/>
  <c r="I7" i="20" s="1"/>
  <c r="K7" i="20" s="1"/>
  <c r="I6" i="20" s="1"/>
  <c r="K14" i="20" l="1"/>
  <c r="I13" i="20" s="1"/>
  <c r="K13" i="20"/>
  <c r="I12" i="20" s="1"/>
  <c r="K9" i="20"/>
  <c r="K15" i="20" s="1"/>
  <c r="I14" i="20" s="1"/>
  <c r="J2" i="14"/>
  <c r="B115" i="34" l="1"/>
  <c r="D114" i="34"/>
  <c r="B114" i="34"/>
  <c r="D113" i="34"/>
  <c r="B113" i="34"/>
  <c r="H115" i="34" s="1"/>
  <c r="Z64" i="31"/>
  <c r="Z63" i="31"/>
  <c r="Z62" i="31"/>
  <c r="Z61" i="31"/>
  <c r="Z60" i="31"/>
  <c r="Z59" i="31"/>
  <c r="Z58" i="31"/>
  <c r="Z57" i="31"/>
  <c r="Z56" i="31"/>
  <c r="Z55" i="31"/>
  <c r="Z54" i="31"/>
  <c r="Z53" i="31"/>
  <c r="Z52" i="31"/>
  <c r="Z51" i="31"/>
  <c r="Z50" i="31"/>
  <c r="Z49" i="31"/>
  <c r="Z48" i="31"/>
  <c r="Z47" i="31"/>
  <c r="Z46" i="31"/>
  <c r="Z45" i="31"/>
  <c r="Z44" i="31"/>
  <c r="Z43" i="31"/>
  <c r="Z42" i="31"/>
  <c r="Z41" i="31"/>
  <c r="Z40" i="31"/>
  <c r="Z39" i="31"/>
  <c r="Z38" i="31"/>
  <c r="Z37" i="31"/>
  <c r="Z36" i="31"/>
  <c r="Z35" i="31"/>
  <c r="Z34" i="31"/>
  <c r="Z33" i="31"/>
  <c r="Z32" i="31"/>
  <c r="Z31" i="31"/>
  <c r="Z30" i="31"/>
  <c r="Z29" i="31"/>
  <c r="Z28" i="31"/>
  <c r="Z27" i="31"/>
  <c r="Z26" i="31"/>
  <c r="Z25" i="31"/>
  <c r="Z24" i="31"/>
  <c r="Z23" i="31"/>
  <c r="Z22" i="31"/>
  <c r="Z21" i="31"/>
  <c r="Z20" i="31"/>
  <c r="Z19" i="31"/>
  <c r="Z18" i="31"/>
  <c r="Z17" i="31"/>
  <c r="Z16" i="31"/>
  <c r="Z15" i="31"/>
  <c r="B116" i="35"/>
  <c r="B115" i="35"/>
  <c r="B117" i="35"/>
  <c r="D116" i="35"/>
  <c r="D115" i="35"/>
  <c r="E49" i="35"/>
  <c r="D115" i="34" l="1"/>
  <c r="I115" i="34" s="1"/>
  <c r="D117" i="35"/>
  <c r="I117" i="35" s="1"/>
  <c r="H117" i="35"/>
  <c r="T4" i="20"/>
  <c r="T22" i="20"/>
  <c r="E40" i="34" l="1"/>
  <c r="E70" i="34" l="1"/>
  <c r="E67" i="34"/>
  <c r="E66" i="34"/>
  <c r="D66" i="34" s="1"/>
  <c r="E37" i="34"/>
  <c r="E36" i="34"/>
  <c r="D36" i="34" s="1"/>
  <c r="D37" i="34" l="1"/>
  <c r="D67" i="34"/>
  <c r="F6" i="30"/>
  <c r="C5" i="30" l="1"/>
  <c r="E58" i="50" l="1"/>
  <c r="X58" i="50" s="1"/>
  <c r="D58" i="50"/>
  <c r="W58" i="50" s="1"/>
  <c r="C58" i="50"/>
  <c r="V58" i="50" s="1"/>
  <c r="E57" i="50"/>
  <c r="X57" i="50" s="1"/>
  <c r="D57" i="50"/>
  <c r="W57" i="50" s="1"/>
  <c r="C57" i="50"/>
  <c r="V57" i="50" s="1"/>
  <c r="E56" i="50"/>
  <c r="X56" i="50" s="1"/>
  <c r="D56" i="50"/>
  <c r="W56" i="50" s="1"/>
  <c r="C56" i="50"/>
  <c r="V56" i="50" s="1"/>
  <c r="E55" i="50"/>
  <c r="X55" i="50" s="1"/>
  <c r="D55" i="50"/>
  <c r="W55" i="50" s="1"/>
  <c r="C55" i="50"/>
  <c r="V55" i="50" s="1"/>
  <c r="E54" i="50"/>
  <c r="X54" i="50" s="1"/>
  <c r="D54" i="50"/>
  <c r="W54" i="50" s="1"/>
  <c r="C54" i="50"/>
  <c r="V54" i="50" s="1"/>
  <c r="E53" i="50"/>
  <c r="X53" i="50" s="1"/>
  <c r="D53" i="50"/>
  <c r="W53" i="50" s="1"/>
  <c r="C53" i="50"/>
  <c r="V53" i="50" s="1"/>
  <c r="E52" i="50"/>
  <c r="X52" i="50" s="1"/>
  <c r="D52" i="50"/>
  <c r="W52" i="50" s="1"/>
  <c r="C52" i="50"/>
  <c r="V52" i="50" s="1"/>
  <c r="E51" i="50"/>
  <c r="X51" i="50" s="1"/>
  <c r="D51" i="50"/>
  <c r="W51" i="50" s="1"/>
  <c r="C51" i="50"/>
  <c r="V51" i="50" s="1"/>
  <c r="E50" i="50"/>
  <c r="X50" i="50" s="1"/>
  <c r="D50" i="50"/>
  <c r="W50" i="50" s="1"/>
  <c r="C50" i="50"/>
  <c r="V50" i="50" s="1"/>
  <c r="E49" i="50"/>
  <c r="X49" i="50" s="1"/>
  <c r="D49" i="50"/>
  <c r="W49" i="50" s="1"/>
  <c r="C49" i="50"/>
  <c r="V49" i="50" s="1"/>
  <c r="E48" i="50"/>
  <c r="X48" i="50" s="1"/>
  <c r="D48" i="50"/>
  <c r="W48" i="50" s="1"/>
  <c r="C48" i="50"/>
  <c r="V48" i="50" s="1"/>
  <c r="E47" i="50"/>
  <c r="X47" i="50" s="1"/>
  <c r="D47" i="50"/>
  <c r="W47" i="50" s="1"/>
  <c r="C47" i="50"/>
  <c r="V47" i="50" s="1"/>
  <c r="E46" i="50"/>
  <c r="X46" i="50" s="1"/>
  <c r="D46" i="50"/>
  <c r="W46" i="50" s="1"/>
  <c r="C46" i="50"/>
  <c r="V46" i="50" s="1"/>
  <c r="E45" i="50"/>
  <c r="X45" i="50" s="1"/>
  <c r="D45" i="50"/>
  <c r="W45" i="50" s="1"/>
  <c r="C45" i="50"/>
  <c r="V45" i="50" s="1"/>
  <c r="E44" i="50"/>
  <c r="X44" i="50" s="1"/>
  <c r="D44" i="50"/>
  <c r="W44" i="50" s="1"/>
  <c r="C44" i="50"/>
  <c r="V44" i="50" s="1"/>
  <c r="E43" i="50"/>
  <c r="X43" i="50" s="1"/>
  <c r="D43" i="50"/>
  <c r="W43" i="50" s="1"/>
  <c r="C43" i="50"/>
  <c r="V43" i="50" s="1"/>
  <c r="E42" i="50"/>
  <c r="X42" i="50" s="1"/>
  <c r="D42" i="50"/>
  <c r="W42" i="50" s="1"/>
  <c r="C42" i="50"/>
  <c r="V42" i="50" s="1"/>
  <c r="E41" i="50"/>
  <c r="X41" i="50" s="1"/>
  <c r="D41" i="50"/>
  <c r="W41" i="50" s="1"/>
  <c r="C41" i="50"/>
  <c r="V41" i="50" s="1"/>
  <c r="E40" i="50"/>
  <c r="X40" i="50" s="1"/>
  <c r="D40" i="50"/>
  <c r="W40" i="50" s="1"/>
  <c r="C40" i="50"/>
  <c r="V40" i="50" s="1"/>
  <c r="E39" i="50"/>
  <c r="X39" i="50" s="1"/>
  <c r="D39" i="50"/>
  <c r="W39" i="50" s="1"/>
  <c r="C39" i="50"/>
  <c r="V39" i="50" s="1"/>
  <c r="E38" i="50"/>
  <c r="X38" i="50" s="1"/>
  <c r="D38" i="50"/>
  <c r="W38" i="50" s="1"/>
  <c r="C38" i="50"/>
  <c r="V38" i="50" s="1"/>
  <c r="E37" i="50"/>
  <c r="X37" i="50" s="1"/>
  <c r="D37" i="50"/>
  <c r="W37" i="50" s="1"/>
  <c r="C37" i="50"/>
  <c r="V37" i="50" s="1"/>
  <c r="E36" i="50"/>
  <c r="X36" i="50" s="1"/>
  <c r="D36" i="50"/>
  <c r="W36" i="50" s="1"/>
  <c r="C36" i="50"/>
  <c r="V36" i="50" s="1"/>
  <c r="E35" i="50"/>
  <c r="X35" i="50" s="1"/>
  <c r="D35" i="50"/>
  <c r="W35" i="50" s="1"/>
  <c r="C35" i="50"/>
  <c r="V35" i="50" s="1"/>
  <c r="E34" i="50"/>
  <c r="X34" i="50" s="1"/>
  <c r="D34" i="50"/>
  <c r="W34" i="50" s="1"/>
  <c r="C34" i="50"/>
  <c r="V34" i="50" s="1"/>
  <c r="E33" i="50"/>
  <c r="X33" i="50" s="1"/>
  <c r="D33" i="50"/>
  <c r="W33" i="50" s="1"/>
  <c r="C33" i="50"/>
  <c r="V33" i="50" s="1"/>
  <c r="E32" i="50"/>
  <c r="X32" i="50" s="1"/>
  <c r="D32" i="50"/>
  <c r="W32" i="50" s="1"/>
  <c r="C32" i="50"/>
  <c r="V32" i="50" s="1"/>
  <c r="E31" i="50"/>
  <c r="X31" i="50" s="1"/>
  <c r="D31" i="50"/>
  <c r="W31" i="50" s="1"/>
  <c r="C31" i="50"/>
  <c r="V31" i="50" s="1"/>
  <c r="E30" i="50"/>
  <c r="X30" i="50" s="1"/>
  <c r="D30" i="50"/>
  <c r="W30" i="50" s="1"/>
  <c r="C30" i="50"/>
  <c r="V30" i="50" s="1"/>
  <c r="E29" i="50"/>
  <c r="X29" i="50" s="1"/>
  <c r="D29" i="50"/>
  <c r="W29" i="50" s="1"/>
  <c r="C29" i="50"/>
  <c r="V29" i="50" s="1"/>
  <c r="E28" i="50"/>
  <c r="X28" i="50" s="1"/>
  <c r="D28" i="50"/>
  <c r="W28" i="50" s="1"/>
  <c r="C28" i="50"/>
  <c r="V28" i="50" s="1"/>
  <c r="E27" i="50"/>
  <c r="X27" i="50" s="1"/>
  <c r="D27" i="50"/>
  <c r="W27" i="50" s="1"/>
  <c r="C27" i="50"/>
  <c r="V27" i="50" s="1"/>
  <c r="E26" i="50"/>
  <c r="X26" i="50" s="1"/>
  <c r="D26" i="50"/>
  <c r="W26" i="50" s="1"/>
  <c r="C26" i="50"/>
  <c r="V26" i="50" s="1"/>
  <c r="E25" i="50"/>
  <c r="X25" i="50" s="1"/>
  <c r="D25" i="50"/>
  <c r="W25" i="50" s="1"/>
  <c r="C25" i="50"/>
  <c r="V25" i="50" s="1"/>
  <c r="E24" i="50"/>
  <c r="X24" i="50" s="1"/>
  <c r="D24" i="50"/>
  <c r="W24" i="50" s="1"/>
  <c r="C24" i="50"/>
  <c r="V24" i="50" s="1"/>
  <c r="E23" i="50"/>
  <c r="X23" i="50" s="1"/>
  <c r="D23" i="50"/>
  <c r="W23" i="50" s="1"/>
  <c r="C23" i="50"/>
  <c r="V23" i="50" s="1"/>
  <c r="E22" i="50"/>
  <c r="X22" i="50" s="1"/>
  <c r="D22" i="50"/>
  <c r="W22" i="50" s="1"/>
  <c r="C22" i="50"/>
  <c r="V22" i="50" s="1"/>
  <c r="E21" i="50"/>
  <c r="X21" i="50" s="1"/>
  <c r="D21" i="50"/>
  <c r="W21" i="50" s="1"/>
  <c r="C21" i="50"/>
  <c r="V21" i="50" s="1"/>
  <c r="E20" i="50"/>
  <c r="X20" i="50" s="1"/>
  <c r="D20" i="50"/>
  <c r="W20" i="50" s="1"/>
  <c r="C20" i="50"/>
  <c r="V20" i="50" s="1"/>
  <c r="E19" i="50"/>
  <c r="X19" i="50" s="1"/>
  <c r="D19" i="50"/>
  <c r="W19" i="50" s="1"/>
  <c r="C19" i="50"/>
  <c r="V19" i="50" s="1"/>
  <c r="E18" i="50"/>
  <c r="X18" i="50" s="1"/>
  <c r="D18" i="50"/>
  <c r="W18" i="50" s="1"/>
  <c r="C18" i="50"/>
  <c r="V18" i="50" s="1"/>
  <c r="E17" i="50"/>
  <c r="X17" i="50" s="1"/>
  <c r="D17" i="50"/>
  <c r="W17" i="50" s="1"/>
  <c r="C17" i="50"/>
  <c r="V17" i="50" s="1"/>
  <c r="E16" i="50"/>
  <c r="X16" i="50" s="1"/>
  <c r="D16" i="50"/>
  <c r="W16" i="50" s="1"/>
  <c r="C16" i="50"/>
  <c r="V16" i="50" s="1"/>
  <c r="E15" i="50"/>
  <c r="X15" i="50" s="1"/>
  <c r="D15" i="50"/>
  <c r="W15" i="50" s="1"/>
  <c r="C15" i="50"/>
  <c r="V15" i="50" s="1"/>
  <c r="E14" i="50"/>
  <c r="X14" i="50" s="1"/>
  <c r="D14" i="50"/>
  <c r="W14" i="50" s="1"/>
  <c r="C14" i="50"/>
  <c r="V14" i="50" s="1"/>
  <c r="E13" i="50"/>
  <c r="X13" i="50" s="1"/>
  <c r="D13" i="50"/>
  <c r="W13" i="50" s="1"/>
  <c r="C13" i="50"/>
  <c r="V13" i="50" s="1"/>
  <c r="E12" i="50"/>
  <c r="X12" i="50" s="1"/>
  <c r="D12" i="50"/>
  <c r="W12" i="50" s="1"/>
  <c r="C12" i="50"/>
  <c r="V12" i="50" s="1"/>
  <c r="E11" i="50"/>
  <c r="X11" i="50" s="1"/>
  <c r="D11" i="50"/>
  <c r="W11" i="50" s="1"/>
  <c r="C11" i="50"/>
  <c r="V11" i="50" s="1"/>
  <c r="E10" i="50"/>
  <c r="X10" i="50" s="1"/>
  <c r="D10" i="50"/>
  <c r="W10" i="50" s="1"/>
  <c r="C10" i="50"/>
  <c r="V10" i="50" s="1"/>
  <c r="E9" i="50"/>
  <c r="X9" i="50" s="1"/>
  <c r="D9" i="50"/>
  <c r="W9" i="50" s="1"/>
  <c r="C9" i="50"/>
  <c r="V9" i="50" s="1"/>
  <c r="D5" i="50"/>
  <c r="W5" i="50" s="1"/>
  <c r="AG4" i="50"/>
  <c r="P4" i="50"/>
  <c r="H4" i="50"/>
  <c r="AA4" i="50" s="1"/>
  <c r="G2" i="50"/>
  <c r="Z2" i="50" s="1"/>
  <c r="B57" i="50" l="1"/>
  <c r="U57" i="50" s="1"/>
  <c r="B58" i="50"/>
  <c r="U58" i="50" s="1"/>
  <c r="B10" i="50"/>
  <c r="B11" i="50" s="1"/>
  <c r="B12" i="50" s="1"/>
  <c r="B46" i="50"/>
  <c r="U46" i="50" s="1"/>
  <c r="B47" i="50"/>
  <c r="U47" i="50" s="1"/>
  <c r="B48" i="50"/>
  <c r="U48" i="50" s="1"/>
  <c r="B49" i="50"/>
  <c r="U49" i="50" s="1"/>
  <c r="B50" i="50"/>
  <c r="U50" i="50" s="1"/>
  <c r="B51" i="50"/>
  <c r="U51" i="50" s="1"/>
  <c r="B52" i="50"/>
  <c r="U52" i="50" s="1"/>
  <c r="B53" i="50"/>
  <c r="U53" i="50" s="1"/>
  <c r="B54" i="50"/>
  <c r="U54" i="50" s="1"/>
  <c r="B55" i="50"/>
  <c r="U55" i="50" s="1"/>
  <c r="B56" i="50"/>
  <c r="U56" i="50" s="1"/>
  <c r="U10" i="50" l="1"/>
  <c r="U11" i="50"/>
  <c r="B13" i="50"/>
  <c r="U12" i="50"/>
  <c r="B14" i="50" l="1"/>
  <c r="U13" i="50"/>
  <c r="B15" i="50" l="1"/>
  <c r="U14" i="50"/>
  <c r="U15" i="50" l="1"/>
  <c r="B16" i="50"/>
  <c r="B17" i="50" l="1"/>
  <c r="U16" i="50"/>
  <c r="U17" i="50" l="1"/>
  <c r="B18" i="50"/>
  <c r="U18" i="50" l="1"/>
  <c r="B19" i="50"/>
  <c r="U19" i="50" l="1"/>
  <c r="B20" i="50"/>
  <c r="B21" i="50" l="1"/>
  <c r="U20" i="50"/>
  <c r="B22" i="50" l="1"/>
  <c r="U21" i="50"/>
  <c r="U22" i="50" l="1"/>
  <c r="B23" i="50"/>
  <c r="B24" i="50" l="1"/>
  <c r="U23" i="50"/>
  <c r="U24" i="50" l="1"/>
  <c r="B25" i="50"/>
  <c r="B26" i="50" l="1"/>
  <c r="U25" i="50"/>
  <c r="U26" i="50" l="1"/>
  <c r="B27" i="50"/>
  <c r="U27" i="50" l="1"/>
  <c r="B28" i="50"/>
  <c r="U28" i="50" l="1"/>
  <c r="B29" i="50"/>
  <c r="B30" i="50" l="1"/>
  <c r="U29" i="50"/>
  <c r="B31" i="50" l="1"/>
  <c r="U30" i="50"/>
  <c r="U31" i="50" l="1"/>
  <c r="B32" i="50"/>
  <c r="B33" i="50" l="1"/>
  <c r="U32" i="50"/>
  <c r="U33" i="50" l="1"/>
  <c r="B34" i="50"/>
  <c r="B35" i="50" l="1"/>
  <c r="U34" i="50"/>
  <c r="B36" i="50" l="1"/>
  <c r="U35" i="50"/>
  <c r="U36" i="50" l="1"/>
  <c r="B37" i="50"/>
  <c r="B38" i="50" l="1"/>
  <c r="U37" i="50"/>
  <c r="U38" i="50" l="1"/>
  <c r="B39" i="50"/>
  <c r="BG63" i="1"/>
  <c r="BF63" i="1"/>
  <c r="BE63" i="1"/>
  <c r="BD63" i="1"/>
  <c r="BC63" i="1"/>
  <c r="BB63" i="1"/>
  <c r="BA63" i="1"/>
  <c r="AZ63" i="1"/>
  <c r="AY63" i="1"/>
  <c r="AX63" i="1"/>
  <c r="AV63" i="1"/>
  <c r="BN63" i="1" s="1"/>
  <c r="AD63" i="1"/>
  <c r="AC63" i="1"/>
  <c r="AB63" i="1"/>
  <c r="AA63" i="1"/>
  <c r="Z63" i="1"/>
  <c r="Y63" i="1"/>
  <c r="X63" i="1"/>
  <c r="W63" i="1"/>
  <c r="V63" i="1"/>
  <c r="U63" i="1"/>
  <c r="BG62" i="1"/>
  <c r="BF62" i="1"/>
  <c r="BE62" i="1"/>
  <c r="BD62" i="1"/>
  <c r="BC62" i="1"/>
  <c r="BB62" i="1"/>
  <c r="BA62" i="1"/>
  <c r="AZ62" i="1"/>
  <c r="AY62" i="1"/>
  <c r="AX62" i="1"/>
  <c r="AV62" i="1"/>
  <c r="AW62" i="1" s="1"/>
  <c r="AD62" i="1"/>
  <c r="AC62" i="1"/>
  <c r="AB62" i="1"/>
  <c r="AA62" i="1"/>
  <c r="Z62" i="1"/>
  <c r="Y62" i="1"/>
  <c r="X62" i="1"/>
  <c r="W62" i="1"/>
  <c r="P62" i="1" s="1"/>
  <c r="AK62" i="1" s="1"/>
  <c r="V62" i="1"/>
  <c r="U62" i="1"/>
  <c r="BG61" i="1"/>
  <c r="BF61" i="1"/>
  <c r="BE61" i="1"/>
  <c r="BD61" i="1"/>
  <c r="BC61" i="1"/>
  <c r="BB61" i="1"/>
  <c r="BA61" i="1"/>
  <c r="AZ61" i="1"/>
  <c r="AY61" i="1"/>
  <c r="AX61" i="1"/>
  <c r="AV61" i="1"/>
  <c r="BN61" i="1" s="1"/>
  <c r="AD61" i="1"/>
  <c r="AC61" i="1"/>
  <c r="AB61" i="1"/>
  <c r="AA61" i="1"/>
  <c r="Z61" i="1"/>
  <c r="Y61" i="1"/>
  <c r="X61" i="1"/>
  <c r="W61" i="1"/>
  <c r="V61" i="1"/>
  <c r="U61" i="1"/>
  <c r="BG60" i="1"/>
  <c r="BF60" i="1"/>
  <c r="BE60" i="1"/>
  <c r="BD60" i="1"/>
  <c r="BC60" i="1"/>
  <c r="BB60" i="1"/>
  <c r="BA60" i="1"/>
  <c r="AZ60" i="1"/>
  <c r="AY60" i="1"/>
  <c r="AX60" i="1"/>
  <c r="AV60" i="1"/>
  <c r="BN60" i="1" s="1"/>
  <c r="AD60" i="1"/>
  <c r="AC60" i="1"/>
  <c r="AB60" i="1"/>
  <c r="AA60" i="1"/>
  <c r="Z60" i="1"/>
  <c r="Y60" i="1"/>
  <c r="X60" i="1"/>
  <c r="W60" i="1"/>
  <c r="V60" i="1"/>
  <c r="U60" i="1"/>
  <c r="BG59" i="1"/>
  <c r="BF59" i="1"/>
  <c r="BE59" i="1"/>
  <c r="BD59" i="1"/>
  <c r="BC59" i="1"/>
  <c r="BB59" i="1"/>
  <c r="BA59" i="1"/>
  <c r="AZ59" i="1"/>
  <c r="AY59" i="1"/>
  <c r="AX59" i="1"/>
  <c r="AV59" i="1"/>
  <c r="BN59" i="1" s="1"/>
  <c r="AD59" i="1"/>
  <c r="AC59" i="1"/>
  <c r="AB59" i="1"/>
  <c r="AA59" i="1"/>
  <c r="Z59" i="1"/>
  <c r="Y59" i="1"/>
  <c r="X59" i="1"/>
  <c r="W59" i="1"/>
  <c r="V59" i="1"/>
  <c r="U59" i="1"/>
  <c r="BG58" i="1"/>
  <c r="BF58" i="1"/>
  <c r="BE58" i="1"/>
  <c r="BD58" i="1"/>
  <c r="BC58" i="1"/>
  <c r="BB58" i="1"/>
  <c r="BA58" i="1"/>
  <c r="AZ58" i="1"/>
  <c r="AY58" i="1"/>
  <c r="AX58" i="1"/>
  <c r="AV58" i="1"/>
  <c r="AW58" i="1" s="1"/>
  <c r="AD58" i="1"/>
  <c r="AC58" i="1"/>
  <c r="AB58" i="1"/>
  <c r="AA58" i="1"/>
  <c r="Z58" i="1"/>
  <c r="Y58" i="1"/>
  <c r="X58" i="1"/>
  <c r="W58" i="1"/>
  <c r="V58" i="1"/>
  <c r="U58" i="1"/>
  <c r="BG57" i="1"/>
  <c r="BF57" i="1"/>
  <c r="BE57" i="1"/>
  <c r="BD57" i="1"/>
  <c r="BC57" i="1"/>
  <c r="BB57" i="1"/>
  <c r="BA57" i="1"/>
  <c r="AZ57" i="1"/>
  <c r="AY57" i="1"/>
  <c r="AX57" i="1"/>
  <c r="AV57" i="1"/>
  <c r="BN57" i="1" s="1"/>
  <c r="AD57" i="1"/>
  <c r="AC57" i="1"/>
  <c r="AB57" i="1"/>
  <c r="AA57" i="1"/>
  <c r="Z57" i="1"/>
  <c r="Y57" i="1"/>
  <c r="X57" i="1"/>
  <c r="W57" i="1"/>
  <c r="V57" i="1"/>
  <c r="U57" i="1"/>
  <c r="BG56" i="1"/>
  <c r="BF56" i="1"/>
  <c r="BE56" i="1"/>
  <c r="BD56" i="1"/>
  <c r="BC56" i="1"/>
  <c r="BB56" i="1"/>
  <c r="BA56" i="1"/>
  <c r="AZ56" i="1"/>
  <c r="AY56" i="1"/>
  <c r="AX56" i="1"/>
  <c r="AV56" i="1"/>
  <c r="BN56" i="1" s="1"/>
  <c r="AD56" i="1"/>
  <c r="AC56" i="1"/>
  <c r="AB56" i="1"/>
  <c r="AA56" i="1"/>
  <c r="Z56" i="1"/>
  <c r="Y56" i="1"/>
  <c r="X56" i="1"/>
  <c r="W56" i="1"/>
  <c r="V56" i="1"/>
  <c r="U56" i="1"/>
  <c r="BG55" i="1"/>
  <c r="BF55" i="1"/>
  <c r="BE55" i="1"/>
  <c r="BD55" i="1"/>
  <c r="BC55" i="1"/>
  <c r="BB55" i="1"/>
  <c r="BA55" i="1"/>
  <c r="AZ55" i="1"/>
  <c r="AY55" i="1"/>
  <c r="AX55" i="1"/>
  <c r="AW55" i="1"/>
  <c r="AV55" i="1"/>
  <c r="BN55" i="1" s="1"/>
  <c r="AD55" i="1"/>
  <c r="AC55" i="1"/>
  <c r="AB55" i="1"/>
  <c r="AA55" i="1"/>
  <c r="Z55" i="1"/>
  <c r="Y55" i="1"/>
  <c r="X55" i="1"/>
  <c r="W55" i="1"/>
  <c r="V55" i="1"/>
  <c r="U55" i="1"/>
  <c r="BG54" i="1"/>
  <c r="BF54" i="1"/>
  <c r="BE54" i="1"/>
  <c r="BD54" i="1"/>
  <c r="BC54" i="1"/>
  <c r="BB54" i="1"/>
  <c r="BA54" i="1"/>
  <c r="AZ54" i="1"/>
  <c r="AY54" i="1"/>
  <c r="AX54" i="1"/>
  <c r="AV54" i="1"/>
  <c r="AW54" i="1" s="1"/>
  <c r="AD54" i="1"/>
  <c r="AC54" i="1"/>
  <c r="AB54" i="1"/>
  <c r="AA54" i="1"/>
  <c r="Z54" i="1"/>
  <c r="Y54" i="1"/>
  <c r="X54" i="1"/>
  <c r="W54" i="1"/>
  <c r="V54" i="1"/>
  <c r="AF54" i="1" s="1"/>
  <c r="U54" i="1"/>
  <c r="BG53" i="1"/>
  <c r="BF53" i="1"/>
  <c r="BE53" i="1"/>
  <c r="BD53" i="1"/>
  <c r="BC53" i="1"/>
  <c r="BB53" i="1"/>
  <c r="BA53" i="1"/>
  <c r="AZ53" i="1"/>
  <c r="AY53" i="1"/>
  <c r="AX53" i="1"/>
  <c r="AW53" i="1"/>
  <c r="AV53" i="1"/>
  <c r="BN53" i="1" s="1"/>
  <c r="AD53" i="1"/>
  <c r="AC53" i="1"/>
  <c r="AB53" i="1"/>
  <c r="AA53" i="1"/>
  <c r="Z53" i="1"/>
  <c r="Y53" i="1"/>
  <c r="X53" i="1"/>
  <c r="W53" i="1"/>
  <c r="V53" i="1"/>
  <c r="U53" i="1"/>
  <c r="BG52" i="1"/>
  <c r="BF52" i="1"/>
  <c r="BE52" i="1"/>
  <c r="BD52" i="1"/>
  <c r="BC52" i="1"/>
  <c r="BB52" i="1"/>
  <c r="BA52" i="1"/>
  <c r="AZ52" i="1"/>
  <c r="AY52" i="1"/>
  <c r="AX52" i="1"/>
  <c r="AV52" i="1"/>
  <c r="BN52" i="1" s="1"/>
  <c r="AD52" i="1"/>
  <c r="AC52" i="1"/>
  <c r="AB52" i="1"/>
  <c r="AA52" i="1"/>
  <c r="Z52" i="1"/>
  <c r="Y52" i="1"/>
  <c r="X52" i="1"/>
  <c r="W52" i="1"/>
  <c r="V52" i="1"/>
  <c r="U52" i="1"/>
  <c r="P52" i="1" s="1"/>
  <c r="AK52" i="1" s="1"/>
  <c r="BG51" i="1"/>
  <c r="BF51" i="1"/>
  <c r="BE51" i="1"/>
  <c r="BD51" i="1"/>
  <c r="BC51" i="1"/>
  <c r="BB51" i="1"/>
  <c r="BA51" i="1"/>
  <c r="AZ51" i="1"/>
  <c r="AY51" i="1"/>
  <c r="AX51" i="1"/>
  <c r="AV51" i="1"/>
  <c r="BN51" i="1" s="1"/>
  <c r="AD51" i="1"/>
  <c r="AC51" i="1"/>
  <c r="AB51" i="1"/>
  <c r="AA51" i="1"/>
  <c r="Z51" i="1"/>
  <c r="Y51" i="1"/>
  <c r="X51" i="1"/>
  <c r="W51" i="1"/>
  <c r="V51" i="1"/>
  <c r="U51" i="1"/>
  <c r="BG50" i="1"/>
  <c r="BF50" i="1"/>
  <c r="BE50" i="1"/>
  <c r="BD50" i="1"/>
  <c r="BC50" i="1"/>
  <c r="BB50" i="1"/>
  <c r="BA50" i="1"/>
  <c r="AZ50" i="1"/>
  <c r="AY50" i="1"/>
  <c r="AX50" i="1"/>
  <c r="AV50" i="1"/>
  <c r="AW50" i="1" s="1"/>
  <c r="AD50" i="1"/>
  <c r="AC50" i="1"/>
  <c r="AB50" i="1"/>
  <c r="AA50" i="1"/>
  <c r="Z50" i="1"/>
  <c r="Y50" i="1"/>
  <c r="X50" i="1"/>
  <c r="W50" i="1"/>
  <c r="V50" i="1"/>
  <c r="U50" i="1"/>
  <c r="BG49" i="1"/>
  <c r="BF49" i="1"/>
  <c r="BE49" i="1"/>
  <c r="BD49" i="1"/>
  <c r="BC49" i="1"/>
  <c r="BB49" i="1"/>
  <c r="BA49" i="1"/>
  <c r="AZ49" i="1"/>
  <c r="AY49" i="1"/>
  <c r="AX49" i="1"/>
  <c r="AV49" i="1"/>
  <c r="AD49" i="1"/>
  <c r="AC49" i="1"/>
  <c r="AB49" i="1"/>
  <c r="AA49" i="1"/>
  <c r="Z49" i="1"/>
  <c r="Y49" i="1"/>
  <c r="X49" i="1"/>
  <c r="W49" i="1"/>
  <c r="V49" i="1"/>
  <c r="U49" i="1"/>
  <c r="BG48" i="1"/>
  <c r="BF48" i="1"/>
  <c r="BE48" i="1"/>
  <c r="BD48" i="1"/>
  <c r="BC48" i="1"/>
  <c r="BB48" i="1"/>
  <c r="BA48" i="1"/>
  <c r="AZ48" i="1"/>
  <c r="AY48" i="1"/>
  <c r="AX48" i="1"/>
  <c r="AV48" i="1"/>
  <c r="AW48" i="1" s="1"/>
  <c r="AD48" i="1"/>
  <c r="AC48" i="1"/>
  <c r="AB48" i="1"/>
  <c r="AA48" i="1"/>
  <c r="Z48" i="1"/>
  <c r="Y48" i="1"/>
  <c r="X48" i="1"/>
  <c r="W48" i="1"/>
  <c r="V48" i="1"/>
  <c r="U48" i="1"/>
  <c r="BG47" i="1"/>
  <c r="BF47" i="1"/>
  <c r="BE47" i="1"/>
  <c r="BD47" i="1"/>
  <c r="BC47" i="1"/>
  <c r="BB47" i="1"/>
  <c r="BA47" i="1"/>
  <c r="AZ47" i="1"/>
  <c r="AY47" i="1"/>
  <c r="AX47" i="1"/>
  <c r="AV47" i="1"/>
  <c r="AD47" i="1"/>
  <c r="AC47" i="1"/>
  <c r="AB47" i="1"/>
  <c r="AA47" i="1"/>
  <c r="Z47" i="1"/>
  <c r="Y47" i="1"/>
  <c r="X47" i="1"/>
  <c r="W47" i="1"/>
  <c r="V47" i="1"/>
  <c r="U47" i="1"/>
  <c r="BG46" i="1"/>
  <c r="BF46" i="1"/>
  <c r="BE46" i="1"/>
  <c r="BD46" i="1"/>
  <c r="BC46" i="1"/>
  <c r="BB46" i="1"/>
  <c r="BA46" i="1"/>
  <c r="AZ46" i="1"/>
  <c r="AY46" i="1"/>
  <c r="AX46" i="1"/>
  <c r="AV46" i="1"/>
  <c r="AW46" i="1" s="1"/>
  <c r="AD46" i="1"/>
  <c r="AC46" i="1"/>
  <c r="AB46" i="1"/>
  <c r="AA46" i="1"/>
  <c r="Z46" i="1"/>
  <c r="Y46" i="1"/>
  <c r="X46" i="1"/>
  <c r="W46" i="1"/>
  <c r="V46" i="1"/>
  <c r="U46" i="1"/>
  <c r="BG45" i="1"/>
  <c r="BF45" i="1"/>
  <c r="BE45" i="1"/>
  <c r="BD45" i="1"/>
  <c r="BC45" i="1"/>
  <c r="BB45" i="1"/>
  <c r="BA45" i="1"/>
  <c r="AZ45" i="1"/>
  <c r="AY45" i="1"/>
  <c r="AX45" i="1"/>
  <c r="AV45" i="1"/>
  <c r="AD45" i="1"/>
  <c r="AC45" i="1"/>
  <c r="AB45" i="1"/>
  <c r="AA45" i="1"/>
  <c r="Z45" i="1"/>
  <c r="Y45" i="1"/>
  <c r="X45" i="1"/>
  <c r="W45" i="1"/>
  <c r="V45" i="1"/>
  <c r="U45" i="1"/>
  <c r="BG44" i="1"/>
  <c r="BF44" i="1"/>
  <c r="BE44" i="1"/>
  <c r="BD44" i="1"/>
  <c r="BC44" i="1"/>
  <c r="BB44" i="1"/>
  <c r="BA44" i="1"/>
  <c r="AZ44" i="1"/>
  <c r="AY44" i="1"/>
  <c r="AX44" i="1"/>
  <c r="AV44" i="1"/>
  <c r="AD44" i="1"/>
  <c r="AC44" i="1"/>
  <c r="AB44" i="1"/>
  <c r="AA44" i="1"/>
  <c r="Z44" i="1"/>
  <c r="Y44" i="1"/>
  <c r="X44" i="1"/>
  <c r="W44" i="1"/>
  <c r="V44" i="1"/>
  <c r="U44" i="1"/>
  <c r="AF44" i="1" s="1"/>
  <c r="BG43" i="1"/>
  <c r="BF43" i="1"/>
  <c r="BE43" i="1"/>
  <c r="BD43" i="1"/>
  <c r="BC43" i="1"/>
  <c r="BB43" i="1"/>
  <c r="BA43" i="1"/>
  <c r="AZ43" i="1"/>
  <c r="AY43" i="1"/>
  <c r="AX43" i="1"/>
  <c r="AV43" i="1"/>
  <c r="AD43" i="1"/>
  <c r="AC43" i="1"/>
  <c r="AB43" i="1"/>
  <c r="AA43" i="1"/>
  <c r="Z43" i="1"/>
  <c r="Y43" i="1"/>
  <c r="X43" i="1"/>
  <c r="W43" i="1"/>
  <c r="V43" i="1"/>
  <c r="U43" i="1"/>
  <c r="BG42" i="1"/>
  <c r="BF42" i="1"/>
  <c r="BE42" i="1"/>
  <c r="BD42" i="1"/>
  <c r="BC42" i="1"/>
  <c r="BB42" i="1"/>
  <c r="BA42" i="1"/>
  <c r="AZ42" i="1"/>
  <c r="AY42" i="1"/>
  <c r="AX42" i="1"/>
  <c r="AW42" i="1"/>
  <c r="AV42" i="1"/>
  <c r="AD42" i="1"/>
  <c r="AC42" i="1"/>
  <c r="AB42" i="1"/>
  <c r="AA42" i="1"/>
  <c r="Z42" i="1"/>
  <c r="Y42" i="1"/>
  <c r="X42" i="1"/>
  <c r="W42" i="1"/>
  <c r="V42" i="1"/>
  <c r="U42" i="1"/>
  <c r="BG41" i="1"/>
  <c r="BF41" i="1"/>
  <c r="BE41" i="1"/>
  <c r="BD41" i="1"/>
  <c r="BC41" i="1"/>
  <c r="BB41" i="1"/>
  <c r="BA41" i="1"/>
  <c r="AZ41" i="1"/>
  <c r="AY41" i="1"/>
  <c r="AX41" i="1"/>
  <c r="AV41" i="1"/>
  <c r="AD41" i="1"/>
  <c r="AC41" i="1"/>
  <c r="AB41" i="1"/>
  <c r="AA41" i="1"/>
  <c r="Z41" i="1"/>
  <c r="Y41" i="1"/>
  <c r="X41" i="1"/>
  <c r="W41" i="1"/>
  <c r="V41" i="1"/>
  <c r="U41" i="1"/>
  <c r="P41" i="1" s="1"/>
  <c r="BG40" i="1"/>
  <c r="BF40" i="1"/>
  <c r="BE40" i="1"/>
  <c r="BD40" i="1"/>
  <c r="BC40" i="1"/>
  <c r="BB40" i="1"/>
  <c r="BA40" i="1"/>
  <c r="AZ40" i="1"/>
  <c r="AY40" i="1"/>
  <c r="AX40" i="1"/>
  <c r="AV40" i="1"/>
  <c r="AD40" i="1"/>
  <c r="AC40" i="1"/>
  <c r="AB40" i="1"/>
  <c r="AA40" i="1"/>
  <c r="Z40" i="1"/>
  <c r="Y40" i="1"/>
  <c r="X40" i="1"/>
  <c r="W40" i="1"/>
  <c r="V40" i="1"/>
  <c r="U40" i="1"/>
  <c r="BG39" i="1"/>
  <c r="BF39" i="1"/>
  <c r="BE39" i="1"/>
  <c r="BD39" i="1"/>
  <c r="BC39" i="1"/>
  <c r="BB39" i="1"/>
  <c r="BA39" i="1"/>
  <c r="AZ39" i="1"/>
  <c r="AY39" i="1"/>
  <c r="AX39" i="1"/>
  <c r="AV39" i="1"/>
  <c r="AD39" i="1"/>
  <c r="AC39" i="1"/>
  <c r="AB39" i="1"/>
  <c r="AA39" i="1"/>
  <c r="Z39" i="1"/>
  <c r="Y39" i="1"/>
  <c r="X39" i="1"/>
  <c r="W39" i="1"/>
  <c r="V39" i="1"/>
  <c r="U39" i="1"/>
  <c r="BG38" i="1"/>
  <c r="BF38" i="1"/>
  <c r="BE38" i="1"/>
  <c r="BD38" i="1"/>
  <c r="BC38" i="1"/>
  <c r="BB38" i="1"/>
  <c r="BA38" i="1"/>
  <c r="AZ38" i="1"/>
  <c r="AY38" i="1"/>
  <c r="AX38" i="1"/>
  <c r="AV38" i="1"/>
  <c r="AD38" i="1"/>
  <c r="AC38" i="1"/>
  <c r="AB38" i="1"/>
  <c r="AA38" i="1"/>
  <c r="Z38" i="1"/>
  <c r="Y38" i="1"/>
  <c r="X38" i="1"/>
  <c r="W38" i="1"/>
  <c r="V38" i="1"/>
  <c r="U38" i="1"/>
  <c r="BG37" i="1"/>
  <c r="BF37" i="1"/>
  <c r="BE37" i="1"/>
  <c r="BD37" i="1"/>
  <c r="BC37" i="1"/>
  <c r="BB37" i="1"/>
  <c r="BA37" i="1"/>
  <c r="AZ37" i="1"/>
  <c r="AY37" i="1"/>
  <c r="AX37" i="1"/>
  <c r="AV37" i="1"/>
  <c r="AD37" i="1"/>
  <c r="AC37" i="1"/>
  <c r="AB37" i="1"/>
  <c r="AA37" i="1"/>
  <c r="Z37" i="1"/>
  <c r="Y37" i="1"/>
  <c r="X37" i="1"/>
  <c r="W37" i="1"/>
  <c r="V37" i="1"/>
  <c r="U37" i="1"/>
  <c r="BG36" i="1"/>
  <c r="BF36" i="1"/>
  <c r="BE36" i="1"/>
  <c r="BD36" i="1"/>
  <c r="BC36" i="1"/>
  <c r="BB36" i="1"/>
  <c r="BA36" i="1"/>
  <c r="AZ36" i="1"/>
  <c r="AY36" i="1"/>
  <c r="AX36" i="1"/>
  <c r="AV36" i="1"/>
  <c r="AD36" i="1"/>
  <c r="AC36" i="1"/>
  <c r="AB36" i="1"/>
  <c r="AA36" i="1"/>
  <c r="Z36" i="1"/>
  <c r="Y36" i="1"/>
  <c r="X36" i="1"/>
  <c r="W36" i="1"/>
  <c r="V36" i="1"/>
  <c r="U36" i="1"/>
  <c r="BG35" i="1"/>
  <c r="BF35" i="1"/>
  <c r="BE35" i="1"/>
  <c r="BD35" i="1"/>
  <c r="BC35" i="1"/>
  <c r="BB35" i="1"/>
  <c r="BA35" i="1"/>
  <c r="AZ35" i="1"/>
  <c r="AY35" i="1"/>
  <c r="AX35" i="1"/>
  <c r="AV35" i="1"/>
  <c r="AD35" i="1"/>
  <c r="AC35" i="1"/>
  <c r="AB35" i="1"/>
  <c r="AA35" i="1"/>
  <c r="Z35" i="1"/>
  <c r="Y35" i="1"/>
  <c r="X35" i="1"/>
  <c r="W35" i="1"/>
  <c r="V35" i="1"/>
  <c r="U35" i="1"/>
  <c r="BG34" i="1"/>
  <c r="BF34" i="1"/>
  <c r="BE34" i="1"/>
  <c r="BD34" i="1"/>
  <c r="BC34" i="1"/>
  <c r="BB34" i="1"/>
  <c r="BA34" i="1"/>
  <c r="AZ34" i="1"/>
  <c r="AY34" i="1"/>
  <c r="AX34" i="1"/>
  <c r="AV34" i="1"/>
  <c r="AD34" i="1"/>
  <c r="AC34" i="1"/>
  <c r="AB34" i="1"/>
  <c r="AA34" i="1"/>
  <c r="Z34" i="1"/>
  <c r="Y34" i="1"/>
  <c r="X34" i="1"/>
  <c r="W34" i="1"/>
  <c r="V34" i="1"/>
  <c r="U34" i="1"/>
  <c r="BG33" i="1"/>
  <c r="BF33" i="1"/>
  <c r="BE33" i="1"/>
  <c r="BD33" i="1"/>
  <c r="BC33" i="1"/>
  <c r="BB33" i="1"/>
  <c r="BA33" i="1"/>
  <c r="AZ33" i="1"/>
  <c r="AY33" i="1"/>
  <c r="AX33" i="1"/>
  <c r="AV33" i="1"/>
  <c r="AD33" i="1"/>
  <c r="AC33" i="1"/>
  <c r="AB33" i="1"/>
  <c r="AA33" i="1"/>
  <c r="Z33" i="1"/>
  <c r="Y33" i="1"/>
  <c r="X33" i="1"/>
  <c r="W33" i="1"/>
  <c r="V33" i="1"/>
  <c r="U33" i="1"/>
  <c r="BG32" i="1"/>
  <c r="BF32" i="1"/>
  <c r="BE32" i="1"/>
  <c r="BD32" i="1"/>
  <c r="BC32" i="1"/>
  <c r="BB32" i="1"/>
  <c r="BA32" i="1"/>
  <c r="AZ32" i="1"/>
  <c r="AY32" i="1"/>
  <c r="AX32" i="1"/>
  <c r="AV32" i="1"/>
  <c r="AD32" i="1"/>
  <c r="AC32" i="1"/>
  <c r="AB32" i="1"/>
  <c r="AA32" i="1"/>
  <c r="Z32" i="1"/>
  <c r="Y32" i="1"/>
  <c r="X32" i="1"/>
  <c r="W32" i="1"/>
  <c r="V32" i="1"/>
  <c r="U32" i="1"/>
  <c r="BG31" i="1"/>
  <c r="BF31" i="1"/>
  <c r="BE31" i="1"/>
  <c r="BD31" i="1"/>
  <c r="BC31" i="1"/>
  <c r="BB31" i="1"/>
  <c r="BA31" i="1"/>
  <c r="AZ31" i="1"/>
  <c r="AY31" i="1"/>
  <c r="AX31" i="1"/>
  <c r="AV31" i="1"/>
  <c r="AD31" i="1"/>
  <c r="AC31" i="1"/>
  <c r="AB31" i="1"/>
  <c r="AA31" i="1"/>
  <c r="Z31" i="1"/>
  <c r="Y31" i="1"/>
  <c r="X31" i="1"/>
  <c r="W31" i="1"/>
  <c r="V31" i="1"/>
  <c r="U31" i="1"/>
  <c r="BG30" i="1"/>
  <c r="BF30" i="1"/>
  <c r="BE30" i="1"/>
  <c r="BD30" i="1"/>
  <c r="BC30" i="1"/>
  <c r="BB30" i="1"/>
  <c r="BA30" i="1"/>
  <c r="AZ30" i="1"/>
  <c r="AY30" i="1"/>
  <c r="AX30" i="1"/>
  <c r="AV30" i="1"/>
  <c r="AD30" i="1"/>
  <c r="AC30" i="1"/>
  <c r="AB30" i="1"/>
  <c r="AA30" i="1"/>
  <c r="Z30" i="1"/>
  <c r="Y30" i="1"/>
  <c r="X30" i="1"/>
  <c r="W30" i="1"/>
  <c r="V30" i="1"/>
  <c r="U30" i="1"/>
  <c r="BG29" i="1"/>
  <c r="BF29" i="1"/>
  <c r="BE29" i="1"/>
  <c r="BD29" i="1"/>
  <c r="BC29" i="1"/>
  <c r="BB29" i="1"/>
  <c r="BA29" i="1"/>
  <c r="AZ29" i="1"/>
  <c r="AY29" i="1"/>
  <c r="AX29" i="1"/>
  <c r="AV29" i="1"/>
  <c r="AD29" i="1"/>
  <c r="AC29" i="1"/>
  <c r="AB29" i="1"/>
  <c r="AA29" i="1"/>
  <c r="Z29" i="1"/>
  <c r="Y29" i="1"/>
  <c r="X29" i="1"/>
  <c r="W29" i="1"/>
  <c r="V29" i="1"/>
  <c r="U29" i="1"/>
  <c r="BG28" i="1"/>
  <c r="BF28" i="1"/>
  <c r="BE28" i="1"/>
  <c r="BD28" i="1"/>
  <c r="BC28" i="1"/>
  <c r="BB28" i="1"/>
  <c r="BA28" i="1"/>
  <c r="AZ28" i="1"/>
  <c r="AY28" i="1"/>
  <c r="AX28" i="1"/>
  <c r="AV28" i="1"/>
  <c r="AD28" i="1"/>
  <c r="AC28" i="1"/>
  <c r="AB28" i="1"/>
  <c r="AA28" i="1"/>
  <c r="Z28" i="1"/>
  <c r="Y28" i="1"/>
  <c r="X28" i="1"/>
  <c r="W28" i="1"/>
  <c r="V28" i="1"/>
  <c r="U28" i="1"/>
  <c r="BG27" i="1"/>
  <c r="BF27" i="1"/>
  <c r="BE27" i="1"/>
  <c r="BD27" i="1"/>
  <c r="BC27" i="1"/>
  <c r="BB27" i="1"/>
  <c r="BA27" i="1"/>
  <c r="AZ27" i="1"/>
  <c r="AY27" i="1"/>
  <c r="AX27" i="1"/>
  <c r="AV27" i="1"/>
  <c r="AD27" i="1"/>
  <c r="AC27" i="1"/>
  <c r="AB27" i="1"/>
  <c r="AA27" i="1"/>
  <c r="Z27" i="1"/>
  <c r="Y27" i="1"/>
  <c r="X27" i="1"/>
  <c r="W27" i="1"/>
  <c r="V27" i="1"/>
  <c r="U27" i="1"/>
  <c r="BG26" i="1"/>
  <c r="BF26" i="1"/>
  <c r="BE26" i="1"/>
  <c r="BD26" i="1"/>
  <c r="BC26" i="1"/>
  <c r="BB26" i="1"/>
  <c r="BA26" i="1"/>
  <c r="AZ26" i="1"/>
  <c r="AY26" i="1"/>
  <c r="AX26" i="1"/>
  <c r="AV26" i="1"/>
  <c r="AW26" i="1" s="1"/>
  <c r="AD26" i="1"/>
  <c r="AC26" i="1"/>
  <c r="AB26" i="1"/>
  <c r="AA26" i="1"/>
  <c r="Z26" i="1"/>
  <c r="Y26" i="1"/>
  <c r="X26" i="1"/>
  <c r="W26" i="1"/>
  <c r="V26" i="1"/>
  <c r="U26" i="1"/>
  <c r="BG25" i="1"/>
  <c r="BF25" i="1"/>
  <c r="BE25" i="1"/>
  <c r="BD25" i="1"/>
  <c r="BC25" i="1"/>
  <c r="BB25" i="1"/>
  <c r="BA25" i="1"/>
  <c r="AZ25" i="1"/>
  <c r="AY25" i="1"/>
  <c r="AX25" i="1"/>
  <c r="AV25" i="1"/>
  <c r="AD25" i="1"/>
  <c r="AC25" i="1"/>
  <c r="AB25" i="1"/>
  <c r="AA25" i="1"/>
  <c r="Z25" i="1"/>
  <c r="Y25" i="1"/>
  <c r="X25" i="1"/>
  <c r="W25" i="1"/>
  <c r="V25" i="1"/>
  <c r="U25" i="1"/>
  <c r="BG24" i="1"/>
  <c r="BF24" i="1"/>
  <c r="BE24" i="1"/>
  <c r="BD24" i="1"/>
  <c r="BC24" i="1"/>
  <c r="BB24" i="1"/>
  <c r="BA24" i="1"/>
  <c r="AZ24" i="1"/>
  <c r="AY24" i="1"/>
  <c r="AX24" i="1"/>
  <c r="AV24" i="1"/>
  <c r="AD24" i="1"/>
  <c r="AC24" i="1"/>
  <c r="AB24" i="1"/>
  <c r="AA24" i="1"/>
  <c r="Z24" i="1"/>
  <c r="Y24" i="1"/>
  <c r="X24" i="1"/>
  <c r="W24" i="1"/>
  <c r="V24" i="1"/>
  <c r="U24" i="1"/>
  <c r="BG23" i="1"/>
  <c r="BF23" i="1"/>
  <c r="BE23" i="1"/>
  <c r="BD23" i="1"/>
  <c r="BC23" i="1"/>
  <c r="BB23" i="1"/>
  <c r="BA23" i="1"/>
  <c r="AZ23" i="1"/>
  <c r="AY23" i="1"/>
  <c r="AX23" i="1"/>
  <c r="AV23" i="1"/>
  <c r="AD23" i="1"/>
  <c r="AC23" i="1"/>
  <c r="AB23" i="1"/>
  <c r="AA23" i="1"/>
  <c r="Z23" i="1"/>
  <c r="Y23" i="1"/>
  <c r="X23" i="1"/>
  <c r="W23" i="1"/>
  <c r="V23" i="1"/>
  <c r="U23" i="1"/>
  <c r="BG22" i="1"/>
  <c r="BF22" i="1"/>
  <c r="BE22" i="1"/>
  <c r="BD22" i="1"/>
  <c r="BC22" i="1"/>
  <c r="BB22" i="1"/>
  <c r="BA22" i="1"/>
  <c r="AZ22" i="1"/>
  <c r="AY22" i="1"/>
  <c r="AX22" i="1"/>
  <c r="AV22" i="1"/>
  <c r="AW22" i="1" s="1"/>
  <c r="AD22" i="1"/>
  <c r="AC22" i="1"/>
  <c r="AB22" i="1"/>
  <c r="AA22" i="1"/>
  <c r="Z22" i="1"/>
  <c r="Y22" i="1"/>
  <c r="X22" i="1"/>
  <c r="W22" i="1"/>
  <c r="V22" i="1"/>
  <c r="U22" i="1"/>
  <c r="BG21" i="1"/>
  <c r="BF21" i="1"/>
  <c r="BE21" i="1"/>
  <c r="BD21" i="1"/>
  <c r="BC21" i="1"/>
  <c r="BB21" i="1"/>
  <c r="BA21" i="1"/>
  <c r="AZ21" i="1"/>
  <c r="AY21" i="1"/>
  <c r="AX21" i="1"/>
  <c r="AV21" i="1"/>
  <c r="AD21" i="1"/>
  <c r="AC21" i="1"/>
  <c r="AB21" i="1"/>
  <c r="AA21" i="1"/>
  <c r="Z21" i="1"/>
  <c r="Y21" i="1"/>
  <c r="X21" i="1"/>
  <c r="W21" i="1"/>
  <c r="V21" i="1"/>
  <c r="U21" i="1"/>
  <c r="BG20" i="1"/>
  <c r="BF20" i="1"/>
  <c r="BE20" i="1"/>
  <c r="BD20" i="1"/>
  <c r="BC20" i="1"/>
  <c r="BB20" i="1"/>
  <c r="BA20" i="1"/>
  <c r="AZ20" i="1"/>
  <c r="AY20" i="1"/>
  <c r="AX20" i="1"/>
  <c r="AV20" i="1"/>
  <c r="AD20" i="1"/>
  <c r="AC20" i="1"/>
  <c r="AB20" i="1"/>
  <c r="AA20" i="1"/>
  <c r="Z20" i="1"/>
  <c r="Y20" i="1"/>
  <c r="X20" i="1"/>
  <c r="W20" i="1"/>
  <c r="V20" i="1"/>
  <c r="U20" i="1"/>
  <c r="BG19" i="1"/>
  <c r="BF19" i="1"/>
  <c r="BE19" i="1"/>
  <c r="BD19" i="1"/>
  <c r="BC19" i="1"/>
  <c r="BB19" i="1"/>
  <c r="BA19" i="1"/>
  <c r="AZ19" i="1"/>
  <c r="AY19" i="1"/>
  <c r="AX19" i="1"/>
  <c r="AV19" i="1"/>
  <c r="AW19" i="1" s="1"/>
  <c r="AD19" i="1"/>
  <c r="AC19" i="1"/>
  <c r="AB19" i="1"/>
  <c r="AA19" i="1"/>
  <c r="Z19" i="1"/>
  <c r="Y19" i="1"/>
  <c r="X19" i="1"/>
  <c r="W19" i="1"/>
  <c r="V19" i="1"/>
  <c r="U19" i="1"/>
  <c r="BG18" i="1"/>
  <c r="BF18" i="1"/>
  <c r="BE18" i="1"/>
  <c r="BD18" i="1"/>
  <c r="BC18" i="1"/>
  <c r="BB18" i="1"/>
  <c r="BA18" i="1"/>
  <c r="AZ18" i="1"/>
  <c r="AY18" i="1"/>
  <c r="AX18" i="1"/>
  <c r="AV18" i="1"/>
  <c r="AW18" i="1" s="1"/>
  <c r="AD18" i="1"/>
  <c r="AC18" i="1"/>
  <c r="AB18" i="1"/>
  <c r="AA18" i="1"/>
  <c r="Z18" i="1"/>
  <c r="Y18" i="1"/>
  <c r="X18" i="1"/>
  <c r="W18" i="1"/>
  <c r="V18" i="1"/>
  <c r="U18" i="1"/>
  <c r="BG17" i="1"/>
  <c r="BF17" i="1"/>
  <c r="BE17" i="1"/>
  <c r="BD17" i="1"/>
  <c r="BC17" i="1"/>
  <c r="BB17" i="1"/>
  <c r="BA17" i="1"/>
  <c r="AZ17" i="1"/>
  <c r="AY17" i="1"/>
  <c r="AX17" i="1"/>
  <c r="AV17" i="1"/>
  <c r="AD17" i="1"/>
  <c r="AC17" i="1"/>
  <c r="AB17" i="1"/>
  <c r="AA17" i="1"/>
  <c r="Z17" i="1"/>
  <c r="Y17" i="1"/>
  <c r="X17" i="1"/>
  <c r="W17" i="1"/>
  <c r="V17" i="1"/>
  <c r="U17" i="1"/>
  <c r="BG16" i="1"/>
  <c r="BF16" i="1"/>
  <c r="BE16" i="1"/>
  <c r="BD16" i="1"/>
  <c r="BC16" i="1"/>
  <c r="BB16" i="1"/>
  <c r="BA16" i="1"/>
  <c r="AZ16" i="1"/>
  <c r="AY16" i="1"/>
  <c r="AX16" i="1"/>
  <c r="AV16" i="1"/>
  <c r="AD16" i="1"/>
  <c r="AC16" i="1"/>
  <c r="AB16" i="1"/>
  <c r="AA16" i="1"/>
  <c r="Z16" i="1"/>
  <c r="Y16" i="1"/>
  <c r="X16" i="1"/>
  <c r="W16" i="1"/>
  <c r="V16" i="1"/>
  <c r="U16" i="1"/>
  <c r="BG15" i="1"/>
  <c r="BF15" i="1"/>
  <c r="BE15" i="1"/>
  <c r="BD15" i="1"/>
  <c r="BC15" i="1"/>
  <c r="BB15" i="1"/>
  <c r="BA15" i="1"/>
  <c r="AZ15" i="1"/>
  <c r="AY15" i="1"/>
  <c r="AX15" i="1"/>
  <c r="AV15" i="1"/>
  <c r="AD15" i="1"/>
  <c r="AC15" i="1"/>
  <c r="AB15" i="1"/>
  <c r="AA15" i="1"/>
  <c r="Z15" i="1"/>
  <c r="Y15" i="1"/>
  <c r="X15" i="1"/>
  <c r="W15" i="1"/>
  <c r="V15" i="1"/>
  <c r="U15" i="1"/>
  <c r="BG14" i="1"/>
  <c r="BF14" i="1"/>
  <c r="BE14" i="1"/>
  <c r="BD14" i="1"/>
  <c r="BC14" i="1"/>
  <c r="BB14" i="1"/>
  <c r="BA14" i="1"/>
  <c r="AZ14" i="1"/>
  <c r="AY14" i="1"/>
  <c r="AX14" i="1"/>
  <c r="AV14" i="1"/>
  <c r="AD14" i="1"/>
  <c r="AC14" i="1"/>
  <c r="AB14" i="1"/>
  <c r="AA14" i="1"/>
  <c r="AA12" i="1" s="1"/>
  <c r="Z14" i="1"/>
  <c r="Y14" i="1"/>
  <c r="X14" i="1"/>
  <c r="W14" i="1"/>
  <c r="V14" i="1"/>
  <c r="U14" i="1"/>
  <c r="BG13" i="1"/>
  <c r="BF13" i="1"/>
  <c r="BE13" i="1"/>
  <c r="BD13" i="1"/>
  <c r="BC13" i="1"/>
  <c r="BB13" i="1"/>
  <c r="BA13" i="1"/>
  <c r="AZ13" i="1"/>
  <c r="AY13" i="1"/>
  <c r="AX13" i="1"/>
  <c r="AF12" i="1"/>
  <c r="E58" i="28"/>
  <c r="D58" i="28"/>
  <c r="C58" i="28"/>
  <c r="E57" i="28"/>
  <c r="D57" i="28"/>
  <c r="C57" i="28"/>
  <c r="E56" i="28"/>
  <c r="D56" i="28"/>
  <c r="C56" i="28"/>
  <c r="E55" i="28"/>
  <c r="D55" i="28"/>
  <c r="B55" i="28" s="1"/>
  <c r="C55" i="28"/>
  <c r="E54" i="28"/>
  <c r="D54" i="28"/>
  <c r="B54" i="28" s="1"/>
  <c r="C54" i="28"/>
  <c r="E53" i="28"/>
  <c r="D53" i="28"/>
  <c r="C53" i="28"/>
  <c r="E52" i="28"/>
  <c r="D52" i="28"/>
  <c r="C52" i="28"/>
  <c r="E51" i="28"/>
  <c r="D51" i="28"/>
  <c r="B51" i="28" s="1"/>
  <c r="C51" i="28"/>
  <c r="E50" i="28"/>
  <c r="D50" i="28"/>
  <c r="B50" i="28" s="1"/>
  <c r="C50" i="28"/>
  <c r="E49" i="28"/>
  <c r="D49" i="28"/>
  <c r="C49" i="28"/>
  <c r="E48" i="28"/>
  <c r="D48" i="28"/>
  <c r="C48" i="28"/>
  <c r="E47" i="28"/>
  <c r="D47" i="28"/>
  <c r="B47" i="28" s="1"/>
  <c r="C47" i="28"/>
  <c r="E46" i="28"/>
  <c r="D46" i="28"/>
  <c r="B46" i="28" s="1"/>
  <c r="C46" i="28"/>
  <c r="E45" i="28"/>
  <c r="D45" i="28"/>
  <c r="C45" i="28"/>
  <c r="E44" i="28"/>
  <c r="D44" i="28"/>
  <c r="C44" i="28"/>
  <c r="E43" i="28"/>
  <c r="D43" i="28"/>
  <c r="C43" i="28"/>
  <c r="E42" i="28"/>
  <c r="D42" i="28"/>
  <c r="C42" i="28"/>
  <c r="E41" i="28"/>
  <c r="D41" i="28"/>
  <c r="C41" i="28"/>
  <c r="E40" i="28"/>
  <c r="D40" i="28"/>
  <c r="C40" i="28"/>
  <c r="E39" i="28"/>
  <c r="D39" i="28"/>
  <c r="C39" i="28"/>
  <c r="E38" i="28"/>
  <c r="D38" i="28"/>
  <c r="C38" i="28"/>
  <c r="E37" i="28"/>
  <c r="D37" i="28"/>
  <c r="C37" i="28"/>
  <c r="E36" i="28"/>
  <c r="D36" i="28"/>
  <c r="C36" i="28"/>
  <c r="E35" i="28"/>
  <c r="D35" i="28"/>
  <c r="C35" i="28"/>
  <c r="E34" i="28"/>
  <c r="D34" i="28"/>
  <c r="C34" i="28"/>
  <c r="E33" i="28"/>
  <c r="D33" i="28"/>
  <c r="C33" i="28"/>
  <c r="E32" i="28"/>
  <c r="D32" i="28"/>
  <c r="C32" i="28"/>
  <c r="E31" i="28"/>
  <c r="D31" i="28"/>
  <c r="C31" i="28"/>
  <c r="E30" i="28"/>
  <c r="D30" i="28"/>
  <c r="C30" i="28"/>
  <c r="E29" i="28"/>
  <c r="D29" i="28"/>
  <c r="C29" i="28"/>
  <c r="E28" i="28"/>
  <c r="D28" i="28"/>
  <c r="C28" i="28"/>
  <c r="E27" i="28"/>
  <c r="D27" i="28"/>
  <c r="C27" i="28"/>
  <c r="E26" i="28"/>
  <c r="D26" i="28"/>
  <c r="C26" i="28"/>
  <c r="E25" i="28"/>
  <c r="D25" i="28"/>
  <c r="C25" i="28"/>
  <c r="E24" i="28"/>
  <c r="D24" i="28"/>
  <c r="C24" i="28"/>
  <c r="E23" i="28"/>
  <c r="D23" i="28"/>
  <c r="C23" i="28"/>
  <c r="E22" i="28"/>
  <c r="D22" i="28"/>
  <c r="C22" i="28"/>
  <c r="E21" i="28"/>
  <c r="D21" i="28"/>
  <c r="C21" i="28"/>
  <c r="E20" i="28"/>
  <c r="D20" i="28"/>
  <c r="C20" i="28"/>
  <c r="E19" i="28"/>
  <c r="D19" i="28"/>
  <c r="C19" i="28"/>
  <c r="E18" i="28"/>
  <c r="D18" i="28"/>
  <c r="C18" i="28"/>
  <c r="E17" i="28"/>
  <c r="D17" i="28"/>
  <c r="C17" i="28"/>
  <c r="E16" i="28"/>
  <c r="D16" i="28"/>
  <c r="C16" i="28"/>
  <c r="E15" i="28"/>
  <c r="D15" i="28"/>
  <c r="C15" i="28"/>
  <c r="E14" i="28"/>
  <c r="D14" i="28"/>
  <c r="C14" i="28"/>
  <c r="E13" i="28"/>
  <c r="D13" i="28"/>
  <c r="C13" i="28"/>
  <c r="E12" i="28"/>
  <c r="D12" i="28"/>
  <c r="C12" i="28"/>
  <c r="E11" i="28"/>
  <c r="D11" i="28"/>
  <c r="C11" i="28"/>
  <c r="E10" i="28"/>
  <c r="D10" i="28"/>
  <c r="B10" i="28" s="1"/>
  <c r="C10" i="28"/>
  <c r="E9" i="28"/>
  <c r="D9" i="28"/>
  <c r="C9" i="28"/>
  <c r="D5" i="28"/>
  <c r="B5" i="28"/>
  <c r="G58" i="28"/>
  <c r="D63" i="1" s="1"/>
  <c r="B58" i="28"/>
  <c r="G57" i="28"/>
  <c r="D62" i="1" s="1"/>
  <c r="B57" i="28"/>
  <c r="G56" i="28"/>
  <c r="D61" i="1" s="1"/>
  <c r="B56" i="28"/>
  <c r="G55" i="28"/>
  <c r="D60" i="1" s="1"/>
  <c r="G54" i="28"/>
  <c r="D59" i="1" s="1"/>
  <c r="G53" i="28"/>
  <c r="D58" i="1" s="1"/>
  <c r="B53" i="28"/>
  <c r="G52" i="28"/>
  <c r="D57" i="1" s="1"/>
  <c r="B52" i="28"/>
  <c r="G51" i="28"/>
  <c r="D56" i="1" s="1"/>
  <c r="G50" i="28"/>
  <c r="D55" i="1" s="1"/>
  <c r="G49" i="28"/>
  <c r="D54" i="1" s="1"/>
  <c r="B49" i="28"/>
  <c r="G48" i="28"/>
  <c r="D53" i="1" s="1"/>
  <c r="B48" i="28"/>
  <c r="G47" i="28"/>
  <c r="D52" i="1" s="1"/>
  <c r="G46" i="28"/>
  <c r="D51" i="1" s="1"/>
  <c r="G45" i="28"/>
  <c r="D50" i="1" s="1"/>
  <c r="G44" i="28"/>
  <c r="D49" i="1" s="1"/>
  <c r="G43" i="28"/>
  <c r="D48" i="1" s="1"/>
  <c r="G42" i="28"/>
  <c r="D47" i="1" s="1"/>
  <c r="G41" i="28"/>
  <c r="D46" i="1" s="1"/>
  <c r="G40" i="28"/>
  <c r="D45" i="1" s="1"/>
  <c r="G39" i="28"/>
  <c r="D44" i="1" s="1"/>
  <c r="G38" i="28"/>
  <c r="D43" i="1" s="1"/>
  <c r="G37" i="28"/>
  <c r="D42" i="1" s="1"/>
  <c r="G36" i="28"/>
  <c r="D41" i="1" s="1"/>
  <c r="G35" i="28"/>
  <c r="D40" i="1" s="1"/>
  <c r="G34" i="28"/>
  <c r="D39" i="1" s="1"/>
  <c r="G33" i="28"/>
  <c r="D38" i="1" s="1"/>
  <c r="G32" i="28"/>
  <c r="D37" i="1" s="1"/>
  <c r="G31" i="28"/>
  <c r="D36" i="1" s="1"/>
  <c r="G30" i="28"/>
  <c r="D35" i="1" s="1"/>
  <c r="G29" i="28"/>
  <c r="D34" i="1" s="1"/>
  <c r="G28" i="28"/>
  <c r="D33" i="1" s="1"/>
  <c r="G27" i="28"/>
  <c r="D32" i="1" s="1"/>
  <c r="G26" i="28"/>
  <c r="D31" i="1" s="1"/>
  <c r="G25" i="28"/>
  <c r="D30" i="1" s="1"/>
  <c r="G24" i="28"/>
  <c r="D29" i="1" s="1"/>
  <c r="G23" i="28"/>
  <c r="D28" i="1" s="1"/>
  <c r="G22" i="28"/>
  <c r="D27" i="1" s="1"/>
  <c r="G21" i="28"/>
  <c r="D26" i="1" s="1"/>
  <c r="N20" i="28"/>
  <c r="M20" i="28"/>
  <c r="L20" i="28"/>
  <c r="K20" i="28"/>
  <c r="J20" i="28"/>
  <c r="G20" i="28"/>
  <c r="D25" i="1" s="1"/>
  <c r="G19" i="28"/>
  <c r="D24" i="1" s="1"/>
  <c r="G18" i="28"/>
  <c r="D23" i="1" s="1"/>
  <c r="G17" i="28"/>
  <c r="D22" i="1" s="1"/>
  <c r="G16" i="28"/>
  <c r="D21" i="1" s="1"/>
  <c r="G15" i="28"/>
  <c r="D20" i="1" s="1"/>
  <c r="G14" i="28"/>
  <c r="D19" i="1" s="1"/>
  <c r="G13" i="28"/>
  <c r="D18" i="1" s="1"/>
  <c r="G12" i="28"/>
  <c r="D17" i="1" s="1"/>
  <c r="G11" i="28"/>
  <c r="D16" i="1" s="1"/>
  <c r="G10" i="28"/>
  <c r="D15" i="1" s="1"/>
  <c r="G9" i="28"/>
  <c r="D14" i="1" s="1"/>
  <c r="P26" i="1" l="1"/>
  <c r="P30" i="1"/>
  <c r="BI36" i="1"/>
  <c r="BM36" i="1" s="1"/>
  <c r="AW34" i="1"/>
  <c r="BI44" i="1"/>
  <c r="P21" i="1"/>
  <c r="P33" i="1"/>
  <c r="AF36" i="1"/>
  <c r="AJ36" i="1" s="1"/>
  <c r="U39" i="50"/>
  <c r="B40" i="50"/>
  <c r="W12" i="1"/>
  <c r="AW16" i="1"/>
  <c r="BH19" i="1"/>
  <c r="BL19" i="1" s="1"/>
  <c r="P22" i="1"/>
  <c r="S22" i="1" s="1"/>
  <c r="T22" i="1" s="1"/>
  <c r="AW23" i="1"/>
  <c r="BI28" i="1"/>
  <c r="BM28" i="1" s="1"/>
  <c r="AW32" i="1"/>
  <c r="BH33" i="1"/>
  <c r="BL33" i="1" s="1"/>
  <c r="AF34" i="1"/>
  <c r="AE35" i="1"/>
  <c r="AI35" i="1" s="1"/>
  <c r="AW40" i="1"/>
  <c r="BH41" i="1"/>
  <c r="BL41" i="1" s="1"/>
  <c r="AF42" i="1"/>
  <c r="AE43" i="1"/>
  <c r="AI43" i="1" s="1"/>
  <c r="P50" i="1"/>
  <c r="AW51" i="1"/>
  <c r="AF52" i="1"/>
  <c r="P53" i="1"/>
  <c r="AK53" i="1" s="1"/>
  <c r="BH53" i="1"/>
  <c r="AE58" i="1"/>
  <c r="AI58" i="1" s="1"/>
  <c r="AW59" i="1"/>
  <c r="BI61" i="1"/>
  <c r="BI62" i="1"/>
  <c r="BH21" i="1"/>
  <c r="AF55" i="1"/>
  <c r="AE18" i="1"/>
  <c r="AI18" i="1" s="1"/>
  <c r="BI18" i="1"/>
  <c r="AE28" i="1"/>
  <c r="AI28" i="1" s="1"/>
  <c r="AF32" i="1"/>
  <c r="P37" i="1"/>
  <c r="S37" i="1" s="1"/>
  <c r="T37" i="1" s="1"/>
  <c r="AW38" i="1"/>
  <c r="AF40" i="1"/>
  <c r="AJ40" i="1" s="1"/>
  <c r="BI40" i="1"/>
  <c r="P45" i="1"/>
  <c r="S45" i="1" s="1"/>
  <c r="T45" i="1" s="1"/>
  <c r="AW49" i="1"/>
  <c r="AF50" i="1"/>
  <c r="AJ50" i="1" s="1"/>
  <c r="AF51" i="1"/>
  <c r="P56" i="1"/>
  <c r="AK56" i="1" s="1"/>
  <c r="AW57" i="1"/>
  <c r="AF58" i="1"/>
  <c r="AJ58" i="1" s="1"/>
  <c r="AF59" i="1"/>
  <c r="BH59" i="1"/>
  <c r="BH63" i="1"/>
  <c r="Y12" i="1"/>
  <c r="AC12" i="1"/>
  <c r="AW15" i="1"/>
  <c r="BI15" i="1"/>
  <c r="BM15" i="1" s="1"/>
  <c r="BI17" i="1"/>
  <c r="BM17" i="1" s="1"/>
  <c r="AF24" i="1"/>
  <c r="AW24" i="1"/>
  <c r="AF27" i="1"/>
  <c r="AW36" i="1"/>
  <c r="BH37" i="1"/>
  <c r="AF38" i="1"/>
  <c r="AJ38" i="1" s="1"/>
  <c r="AE39" i="1"/>
  <c r="AW44" i="1"/>
  <c r="BI45" i="1"/>
  <c r="AF46" i="1"/>
  <c r="AJ46" i="1" s="1"/>
  <c r="AW47" i="1"/>
  <c r="BI47" i="1"/>
  <c r="BM47" i="1" s="1"/>
  <c r="BH48" i="1"/>
  <c r="BH49" i="1"/>
  <c r="BL49" i="1" s="1"/>
  <c r="P54" i="1"/>
  <c r="AK54" i="1" s="1"/>
  <c r="AF56" i="1"/>
  <c r="AJ56" i="1" s="1"/>
  <c r="P57" i="1"/>
  <c r="AK57" i="1" s="1"/>
  <c r="BH57" i="1"/>
  <c r="BI63" i="1"/>
  <c r="B11" i="28"/>
  <c r="P14" i="1"/>
  <c r="Z12" i="1"/>
  <c r="AD12" i="1"/>
  <c r="BH15" i="1"/>
  <c r="P17" i="1"/>
  <c r="BH17" i="1"/>
  <c r="BL17" i="1" s="1"/>
  <c r="AF20" i="1"/>
  <c r="AW20" i="1"/>
  <c r="AF23" i="1"/>
  <c r="AE24" i="1"/>
  <c r="AI24" i="1" s="1"/>
  <c r="BI24" i="1"/>
  <c r="AF26" i="1"/>
  <c r="AJ26" i="1" s="1"/>
  <c r="AW27" i="1"/>
  <c r="BI27" i="1"/>
  <c r="BM27" i="1" s="1"/>
  <c r="BI29" i="1"/>
  <c r="BM29" i="1" s="1"/>
  <c r="AF31" i="1"/>
  <c r="AW31" i="1"/>
  <c r="AF35" i="1"/>
  <c r="AJ35" i="1" s="1"/>
  <c r="AW35" i="1"/>
  <c r="AF39" i="1"/>
  <c r="AJ39" i="1" s="1"/>
  <c r="AW39" i="1"/>
  <c r="AF43" i="1"/>
  <c r="AJ43" i="1" s="1"/>
  <c r="AW43" i="1"/>
  <c r="AF47" i="1"/>
  <c r="AJ47" i="1" s="1"/>
  <c r="BI49" i="1"/>
  <c r="BI51" i="1"/>
  <c r="BM51" i="1" s="1"/>
  <c r="BI53" i="1"/>
  <c r="BI55" i="1"/>
  <c r="BI57" i="1"/>
  <c r="AF60" i="1"/>
  <c r="AJ60" i="1" s="1"/>
  <c r="BI60" i="1"/>
  <c r="X12" i="1"/>
  <c r="AB12" i="1"/>
  <c r="P18" i="1"/>
  <c r="AF19" i="1"/>
  <c r="AE20" i="1"/>
  <c r="AI20" i="1" s="1"/>
  <c r="BI20" i="1"/>
  <c r="AF22" i="1"/>
  <c r="AJ22" i="1" s="1"/>
  <c r="BI23" i="1"/>
  <c r="BM23" i="1" s="1"/>
  <c r="BI25" i="1"/>
  <c r="AE26" i="1"/>
  <c r="BI26" i="1"/>
  <c r="BM26" i="1" s="1"/>
  <c r="BH27" i="1"/>
  <c r="BL27" i="1" s="1"/>
  <c r="P29" i="1"/>
  <c r="S29" i="1" s="1"/>
  <c r="T29" i="1" s="1"/>
  <c r="BH29" i="1"/>
  <c r="AE30" i="1"/>
  <c r="AI30" i="1" s="1"/>
  <c r="BH30" i="1"/>
  <c r="BI31" i="1"/>
  <c r="AE34" i="1"/>
  <c r="BH34" i="1"/>
  <c r="BL34" i="1" s="1"/>
  <c r="BI35" i="1"/>
  <c r="BM35" i="1" s="1"/>
  <c r="BI37" i="1"/>
  <c r="AE38" i="1"/>
  <c r="BH38" i="1"/>
  <c r="BL38" i="1" s="1"/>
  <c r="BI39" i="1"/>
  <c r="BM39" i="1" s="1"/>
  <c r="BI41" i="1"/>
  <c r="AE42" i="1"/>
  <c r="BH42" i="1"/>
  <c r="BL42" i="1" s="1"/>
  <c r="BI43" i="1"/>
  <c r="BI50" i="1"/>
  <c r="BI52" i="1"/>
  <c r="BI54" i="1"/>
  <c r="BM54" i="1" s="1"/>
  <c r="BI56" i="1"/>
  <c r="P58" i="1"/>
  <c r="AK58" i="1" s="1"/>
  <c r="BI58" i="1"/>
  <c r="AE59" i="1"/>
  <c r="AI59" i="1" s="1"/>
  <c r="AE60" i="1"/>
  <c r="AW61" i="1"/>
  <c r="AE62" i="1"/>
  <c r="AW63" i="1"/>
  <c r="AF15" i="1"/>
  <c r="AE16" i="1"/>
  <c r="BI16" i="1"/>
  <c r="AF18" i="1"/>
  <c r="AJ18" i="1" s="1"/>
  <c r="BI19" i="1"/>
  <c r="BM19" i="1" s="1"/>
  <c r="BI21" i="1"/>
  <c r="AE22" i="1"/>
  <c r="AI22" i="1" s="1"/>
  <c r="BI22" i="1"/>
  <c r="BM22" i="1" s="1"/>
  <c r="BH23" i="1"/>
  <c r="P25" i="1"/>
  <c r="S25" i="1" s="1"/>
  <c r="T25" i="1" s="1"/>
  <c r="BH25" i="1"/>
  <c r="BL25" i="1" s="1"/>
  <c r="AF28" i="1"/>
  <c r="AW28" i="1"/>
  <c r="AW30" i="1"/>
  <c r="BI30" i="1"/>
  <c r="BM30" i="1" s="1"/>
  <c r="BI34" i="1"/>
  <c r="BM34" i="1" s="1"/>
  <c r="AF37" i="1"/>
  <c r="AJ37" i="1" s="1"/>
  <c r="BI38" i="1"/>
  <c r="AF41" i="1"/>
  <c r="AJ41" i="1" s="1"/>
  <c r="BI42" i="1"/>
  <c r="BM42" i="1" s="1"/>
  <c r="AF45" i="1"/>
  <c r="BH46" i="1"/>
  <c r="AE50" i="1"/>
  <c r="AI50" i="1" s="1"/>
  <c r="AE54" i="1"/>
  <c r="BI59" i="1"/>
  <c r="P61" i="1"/>
  <c r="AK61" i="1" s="1"/>
  <c r="BH61" i="1"/>
  <c r="AF62" i="1"/>
  <c r="AF63" i="1"/>
  <c r="S26" i="1"/>
  <c r="T26" i="1" s="1"/>
  <c r="BN54" i="1"/>
  <c r="BN58" i="1"/>
  <c r="BN62" i="1"/>
  <c r="BH14" i="1"/>
  <c r="BL14" i="1" s="1"/>
  <c r="AF14" i="1"/>
  <c r="AJ14" i="1" s="1"/>
  <c r="V12" i="1"/>
  <c r="AE14" i="1"/>
  <c r="BL15" i="1"/>
  <c r="BM20" i="1"/>
  <c r="AJ23" i="1"/>
  <c r="AJ24" i="1"/>
  <c r="AJ31" i="1"/>
  <c r="AJ32" i="1"/>
  <c r="AI16" i="1"/>
  <c r="BM18" i="1"/>
  <c r="BM24" i="1"/>
  <c r="AJ27" i="1"/>
  <c r="AJ28" i="1"/>
  <c r="BL29" i="1"/>
  <c r="BL30" i="1"/>
  <c r="BM31" i="1"/>
  <c r="S14" i="1"/>
  <c r="AJ15" i="1"/>
  <c r="S17" i="1"/>
  <c r="T17" i="1" s="1"/>
  <c r="BM21" i="1"/>
  <c r="BL23" i="1"/>
  <c r="BM16" i="1"/>
  <c r="AJ19" i="1"/>
  <c r="AJ20" i="1"/>
  <c r="S21" i="1"/>
  <c r="T21" i="1" s="1"/>
  <c r="BL21" i="1"/>
  <c r="BM25" i="1"/>
  <c r="AI26" i="1"/>
  <c r="AE15" i="1"/>
  <c r="BI14" i="1"/>
  <c r="U12" i="1"/>
  <c r="P16" i="1"/>
  <c r="BH16" i="1"/>
  <c r="AE17" i="1"/>
  <c r="AW17" i="1"/>
  <c r="P20" i="1"/>
  <c r="BH20" i="1"/>
  <c r="AE21" i="1"/>
  <c r="AW21" i="1"/>
  <c r="P24" i="1"/>
  <c r="BH24" i="1"/>
  <c r="AE25" i="1"/>
  <c r="AW25" i="1"/>
  <c r="P28" i="1"/>
  <c r="BH28" i="1"/>
  <c r="AE29" i="1"/>
  <c r="AW29" i="1"/>
  <c r="AF30" i="1"/>
  <c r="AF33" i="1"/>
  <c r="AE33" i="1"/>
  <c r="BI33" i="1"/>
  <c r="BM40" i="1"/>
  <c r="P15" i="1"/>
  <c r="AF17" i="1"/>
  <c r="P19" i="1"/>
  <c r="AF21" i="1"/>
  <c r="P23" i="1"/>
  <c r="AF25" i="1"/>
  <c r="P27" i="1"/>
  <c r="AF29" i="1"/>
  <c r="P31" i="1"/>
  <c r="AE31" i="1"/>
  <c r="AJ34" i="1"/>
  <c r="BM37" i="1"/>
  <c r="AI38" i="1"/>
  <c r="AJ42" i="1"/>
  <c r="BH18" i="1"/>
  <c r="AE19" i="1"/>
  <c r="BH22" i="1"/>
  <c r="AE23" i="1"/>
  <c r="BH26" i="1"/>
  <c r="AE27" i="1"/>
  <c r="AE32" i="1"/>
  <c r="P32" i="1"/>
  <c r="BI32" i="1"/>
  <c r="BH32" i="1"/>
  <c r="BM38" i="1"/>
  <c r="AJ44" i="1"/>
  <c r="BM44" i="1"/>
  <c r="AJ45" i="1"/>
  <c r="BL46" i="1"/>
  <c r="AF16" i="1"/>
  <c r="S30" i="1"/>
  <c r="T30" i="1" s="1"/>
  <c r="BH31" i="1"/>
  <c r="S33" i="1"/>
  <c r="T33" i="1" s="1"/>
  <c r="AW33" i="1"/>
  <c r="AI34" i="1"/>
  <c r="BL37" i="1"/>
  <c r="AI39" i="1"/>
  <c r="BM41" i="1"/>
  <c r="AI42" i="1"/>
  <c r="BM43" i="1"/>
  <c r="BM45" i="1"/>
  <c r="BL48" i="1"/>
  <c r="P36" i="1"/>
  <c r="BH36" i="1"/>
  <c r="AE37" i="1"/>
  <c r="AW37" i="1"/>
  <c r="P40" i="1"/>
  <c r="BH40" i="1"/>
  <c r="S41" i="1"/>
  <c r="T41" i="1" s="1"/>
  <c r="AE41" i="1"/>
  <c r="AW41" i="1"/>
  <c r="P44" i="1"/>
  <c r="BH44" i="1"/>
  <c r="AE45" i="1"/>
  <c r="AW45" i="1"/>
  <c r="P46" i="1"/>
  <c r="AE48" i="1"/>
  <c r="P49" i="1"/>
  <c r="AF49" i="1"/>
  <c r="AE49" i="1"/>
  <c r="S54" i="1"/>
  <c r="T54" i="1" s="1"/>
  <c r="BM56" i="1"/>
  <c r="BM60" i="1"/>
  <c r="S62" i="1"/>
  <c r="T62" i="1" s="1"/>
  <c r="BM62" i="1"/>
  <c r="P35" i="1"/>
  <c r="BH35" i="1"/>
  <c r="AE36" i="1"/>
  <c r="P39" i="1"/>
  <c r="BH39" i="1"/>
  <c r="AE40" i="1"/>
  <c r="P43" i="1"/>
  <c r="BH43" i="1"/>
  <c r="AE44" i="1"/>
  <c r="BH45" i="1"/>
  <c r="P47" i="1"/>
  <c r="AE47" i="1"/>
  <c r="BH47" i="1"/>
  <c r="P48" i="1"/>
  <c r="AF48" i="1"/>
  <c r="BI48" i="1"/>
  <c r="BM49" i="1"/>
  <c r="AJ51" i="1"/>
  <c r="AJ52" i="1"/>
  <c r="S53" i="1"/>
  <c r="T53" i="1" s="1"/>
  <c r="BL53" i="1"/>
  <c r="AI54" i="1"/>
  <c r="S58" i="1"/>
  <c r="T58" i="1" s="1"/>
  <c r="BM58" i="1"/>
  <c r="AI60" i="1"/>
  <c r="AI62" i="1"/>
  <c r="P34" i="1"/>
  <c r="P38" i="1"/>
  <c r="P42" i="1"/>
  <c r="AE46" i="1"/>
  <c r="BI46" i="1"/>
  <c r="BM53" i="1"/>
  <c r="AJ54" i="1"/>
  <c r="AJ55" i="1"/>
  <c r="S57" i="1"/>
  <c r="T57" i="1" s="1"/>
  <c r="BL57" i="1"/>
  <c r="BM59" i="1"/>
  <c r="S61" i="1"/>
  <c r="T61" i="1" s="1"/>
  <c r="BL61" i="1"/>
  <c r="AJ62" i="1"/>
  <c r="AJ63" i="1"/>
  <c r="BL63" i="1"/>
  <c r="S50" i="1"/>
  <c r="T50" i="1" s="1"/>
  <c r="BM50" i="1"/>
  <c r="BM52" i="1"/>
  <c r="BM55" i="1"/>
  <c r="BM57" i="1"/>
  <c r="AJ59" i="1"/>
  <c r="BL59" i="1"/>
  <c r="BM61" i="1"/>
  <c r="BM63" i="1"/>
  <c r="BH52" i="1"/>
  <c r="AE53" i="1"/>
  <c r="BH56" i="1"/>
  <c r="AE57" i="1"/>
  <c r="P60" i="1"/>
  <c r="AK60" i="1" s="1"/>
  <c r="BH60" i="1"/>
  <c r="AE61" i="1"/>
  <c r="P51" i="1"/>
  <c r="AK51" i="1" s="1"/>
  <c r="BH51" i="1"/>
  <c r="S52" i="1"/>
  <c r="T52" i="1" s="1"/>
  <c r="AE52" i="1"/>
  <c r="AW52" i="1"/>
  <c r="AF53" i="1"/>
  <c r="P55" i="1"/>
  <c r="AK55" i="1" s="1"/>
  <c r="BH55" i="1"/>
  <c r="S56" i="1"/>
  <c r="T56" i="1" s="1"/>
  <c r="AE56" i="1"/>
  <c r="AW56" i="1"/>
  <c r="AF57" i="1"/>
  <c r="P59" i="1"/>
  <c r="AK59" i="1" s="1"/>
  <c r="AW60" i="1"/>
  <c r="AF61" i="1"/>
  <c r="P63" i="1"/>
  <c r="AK63" i="1" s="1"/>
  <c r="BH50" i="1"/>
  <c r="AE51" i="1"/>
  <c r="BH54" i="1"/>
  <c r="AE55" i="1"/>
  <c r="BH58" i="1"/>
  <c r="BH62" i="1"/>
  <c r="AE63" i="1"/>
  <c r="B12" i="28"/>
  <c r="B13" i="28" s="1"/>
  <c r="B14" i="28" s="1"/>
  <c r="B15" i="28" s="1"/>
  <c r="B16" i="28" s="1"/>
  <c r="B17" i="28" s="1"/>
  <c r="B18" i="28" s="1"/>
  <c r="B19" i="28" s="1"/>
  <c r="B20" i="28" s="1"/>
  <c r="B21" i="28" s="1"/>
  <c r="B22" i="28" s="1"/>
  <c r="B23" i="28" s="1"/>
  <c r="B24" i="28" s="1"/>
  <c r="B25" i="28" s="1"/>
  <c r="B26" i="28" s="1"/>
  <c r="B27" i="28" s="1"/>
  <c r="B28" i="28" s="1"/>
  <c r="B29" i="28" s="1"/>
  <c r="B30" i="28" s="1"/>
  <c r="B31" i="28" s="1"/>
  <c r="B32" i="28" s="1"/>
  <c r="B33" i="28" s="1"/>
  <c r="U40" i="50" l="1"/>
  <c r="B41" i="50"/>
  <c r="S18" i="1"/>
  <c r="T18" i="1" s="1"/>
  <c r="B34" i="28"/>
  <c r="B35" i="28" s="1"/>
  <c r="B36" i="28" s="1"/>
  <c r="B37" i="28" s="1"/>
  <c r="B38" i="28" s="1"/>
  <c r="B39" i="28" s="1"/>
  <c r="B40" i="28" s="1"/>
  <c r="B41" i="28" s="1"/>
  <c r="B42" i="28" s="1"/>
  <c r="B43" i="28" s="1"/>
  <c r="B44" i="28" s="1"/>
  <c r="B45" i="28" s="1"/>
  <c r="AE12" i="1"/>
  <c r="AI63" i="1"/>
  <c r="BL54" i="1"/>
  <c r="AJ53" i="1"/>
  <c r="BL51" i="1"/>
  <c r="AI61" i="1"/>
  <c r="AI57" i="1"/>
  <c r="BL52" i="1"/>
  <c r="S42" i="1"/>
  <c r="T42" i="1" s="1"/>
  <c r="S48" i="1"/>
  <c r="T48" i="1" s="1"/>
  <c r="BL45" i="1"/>
  <c r="AI40" i="1"/>
  <c r="BL35" i="1"/>
  <c r="S49" i="1"/>
  <c r="T49" i="1" s="1"/>
  <c r="S44" i="1"/>
  <c r="T44" i="1" s="1"/>
  <c r="BL40" i="1"/>
  <c r="S32" i="1"/>
  <c r="T32" i="1" s="1"/>
  <c r="AI23" i="1"/>
  <c r="AJ29" i="1"/>
  <c r="S23" i="1"/>
  <c r="T23" i="1" s="1"/>
  <c r="AI33" i="1"/>
  <c r="AI29" i="1"/>
  <c r="S20" i="1"/>
  <c r="T20" i="1" s="1"/>
  <c r="BL16" i="1"/>
  <c r="BL62" i="1"/>
  <c r="AI51" i="1"/>
  <c r="AJ61" i="1"/>
  <c r="AJ57" i="1"/>
  <c r="BL55" i="1"/>
  <c r="S51" i="1"/>
  <c r="T51" i="1" s="1"/>
  <c r="BL60" i="1"/>
  <c r="BL56" i="1"/>
  <c r="S38" i="1"/>
  <c r="T38" i="1" s="1"/>
  <c r="BL47" i="1"/>
  <c r="AI44" i="1"/>
  <c r="BL39" i="1"/>
  <c r="S35" i="1"/>
  <c r="T35" i="1" s="1"/>
  <c r="AI48" i="1"/>
  <c r="AI45" i="1"/>
  <c r="S40" i="1"/>
  <c r="T40" i="1" s="1"/>
  <c r="BL36" i="1"/>
  <c r="AJ16" i="1"/>
  <c r="AI32" i="1"/>
  <c r="BL22" i="1"/>
  <c r="S27" i="1"/>
  <c r="T27" i="1" s="1"/>
  <c r="AJ17" i="1"/>
  <c r="AJ33" i="1"/>
  <c r="BL28" i="1"/>
  <c r="AI25" i="1"/>
  <c r="S16" i="1"/>
  <c r="T16" i="1" s="1"/>
  <c r="AI15" i="1"/>
  <c r="BL58" i="1"/>
  <c r="BL50" i="1"/>
  <c r="S55" i="1"/>
  <c r="T55" i="1" s="1"/>
  <c r="AI52" i="1"/>
  <c r="S60" i="1"/>
  <c r="T60" i="1" s="1"/>
  <c r="BM46" i="1"/>
  <c r="S34" i="1"/>
  <c r="T34" i="1" s="1"/>
  <c r="BM48" i="1"/>
  <c r="AI47" i="1"/>
  <c r="BL43" i="1"/>
  <c r="S39" i="1"/>
  <c r="T39" i="1" s="1"/>
  <c r="AI49" i="1"/>
  <c r="AI41" i="1"/>
  <c r="S36" i="1"/>
  <c r="T36" i="1" s="1"/>
  <c r="BL32" i="1"/>
  <c r="AI27" i="1"/>
  <c r="AI19" i="1"/>
  <c r="AI31" i="1"/>
  <c r="AJ21" i="1"/>
  <c r="S15" i="1"/>
  <c r="T15" i="1" s="1"/>
  <c r="AJ30" i="1"/>
  <c r="S28" i="1"/>
  <c r="T28" i="1" s="1"/>
  <c r="BL24" i="1"/>
  <c r="AI21" i="1"/>
  <c r="AI14" i="1"/>
  <c r="AI55" i="1"/>
  <c r="S63" i="1"/>
  <c r="T63" i="1" s="1"/>
  <c r="S59" i="1"/>
  <c r="T59" i="1" s="1"/>
  <c r="AI56" i="1"/>
  <c r="AI53" i="1"/>
  <c r="AI46" i="1"/>
  <c r="AJ48" i="1"/>
  <c r="S47" i="1"/>
  <c r="T47" i="1" s="1"/>
  <c r="S43" i="1"/>
  <c r="T43" i="1" s="1"/>
  <c r="AI36" i="1"/>
  <c r="AJ49" i="1"/>
  <c r="S46" i="1"/>
  <c r="T46" i="1" s="1"/>
  <c r="BL44" i="1"/>
  <c r="AI37" i="1"/>
  <c r="BL31" i="1"/>
  <c r="BM32" i="1"/>
  <c r="BL26" i="1"/>
  <c r="BL18" i="1"/>
  <c r="S31" i="1"/>
  <c r="T31" i="1" s="1"/>
  <c r="AJ25" i="1"/>
  <c r="S19" i="1"/>
  <c r="T19" i="1" s="1"/>
  <c r="BM33" i="1"/>
  <c r="S24" i="1"/>
  <c r="T24" i="1" s="1"/>
  <c r="BL20" i="1"/>
  <c r="AI17" i="1"/>
  <c r="BM14" i="1"/>
  <c r="E26" i="34" l="1"/>
  <c r="E19" i="46"/>
  <c r="E25" i="35"/>
  <c r="E23" i="43"/>
  <c r="U41" i="50"/>
  <c r="B42" i="50"/>
  <c r="D10" i="8"/>
  <c r="B10" i="8"/>
  <c r="D10" i="7"/>
  <c r="B10" i="7"/>
  <c r="D10" i="6"/>
  <c r="B10" i="6"/>
  <c r="D10" i="5"/>
  <c r="B10" i="5"/>
  <c r="D10" i="4"/>
  <c r="B10" i="4"/>
  <c r="D10" i="2"/>
  <c r="B10" i="2"/>
  <c r="D10" i="10"/>
  <c r="B10" i="10"/>
  <c r="D10" i="15"/>
  <c r="B10" i="15"/>
  <c r="D10" i="11"/>
  <c r="B10" i="11"/>
  <c r="D10" i="49"/>
  <c r="B10" i="49"/>
  <c r="D10" i="44"/>
  <c r="B10" i="44"/>
  <c r="D10" i="12"/>
  <c r="B10" i="12"/>
  <c r="D10" i="39"/>
  <c r="B10" i="39"/>
  <c r="D10" i="38"/>
  <c r="B10" i="38"/>
  <c r="D10" i="37"/>
  <c r="B10" i="37"/>
  <c r="D10" i="41"/>
  <c r="B10" i="41"/>
  <c r="D10" i="47"/>
  <c r="B10" i="47"/>
  <c r="D10" i="40"/>
  <c r="B10" i="40"/>
  <c r="D10" i="1"/>
  <c r="B10" i="1"/>
  <c r="BG63" i="8"/>
  <c r="BF63" i="8"/>
  <c r="BE63" i="8"/>
  <c r="BD63" i="8"/>
  <c r="BC63" i="8"/>
  <c r="BB63" i="8"/>
  <c r="BA63" i="8"/>
  <c r="AZ63" i="8"/>
  <c r="AY63" i="8"/>
  <c r="AX63" i="8"/>
  <c r="AV63" i="8"/>
  <c r="BN63" i="8" s="1"/>
  <c r="AD63" i="8"/>
  <c r="AC63" i="8"/>
  <c r="AB63" i="8"/>
  <c r="AA63" i="8"/>
  <c r="Z63" i="8"/>
  <c r="Y63" i="8"/>
  <c r="X63" i="8"/>
  <c r="W63" i="8"/>
  <c r="V63" i="8"/>
  <c r="U63" i="8"/>
  <c r="BG62" i="8"/>
  <c r="BF62" i="8"/>
  <c r="BE62" i="8"/>
  <c r="BD62" i="8"/>
  <c r="BC62" i="8"/>
  <c r="BB62" i="8"/>
  <c r="BA62" i="8"/>
  <c r="AZ62" i="8"/>
  <c r="AY62" i="8"/>
  <c r="AX62" i="8"/>
  <c r="AV62" i="8"/>
  <c r="BN62" i="8" s="1"/>
  <c r="AD62" i="8"/>
  <c r="AC62" i="8"/>
  <c r="AB62" i="8"/>
  <c r="AA62" i="8"/>
  <c r="Z62" i="8"/>
  <c r="Y62" i="8"/>
  <c r="X62" i="8"/>
  <c r="W62" i="8"/>
  <c r="V62" i="8"/>
  <c r="U62" i="8"/>
  <c r="BG61" i="8"/>
  <c r="BF61" i="8"/>
  <c r="BE61" i="8"/>
  <c r="BD61" i="8"/>
  <c r="BC61" i="8"/>
  <c r="BB61" i="8"/>
  <c r="BA61" i="8"/>
  <c r="AZ61" i="8"/>
  <c r="AY61" i="8"/>
  <c r="AX61" i="8"/>
  <c r="AV61" i="8"/>
  <c r="BN61" i="8" s="1"/>
  <c r="AD61" i="8"/>
  <c r="AC61" i="8"/>
  <c r="AB61" i="8"/>
  <c r="AA61" i="8"/>
  <c r="Z61" i="8"/>
  <c r="Y61" i="8"/>
  <c r="X61" i="8"/>
  <c r="W61" i="8"/>
  <c r="V61" i="8"/>
  <c r="U61" i="8"/>
  <c r="BG60" i="8"/>
  <c r="BF60" i="8"/>
  <c r="BE60" i="8"/>
  <c r="BD60" i="8"/>
  <c r="BC60" i="8"/>
  <c r="BB60" i="8"/>
  <c r="BA60" i="8"/>
  <c r="AZ60" i="8"/>
  <c r="AY60" i="8"/>
  <c r="AX60" i="8"/>
  <c r="AV60" i="8"/>
  <c r="BN60" i="8" s="1"/>
  <c r="AD60" i="8"/>
  <c r="AC60" i="8"/>
  <c r="AB60" i="8"/>
  <c r="AA60" i="8"/>
  <c r="Z60" i="8"/>
  <c r="Y60" i="8"/>
  <c r="X60" i="8"/>
  <c r="W60" i="8"/>
  <c r="V60" i="8"/>
  <c r="U60" i="8"/>
  <c r="BG59" i="8"/>
  <c r="BF59" i="8"/>
  <c r="BE59" i="8"/>
  <c r="BD59" i="8"/>
  <c r="BC59" i="8"/>
  <c r="BB59" i="8"/>
  <c r="BA59" i="8"/>
  <c r="AZ59" i="8"/>
  <c r="AY59" i="8"/>
  <c r="AX59" i="8"/>
  <c r="AV59" i="8"/>
  <c r="BN59" i="8" s="1"/>
  <c r="AD59" i="8"/>
  <c r="AC59" i="8"/>
  <c r="AB59" i="8"/>
  <c r="AA59" i="8"/>
  <c r="Z59" i="8"/>
  <c r="Y59" i="8"/>
  <c r="X59" i="8"/>
  <c r="W59" i="8"/>
  <c r="V59" i="8"/>
  <c r="U59" i="8"/>
  <c r="BG58" i="8"/>
  <c r="BF58" i="8"/>
  <c r="BE58" i="8"/>
  <c r="BD58" i="8"/>
  <c r="BC58" i="8"/>
  <c r="BB58" i="8"/>
  <c r="BA58" i="8"/>
  <c r="AZ58" i="8"/>
  <c r="AY58" i="8"/>
  <c r="AX58" i="8"/>
  <c r="AV58" i="8"/>
  <c r="BN58" i="8" s="1"/>
  <c r="AD58" i="8"/>
  <c r="AC58" i="8"/>
  <c r="AB58" i="8"/>
  <c r="AA58" i="8"/>
  <c r="Z58" i="8"/>
  <c r="Y58" i="8"/>
  <c r="X58" i="8"/>
  <c r="W58" i="8"/>
  <c r="V58" i="8"/>
  <c r="U58" i="8"/>
  <c r="BG57" i="8"/>
  <c r="BF57" i="8"/>
  <c r="BE57" i="8"/>
  <c r="BD57" i="8"/>
  <c r="BC57" i="8"/>
  <c r="BB57" i="8"/>
  <c r="BA57" i="8"/>
  <c r="AZ57" i="8"/>
  <c r="AY57" i="8"/>
  <c r="AX57" i="8"/>
  <c r="AV57" i="8"/>
  <c r="AW57" i="8" s="1"/>
  <c r="AD57" i="8"/>
  <c r="AC57" i="8"/>
  <c r="AB57" i="8"/>
  <c r="AA57" i="8"/>
  <c r="Z57" i="8"/>
  <c r="Y57" i="8"/>
  <c r="X57" i="8"/>
  <c r="W57" i="8"/>
  <c r="V57" i="8"/>
  <c r="U57" i="8"/>
  <c r="BG56" i="8"/>
  <c r="BF56" i="8"/>
  <c r="BE56" i="8"/>
  <c r="BD56" i="8"/>
  <c r="BC56" i="8"/>
  <c r="BB56" i="8"/>
  <c r="BA56" i="8"/>
  <c r="AZ56" i="8"/>
  <c r="AY56" i="8"/>
  <c r="AX56" i="8"/>
  <c r="AV56" i="8"/>
  <c r="BN56" i="8" s="1"/>
  <c r="AD56" i="8"/>
  <c r="AC56" i="8"/>
  <c r="AB56" i="8"/>
  <c r="AA56" i="8"/>
  <c r="Z56" i="8"/>
  <c r="Y56" i="8"/>
  <c r="X56" i="8"/>
  <c r="W56" i="8"/>
  <c r="V56" i="8"/>
  <c r="U56" i="8"/>
  <c r="BG55" i="8"/>
  <c r="BF55" i="8"/>
  <c r="BE55" i="8"/>
  <c r="BD55" i="8"/>
  <c r="BC55" i="8"/>
  <c r="BB55" i="8"/>
  <c r="BA55" i="8"/>
  <c r="AZ55" i="8"/>
  <c r="AY55" i="8"/>
  <c r="AX55" i="8"/>
  <c r="AV55" i="8"/>
  <c r="BN55" i="8" s="1"/>
  <c r="AD55" i="8"/>
  <c r="AC55" i="8"/>
  <c r="AB55" i="8"/>
  <c r="AA55" i="8"/>
  <c r="Z55" i="8"/>
  <c r="Y55" i="8"/>
  <c r="X55" i="8"/>
  <c r="W55" i="8"/>
  <c r="V55" i="8"/>
  <c r="U55" i="8"/>
  <c r="BG54" i="8"/>
  <c r="BF54" i="8"/>
  <c r="BE54" i="8"/>
  <c r="BD54" i="8"/>
  <c r="BC54" i="8"/>
  <c r="BB54" i="8"/>
  <c r="BA54" i="8"/>
  <c r="AZ54" i="8"/>
  <c r="AY54" i="8"/>
  <c r="AX54" i="8"/>
  <c r="AV54" i="8"/>
  <c r="BN54" i="8" s="1"/>
  <c r="AD54" i="8"/>
  <c r="AC54" i="8"/>
  <c r="AB54" i="8"/>
  <c r="AA54" i="8"/>
  <c r="Z54" i="8"/>
  <c r="Y54" i="8"/>
  <c r="X54" i="8"/>
  <c r="W54" i="8"/>
  <c r="V54" i="8"/>
  <c r="U54" i="8"/>
  <c r="BG53" i="8"/>
  <c r="BF53" i="8"/>
  <c r="BE53" i="8"/>
  <c r="BD53" i="8"/>
  <c r="BC53" i="8"/>
  <c r="BB53" i="8"/>
  <c r="BA53" i="8"/>
  <c r="AZ53" i="8"/>
  <c r="AY53" i="8"/>
  <c r="AX53" i="8"/>
  <c r="AV53" i="8"/>
  <c r="AW53" i="8" s="1"/>
  <c r="AD53" i="8"/>
  <c r="AC53" i="8"/>
  <c r="AB53" i="8"/>
  <c r="AA53" i="8"/>
  <c r="Z53" i="8"/>
  <c r="Y53" i="8"/>
  <c r="X53" i="8"/>
  <c r="W53" i="8"/>
  <c r="V53" i="8"/>
  <c r="U53" i="8"/>
  <c r="BG52" i="8"/>
  <c r="BF52" i="8"/>
  <c r="BE52" i="8"/>
  <c r="BD52" i="8"/>
  <c r="BC52" i="8"/>
  <c r="BB52" i="8"/>
  <c r="BA52" i="8"/>
  <c r="AZ52" i="8"/>
  <c r="AY52" i="8"/>
  <c r="AX52" i="8"/>
  <c r="AV52" i="8"/>
  <c r="BN52" i="8" s="1"/>
  <c r="AD52" i="8"/>
  <c r="AC52" i="8"/>
  <c r="AB52" i="8"/>
  <c r="AA52" i="8"/>
  <c r="Z52" i="8"/>
  <c r="Y52" i="8"/>
  <c r="X52" i="8"/>
  <c r="W52" i="8"/>
  <c r="V52" i="8"/>
  <c r="U52" i="8"/>
  <c r="BG51" i="8"/>
  <c r="BF51" i="8"/>
  <c r="BE51" i="8"/>
  <c r="BD51" i="8"/>
  <c r="BC51" i="8"/>
  <c r="BB51" i="8"/>
  <c r="BA51" i="8"/>
  <c r="AZ51" i="8"/>
  <c r="AY51" i="8"/>
  <c r="AX51" i="8"/>
  <c r="AV51" i="8"/>
  <c r="BN51" i="8" s="1"/>
  <c r="AD51" i="8"/>
  <c r="AC51" i="8"/>
  <c r="AB51" i="8"/>
  <c r="AA51" i="8"/>
  <c r="Z51" i="8"/>
  <c r="Y51" i="8"/>
  <c r="X51" i="8"/>
  <c r="W51" i="8"/>
  <c r="V51" i="8"/>
  <c r="U51" i="8"/>
  <c r="BG50" i="8"/>
  <c r="BF50" i="8"/>
  <c r="BE50" i="8"/>
  <c r="BD50" i="8"/>
  <c r="BC50" i="8"/>
  <c r="BB50" i="8"/>
  <c r="BA50" i="8"/>
  <c r="AZ50" i="8"/>
  <c r="AY50" i="8"/>
  <c r="AX50" i="8"/>
  <c r="AD50" i="8"/>
  <c r="AC50" i="8"/>
  <c r="AB50" i="8"/>
  <c r="AA50" i="8"/>
  <c r="Z50" i="8"/>
  <c r="Y50" i="8"/>
  <c r="X50" i="8"/>
  <c r="W50" i="8"/>
  <c r="V50" i="8"/>
  <c r="U50" i="8"/>
  <c r="BG49" i="8"/>
  <c r="BF49" i="8"/>
  <c r="BE49" i="8"/>
  <c r="BD49" i="8"/>
  <c r="BC49" i="8"/>
  <c r="BB49" i="8"/>
  <c r="BA49" i="8"/>
  <c r="AZ49" i="8"/>
  <c r="AY49" i="8"/>
  <c r="AX49" i="8"/>
  <c r="AD49" i="8"/>
  <c r="AC49" i="8"/>
  <c r="AB49" i="8"/>
  <c r="AA49" i="8"/>
  <c r="Z49" i="8"/>
  <c r="Y49" i="8"/>
  <c r="X49" i="8"/>
  <c r="W49" i="8"/>
  <c r="V49" i="8"/>
  <c r="U49" i="8"/>
  <c r="BG48" i="8"/>
  <c r="BF48" i="8"/>
  <c r="BE48" i="8"/>
  <c r="BD48" i="8"/>
  <c r="BC48" i="8"/>
  <c r="BB48" i="8"/>
  <c r="BA48" i="8"/>
  <c r="AZ48" i="8"/>
  <c r="AY48" i="8"/>
  <c r="AX48" i="8"/>
  <c r="AD48" i="8"/>
  <c r="AC48" i="8"/>
  <c r="AB48" i="8"/>
  <c r="AA48" i="8"/>
  <c r="Z48" i="8"/>
  <c r="Y48" i="8"/>
  <c r="X48" i="8"/>
  <c r="W48" i="8"/>
  <c r="V48" i="8"/>
  <c r="U48" i="8"/>
  <c r="BG47" i="8"/>
  <c r="BF47" i="8"/>
  <c r="BE47" i="8"/>
  <c r="BD47" i="8"/>
  <c r="BC47" i="8"/>
  <c r="BB47" i="8"/>
  <c r="BA47" i="8"/>
  <c r="AZ47" i="8"/>
  <c r="AY47" i="8"/>
  <c r="AX47" i="8"/>
  <c r="AD47" i="8"/>
  <c r="AC47" i="8"/>
  <c r="AB47" i="8"/>
  <c r="AA47" i="8"/>
  <c r="Z47" i="8"/>
  <c r="Y47" i="8"/>
  <c r="X47" i="8"/>
  <c r="W47" i="8"/>
  <c r="V47" i="8"/>
  <c r="U47" i="8"/>
  <c r="BG46" i="8"/>
  <c r="BF46" i="8"/>
  <c r="BE46" i="8"/>
  <c r="BD46" i="8"/>
  <c r="BC46" i="8"/>
  <c r="BB46" i="8"/>
  <c r="BA46" i="8"/>
  <c r="AZ46" i="8"/>
  <c r="AY46" i="8"/>
  <c r="AX46" i="8"/>
  <c r="AD46" i="8"/>
  <c r="AC46" i="8"/>
  <c r="AB46" i="8"/>
  <c r="AA46" i="8"/>
  <c r="Z46" i="8"/>
  <c r="Y46" i="8"/>
  <c r="X46" i="8"/>
  <c r="W46" i="8"/>
  <c r="V46" i="8"/>
  <c r="U46" i="8"/>
  <c r="BG45" i="8"/>
  <c r="BF45" i="8"/>
  <c r="BE45" i="8"/>
  <c r="BD45" i="8"/>
  <c r="BC45" i="8"/>
  <c r="BB45" i="8"/>
  <c r="BA45" i="8"/>
  <c r="AZ45" i="8"/>
  <c r="AY45" i="8"/>
  <c r="AX45" i="8"/>
  <c r="AD45" i="8"/>
  <c r="AC45" i="8"/>
  <c r="AB45" i="8"/>
  <c r="AA45" i="8"/>
  <c r="Z45" i="8"/>
  <c r="Y45" i="8"/>
  <c r="X45" i="8"/>
  <c r="W45" i="8"/>
  <c r="V45" i="8"/>
  <c r="U45" i="8"/>
  <c r="BG44" i="8"/>
  <c r="BF44" i="8"/>
  <c r="BE44" i="8"/>
  <c r="BD44" i="8"/>
  <c r="BC44" i="8"/>
  <c r="BB44" i="8"/>
  <c r="BA44" i="8"/>
  <c r="AZ44" i="8"/>
  <c r="AY44" i="8"/>
  <c r="AX44" i="8"/>
  <c r="AD44" i="8"/>
  <c r="AC44" i="8"/>
  <c r="AB44" i="8"/>
  <c r="AA44" i="8"/>
  <c r="Z44" i="8"/>
  <c r="Y44" i="8"/>
  <c r="X44" i="8"/>
  <c r="W44" i="8"/>
  <c r="V44" i="8"/>
  <c r="U44" i="8"/>
  <c r="BG43" i="8"/>
  <c r="BF43" i="8"/>
  <c r="BE43" i="8"/>
  <c r="BD43" i="8"/>
  <c r="BC43" i="8"/>
  <c r="BB43" i="8"/>
  <c r="BA43" i="8"/>
  <c r="AZ43" i="8"/>
  <c r="AY43" i="8"/>
  <c r="AX43" i="8"/>
  <c r="AD43" i="8"/>
  <c r="AC43" i="8"/>
  <c r="AB43" i="8"/>
  <c r="AA43" i="8"/>
  <c r="Z43" i="8"/>
  <c r="Y43" i="8"/>
  <c r="X43" i="8"/>
  <c r="W43" i="8"/>
  <c r="V43" i="8"/>
  <c r="U43" i="8"/>
  <c r="BG42" i="8"/>
  <c r="BF42" i="8"/>
  <c r="BE42" i="8"/>
  <c r="BD42" i="8"/>
  <c r="BC42" i="8"/>
  <c r="BB42" i="8"/>
  <c r="BA42" i="8"/>
  <c r="AZ42" i="8"/>
  <c r="AY42" i="8"/>
  <c r="AX42" i="8"/>
  <c r="AD42" i="8"/>
  <c r="AC42" i="8"/>
  <c r="AB42" i="8"/>
  <c r="AA42" i="8"/>
  <c r="Z42" i="8"/>
  <c r="Y42" i="8"/>
  <c r="X42" i="8"/>
  <c r="W42" i="8"/>
  <c r="V42" i="8"/>
  <c r="U42" i="8"/>
  <c r="BG41" i="8"/>
  <c r="BF41" i="8"/>
  <c r="BE41" i="8"/>
  <c r="BD41" i="8"/>
  <c r="BC41" i="8"/>
  <c r="BB41" i="8"/>
  <c r="BA41" i="8"/>
  <c r="AZ41" i="8"/>
  <c r="AY41" i="8"/>
  <c r="AX41" i="8"/>
  <c r="AD41" i="8"/>
  <c r="AC41" i="8"/>
  <c r="AB41" i="8"/>
  <c r="AA41" i="8"/>
  <c r="Z41" i="8"/>
  <c r="Y41" i="8"/>
  <c r="X41" i="8"/>
  <c r="W41" i="8"/>
  <c r="V41" i="8"/>
  <c r="U41" i="8"/>
  <c r="BG40" i="8"/>
  <c r="BF40" i="8"/>
  <c r="BE40" i="8"/>
  <c r="BD40" i="8"/>
  <c r="BC40" i="8"/>
  <c r="BB40" i="8"/>
  <c r="BA40" i="8"/>
  <c r="AZ40" i="8"/>
  <c r="AY40" i="8"/>
  <c r="AX40" i="8"/>
  <c r="AD40" i="8"/>
  <c r="AC40" i="8"/>
  <c r="AB40" i="8"/>
  <c r="AA40" i="8"/>
  <c r="Z40" i="8"/>
  <c r="Y40" i="8"/>
  <c r="X40" i="8"/>
  <c r="W40" i="8"/>
  <c r="V40" i="8"/>
  <c r="U40" i="8"/>
  <c r="BG39" i="8"/>
  <c r="BF39" i="8"/>
  <c r="BE39" i="8"/>
  <c r="BD39" i="8"/>
  <c r="BC39" i="8"/>
  <c r="BB39" i="8"/>
  <c r="BA39" i="8"/>
  <c r="AZ39" i="8"/>
  <c r="AY39" i="8"/>
  <c r="AX39" i="8"/>
  <c r="AD39" i="8"/>
  <c r="AC39" i="8"/>
  <c r="AB39" i="8"/>
  <c r="AA39" i="8"/>
  <c r="Z39" i="8"/>
  <c r="Y39" i="8"/>
  <c r="X39" i="8"/>
  <c r="W39" i="8"/>
  <c r="V39" i="8"/>
  <c r="U39" i="8"/>
  <c r="BG38" i="8"/>
  <c r="BF38" i="8"/>
  <c r="BE38" i="8"/>
  <c r="BD38" i="8"/>
  <c r="BC38" i="8"/>
  <c r="BB38" i="8"/>
  <c r="BA38" i="8"/>
  <c r="AZ38" i="8"/>
  <c r="AY38" i="8"/>
  <c r="AX38" i="8"/>
  <c r="AD38" i="8"/>
  <c r="AC38" i="8"/>
  <c r="AB38" i="8"/>
  <c r="AA38" i="8"/>
  <c r="Z38" i="8"/>
  <c r="Y38" i="8"/>
  <c r="X38" i="8"/>
  <c r="W38" i="8"/>
  <c r="V38" i="8"/>
  <c r="U38" i="8"/>
  <c r="BG37" i="8"/>
  <c r="BF37" i="8"/>
  <c r="BE37" i="8"/>
  <c r="BD37" i="8"/>
  <c r="BC37" i="8"/>
  <c r="BB37" i="8"/>
  <c r="BA37" i="8"/>
  <c r="AZ37" i="8"/>
  <c r="AY37" i="8"/>
  <c r="AX37" i="8"/>
  <c r="AD37" i="8"/>
  <c r="AC37" i="8"/>
  <c r="AB37" i="8"/>
  <c r="AA37" i="8"/>
  <c r="Z37" i="8"/>
  <c r="Y37" i="8"/>
  <c r="X37" i="8"/>
  <c r="W37" i="8"/>
  <c r="V37" i="8"/>
  <c r="U37" i="8"/>
  <c r="BG36" i="8"/>
  <c r="BF36" i="8"/>
  <c r="BE36" i="8"/>
  <c r="BD36" i="8"/>
  <c r="BC36" i="8"/>
  <c r="BB36" i="8"/>
  <c r="BA36" i="8"/>
  <c r="AZ36" i="8"/>
  <c r="AY36" i="8"/>
  <c r="AX36" i="8"/>
  <c r="AD36" i="8"/>
  <c r="AC36" i="8"/>
  <c r="AB36" i="8"/>
  <c r="AA36" i="8"/>
  <c r="Z36" i="8"/>
  <c r="Y36" i="8"/>
  <c r="X36" i="8"/>
  <c r="W36" i="8"/>
  <c r="V36" i="8"/>
  <c r="U36" i="8"/>
  <c r="BG35" i="8"/>
  <c r="BF35" i="8"/>
  <c r="BE35" i="8"/>
  <c r="BD35" i="8"/>
  <c r="BC35" i="8"/>
  <c r="BB35" i="8"/>
  <c r="BA35" i="8"/>
  <c r="AZ35" i="8"/>
  <c r="AY35" i="8"/>
  <c r="AX35" i="8"/>
  <c r="AD35" i="8"/>
  <c r="AC35" i="8"/>
  <c r="AB35" i="8"/>
  <c r="AA35" i="8"/>
  <c r="Z35" i="8"/>
  <c r="Y35" i="8"/>
  <c r="X35" i="8"/>
  <c r="W35" i="8"/>
  <c r="V35" i="8"/>
  <c r="U35" i="8"/>
  <c r="BG34" i="8"/>
  <c r="BF34" i="8"/>
  <c r="BE34" i="8"/>
  <c r="BD34" i="8"/>
  <c r="BC34" i="8"/>
  <c r="BB34" i="8"/>
  <c r="BA34" i="8"/>
  <c r="AZ34" i="8"/>
  <c r="AY34" i="8"/>
  <c r="AX34" i="8"/>
  <c r="AD34" i="8"/>
  <c r="AC34" i="8"/>
  <c r="AB34" i="8"/>
  <c r="AA34" i="8"/>
  <c r="Z34" i="8"/>
  <c r="Y34" i="8"/>
  <c r="X34" i="8"/>
  <c r="W34" i="8"/>
  <c r="V34" i="8"/>
  <c r="U34" i="8"/>
  <c r="BG33" i="8"/>
  <c r="BF33" i="8"/>
  <c r="BE33" i="8"/>
  <c r="BD33" i="8"/>
  <c r="BC33" i="8"/>
  <c r="BB33" i="8"/>
  <c r="BA33" i="8"/>
  <c r="AZ33" i="8"/>
  <c r="AY33" i="8"/>
  <c r="AX33" i="8"/>
  <c r="AD33" i="8"/>
  <c r="AC33" i="8"/>
  <c r="AB33" i="8"/>
  <c r="AA33" i="8"/>
  <c r="Z33" i="8"/>
  <c r="Y33" i="8"/>
  <c r="X33" i="8"/>
  <c r="W33" i="8"/>
  <c r="V33" i="8"/>
  <c r="U33" i="8"/>
  <c r="BG32" i="8"/>
  <c r="BF32" i="8"/>
  <c r="BE32" i="8"/>
  <c r="BD32" i="8"/>
  <c r="BC32" i="8"/>
  <c r="BB32" i="8"/>
  <c r="BA32" i="8"/>
  <c r="AZ32" i="8"/>
  <c r="AY32" i="8"/>
  <c r="AX32" i="8"/>
  <c r="AD32" i="8"/>
  <c r="AC32" i="8"/>
  <c r="AB32" i="8"/>
  <c r="AA32" i="8"/>
  <c r="Z32" i="8"/>
  <c r="Y32" i="8"/>
  <c r="X32" i="8"/>
  <c r="W32" i="8"/>
  <c r="V32" i="8"/>
  <c r="U32" i="8"/>
  <c r="BG31" i="8"/>
  <c r="BF31" i="8"/>
  <c r="BE31" i="8"/>
  <c r="BD31" i="8"/>
  <c r="BC31" i="8"/>
  <c r="BB31" i="8"/>
  <c r="BA31" i="8"/>
  <c r="AZ31" i="8"/>
  <c r="AY31" i="8"/>
  <c r="AX31" i="8"/>
  <c r="AD31" i="8"/>
  <c r="AC31" i="8"/>
  <c r="AB31" i="8"/>
  <c r="AA31" i="8"/>
  <c r="Z31" i="8"/>
  <c r="Y31" i="8"/>
  <c r="X31" i="8"/>
  <c r="W31" i="8"/>
  <c r="V31" i="8"/>
  <c r="U31" i="8"/>
  <c r="BG30" i="8"/>
  <c r="BF30" i="8"/>
  <c r="BE30" i="8"/>
  <c r="BD30" i="8"/>
  <c r="BC30" i="8"/>
  <c r="BB30" i="8"/>
  <c r="BA30" i="8"/>
  <c r="AZ30" i="8"/>
  <c r="AY30" i="8"/>
  <c r="AX30" i="8"/>
  <c r="AD30" i="8"/>
  <c r="AC30" i="8"/>
  <c r="AB30" i="8"/>
  <c r="AA30" i="8"/>
  <c r="Z30" i="8"/>
  <c r="Y30" i="8"/>
  <c r="X30" i="8"/>
  <c r="W30" i="8"/>
  <c r="V30" i="8"/>
  <c r="U30" i="8"/>
  <c r="BG29" i="8"/>
  <c r="BF29" i="8"/>
  <c r="BE29" i="8"/>
  <c r="BD29" i="8"/>
  <c r="BC29" i="8"/>
  <c r="BB29" i="8"/>
  <c r="BA29" i="8"/>
  <c r="AZ29" i="8"/>
  <c r="AY29" i="8"/>
  <c r="AX29" i="8"/>
  <c r="AD29" i="8"/>
  <c r="AC29" i="8"/>
  <c r="AB29" i="8"/>
  <c r="AA29" i="8"/>
  <c r="Z29" i="8"/>
  <c r="Y29" i="8"/>
  <c r="X29" i="8"/>
  <c r="W29" i="8"/>
  <c r="V29" i="8"/>
  <c r="U29" i="8"/>
  <c r="BG28" i="8"/>
  <c r="BF28" i="8"/>
  <c r="BE28" i="8"/>
  <c r="BD28" i="8"/>
  <c r="BC28" i="8"/>
  <c r="BB28" i="8"/>
  <c r="BA28" i="8"/>
  <c r="AZ28" i="8"/>
  <c r="AY28" i="8"/>
  <c r="AX28" i="8"/>
  <c r="AD28" i="8"/>
  <c r="AC28" i="8"/>
  <c r="AB28" i="8"/>
  <c r="AA28" i="8"/>
  <c r="Z28" i="8"/>
  <c r="Y28" i="8"/>
  <c r="X28" i="8"/>
  <c r="W28" i="8"/>
  <c r="V28" i="8"/>
  <c r="U28" i="8"/>
  <c r="BG27" i="8"/>
  <c r="BF27" i="8"/>
  <c r="BE27" i="8"/>
  <c r="BD27" i="8"/>
  <c r="BC27" i="8"/>
  <c r="BB27" i="8"/>
  <c r="BA27" i="8"/>
  <c r="AZ27" i="8"/>
  <c r="AY27" i="8"/>
  <c r="AX27" i="8"/>
  <c r="AD27" i="8"/>
  <c r="AC27" i="8"/>
  <c r="AB27" i="8"/>
  <c r="AA27" i="8"/>
  <c r="Z27" i="8"/>
  <c r="Y27" i="8"/>
  <c r="X27" i="8"/>
  <c r="W27" i="8"/>
  <c r="V27" i="8"/>
  <c r="U27" i="8"/>
  <c r="BG26" i="8"/>
  <c r="BF26" i="8"/>
  <c r="BE26" i="8"/>
  <c r="BD26" i="8"/>
  <c r="BC26" i="8"/>
  <c r="BB26" i="8"/>
  <c r="BA26" i="8"/>
  <c r="AZ26" i="8"/>
  <c r="AY26" i="8"/>
  <c r="AX26" i="8"/>
  <c r="AD26" i="8"/>
  <c r="AC26" i="8"/>
  <c r="AB26" i="8"/>
  <c r="AA26" i="8"/>
  <c r="Z26" i="8"/>
  <c r="Y26" i="8"/>
  <c r="X26" i="8"/>
  <c r="W26" i="8"/>
  <c r="V26" i="8"/>
  <c r="U26" i="8"/>
  <c r="BG25" i="8"/>
  <c r="BF25" i="8"/>
  <c r="BE25" i="8"/>
  <c r="BD25" i="8"/>
  <c r="BC25" i="8"/>
  <c r="BB25" i="8"/>
  <c r="BA25" i="8"/>
  <c r="AZ25" i="8"/>
  <c r="AY25" i="8"/>
  <c r="AX25" i="8"/>
  <c r="AD25" i="8"/>
  <c r="AC25" i="8"/>
  <c r="AB25" i="8"/>
  <c r="AA25" i="8"/>
  <c r="Z25" i="8"/>
  <c r="Y25" i="8"/>
  <c r="X25" i="8"/>
  <c r="W25" i="8"/>
  <c r="V25" i="8"/>
  <c r="U25" i="8"/>
  <c r="BG24" i="8"/>
  <c r="BF24" i="8"/>
  <c r="BE24" i="8"/>
  <c r="BD24" i="8"/>
  <c r="BC24" i="8"/>
  <c r="BB24" i="8"/>
  <c r="BA24" i="8"/>
  <c r="AZ24" i="8"/>
  <c r="AY24" i="8"/>
  <c r="AX24" i="8"/>
  <c r="AD24" i="8"/>
  <c r="AC24" i="8"/>
  <c r="AB24" i="8"/>
  <c r="AA24" i="8"/>
  <c r="Z24" i="8"/>
  <c r="Y24" i="8"/>
  <c r="X24" i="8"/>
  <c r="W24" i="8"/>
  <c r="V24" i="8"/>
  <c r="U24" i="8"/>
  <c r="BG23" i="8"/>
  <c r="BF23" i="8"/>
  <c r="BE23" i="8"/>
  <c r="BD23" i="8"/>
  <c r="BC23" i="8"/>
  <c r="BB23" i="8"/>
  <c r="BA23" i="8"/>
  <c r="AZ23" i="8"/>
  <c r="AY23" i="8"/>
  <c r="AX23" i="8"/>
  <c r="AD23" i="8"/>
  <c r="AC23" i="8"/>
  <c r="AB23" i="8"/>
  <c r="AA23" i="8"/>
  <c r="Z23" i="8"/>
  <c r="Y23" i="8"/>
  <c r="X23" i="8"/>
  <c r="W23" i="8"/>
  <c r="V23" i="8"/>
  <c r="U23" i="8"/>
  <c r="BG22" i="8"/>
  <c r="BF22" i="8"/>
  <c r="BE22" i="8"/>
  <c r="BD22" i="8"/>
  <c r="BC22" i="8"/>
  <c r="BB22" i="8"/>
  <c r="BA22" i="8"/>
  <c r="AZ22" i="8"/>
  <c r="AY22" i="8"/>
  <c r="AX22" i="8"/>
  <c r="AD22" i="8"/>
  <c r="AC22" i="8"/>
  <c r="AB22" i="8"/>
  <c r="AA22" i="8"/>
  <c r="Z22" i="8"/>
  <c r="Y22" i="8"/>
  <c r="X22" i="8"/>
  <c r="W22" i="8"/>
  <c r="V22" i="8"/>
  <c r="U22" i="8"/>
  <c r="BG21" i="8"/>
  <c r="BF21" i="8"/>
  <c r="BE21" i="8"/>
  <c r="BD21" i="8"/>
  <c r="BC21" i="8"/>
  <c r="BB21" i="8"/>
  <c r="BA21" i="8"/>
  <c r="AZ21" i="8"/>
  <c r="AY21" i="8"/>
  <c r="AX21" i="8"/>
  <c r="AD21" i="8"/>
  <c r="AC21" i="8"/>
  <c r="AB21" i="8"/>
  <c r="AA21" i="8"/>
  <c r="Z21" i="8"/>
  <c r="Y21" i="8"/>
  <c r="X21" i="8"/>
  <c r="W21" i="8"/>
  <c r="V21" i="8"/>
  <c r="U21" i="8"/>
  <c r="BG20" i="8"/>
  <c r="BF20" i="8"/>
  <c r="BE20" i="8"/>
  <c r="BD20" i="8"/>
  <c r="BC20" i="8"/>
  <c r="BB20" i="8"/>
  <c r="BA20" i="8"/>
  <c r="AZ20" i="8"/>
  <c r="AY20" i="8"/>
  <c r="AX20" i="8"/>
  <c r="AD20" i="8"/>
  <c r="AC20" i="8"/>
  <c r="AB20" i="8"/>
  <c r="AA20" i="8"/>
  <c r="Z20" i="8"/>
  <c r="Y20" i="8"/>
  <c r="X20" i="8"/>
  <c r="W20" i="8"/>
  <c r="V20" i="8"/>
  <c r="U20" i="8"/>
  <c r="BG19" i="8"/>
  <c r="BF19" i="8"/>
  <c r="BE19" i="8"/>
  <c r="BD19" i="8"/>
  <c r="BC19" i="8"/>
  <c r="BB19" i="8"/>
  <c r="BA19" i="8"/>
  <c r="AZ19" i="8"/>
  <c r="AY19" i="8"/>
  <c r="AX19" i="8"/>
  <c r="AD19" i="8"/>
  <c r="AC19" i="8"/>
  <c r="AB19" i="8"/>
  <c r="AA19" i="8"/>
  <c r="Z19" i="8"/>
  <c r="Y19" i="8"/>
  <c r="X19" i="8"/>
  <c r="W19" i="8"/>
  <c r="V19" i="8"/>
  <c r="U19" i="8"/>
  <c r="BG18" i="8"/>
  <c r="BF18" i="8"/>
  <c r="BE18" i="8"/>
  <c r="BD18" i="8"/>
  <c r="BC18" i="8"/>
  <c r="BB18" i="8"/>
  <c r="BA18" i="8"/>
  <c r="AZ18" i="8"/>
  <c r="AY18" i="8"/>
  <c r="AX18" i="8"/>
  <c r="AD18" i="8"/>
  <c r="AC18" i="8"/>
  <c r="AB18" i="8"/>
  <c r="AA18" i="8"/>
  <c r="Z18" i="8"/>
  <c r="Y18" i="8"/>
  <c r="X18" i="8"/>
  <c r="W18" i="8"/>
  <c r="V18" i="8"/>
  <c r="U18" i="8"/>
  <c r="BG17" i="8"/>
  <c r="BF17" i="8"/>
  <c r="BE17" i="8"/>
  <c r="BD17" i="8"/>
  <c r="BC17" i="8"/>
  <c r="BB17" i="8"/>
  <c r="BA17" i="8"/>
  <c r="AZ17" i="8"/>
  <c r="AY17" i="8"/>
  <c r="AX17" i="8"/>
  <c r="BI17" i="8" s="1"/>
  <c r="AD17" i="8"/>
  <c r="AC17" i="8"/>
  <c r="AB17" i="8"/>
  <c r="AA17" i="8"/>
  <c r="Z17" i="8"/>
  <c r="Y17" i="8"/>
  <c r="X17" i="8"/>
  <c r="W17" i="8"/>
  <c r="V17" i="8"/>
  <c r="U17" i="8"/>
  <c r="BG16" i="8"/>
  <c r="BF16" i="8"/>
  <c r="BE16" i="8"/>
  <c r="BD16" i="8"/>
  <c r="BC16" i="8"/>
  <c r="BB16" i="8"/>
  <c r="BA16" i="8"/>
  <c r="AZ16" i="8"/>
  <c r="AY16" i="8"/>
  <c r="AX16" i="8"/>
  <c r="AD16" i="8"/>
  <c r="AC16" i="8"/>
  <c r="AB16" i="8"/>
  <c r="AA16" i="8"/>
  <c r="Z16" i="8"/>
  <c r="Y16" i="8"/>
  <c r="X16" i="8"/>
  <c r="W16" i="8"/>
  <c r="V16" i="8"/>
  <c r="U16" i="8"/>
  <c r="BG15" i="8"/>
  <c r="BF15" i="8"/>
  <c r="BE15" i="8"/>
  <c r="BD15" i="8"/>
  <c r="BC15" i="8"/>
  <c r="BB15" i="8"/>
  <c r="BA15" i="8"/>
  <c r="AZ15" i="8"/>
  <c r="AY15" i="8"/>
  <c r="AX15" i="8"/>
  <c r="AD15" i="8"/>
  <c r="AC15" i="8"/>
  <c r="AB15" i="8"/>
  <c r="AA15" i="8"/>
  <c r="Z15" i="8"/>
  <c r="Y15" i="8"/>
  <c r="X15" i="8"/>
  <c r="W15" i="8"/>
  <c r="V15" i="8"/>
  <c r="U15" i="8"/>
  <c r="BG14" i="8"/>
  <c r="BF14" i="8"/>
  <c r="BE14" i="8"/>
  <c r="BD14" i="8"/>
  <c r="BC14" i="8"/>
  <c r="BB14" i="8"/>
  <c r="BA14" i="8"/>
  <c r="AZ14" i="8"/>
  <c r="AY14" i="8"/>
  <c r="AX14" i="8"/>
  <c r="AD14" i="8"/>
  <c r="AC14" i="8"/>
  <c r="AB14" i="8"/>
  <c r="AA14" i="8"/>
  <c r="AA12" i="8" s="1"/>
  <c r="Z14" i="8"/>
  <c r="Y14" i="8"/>
  <c r="X14" i="8"/>
  <c r="W14" i="8"/>
  <c r="V14" i="8"/>
  <c r="U14" i="8"/>
  <c r="BG13" i="8"/>
  <c r="BF13" i="8"/>
  <c r="BE13" i="8"/>
  <c r="BD13" i="8"/>
  <c r="BC13" i="8"/>
  <c r="BB13" i="8"/>
  <c r="BA13" i="8"/>
  <c r="AZ13" i="8"/>
  <c r="AY13" i="8"/>
  <c r="AX13" i="8"/>
  <c r="O13" i="8"/>
  <c r="N13" i="8"/>
  <c r="M13" i="8"/>
  <c r="L13" i="8"/>
  <c r="K13" i="8"/>
  <c r="J13" i="8"/>
  <c r="I13" i="8"/>
  <c r="H13" i="8"/>
  <c r="G13" i="8"/>
  <c r="F13" i="8"/>
  <c r="AU12" i="8"/>
  <c r="AT12" i="8"/>
  <c r="AS12" i="8"/>
  <c r="AR12" i="8"/>
  <c r="AQ12" i="8"/>
  <c r="AP12" i="8"/>
  <c r="AO12" i="8"/>
  <c r="AN12" i="8"/>
  <c r="AM12" i="8"/>
  <c r="AL12" i="8"/>
  <c r="AF12" i="8"/>
  <c r="BG63" i="7"/>
  <c r="BF63" i="7"/>
  <c r="BE63" i="7"/>
  <c r="BD63" i="7"/>
  <c r="BC63" i="7"/>
  <c r="BB63" i="7"/>
  <c r="BA63" i="7"/>
  <c r="AZ63" i="7"/>
  <c r="AY63" i="7"/>
  <c r="AX63" i="7"/>
  <c r="AV63" i="7"/>
  <c r="BN63" i="7" s="1"/>
  <c r="AD63" i="7"/>
  <c r="AC63" i="7"/>
  <c r="AB63" i="7"/>
  <c r="AA63" i="7"/>
  <c r="Z63" i="7"/>
  <c r="Y63" i="7"/>
  <c r="X63" i="7"/>
  <c r="W63" i="7"/>
  <c r="V63" i="7"/>
  <c r="U63" i="7"/>
  <c r="BG62" i="7"/>
  <c r="BF62" i="7"/>
  <c r="BE62" i="7"/>
  <c r="BD62" i="7"/>
  <c r="BC62" i="7"/>
  <c r="BB62" i="7"/>
  <c r="BA62" i="7"/>
  <c r="AZ62" i="7"/>
  <c r="AY62" i="7"/>
  <c r="AX62" i="7"/>
  <c r="AV62" i="7"/>
  <c r="AW62" i="7" s="1"/>
  <c r="AD62" i="7"/>
  <c r="AC62" i="7"/>
  <c r="AB62" i="7"/>
  <c r="AA62" i="7"/>
  <c r="Z62" i="7"/>
  <c r="Y62" i="7"/>
  <c r="X62" i="7"/>
  <c r="W62" i="7"/>
  <c r="V62" i="7"/>
  <c r="U62" i="7"/>
  <c r="BG61" i="7"/>
  <c r="BF61" i="7"/>
  <c r="BE61" i="7"/>
  <c r="BD61" i="7"/>
  <c r="BC61" i="7"/>
  <c r="BB61" i="7"/>
  <c r="BA61" i="7"/>
  <c r="AZ61" i="7"/>
  <c r="AY61" i="7"/>
  <c r="AX61" i="7"/>
  <c r="AV61" i="7"/>
  <c r="BN61" i="7" s="1"/>
  <c r="AD61" i="7"/>
  <c r="AC61" i="7"/>
  <c r="AB61" i="7"/>
  <c r="AA61" i="7"/>
  <c r="Z61" i="7"/>
  <c r="Y61" i="7"/>
  <c r="X61" i="7"/>
  <c r="W61" i="7"/>
  <c r="V61" i="7"/>
  <c r="U61" i="7"/>
  <c r="BG60" i="7"/>
  <c r="BF60" i="7"/>
  <c r="BE60" i="7"/>
  <c r="BD60" i="7"/>
  <c r="BC60" i="7"/>
  <c r="BB60" i="7"/>
  <c r="BA60" i="7"/>
  <c r="AZ60" i="7"/>
  <c r="AY60" i="7"/>
  <c r="AX60" i="7"/>
  <c r="AV60" i="7"/>
  <c r="AW60" i="7" s="1"/>
  <c r="AD60" i="7"/>
  <c r="AC60" i="7"/>
  <c r="AB60" i="7"/>
  <c r="AA60" i="7"/>
  <c r="Z60" i="7"/>
  <c r="Y60" i="7"/>
  <c r="X60" i="7"/>
  <c r="W60" i="7"/>
  <c r="V60" i="7"/>
  <c r="U60" i="7"/>
  <c r="BG59" i="7"/>
  <c r="BF59" i="7"/>
  <c r="BE59" i="7"/>
  <c r="BD59" i="7"/>
  <c r="BC59" i="7"/>
  <c r="BB59" i="7"/>
  <c r="BA59" i="7"/>
  <c r="AZ59" i="7"/>
  <c r="AY59" i="7"/>
  <c r="AX59" i="7"/>
  <c r="AV59" i="7"/>
  <c r="BN59" i="7" s="1"/>
  <c r="AD59" i="7"/>
  <c r="AC59" i="7"/>
  <c r="AB59" i="7"/>
  <c r="AA59" i="7"/>
  <c r="Z59" i="7"/>
  <c r="Y59" i="7"/>
  <c r="X59" i="7"/>
  <c r="W59" i="7"/>
  <c r="V59" i="7"/>
  <c r="U59" i="7"/>
  <c r="BG58" i="7"/>
  <c r="BF58" i="7"/>
  <c r="BE58" i="7"/>
  <c r="BD58" i="7"/>
  <c r="BC58" i="7"/>
  <c r="BB58" i="7"/>
  <c r="BA58" i="7"/>
  <c r="AZ58" i="7"/>
  <c r="AY58" i="7"/>
  <c r="AX58" i="7"/>
  <c r="AV58" i="7"/>
  <c r="AW58" i="7" s="1"/>
  <c r="AD58" i="7"/>
  <c r="AC58" i="7"/>
  <c r="AB58" i="7"/>
  <c r="AA58" i="7"/>
  <c r="Z58" i="7"/>
  <c r="Y58" i="7"/>
  <c r="X58" i="7"/>
  <c r="W58" i="7"/>
  <c r="V58" i="7"/>
  <c r="U58" i="7"/>
  <c r="BG57" i="7"/>
  <c r="BF57" i="7"/>
  <c r="BE57" i="7"/>
  <c r="BD57" i="7"/>
  <c r="BC57" i="7"/>
  <c r="BB57" i="7"/>
  <c r="BA57" i="7"/>
  <c r="AZ57" i="7"/>
  <c r="AY57" i="7"/>
  <c r="AX57" i="7"/>
  <c r="AV57" i="7"/>
  <c r="BN57" i="7" s="1"/>
  <c r="AD57" i="7"/>
  <c r="AC57" i="7"/>
  <c r="AB57" i="7"/>
  <c r="AA57" i="7"/>
  <c r="Z57" i="7"/>
  <c r="Y57" i="7"/>
  <c r="X57" i="7"/>
  <c r="W57" i="7"/>
  <c r="V57" i="7"/>
  <c r="U57" i="7"/>
  <c r="BG56" i="7"/>
  <c r="BF56" i="7"/>
  <c r="BE56" i="7"/>
  <c r="BD56" i="7"/>
  <c r="BC56" i="7"/>
  <c r="BB56" i="7"/>
  <c r="BA56" i="7"/>
  <c r="AZ56" i="7"/>
  <c r="AY56" i="7"/>
  <c r="AX56" i="7"/>
  <c r="AV56" i="7"/>
  <c r="AW56" i="7" s="1"/>
  <c r="AD56" i="7"/>
  <c r="AC56" i="7"/>
  <c r="AB56" i="7"/>
  <c r="AA56" i="7"/>
  <c r="Z56" i="7"/>
  <c r="Y56" i="7"/>
  <c r="X56" i="7"/>
  <c r="W56" i="7"/>
  <c r="V56" i="7"/>
  <c r="U56" i="7"/>
  <c r="BG55" i="7"/>
  <c r="BF55" i="7"/>
  <c r="BE55" i="7"/>
  <c r="BD55" i="7"/>
  <c r="BC55" i="7"/>
  <c r="BB55" i="7"/>
  <c r="BA55" i="7"/>
  <c r="AZ55" i="7"/>
  <c r="AY55" i="7"/>
  <c r="AX55" i="7"/>
  <c r="AV55" i="7"/>
  <c r="BN55" i="7" s="1"/>
  <c r="AD55" i="7"/>
  <c r="AC55" i="7"/>
  <c r="AB55" i="7"/>
  <c r="AA55" i="7"/>
  <c r="Z55" i="7"/>
  <c r="Y55" i="7"/>
  <c r="X55" i="7"/>
  <c r="W55" i="7"/>
  <c r="V55" i="7"/>
  <c r="U55" i="7"/>
  <c r="BG54" i="7"/>
  <c r="BF54" i="7"/>
  <c r="BE54" i="7"/>
  <c r="BD54" i="7"/>
  <c r="BC54" i="7"/>
  <c r="BB54" i="7"/>
  <c r="BA54" i="7"/>
  <c r="AZ54" i="7"/>
  <c r="AY54" i="7"/>
  <c r="AX54" i="7"/>
  <c r="AV54" i="7"/>
  <c r="AW54" i="7" s="1"/>
  <c r="AD54" i="7"/>
  <c r="AC54" i="7"/>
  <c r="AB54" i="7"/>
  <c r="AA54" i="7"/>
  <c r="Z54" i="7"/>
  <c r="Y54" i="7"/>
  <c r="X54" i="7"/>
  <c r="W54" i="7"/>
  <c r="V54" i="7"/>
  <c r="U54" i="7"/>
  <c r="BG53" i="7"/>
  <c r="BF53" i="7"/>
  <c r="BE53" i="7"/>
  <c r="BD53" i="7"/>
  <c r="BC53" i="7"/>
  <c r="BB53" i="7"/>
  <c r="BA53" i="7"/>
  <c r="AZ53" i="7"/>
  <c r="AY53" i="7"/>
  <c r="AX53" i="7"/>
  <c r="AV53" i="7"/>
  <c r="BN53" i="7" s="1"/>
  <c r="AD53" i="7"/>
  <c r="AC53" i="7"/>
  <c r="AB53" i="7"/>
  <c r="AA53" i="7"/>
  <c r="Z53" i="7"/>
  <c r="Y53" i="7"/>
  <c r="X53" i="7"/>
  <c r="W53" i="7"/>
  <c r="V53" i="7"/>
  <c r="U53" i="7"/>
  <c r="BG52" i="7"/>
  <c r="BF52" i="7"/>
  <c r="BE52" i="7"/>
  <c r="BD52" i="7"/>
  <c r="BC52" i="7"/>
  <c r="BB52" i="7"/>
  <c r="BA52" i="7"/>
  <c r="AZ52" i="7"/>
  <c r="AY52" i="7"/>
  <c r="AX52" i="7"/>
  <c r="AV52" i="7"/>
  <c r="AW52" i="7" s="1"/>
  <c r="AD52" i="7"/>
  <c r="AC52" i="7"/>
  <c r="AB52" i="7"/>
  <c r="AA52" i="7"/>
  <c r="Z52" i="7"/>
  <c r="Y52" i="7"/>
  <c r="X52" i="7"/>
  <c r="W52" i="7"/>
  <c r="V52" i="7"/>
  <c r="U52" i="7"/>
  <c r="BG51" i="7"/>
  <c r="BF51" i="7"/>
  <c r="BE51" i="7"/>
  <c r="BD51" i="7"/>
  <c r="BC51" i="7"/>
  <c r="BB51" i="7"/>
  <c r="BA51" i="7"/>
  <c r="AZ51" i="7"/>
  <c r="AY51" i="7"/>
  <c r="AX51" i="7"/>
  <c r="AV51" i="7"/>
  <c r="BN51" i="7" s="1"/>
  <c r="AD51" i="7"/>
  <c r="AC51" i="7"/>
  <c r="AB51" i="7"/>
  <c r="AA51" i="7"/>
  <c r="Z51" i="7"/>
  <c r="Y51" i="7"/>
  <c r="X51" i="7"/>
  <c r="W51" i="7"/>
  <c r="V51" i="7"/>
  <c r="U51" i="7"/>
  <c r="BG50" i="7"/>
  <c r="BF50" i="7"/>
  <c r="BE50" i="7"/>
  <c r="BD50" i="7"/>
  <c r="BC50" i="7"/>
  <c r="BB50" i="7"/>
  <c r="BA50" i="7"/>
  <c r="AZ50" i="7"/>
  <c r="AY50" i="7"/>
  <c r="AX50" i="7"/>
  <c r="AD50" i="7"/>
  <c r="AC50" i="7"/>
  <c r="AB50" i="7"/>
  <c r="AA50" i="7"/>
  <c r="Z50" i="7"/>
  <c r="Y50" i="7"/>
  <c r="X50" i="7"/>
  <c r="W50" i="7"/>
  <c r="V50" i="7"/>
  <c r="U50" i="7"/>
  <c r="BG49" i="7"/>
  <c r="BF49" i="7"/>
  <c r="BE49" i="7"/>
  <c r="BD49" i="7"/>
  <c r="BC49" i="7"/>
  <c r="BB49" i="7"/>
  <c r="BA49" i="7"/>
  <c r="AZ49" i="7"/>
  <c r="AY49" i="7"/>
  <c r="AX49" i="7"/>
  <c r="AD49" i="7"/>
  <c r="AC49" i="7"/>
  <c r="AB49" i="7"/>
  <c r="AA49" i="7"/>
  <c r="Z49" i="7"/>
  <c r="Y49" i="7"/>
  <c r="X49" i="7"/>
  <c r="W49" i="7"/>
  <c r="V49" i="7"/>
  <c r="U49" i="7"/>
  <c r="BG48" i="7"/>
  <c r="BF48" i="7"/>
  <c r="BE48" i="7"/>
  <c r="BD48" i="7"/>
  <c r="BC48" i="7"/>
  <c r="BB48" i="7"/>
  <c r="BA48" i="7"/>
  <c r="AZ48" i="7"/>
  <c r="AY48" i="7"/>
  <c r="AX48" i="7"/>
  <c r="AD48" i="7"/>
  <c r="AC48" i="7"/>
  <c r="AB48" i="7"/>
  <c r="AA48" i="7"/>
  <c r="Z48" i="7"/>
  <c r="Y48" i="7"/>
  <c r="X48" i="7"/>
  <c r="W48" i="7"/>
  <c r="V48" i="7"/>
  <c r="U48" i="7"/>
  <c r="BG47" i="7"/>
  <c r="BF47" i="7"/>
  <c r="BE47" i="7"/>
  <c r="BD47" i="7"/>
  <c r="BC47" i="7"/>
  <c r="BB47" i="7"/>
  <c r="BA47" i="7"/>
  <c r="AZ47" i="7"/>
  <c r="AY47" i="7"/>
  <c r="AX47" i="7"/>
  <c r="AD47" i="7"/>
  <c r="AC47" i="7"/>
  <c r="AB47" i="7"/>
  <c r="AA47" i="7"/>
  <c r="Z47" i="7"/>
  <c r="Y47" i="7"/>
  <c r="X47" i="7"/>
  <c r="W47" i="7"/>
  <c r="V47" i="7"/>
  <c r="U47" i="7"/>
  <c r="BG46" i="7"/>
  <c r="BF46" i="7"/>
  <c r="BE46" i="7"/>
  <c r="BD46" i="7"/>
  <c r="BC46" i="7"/>
  <c r="BB46" i="7"/>
  <c r="BA46" i="7"/>
  <c r="AZ46" i="7"/>
  <c r="AY46" i="7"/>
  <c r="AX46" i="7"/>
  <c r="AD46" i="7"/>
  <c r="AC46" i="7"/>
  <c r="AB46" i="7"/>
  <c r="AA46" i="7"/>
  <c r="Z46" i="7"/>
  <c r="Y46" i="7"/>
  <c r="X46" i="7"/>
  <c r="W46" i="7"/>
  <c r="V46" i="7"/>
  <c r="U46" i="7"/>
  <c r="BG45" i="7"/>
  <c r="BF45" i="7"/>
  <c r="BE45" i="7"/>
  <c r="BD45" i="7"/>
  <c r="BC45" i="7"/>
  <c r="BB45" i="7"/>
  <c r="BA45" i="7"/>
  <c r="AZ45" i="7"/>
  <c r="AY45" i="7"/>
  <c r="AX45" i="7"/>
  <c r="AD45" i="7"/>
  <c r="AC45" i="7"/>
  <c r="AB45" i="7"/>
  <c r="AA45" i="7"/>
  <c r="Z45" i="7"/>
  <c r="Y45" i="7"/>
  <c r="X45" i="7"/>
  <c r="W45" i="7"/>
  <c r="V45" i="7"/>
  <c r="U45" i="7"/>
  <c r="BG44" i="7"/>
  <c r="BF44" i="7"/>
  <c r="BE44" i="7"/>
  <c r="BD44" i="7"/>
  <c r="BC44" i="7"/>
  <c r="BB44" i="7"/>
  <c r="BA44" i="7"/>
  <c r="AZ44" i="7"/>
  <c r="AY44" i="7"/>
  <c r="AX44" i="7"/>
  <c r="AD44" i="7"/>
  <c r="AC44" i="7"/>
  <c r="AB44" i="7"/>
  <c r="AA44" i="7"/>
  <c r="Z44" i="7"/>
  <c r="Y44" i="7"/>
  <c r="X44" i="7"/>
  <c r="W44" i="7"/>
  <c r="V44" i="7"/>
  <c r="U44" i="7"/>
  <c r="BG43" i="7"/>
  <c r="BF43" i="7"/>
  <c r="BE43" i="7"/>
  <c r="BD43" i="7"/>
  <c r="BC43" i="7"/>
  <c r="BB43" i="7"/>
  <c r="BA43" i="7"/>
  <c r="AZ43" i="7"/>
  <c r="AY43" i="7"/>
  <c r="AX43" i="7"/>
  <c r="AD43" i="7"/>
  <c r="AC43" i="7"/>
  <c r="AB43" i="7"/>
  <c r="AA43" i="7"/>
  <c r="Z43" i="7"/>
  <c r="Y43" i="7"/>
  <c r="X43" i="7"/>
  <c r="W43" i="7"/>
  <c r="V43" i="7"/>
  <c r="U43" i="7"/>
  <c r="BG42" i="7"/>
  <c r="BF42" i="7"/>
  <c r="BE42" i="7"/>
  <c r="BD42" i="7"/>
  <c r="BC42" i="7"/>
  <c r="BB42" i="7"/>
  <c r="BA42" i="7"/>
  <c r="AZ42" i="7"/>
  <c r="AY42" i="7"/>
  <c r="AX42" i="7"/>
  <c r="AD42" i="7"/>
  <c r="AC42" i="7"/>
  <c r="AB42" i="7"/>
  <c r="AA42" i="7"/>
  <c r="Z42" i="7"/>
  <c r="Y42" i="7"/>
  <c r="X42" i="7"/>
  <c r="W42" i="7"/>
  <c r="V42" i="7"/>
  <c r="U42" i="7"/>
  <c r="BG41" i="7"/>
  <c r="BF41" i="7"/>
  <c r="BE41" i="7"/>
  <c r="BD41" i="7"/>
  <c r="BC41" i="7"/>
  <c r="BB41" i="7"/>
  <c r="BA41" i="7"/>
  <c r="AZ41" i="7"/>
  <c r="AY41" i="7"/>
  <c r="AX41" i="7"/>
  <c r="AD41" i="7"/>
  <c r="AC41" i="7"/>
  <c r="AB41" i="7"/>
  <c r="AA41" i="7"/>
  <c r="Z41" i="7"/>
  <c r="Y41" i="7"/>
  <c r="X41" i="7"/>
  <c r="W41" i="7"/>
  <c r="V41" i="7"/>
  <c r="U41" i="7"/>
  <c r="BG40" i="7"/>
  <c r="BF40" i="7"/>
  <c r="BE40" i="7"/>
  <c r="BD40" i="7"/>
  <c r="BC40" i="7"/>
  <c r="BB40" i="7"/>
  <c r="BA40" i="7"/>
  <c r="AZ40" i="7"/>
  <c r="AY40" i="7"/>
  <c r="AX40" i="7"/>
  <c r="AD40" i="7"/>
  <c r="AC40" i="7"/>
  <c r="AB40" i="7"/>
  <c r="AA40" i="7"/>
  <c r="Z40" i="7"/>
  <c r="Y40" i="7"/>
  <c r="X40" i="7"/>
  <c r="W40" i="7"/>
  <c r="V40" i="7"/>
  <c r="U40" i="7"/>
  <c r="BG39" i="7"/>
  <c r="BF39" i="7"/>
  <c r="BE39" i="7"/>
  <c r="BD39" i="7"/>
  <c r="BC39" i="7"/>
  <c r="BB39" i="7"/>
  <c r="BA39" i="7"/>
  <c r="AZ39" i="7"/>
  <c r="AY39" i="7"/>
  <c r="AX39" i="7"/>
  <c r="AD39" i="7"/>
  <c r="AC39" i="7"/>
  <c r="AB39" i="7"/>
  <c r="AA39" i="7"/>
  <c r="Z39" i="7"/>
  <c r="Y39" i="7"/>
  <c r="X39" i="7"/>
  <c r="W39" i="7"/>
  <c r="V39" i="7"/>
  <c r="U39" i="7"/>
  <c r="BG38" i="7"/>
  <c r="BF38" i="7"/>
  <c r="BE38" i="7"/>
  <c r="BD38" i="7"/>
  <c r="BC38" i="7"/>
  <c r="BB38" i="7"/>
  <c r="BA38" i="7"/>
  <c r="AZ38" i="7"/>
  <c r="AY38" i="7"/>
  <c r="AX38" i="7"/>
  <c r="AD38" i="7"/>
  <c r="AC38" i="7"/>
  <c r="AB38" i="7"/>
  <c r="AA38" i="7"/>
  <c r="Z38" i="7"/>
  <c r="Y38" i="7"/>
  <c r="X38" i="7"/>
  <c r="W38" i="7"/>
  <c r="V38" i="7"/>
  <c r="U38" i="7"/>
  <c r="BG37" i="7"/>
  <c r="BF37" i="7"/>
  <c r="BE37" i="7"/>
  <c r="BD37" i="7"/>
  <c r="BC37" i="7"/>
  <c r="BB37" i="7"/>
  <c r="BA37" i="7"/>
  <c r="AZ37" i="7"/>
  <c r="AY37" i="7"/>
  <c r="AX37" i="7"/>
  <c r="AD37" i="7"/>
  <c r="AC37" i="7"/>
  <c r="AB37" i="7"/>
  <c r="AA37" i="7"/>
  <c r="Z37" i="7"/>
  <c r="Y37" i="7"/>
  <c r="X37" i="7"/>
  <c r="W37" i="7"/>
  <c r="V37" i="7"/>
  <c r="U37" i="7"/>
  <c r="BG36" i="7"/>
  <c r="BF36" i="7"/>
  <c r="BE36" i="7"/>
  <c r="BD36" i="7"/>
  <c r="BC36" i="7"/>
  <c r="BB36" i="7"/>
  <c r="BA36" i="7"/>
  <c r="AZ36" i="7"/>
  <c r="AY36" i="7"/>
  <c r="AX36" i="7"/>
  <c r="AD36" i="7"/>
  <c r="AC36" i="7"/>
  <c r="AB36" i="7"/>
  <c r="AA36" i="7"/>
  <c r="Z36" i="7"/>
  <c r="Y36" i="7"/>
  <c r="X36" i="7"/>
  <c r="W36" i="7"/>
  <c r="V36" i="7"/>
  <c r="U36" i="7"/>
  <c r="BG35" i="7"/>
  <c r="BF35" i="7"/>
  <c r="BE35" i="7"/>
  <c r="BD35" i="7"/>
  <c r="BC35" i="7"/>
  <c r="BB35" i="7"/>
  <c r="BA35" i="7"/>
  <c r="AZ35" i="7"/>
  <c r="AY35" i="7"/>
  <c r="AX35" i="7"/>
  <c r="AD35" i="7"/>
  <c r="AC35" i="7"/>
  <c r="AB35" i="7"/>
  <c r="AA35" i="7"/>
  <c r="Z35" i="7"/>
  <c r="Y35" i="7"/>
  <c r="X35" i="7"/>
  <c r="W35" i="7"/>
  <c r="V35" i="7"/>
  <c r="U35" i="7"/>
  <c r="BG34" i="7"/>
  <c r="BF34" i="7"/>
  <c r="BE34" i="7"/>
  <c r="BD34" i="7"/>
  <c r="BC34" i="7"/>
  <c r="BB34" i="7"/>
  <c r="BA34" i="7"/>
  <c r="AZ34" i="7"/>
  <c r="AY34" i="7"/>
  <c r="AX34" i="7"/>
  <c r="AD34" i="7"/>
  <c r="AC34" i="7"/>
  <c r="AB34" i="7"/>
  <c r="AA34" i="7"/>
  <c r="Z34" i="7"/>
  <c r="Y34" i="7"/>
  <c r="X34" i="7"/>
  <c r="W34" i="7"/>
  <c r="V34" i="7"/>
  <c r="U34" i="7"/>
  <c r="BG33" i="7"/>
  <c r="BF33" i="7"/>
  <c r="BE33" i="7"/>
  <c r="BD33" i="7"/>
  <c r="BC33" i="7"/>
  <c r="BB33" i="7"/>
  <c r="BA33" i="7"/>
  <c r="AZ33" i="7"/>
  <c r="AY33" i="7"/>
  <c r="AX33" i="7"/>
  <c r="AD33" i="7"/>
  <c r="AC33" i="7"/>
  <c r="AB33" i="7"/>
  <c r="AA33" i="7"/>
  <c r="Z33" i="7"/>
  <c r="Y33" i="7"/>
  <c r="X33" i="7"/>
  <c r="W33" i="7"/>
  <c r="V33" i="7"/>
  <c r="U33" i="7"/>
  <c r="BG32" i="7"/>
  <c r="BF32" i="7"/>
  <c r="BE32" i="7"/>
  <c r="BD32" i="7"/>
  <c r="BC32" i="7"/>
  <c r="BB32" i="7"/>
  <c r="BA32" i="7"/>
  <c r="AZ32" i="7"/>
  <c r="BH32" i="7" s="1"/>
  <c r="AY32" i="7"/>
  <c r="AX32" i="7"/>
  <c r="AD32" i="7"/>
  <c r="AC32" i="7"/>
  <c r="AB32" i="7"/>
  <c r="AA32" i="7"/>
  <c r="Z32" i="7"/>
  <c r="Y32" i="7"/>
  <c r="X32" i="7"/>
  <c r="W32" i="7"/>
  <c r="V32" i="7"/>
  <c r="U32" i="7"/>
  <c r="BG31" i="7"/>
  <c r="BF31" i="7"/>
  <c r="BE31" i="7"/>
  <c r="BD31" i="7"/>
  <c r="BC31" i="7"/>
  <c r="BB31" i="7"/>
  <c r="BA31" i="7"/>
  <c r="AZ31" i="7"/>
  <c r="AY31" i="7"/>
  <c r="AX31" i="7"/>
  <c r="AD31" i="7"/>
  <c r="AC31" i="7"/>
  <c r="AB31" i="7"/>
  <c r="AA31" i="7"/>
  <c r="Z31" i="7"/>
  <c r="Y31" i="7"/>
  <c r="X31" i="7"/>
  <c r="W31" i="7"/>
  <c r="V31" i="7"/>
  <c r="U31" i="7"/>
  <c r="BG30" i="7"/>
  <c r="BF30" i="7"/>
  <c r="BE30" i="7"/>
  <c r="BD30" i="7"/>
  <c r="BC30" i="7"/>
  <c r="BB30" i="7"/>
  <c r="BA30" i="7"/>
  <c r="AZ30" i="7"/>
  <c r="AY30" i="7"/>
  <c r="AX30" i="7"/>
  <c r="AD30" i="7"/>
  <c r="AC30" i="7"/>
  <c r="AB30" i="7"/>
  <c r="AA30" i="7"/>
  <c r="Z30" i="7"/>
  <c r="Y30" i="7"/>
  <c r="X30" i="7"/>
  <c r="W30" i="7"/>
  <c r="V30" i="7"/>
  <c r="U30" i="7"/>
  <c r="BG29" i="7"/>
  <c r="BF29" i="7"/>
  <c r="BE29" i="7"/>
  <c r="BD29" i="7"/>
  <c r="BC29" i="7"/>
  <c r="BB29" i="7"/>
  <c r="BA29" i="7"/>
  <c r="AZ29" i="7"/>
  <c r="AY29" i="7"/>
  <c r="AX29" i="7"/>
  <c r="AD29" i="7"/>
  <c r="AC29" i="7"/>
  <c r="AB29" i="7"/>
  <c r="AA29" i="7"/>
  <c r="Z29" i="7"/>
  <c r="Y29" i="7"/>
  <c r="X29" i="7"/>
  <c r="W29" i="7"/>
  <c r="V29" i="7"/>
  <c r="U29" i="7"/>
  <c r="BG28" i="7"/>
  <c r="BF28" i="7"/>
  <c r="BE28" i="7"/>
  <c r="BD28" i="7"/>
  <c r="BC28" i="7"/>
  <c r="BB28" i="7"/>
  <c r="BA28" i="7"/>
  <c r="AZ28" i="7"/>
  <c r="AY28" i="7"/>
  <c r="AX28" i="7"/>
  <c r="AD28" i="7"/>
  <c r="AC28" i="7"/>
  <c r="AB28" i="7"/>
  <c r="AA28" i="7"/>
  <c r="Z28" i="7"/>
  <c r="Y28" i="7"/>
  <c r="X28" i="7"/>
  <c r="W28" i="7"/>
  <c r="V28" i="7"/>
  <c r="U28" i="7"/>
  <c r="BG27" i="7"/>
  <c r="BF27" i="7"/>
  <c r="BE27" i="7"/>
  <c r="BD27" i="7"/>
  <c r="BC27" i="7"/>
  <c r="BB27" i="7"/>
  <c r="BA27" i="7"/>
  <c r="AZ27" i="7"/>
  <c r="AY27" i="7"/>
  <c r="AX27" i="7"/>
  <c r="AD27" i="7"/>
  <c r="AC27" i="7"/>
  <c r="AB27" i="7"/>
  <c r="AA27" i="7"/>
  <c r="Z27" i="7"/>
  <c r="Y27" i="7"/>
  <c r="X27" i="7"/>
  <c r="W27" i="7"/>
  <c r="V27" i="7"/>
  <c r="U27" i="7"/>
  <c r="BG26" i="7"/>
  <c r="BF26" i="7"/>
  <c r="BE26" i="7"/>
  <c r="BD26" i="7"/>
  <c r="BC26" i="7"/>
  <c r="BB26" i="7"/>
  <c r="BA26" i="7"/>
  <c r="AZ26" i="7"/>
  <c r="AY26" i="7"/>
  <c r="AX26" i="7"/>
  <c r="AD26" i="7"/>
  <c r="AC26" i="7"/>
  <c r="AB26" i="7"/>
  <c r="AA26" i="7"/>
  <c r="Z26" i="7"/>
  <c r="Y26" i="7"/>
  <c r="X26" i="7"/>
  <c r="W26" i="7"/>
  <c r="V26" i="7"/>
  <c r="U26" i="7"/>
  <c r="BG25" i="7"/>
  <c r="BF25" i="7"/>
  <c r="BE25" i="7"/>
  <c r="BD25" i="7"/>
  <c r="BC25" i="7"/>
  <c r="BB25" i="7"/>
  <c r="BA25" i="7"/>
  <c r="AZ25" i="7"/>
  <c r="AY25" i="7"/>
  <c r="AX25" i="7"/>
  <c r="AD25" i="7"/>
  <c r="AC25" i="7"/>
  <c r="AB25" i="7"/>
  <c r="AA25" i="7"/>
  <c r="Z25" i="7"/>
  <c r="Y25" i="7"/>
  <c r="X25" i="7"/>
  <c r="W25" i="7"/>
  <c r="V25" i="7"/>
  <c r="U25" i="7"/>
  <c r="BG24" i="7"/>
  <c r="BF24" i="7"/>
  <c r="BE24" i="7"/>
  <c r="BD24" i="7"/>
  <c r="BC24" i="7"/>
  <c r="BB24" i="7"/>
  <c r="BA24" i="7"/>
  <c r="AZ24" i="7"/>
  <c r="AY24" i="7"/>
  <c r="AX24" i="7"/>
  <c r="AD24" i="7"/>
  <c r="AC24" i="7"/>
  <c r="AB24" i="7"/>
  <c r="AA24" i="7"/>
  <c r="Z24" i="7"/>
  <c r="Y24" i="7"/>
  <c r="X24" i="7"/>
  <c r="W24" i="7"/>
  <c r="V24" i="7"/>
  <c r="U24" i="7"/>
  <c r="BG23" i="7"/>
  <c r="BF23" i="7"/>
  <c r="BE23" i="7"/>
  <c r="BD23" i="7"/>
  <c r="BC23" i="7"/>
  <c r="BB23" i="7"/>
  <c r="BA23" i="7"/>
  <c r="AZ23" i="7"/>
  <c r="AY23" i="7"/>
  <c r="AX23" i="7"/>
  <c r="AD23" i="7"/>
  <c r="AC23" i="7"/>
  <c r="AB23" i="7"/>
  <c r="AA23" i="7"/>
  <c r="Z23" i="7"/>
  <c r="Y23" i="7"/>
  <c r="X23" i="7"/>
  <c r="W23" i="7"/>
  <c r="V23" i="7"/>
  <c r="U23" i="7"/>
  <c r="BG22" i="7"/>
  <c r="BF22" i="7"/>
  <c r="BE22" i="7"/>
  <c r="BD22" i="7"/>
  <c r="BC22" i="7"/>
  <c r="BB22" i="7"/>
  <c r="BA22" i="7"/>
  <c r="AZ22" i="7"/>
  <c r="AY22" i="7"/>
  <c r="AX22" i="7"/>
  <c r="AD22" i="7"/>
  <c r="AC22" i="7"/>
  <c r="AB22" i="7"/>
  <c r="AA22" i="7"/>
  <c r="Z22" i="7"/>
  <c r="Y22" i="7"/>
  <c r="X22" i="7"/>
  <c r="W22" i="7"/>
  <c r="V22" i="7"/>
  <c r="U22" i="7"/>
  <c r="BG21" i="7"/>
  <c r="BF21" i="7"/>
  <c r="BE21" i="7"/>
  <c r="BD21" i="7"/>
  <c r="BC21" i="7"/>
  <c r="BB21" i="7"/>
  <c r="BA21" i="7"/>
  <c r="AZ21" i="7"/>
  <c r="AY21" i="7"/>
  <c r="AX21" i="7"/>
  <c r="AD21" i="7"/>
  <c r="AC21" i="7"/>
  <c r="AB21" i="7"/>
  <c r="AA21" i="7"/>
  <c r="Z21" i="7"/>
  <c r="Y21" i="7"/>
  <c r="X21" i="7"/>
  <c r="W21" i="7"/>
  <c r="V21" i="7"/>
  <c r="U21" i="7"/>
  <c r="BG20" i="7"/>
  <c r="BF20" i="7"/>
  <c r="BE20" i="7"/>
  <c r="BD20" i="7"/>
  <c r="BC20" i="7"/>
  <c r="BB20" i="7"/>
  <c r="BA20" i="7"/>
  <c r="AZ20" i="7"/>
  <c r="AY20" i="7"/>
  <c r="AX20" i="7"/>
  <c r="AD20" i="7"/>
  <c r="AC20" i="7"/>
  <c r="AB20" i="7"/>
  <c r="AA20" i="7"/>
  <c r="Z20" i="7"/>
  <c r="Y20" i="7"/>
  <c r="X20" i="7"/>
  <c r="W20" i="7"/>
  <c r="V20" i="7"/>
  <c r="U20" i="7"/>
  <c r="BG19" i="7"/>
  <c r="BF19" i="7"/>
  <c r="BE19" i="7"/>
  <c r="BD19" i="7"/>
  <c r="BC19" i="7"/>
  <c r="BB19" i="7"/>
  <c r="BA19" i="7"/>
  <c r="AZ19" i="7"/>
  <c r="AY19" i="7"/>
  <c r="AX19" i="7"/>
  <c r="AD19" i="7"/>
  <c r="AC19" i="7"/>
  <c r="AB19" i="7"/>
  <c r="AA19" i="7"/>
  <c r="Z19" i="7"/>
  <c r="Y19" i="7"/>
  <c r="X19" i="7"/>
  <c r="W19" i="7"/>
  <c r="V19" i="7"/>
  <c r="U19" i="7"/>
  <c r="BG18" i="7"/>
  <c r="BF18" i="7"/>
  <c r="BE18" i="7"/>
  <c r="BD18" i="7"/>
  <c r="BC18" i="7"/>
  <c r="BB18" i="7"/>
  <c r="BA18" i="7"/>
  <c r="AZ18" i="7"/>
  <c r="AY18" i="7"/>
  <c r="AX18" i="7"/>
  <c r="AD18" i="7"/>
  <c r="AC18" i="7"/>
  <c r="AB18" i="7"/>
  <c r="AA18" i="7"/>
  <c r="Z18" i="7"/>
  <c r="Y18" i="7"/>
  <c r="X18" i="7"/>
  <c r="W18" i="7"/>
  <c r="V18" i="7"/>
  <c r="U18" i="7"/>
  <c r="BG17" i="7"/>
  <c r="BF17" i="7"/>
  <c r="BE17" i="7"/>
  <c r="BD17" i="7"/>
  <c r="BC17" i="7"/>
  <c r="BB17" i="7"/>
  <c r="BA17" i="7"/>
  <c r="AZ17" i="7"/>
  <c r="AY17" i="7"/>
  <c r="AX17" i="7"/>
  <c r="AD17" i="7"/>
  <c r="AC17" i="7"/>
  <c r="AB17" i="7"/>
  <c r="AA17" i="7"/>
  <c r="Z17" i="7"/>
  <c r="Y17" i="7"/>
  <c r="X17" i="7"/>
  <c r="W17" i="7"/>
  <c r="V17" i="7"/>
  <c r="U17" i="7"/>
  <c r="BG16" i="7"/>
  <c r="BF16" i="7"/>
  <c r="BE16" i="7"/>
  <c r="BD16" i="7"/>
  <c r="BC16" i="7"/>
  <c r="BB16" i="7"/>
  <c r="BA16" i="7"/>
  <c r="AZ16" i="7"/>
  <c r="AY16" i="7"/>
  <c r="AX16" i="7"/>
  <c r="AD16" i="7"/>
  <c r="AC16" i="7"/>
  <c r="AB16" i="7"/>
  <c r="AA16" i="7"/>
  <c r="Z16" i="7"/>
  <c r="Y16" i="7"/>
  <c r="X16" i="7"/>
  <c r="W16" i="7"/>
  <c r="V16" i="7"/>
  <c r="U16" i="7"/>
  <c r="BG15" i="7"/>
  <c r="BF15" i="7"/>
  <c r="BE15" i="7"/>
  <c r="BD15" i="7"/>
  <c r="BC15" i="7"/>
  <c r="BB15" i="7"/>
  <c r="BA15" i="7"/>
  <c r="AZ15" i="7"/>
  <c r="AY15" i="7"/>
  <c r="AX15" i="7"/>
  <c r="AD15" i="7"/>
  <c r="AC15" i="7"/>
  <c r="AB15" i="7"/>
  <c r="AA15" i="7"/>
  <c r="Z15" i="7"/>
  <c r="Y15" i="7"/>
  <c r="X15" i="7"/>
  <c r="W15" i="7"/>
  <c r="V15" i="7"/>
  <c r="U15" i="7"/>
  <c r="BG14" i="7"/>
  <c r="BF14" i="7"/>
  <c r="BE14" i="7"/>
  <c r="BD14" i="7"/>
  <c r="BC14" i="7"/>
  <c r="BB14" i="7"/>
  <c r="BA14" i="7"/>
  <c r="AZ14" i="7"/>
  <c r="AY14" i="7"/>
  <c r="AX14" i="7"/>
  <c r="AD14" i="7"/>
  <c r="AD12" i="7" s="1"/>
  <c r="AC14" i="7"/>
  <c r="AB14" i="7"/>
  <c r="AA14" i="7"/>
  <c r="Z14" i="7"/>
  <c r="Y14" i="7"/>
  <c r="X14" i="7"/>
  <c r="W14" i="7"/>
  <c r="V14" i="7"/>
  <c r="U14" i="7"/>
  <c r="BG13" i="7"/>
  <c r="BF13" i="7"/>
  <c r="BE13" i="7"/>
  <c r="BD13" i="7"/>
  <c r="BC13" i="7"/>
  <c r="BB13" i="7"/>
  <c r="BA13" i="7"/>
  <c r="AZ13" i="7"/>
  <c r="AY13" i="7"/>
  <c r="AX13" i="7"/>
  <c r="O13" i="7"/>
  <c r="N13" i="7"/>
  <c r="M13" i="7"/>
  <c r="L13" i="7"/>
  <c r="K13" i="7"/>
  <c r="J13" i="7"/>
  <c r="I13" i="7"/>
  <c r="H13" i="7"/>
  <c r="G13" i="7"/>
  <c r="F13" i="7"/>
  <c r="AU12" i="7"/>
  <c r="AT12" i="7"/>
  <c r="AS12" i="7"/>
  <c r="AR12" i="7"/>
  <c r="AQ12" i="7"/>
  <c r="AP12" i="7"/>
  <c r="AO12" i="7"/>
  <c r="AN12" i="7"/>
  <c r="AM12" i="7"/>
  <c r="AL12" i="7"/>
  <c r="AF12" i="7"/>
  <c r="BG63" i="6"/>
  <c r="BF63" i="6"/>
  <c r="BE63" i="6"/>
  <c r="BD63" i="6"/>
  <c r="BC63" i="6"/>
  <c r="BB63" i="6"/>
  <c r="BA63" i="6"/>
  <c r="AZ63" i="6"/>
  <c r="AY63" i="6"/>
  <c r="AX63" i="6"/>
  <c r="AV63" i="6"/>
  <c r="AW63" i="6" s="1"/>
  <c r="AD63" i="6"/>
  <c r="AC63" i="6"/>
  <c r="AB63" i="6"/>
  <c r="AA63" i="6"/>
  <c r="Z63" i="6"/>
  <c r="Y63" i="6"/>
  <c r="X63" i="6"/>
  <c r="W63" i="6"/>
  <c r="V63" i="6"/>
  <c r="U63" i="6"/>
  <c r="BG62" i="6"/>
  <c r="BF62" i="6"/>
  <c r="BE62" i="6"/>
  <c r="BD62" i="6"/>
  <c r="BC62" i="6"/>
  <c r="BB62" i="6"/>
  <c r="BA62" i="6"/>
  <c r="AZ62" i="6"/>
  <c r="AY62" i="6"/>
  <c r="AX62" i="6"/>
  <c r="AV62" i="6"/>
  <c r="BN62" i="6" s="1"/>
  <c r="AD62" i="6"/>
  <c r="AC62" i="6"/>
  <c r="AB62" i="6"/>
  <c r="AA62" i="6"/>
  <c r="Z62" i="6"/>
  <c r="Y62" i="6"/>
  <c r="X62" i="6"/>
  <c r="W62" i="6"/>
  <c r="V62" i="6"/>
  <c r="U62" i="6"/>
  <c r="BG61" i="6"/>
  <c r="BF61" i="6"/>
  <c r="BE61" i="6"/>
  <c r="BD61" i="6"/>
  <c r="BC61" i="6"/>
  <c r="BB61" i="6"/>
  <c r="BA61" i="6"/>
  <c r="AZ61" i="6"/>
  <c r="AY61" i="6"/>
  <c r="AX61" i="6"/>
  <c r="AV61" i="6"/>
  <c r="BN61" i="6" s="1"/>
  <c r="AD61" i="6"/>
  <c r="AC61" i="6"/>
  <c r="AB61" i="6"/>
  <c r="AA61" i="6"/>
  <c r="Z61" i="6"/>
  <c r="Y61" i="6"/>
  <c r="X61" i="6"/>
  <c r="W61" i="6"/>
  <c r="V61" i="6"/>
  <c r="U61" i="6"/>
  <c r="BG60" i="6"/>
  <c r="BF60" i="6"/>
  <c r="BE60" i="6"/>
  <c r="BD60" i="6"/>
  <c r="BC60" i="6"/>
  <c r="BB60" i="6"/>
  <c r="BA60" i="6"/>
  <c r="AZ60" i="6"/>
  <c r="AY60" i="6"/>
  <c r="AX60" i="6"/>
  <c r="AV60" i="6"/>
  <c r="BN60" i="6" s="1"/>
  <c r="AD60" i="6"/>
  <c r="AC60" i="6"/>
  <c r="AB60" i="6"/>
  <c r="AA60" i="6"/>
  <c r="Z60" i="6"/>
  <c r="Y60" i="6"/>
  <c r="X60" i="6"/>
  <c r="W60" i="6"/>
  <c r="V60" i="6"/>
  <c r="U60" i="6"/>
  <c r="BG59" i="6"/>
  <c r="BF59" i="6"/>
  <c r="BE59" i="6"/>
  <c r="BD59" i="6"/>
  <c r="BC59" i="6"/>
  <c r="BB59" i="6"/>
  <c r="BA59" i="6"/>
  <c r="AZ59" i="6"/>
  <c r="AY59" i="6"/>
  <c r="AX59" i="6"/>
  <c r="AV59" i="6"/>
  <c r="AW59" i="6" s="1"/>
  <c r="AD59" i="6"/>
  <c r="AC59" i="6"/>
  <c r="AB59" i="6"/>
  <c r="AA59" i="6"/>
  <c r="Z59" i="6"/>
  <c r="Y59" i="6"/>
  <c r="X59" i="6"/>
  <c r="W59" i="6"/>
  <c r="V59" i="6"/>
  <c r="U59" i="6"/>
  <c r="BG58" i="6"/>
  <c r="BF58" i="6"/>
  <c r="BE58" i="6"/>
  <c r="BD58" i="6"/>
  <c r="BC58" i="6"/>
  <c r="BB58" i="6"/>
  <c r="BA58" i="6"/>
  <c r="AZ58" i="6"/>
  <c r="AY58" i="6"/>
  <c r="AX58" i="6"/>
  <c r="AV58" i="6"/>
  <c r="BN58" i="6" s="1"/>
  <c r="AD58" i="6"/>
  <c r="AC58" i="6"/>
  <c r="AB58" i="6"/>
  <c r="AA58" i="6"/>
  <c r="Z58" i="6"/>
  <c r="Y58" i="6"/>
  <c r="X58" i="6"/>
  <c r="W58" i="6"/>
  <c r="V58" i="6"/>
  <c r="U58" i="6"/>
  <c r="BG57" i="6"/>
  <c r="BF57" i="6"/>
  <c r="BE57" i="6"/>
  <c r="BD57" i="6"/>
  <c r="BC57" i="6"/>
  <c r="BB57" i="6"/>
  <c r="BA57" i="6"/>
  <c r="AZ57" i="6"/>
  <c r="AY57" i="6"/>
  <c r="AX57" i="6"/>
  <c r="AV57" i="6"/>
  <c r="BN57" i="6" s="1"/>
  <c r="AD57" i="6"/>
  <c r="AC57" i="6"/>
  <c r="AB57" i="6"/>
  <c r="AA57" i="6"/>
  <c r="Z57" i="6"/>
  <c r="Y57" i="6"/>
  <c r="X57" i="6"/>
  <c r="W57" i="6"/>
  <c r="V57" i="6"/>
  <c r="U57" i="6"/>
  <c r="BG56" i="6"/>
  <c r="BF56" i="6"/>
  <c r="BE56" i="6"/>
  <c r="BD56" i="6"/>
  <c r="BC56" i="6"/>
  <c r="BB56" i="6"/>
  <c r="BA56" i="6"/>
  <c r="AZ56" i="6"/>
  <c r="AY56" i="6"/>
  <c r="AX56" i="6"/>
  <c r="AV56" i="6"/>
  <c r="BN56" i="6" s="1"/>
  <c r="AD56" i="6"/>
  <c r="AC56" i="6"/>
  <c r="AB56" i="6"/>
  <c r="AA56" i="6"/>
  <c r="Z56" i="6"/>
  <c r="Y56" i="6"/>
  <c r="X56" i="6"/>
  <c r="W56" i="6"/>
  <c r="V56" i="6"/>
  <c r="U56" i="6"/>
  <c r="BG55" i="6"/>
  <c r="BF55" i="6"/>
  <c r="BE55" i="6"/>
  <c r="BD55" i="6"/>
  <c r="BC55" i="6"/>
  <c r="BB55" i="6"/>
  <c r="BA55" i="6"/>
  <c r="AZ55" i="6"/>
  <c r="AY55" i="6"/>
  <c r="AX55" i="6"/>
  <c r="AV55" i="6"/>
  <c r="AW55" i="6" s="1"/>
  <c r="AD55" i="6"/>
  <c r="AC55" i="6"/>
  <c r="AB55" i="6"/>
  <c r="AA55" i="6"/>
  <c r="Z55" i="6"/>
  <c r="Y55" i="6"/>
  <c r="X55" i="6"/>
  <c r="W55" i="6"/>
  <c r="V55" i="6"/>
  <c r="U55" i="6"/>
  <c r="BG54" i="6"/>
  <c r="BF54" i="6"/>
  <c r="BE54" i="6"/>
  <c r="BD54" i="6"/>
  <c r="BC54" i="6"/>
  <c r="BB54" i="6"/>
  <c r="BA54" i="6"/>
  <c r="AZ54" i="6"/>
  <c r="AY54" i="6"/>
  <c r="AX54" i="6"/>
  <c r="AV54" i="6"/>
  <c r="AW54" i="6" s="1"/>
  <c r="AD54" i="6"/>
  <c r="AC54" i="6"/>
  <c r="AB54" i="6"/>
  <c r="AA54" i="6"/>
  <c r="Z54" i="6"/>
  <c r="Y54" i="6"/>
  <c r="X54" i="6"/>
  <c r="W54" i="6"/>
  <c r="V54" i="6"/>
  <c r="U54" i="6"/>
  <c r="BG53" i="6"/>
  <c r="BF53" i="6"/>
  <c r="BE53" i="6"/>
  <c r="BD53" i="6"/>
  <c r="BC53" i="6"/>
  <c r="BB53" i="6"/>
  <c r="BA53" i="6"/>
  <c r="AZ53" i="6"/>
  <c r="AY53" i="6"/>
  <c r="AX53" i="6"/>
  <c r="AV53" i="6"/>
  <c r="BN53" i="6" s="1"/>
  <c r="AD53" i="6"/>
  <c r="AC53" i="6"/>
  <c r="AB53" i="6"/>
  <c r="AA53" i="6"/>
  <c r="Z53" i="6"/>
  <c r="Y53" i="6"/>
  <c r="X53" i="6"/>
  <c r="W53" i="6"/>
  <c r="V53" i="6"/>
  <c r="U53" i="6"/>
  <c r="BG52" i="6"/>
  <c r="BF52" i="6"/>
  <c r="BE52" i="6"/>
  <c r="BD52" i="6"/>
  <c r="BC52" i="6"/>
  <c r="BB52" i="6"/>
  <c r="BA52" i="6"/>
  <c r="AZ52" i="6"/>
  <c r="AY52" i="6"/>
  <c r="AX52" i="6"/>
  <c r="AV52" i="6"/>
  <c r="BN52" i="6" s="1"/>
  <c r="AD52" i="6"/>
  <c r="AC52" i="6"/>
  <c r="AB52" i="6"/>
  <c r="AA52" i="6"/>
  <c r="Z52" i="6"/>
  <c r="Y52" i="6"/>
  <c r="X52" i="6"/>
  <c r="W52" i="6"/>
  <c r="V52" i="6"/>
  <c r="U52" i="6"/>
  <c r="BG51" i="6"/>
  <c r="BF51" i="6"/>
  <c r="BE51" i="6"/>
  <c r="BD51" i="6"/>
  <c r="BC51" i="6"/>
  <c r="BB51" i="6"/>
  <c r="BA51" i="6"/>
  <c r="AZ51" i="6"/>
  <c r="AY51" i="6"/>
  <c r="AX51" i="6"/>
  <c r="AV51" i="6"/>
  <c r="AW51" i="6" s="1"/>
  <c r="AD51" i="6"/>
  <c r="AC51" i="6"/>
  <c r="AB51" i="6"/>
  <c r="AA51" i="6"/>
  <c r="Z51" i="6"/>
  <c r="Y51" i="6"/>
  <c r="X51" i="6"/>
  <c r="W51" i="6"/>
  <c r="V51" i="6"/>
  <c r="U51" i="6"/>
  <c r="BG50" i="6"/>
  <c r="BF50" i="6"/>
  <c r="BE50" i="6"/>
  <c r="BD50" i="6"/>
  <c r="BC50" i="6"/>
  <c r="BB50" i="6"/>
  <c r="BA50" i="6"/>
  <c r="AZ50" i="6"/>
  <c r="AY50" i="6"/>
  <c r="AX50" i="6"/>
  <c r="AD50" i="6"/>
  <c r="AC50" i="6"/>
  <c r="AB50" i="6"/>
  <c r="AA50" i="6"/>
  <c r="Z50" i="6"/>
  <c r="Y50" i="6"/>
  <c r="X50" i="6"/>
  <c r="W50" i="6"/>
  <c r="V50" i="6"/>
  <c r="U50" i="6"/>
  <c r="BG49" i="6"/>
  <c r="BF49" i="6"/>
  <c r="BE49" i="6"/>
  <c r="BD49" i="6"/>
  <c r="BC49" i="6"/>
  <c r="BB49" i="6"/>
  <c r="BA49" i="6"/>
  <c r="AZ49" i="6"/>
  <c r="AY49" i="6"/>
  <c r="AX49" i="6"/>
  <c r="AD49" i="6"/>
  <c r="AC49" i="6"/>
  <c r="AB49" i="6"/>
  <c r="AA49" i="6"/>
  <c r="Z49" i="6"/>
  <c r="Y49" i="6"/>
  <c r="X49" i="6"/>
  <c r="W49" i="6"/>
  <c r="V49" i="6"/>
  <c r="U49" i="6"/>
  <c r="BG48" i="6"/>
  <c r="BF48" i="6"/>
  <c r="BE48" i="6"/>
  <c r="BD48" i="6"/>
  <c r="BC48" i="6"/>
  <c r="BB48" i="6"/>
  <c r="BA48" i="6"/>
  <c r="AZ48" i="6"/>
  <c r="AY48" i="6"/>
  <c r="AX48" i="6"/>
  <c r="AD48" i="6"/>
  <c r="AC48" i="6"/>
  <c r="AB48" i="6"/>
  <c r="AA48" i="6"/>
  <c r="Z48" i="6"/>
  <c r="Y48" i="6"/>
  <c r="X48" i="6"/>
  <c r="W48" i="6"/>
  <c r="V48" i="6"/>
  <c r="U48" i="6"/>
  <c r="BG47" i="6"/>
  <c r="BF47" i="6"/>
  <c r="BE47" i="6"/>
  <c r="BD47" i="6"/>
  <c r="BC47" i="6"/>
  <c r="BB47" i="6"/>
  <c r="BA47" i="6"/>
  <c r="AZ47" i="6"/>
  <c r="AY47" i="6"/>
  <c r="AX47" i="6"/>
  <c r="AD47" i="6"/>
  <c r="AC47" i="6"/>
  <c r="AB47" i="6"/>
  <c r="AA47" i="6"/>
  <c r="Z47" i="6"/>
  <c r="Y47" i="6"/>
  <c r="X47" i="6"/>
  <c r="W47" i="6"/>
  <c r="V47" i="6"/>
  <c r="U47" i="6"/>
  <c r="BG46" i="6"/>
  <c r="BF46" i="6"/>
  <c r="BE46" i="6"/>
  <c r="BD46" i="6"/>
  <c r="BC46" i="6"/>
  <c r="BB46" i="6"/>
  <c r="BA46" i="6"/>
  <c r="AZ46" i="6"/>
  <c r="AY46" i="6"/>
  <c r="AX46" i="6"/>
  <c r="AD46" i="6"/>
  <c r="AC46" i="6"/>
  <c r="AB46" i="6"/>
  <c r="AA46" i="6"/>
  <c r="Z46" i="6"/>
  <c r="Y46" i="6"/>
  <c r="X46" i="6"/>
  <c r="W46" i="6"/>
  <c r="V46" i="6"/>
  <c r="U46" i="6"/>
  <c r="BG45" i="6"/>
  <c r="BF45" i="6"/>
  <c r="BE45" i="6"/>
  <c r="BD45" i="6"/>
  <c r="BC45" i="6"/>
  <c r="BB45" i="6"/>
  <c r="BA45" i="6"/>
  <c r="AZ45" i="6"/>
  <c r="AY45" i="6"/>
  <c r="AX45" i="6"/>
  <c r="AD45" i="6"/>
  <c r="AC45" i="6"/>
  <c r="AB45" i="6"/>
  <c r="AA45" i="6"/>
  <c r="Z45" i="6"/>
  <c r="Y45" i="6"/>
  <c r="X45" i="6"/>
  <c r="W45" i="6"/>
  <c r="V45" i="6"/>
  <c r="U45" i="6"/>
  <c r="BG44" i="6"/>
  <c r="BF44" i="6"/>
  <c r="BE44" i="6"/>
  <c r="BD44" i="6"/>
  <c r="BC44" i="6"/>
  <c r="BB44" i="6"/>
  <c r="BA44" i="6"/>
  <c r="AZ44" i="6"/>
  <c r="AY44" i="6"/>
  <c r="AX44" i="6"/>
  <c r="AD44" i="6"/>
  <c r="AC44" i="6"/>
  <c r="AB44" i="6"/>
  <c r="AA44" i="6"/>
  <c r="Z44" i="6"/>
  <c r="Y44" i="6"/>
  <c r="X44" i="6"/>
  <c r="W44" i="6"/>
  <c r="V44" i="6"/>
  <c r="U44" i="6"/>
  <c r="BG43" i="6"/>
  <c r="BF43" i="6"/>
  <c r="BE43" i="6"/>
  <c r="BD43" i="6"/>
  <c r="BC43" i="6"/>
  <c r="BB43" i="6"/>
  <c r="BA43" i="6"/>
  <c r="AZ43" i="6"/>
  <c r="AY43" i="6"/>
  <c r="AX43" i="6"/>
  <c r="AD43" i="6"/>
  <c r="AC43" i="6"/>
  <c r="AB43" i="6"/>
  <c r="AA43" i="6"/>
  <c r="Z43" i="6"/>
  <c r="Y43" i="6"/>
  <c r="X43" i="6"/>
  <c r="W43" i="6"/>
  <c r="V43" i="6"/>
  <c r="U43" i="6"/>
  <c r="BG42" i="6"/>
  <c r="BF42" i="6"/>
  <c r="BE42" i="6"/>
  <c r="BD42" i="6"/>
  <c r="BC42" i="6"/>
  <c r="BB42" i="6"/>
  <c r="BA42" i="6"/>
  <c r="AZ42" i="6"/>
  <c r="AY42" i="6"/>
  <c r="AX42" i="6"/>
  <c r="AD42" i="6"/>
  <c r="AC42" i="6"/>
  <c r="AB42" i="6"/>
  <c r="AA42" i="6"/>
  <c r="Z42" i="6"/>
  <c r="Y42" i="6"/>
  <c r="X42" i="6"/>
  <c r="W42" i="6"/>
  <c r="V42" i="6"/>
  <c r="U42" i="6"/>
  <c r="BG41" i="6"/>
  <c r="BF41" i="6"/>
  <c r="BE41" i="6"/>
  <c r="BD41" i="6"/>
  <c r="BC41" i="6"/>
  <c r="BB41" i="6"/>
  <c r="BA41" i="6"/>
  <c r="AZ41" i="6"/>
  <c r="AY41" i="6"/>
  <c r="AX41" i="6"/>
  <c r="AD41" i="6"/>
  <c r="AC41" i="6"/>
  <c r="AB41" i="6"/>
  <c r="AA41" i="6"/>
  <c r="Z41" i="6"/>
  <c r="Y41" i="6"/>
  <c r="X41" i="6"/>
  <c r="W41" i="6"/>
  <c r="V41" i="6"/>
  <c r="U41" i="6"/>
  <c r="BG40" i="6"/>
  <c r="BF40" i="6"/>
  <c r="BE40" i="6"/>
  <c r="BD40" i="6"/>
  <c r="BC40" i="6"/>
  <c r="BB40" i="6"/>
  <c r="BA40" i="6"/>
  <c r="AZ40" i="6"/>
  <c r="AY40" i="6"/>
  <c r="AX40" i="6"/>
  <c r="AD40" i="6"/>
  <c r="AC40" i="6"/>
  <c r="AB40" i="6"/>
  <c r="AA40" i="6"/>
  <c r="Z40" i="6"/>
  <c r="Y40" i="6"/>
  <c r="X40" i="6"/>
  <c r="W40" i="6"/>
  <c r="V40" i="6"/>
  <c r="U40" i="6"/>
  <c r="BG39" i="6"/>
  <c r="BF39" i="6"/>
  <c r="BE39" i="6"/>
  <c r="BD39" i="6"/>
  <c r="BC39" i="6"/>
  <c r="BB39" i="6"/>
  <c r="BA39" i="6"/>
  <c r="AZ39" i="6"/>
  <c r="AY39" i="6"/>
  <c r="AX39" i="6"/>
  <c r="AD39" i="6"/>
  <c r="AC39" i="6"/>
  <c r="AB39" i="6"/>
  <c r="AA39" i="6"/>
  <c r="Z39" i="6"/>
  <c r="Y39" i="6"/>
  <c r="X39" i="6"/>
  <c r="W39" i="6"/>
  <c r="V39" i="6"/>
  <c r="U39" i="6"/>
  <c r="BG38" i="6"/>
  <c r="BF38" i="6"/>
  <c r="BE38" i="6"/>
  <c r="BD38" i="6"/>
  <c r="BC38" i="6"/>
  <c r="BB38" i="6"/>
  <c r="BA38" i="6"/>
  <c r="AZ38" i="6"/>
  <c r="AY38" i="6"/>
  <c r="AX38" i="6"/>
  <c r="AD38" i="6"/>
  <c r="AC38" i="6"/>
  <c r="AB38" i="6"/>
  <c r="AA38" i="6"/>
  <c r="Z38" i="6"/>
  <c r="Y38" i="6"/>
  <c r="X38" i="6"/>
  <c r="W38" i="6"/>
  <c r="V38" i="6"/>
  <c r="U38" i="6"/>
  <c r="BG37" i="6"/>
  <c r="BF37" i="6"/>
  <c r="BE37" i="6"/>
  <c r="BD37" i="6"/>
  <c r="BC37" i="6"/>
  <c r="BB37" i="6"/>
  <c r="BA37" i="6"/>
  <c r="AZ37" i="6"/>
  <c r="AY37" i="6"/>
  <c r="AX37" i="6"/>
  <c r="AD37" i="6"/>
  <c r="AC37" i="6"/>
  <c r="AB37" i="6"/>
  <c r="AA37" i="6"/>
  <c r="Z37" i="6"/>
  <c r="Y37" i="6"/>
  <c r="X37" i="6"/>
  <c r="W37" i="6"/>
  <c r="V37" i="6"/>
  <c r="U37" i="6"/>
  <c r="BG36" i="6"/>
  <c r="BF36" i="6"/>
  <c r="BE36" i="6"/>
  <c r="BD36" i="6"/>
  <c r="BC36" i="6"/>
  <c r="BB36" i="6"/>
  <c r="BA36" i="6"/>
  <c r="AZ36" i="6"/>
  <c r="AY36" i="6"/>
  <c r="AX36" i="6"/>
  <c r="AD36" i="6"/>
  <c r="AC36" i="6"/>
  <c r="AB36" i="6"/>
  <c r="AA36" i="6"/>
  <c r="Z36" i="6"/>
  <c r="Y36" i="6"/>
  <c r="X36" i="6"/>
  <c r="W36" i="6"/>
  <c r="V36" i="6"/>
  <c r="U36" i="6"/>
  <c r="BG35" i="6"/>
  <c r="BF35" i="6"/>
  <c r="BE35" i="6"/>
  <c r="BD35" i="6"/>
  <c r="BC35" i="6"/>
  <c r="BB35" i="6"/>
  <c r="BA35" i="6"/>
  <c r="AZ35" i="6"/>
  <c r="AY35" i="6"/>
  <c r="AX35" i="6"/>
  <c r="AD35" i="6"/>
  <c r="AC35" i="6"/>
  <c r="AB35" i="6"/>
  <c r="AA35" i="6"/>
  <c r="Z35" i="6"/>
  <c r="Y35" i="6"/>
  <c r="X35" i="6"/>
  <c r="W35" i="6"/>
  <c r="V35" i="6"/>
  <c r="U35" i="6"/>
  <c r="BG34" i="6"/>
  <c r="BF34" i="6"/>
  <c r="BE34" i="6"/>
  <c r="BD34" i="6"/>
  <c r="BC34" i="6"/>
  <c r="BB34" i="6"/>
  <c r="BA34" i="6"/>
  <c r="AZ34" i="6"/>
  <c r="AY34" i="6"/>
  <c r="AX34" i="6"/>
  <c r="AD34" i="6"/>
  <c r="AC34" i="6"/>
  <c r="AB34" i="6"/>
  <c r="AA34" i="6"/>
  <c r="Z34" i="6"/>
  <c r="Y34" i="6"/>
  <c r="X34" i="6"/>
  <c r="W34" i="6"/>
  <c r="V34" i="6"/>
  <c r="U34" i="6"/>
  <c r="BG33" i="6"/>
  <c r="BF33" i="6"/>
  <c r="BE33" i="6"/>
  <c r="BD33" i="6"/>
  <c r="BC33" i="6"/>
  <c r="BB33" i="6"/>
  <c r="BA33" i="6"/>
  <c r="AZ33" i="6"/>
  <c r="AY33" i="6"/>
  <c r="AX33" i="6"/>
  <c r="AD33" i="6"/>
  <c r="AC33" i="6"/>
  <c r="AB33" i="6"/>
  <c r="AA33" i="6"/>
  <c r="Z33" i="6"/>
  <c r="Y33" i="6"/>
  <c r="X33" i="6"/>
  <c r="W33" i="6"/>
  <c r="V33" i="6"/>
  <c r="U33" i="6"/>
  <c r="BG32" i="6"/>
  <c r="BF32" i="6"/>
  <c r="BE32" i="6"/>
  <c r="BD32" i="6"/>
  <c r="BC32" i="6"/>
  <c r="BB32" i="6"/>
  <c r="BA32" i="6"/>
  <c r="AZ32" i="6"/>
  <c r="AY32" i="6"/>
  <c r="AX32" i="6"/>
  <c r="AD32" i="6"/>
  <c r="AC32" i="6"/>
  <c r="AB32" i="6"/>
  <c r="AA32" i="6"/>
  <c r="Z32" i="6"/>
  <c r="Y32" i="6"/>
  <c r="X32" i="6"/>
  <c r="W32" i="6"/>
  <c r="V32" i="6"/>
  <c r="U32" i="6"/>
  <c r="BG31" i="6"/>
  <c r="BF31" i="6"/>
  <c r="BE31" i="6"/>
  <c r="BD31" i="6"/>
  <c r="BC31" i="6"/>
  <c r="BB31" i="6"/>
  <c r="BA31" i="6"/>
  <c r="AZ31" i="6"/>
  <c r="AY31" i="6"/>
  <c r="AX31" i="6"/>
  <c r="AD31" i="6"/>
  <c r="AC31" i="6"/>
  <c r="AB31" i="6"/>
  <c r="AA31" i="6"/>
  <c r="Z31" i="6"/>
  <c r="Y31" i="6"/>
  <c r="X31" i="6"/>
  <c r="W31" i="6"/>
  <c r="V31" i="6"/>
  <c r="U31" i="6"/>
  <c r="BG30" i="6"/>
  <c r="BF30" i="6"/>
  <c r="BE30" i="6"/>
  <c r="BD30" i="6"/>
  <c r="BC30" i="6"/>
  <c r="BB30" i="6"/>
  <c r="BA30" i="6"/>
  <c r="AZ30" i="6"/>
  <c r="AY30" i="6"/>
  <c r="AX30" i="6"/>
  <c r="AD30" i="6"/>
  <c r="AC30" i="6"/>
  <c r="AB30" i="6"/>
  <c r="AA30" i="6"/>
  <c r="Z30" i="6"/>
  <c r="Y30" i="6"/>
  <c r="X30" i="6"/>
  <c r="W30" i="6"/>
  <c r="V30" i="6"/>
  <c r="U30" i="6"/>
  <c r="BG29" i="6"/>
  <c r="BF29" i="6"/>
  <c r="BE29" i="6"/>
  <c r="BD29" i="6"/>
  <c r="BC29" i="6"/>
  <c r="BB29" i="6"/>
  <c r="BA29" i="6"/>
  <c r="AZ29" i="6"/>
  <c r="AY29" i="6"/>
  <c r="AX29" i="6"/>
  <c r="AD29" i="6"/>
  <c r="AC29" i="6"/>
  <c r="AB29" i="6"/>
  <c r="AA29" i="6"/>
  <c r="Z29" i="6"/>
  <c r="Y29" i="6"/>
  <c r="X29" i="6"/>
  <c r="W29" i="6"/>
  <c r="V29" i="6"/>
  <c r="U29" i="6"/>
  <c r="BG28" i="6"/>
  <c r="BF28" i="6"/>
  <c r="BE28" i="6"/>
  <c r="BD28" i="6"/>
  <c r="BC28" i="6"/>
  <c r="BB28" i="6"/>
  <c r="BA28" i="6"/>
  <c r="AZ28" i="6"/>
  <c r="AY28" i="6"/>
  <c r="AX28" i="6"/>
  <c r="AD28" i="6"/>
  <c r="AC28" i="6"/>
  <c r="AB28" i="6"/>
  <c r="AA28" i="6"/>
  <c r="Z28" i="6"/>
  <c r="Y28" i="6"/>
  <c r="X28" i="6"/>
  <c r="W28" i="6"/>
  <c r="V28" i="6"/>
  <c r="U28" i="6"/>
  <c r="BG27" i="6"/>
  <c r="BF27" i="6"/>
  <c r="BE27" i="6"/>
  <c r="BD27" i="6"/>
  <c r="BC27" i="6"/>
  <c r="BB27" i="6"/>
  <c r="BA27" i="6"/>
  <c r="AZ27" i="6"/>
  <c r="AY27" i="6"/>
  <c r="AX27" i="6"/>
  <c r="AD27" i="6"/>
  <c r="AC27" i="6"/>
  <c r="AB27" i="6"/>
  <c r="AA27" i="6"/>
  <c r="Z27" i="6"/>
  <c r="Y27" i="6"/>
  <c r="X27" i="6"/>
  <c r="W27" i="6"/>
  <c r="V27" i="6"/>
  <c r="U27" i="6"/>
  <c r="BG26" i="6"/>
  <c r="BF26" i="6"/>
  <c r="BE26" i="6"/>
  <c r="BD26" i="6"/>
  <c r="BC26" i="6"/>
  <c r="BB26" i="6"/>
  <c r="BA26" i="6"/>
  <c r="AZ26" i="6"/>
  <c r="AY26" i="6"/>
  <c r="AX26" i="6"/>
  <c r="AD26" i="6"/>
  <c r="AC26" i="6"/>
  <c r="AB26" i="6"/>
  <c r="AA26" i="6"/>
  <c r="Z26" i="6"/>
  <c r="Y26" i="6"/>
  <c r="X26" i="6"/>
  <c r="W26" i="6"/>
  <c r="V26" i="6"/>
  <c r="U26" i="6"/>
  <c r="BG25" i="6"/>
  <c r="BF25" i="6"/>
  <c r="BE25" i="6"/>
  <c r="BD25" i="6"/>
  <c r="BC25" i="6"/>
  <c r="BB25" i="6"/>
  <c r="BA25" i="6"/>
  <c r="AZ25" i="6"/>
  <c r="AY25" i="6"/>
  <c r="AX25" i="6"/>
  <c r="AD25" i="6"/>
  <c r="AC25" i="6"/>
  <c r="AB25" i="6"/>
  <c r="AA25" i="6"/>
  <c r="Z25" i="6"/>
  <c r="Y25" i="6"/>
  <c r="X25" i="6"/>
  <c r="W25" i="6"/>
  <c r="V25" i="6"/>
  <c r="U25" i="6"/>
  <c r="BG24" i="6"/>
  <c r="BF24" i="6"/>
  <c r="BE24" i="6"/>
  <c r="BD24" i="6"/>
  <c r="BC24" i="6"/>
  <c r="BB24" i="6"/>
  <c r="BA24" i="6"/>
  <c r="AZ24" i="6"/>
  <c r="AY24" i="6"/>
  <c r="AX24" i="6"/>
  <c r="AD24" i="6"/>
  <c r="AC24" i="6"/>
  <c r="AB24" i="6"/>
  <c r="AA24" i="6"/>
  <c r="Z24" i="6"/>
  <c r="Y24" i="6"/>
  <c r="X24" i="6"/>
  <c r="W24" i="6"/>
  <c r="V24" i="6"/>
  <c r="U24" i="6"/>
  <c r="BG23" i="6"/>
  <c r="BF23" i="6"/>
  <c r="BE23" i="6"/>
  <c r="BD23" i="6"/>
  <c r="BC23" i="6"/>
  <c r="BB23" i="6"/>
  <c r="BA23" i="6"/>
  <c r="AZ23" i="6"/>
  <c r="AY23" i="6"/>
  <c r="AX23" i="6"/>
  <c r="AD23" i="6"/>
  <c r="AC23" i="6"/>
  <c r="AB23" i="6"/>
  <c r="AA23" i="6"/>
  <c r="Z23" i="6"/>
  <c r="Y23" i="6"/>
  <c r="X23" i="6"/>
  <c r="W23" i="6"/>
  <c r="V23" i="6"/>
  <c r="U23" i="6"/>
  <c r="BG22" i="6"/>
  <c r="BF22" i="6"/>
  <c r="BE22" i="6"/>
  <c r="BD22" i="6"/>
  <c r="BC22" i="6"/>
  <c r="BB22" i="6"/>
  <c r="BA22" i="6"/>
  <c r="AZ22" i="6"/>
  <c r="AY22" i="6"/>
  <c r="AX22" i="6"/>
  <c r="AD22" i="6"/>
  <c r="AC22" i="6"/>
  <c r="AB22" i="6"/>
  <c r="AA22" i="6"/>
  <c r="Z22" i="6"/>
  <c r="Y22" i="6"/>
  <c r="X22" i="6"/>
  <c r="W22" i="6"/>
  <c r="V22" i="6"/>
  <c r="U22" i="6"/>
  <c r="BG21" i="6"/>
  <c r="BF21" i="6"/>
  <c r="BE21" i="6"/>
  <c r="BD21" i="6"/>
  <c r="BC21" i="6"/>
  <c r="BB21" i="6"/>
  <c r="BA21" i="6"/>
  <c r="AZ21" i="6"/>
  <c r="AY21" i="6"/>
  <c r="AX21" i="6"/>
  <c r="AD21" i="6"/>
  <c r="AC21" i="6"/>
  <c r="AB21" i="6"/>
  <c r="AA21" i="6"/>
  <c r="Z21" i="6"/>
  <c r="Y21" i="6"/>
  <c r="X21" i="6"/>
  <c r="W21" i="6"/>
  <c r="V21" i="6"/>
  <c r="U21" i="6"/>
  <c r="BG20" i="6"/>
  <c r="BF20" i="6"/>
  <c r="BE20" i="6"/>
  <c r="BD20" i="6"/>
  <c r="BC20" i="6"/>
  <c r="BB20" i="6"/>
  <c r="BA20" i="6"/>
  <c r="AZ20" i="6"/>
  <c r="AY20" i="6"/>
  <c r="AX20" i="6"/>
  <c r="AD20" i="6"/>
  <c r="AC20" i="6"/>
  <c r="AB20" i="6"/>
  <c r="AA20" i="6"/>
  <c r="Z20" i="6"/>
  <c r="Y20" i="6"/>
  <c r="X20" i="6"/>
  <c r="W20" i="6"/>
  <c r="V20" i="6"/>
  <c r="U20" i="6"/>
  <c r="BG19" i="6"/>
  <c r="BF19" i="6"/>
  <c r="BE19" i="6"/>
  <c r="BD19" i="6"/>
  <c r="BC19" i="6"/>
  <c r="BB19" i="6"/>
  <c r="BA19" i="6"/>
  <c r="AZ19" i="6"/>
  <c r="AY19" i="6"/>
  <c r="AX19" i="6"/>
  <c r="AD19" i="6"/>
  <c r="AC19" i="6"/>
  <c r="AB19" i="6"/>
  <c r="AA19" i="6"/>
  <c r="Z19" i="6"/>
  <c r="Y19" i="6"/>
  <c r="X19" i="6"/>
  <c r="W19" i="6"/>
  <c r="V19" i="6"/>
  <c r="U19" i="6"/>
  <c r="BG18" i="6"/>
  <c r="BF18" i="6"/>
  <c r="BE18" i="6"/>
  <c r="BD18" i="6"/>
  <c r="BC18" i="6"/>
  <c r="BB18" i="6"/>
  <c r="BA18" i="6"/>
  <c r="AZ18" i="6"/>
  <c r="AY18" i="6"/>
  <c r="AX18" i="6"/>
  <c r="AD18" i="6"/>
  <c r="AC18" i="6"/>
  <c r="AB18" i="6"/>
  <c r="AA18" i="6"/>
  <c r="Z18" i="6"/>
  <c r="Y18" i="6"/>
  <c r="X18" i="6"/>
  <c r="W18" i="6"/>
  <c r="V18" i="6"/>
  <c r="U18" i="6"/>
  <c r="BG17" i="6"/>
  <c r="BF17" i="6"/>
  <c r="BE17" i="6"/>
  <c r="BD17" i="6"/>
  <c r="BC17" i="6"/>
  <c r="BB17" i="6"/>
  <c r="BA17" i="6"/>
  <c r="AZ17" i="6"/>
  <c r="AY17" i="6"/>
  <c r="AX17" i="6"/>
  <c r="AD17" i="6"/>
  <c r="AC17" i="6"/>
  <c r="AB17" i="6"/>
  <c r="AA17" i="6"/>
  <c r="Z17" i="6"/>
  <c r="Y17" i="6"/>
  <c r="X17" i="6"/>
  <c r="W17" i="6"/>
  <c r="V17" i="6"/>
  <c r="U17" i="6"/>
  <c r="BG16" i="6"/>
  <c r="BF16" i="6"/>
  <c r="BE16" i="6"/>
  <c r="BD16" i="6"/>
  <c r="BC16" i="6"/>
  <c r="BB16" i="6"/>
  <c r="BA16" i="6"/>
  <c r="AZ16" i="6"/>
  <c r="AY16" i="6"/>
  <c r="AX16" i="6"/>
  <c r="AD16" i="6"/>
  <c r="AC16" i="6"/>
  <c r="AB16" i="6"/>
  <c r="AA16" i="6"/>
  <c r="Z16" i="6"/>
  <c r="Y16" i="6"/>
  <c r="X16" i="6"/>
  <c r="W16" i="6"/>
  <c r="V16" i="6"/>
  <c r="U16" i="6"/>
  <c r="BG15" i="6"/>
  <c r="BF15" i="6"/>
  <c r="BE15" i="6"/>
  <c r="BD15" i="6"/>
  <c r="BC15" i="6"/>
  <c r="BB15" i="6"/>
  <c r="BA15" i="6"/>
  <c r="AZ15" i="6"/>
  <c r="AY15" i="6"/>
  <c r="AX15" i="6"/>
  <c r="AD15" i="6"/>
  <c r="AC15" i="6"/>
  <c r="AB15" i="6"/>
  <c r="AA15" i="6"/>
  <c r="Z15" i="6"/>
  <c r="Y15" i="6"/>
  <c r="X15" i="6"/>
  <c r="W15" i="6"/>
  <c r="V15" i="6"/>
  <c r="U15" i="6"/>
  <c r="BG14" i="6"/>
  <c r="BF14" i="6"/>
  <c r="BE14" i="6"/>
  <c r="BD14" i="6"/>
  <c r="BC14" i="6"/>
  <c r="BB14" i="6"/>
  <c r="BA14" i="6"/>
  <c r="AZ14" i="6"/>
  <c r="AY14" i="6"/>
  <c r="AX14" i="6"/>
  <c r="AD14" i="6"/>
  <c r="AC14" i="6"/>
  <c r="AB14" i="6"/>
  <c r="AA14" i="6"/>
  <c r="Z14" i="6"/>
  <c r="Y14" i="6"/>
  <c r="X14" i="6"/>
  <c r="W14" i="6"/>
  <c r="V14" i="6"/>
  <c r="U14" i="6"/>
  <c r="BG13" i="6"/>
  <c r="BF13" i="6"/>
  <c r="BE13" i="6"/>
  <c r="BD13" i="6"/>
  <c r="BC13" i="6"/>
  <c r="BB13" i="6"/>
  <c r="BA13" i="6"/>
  <c r="AZ13" i="6"/>
  <c r="AY13" i="6"/>
  <c r="AX13" i="6"/>
  <c r="O13" i="6"/>
  <c r="N13" i="6"/>
  <c r="M13" i="6"/>
  <c r="L13" i="6"/>
  <c r="K13" i="6"/>
  <c r="J13" i="6"/>
  <c r="I13" i="6"/>
  <c r="H13" i="6"/>
  <c r="G13" i="6"/>
  <c r="F13" i="6"/>
  <c r="AU12" i="6"/>
  <c r="AT12" i="6"/>
  <c r="AS12" i="6"/>
  <c r="AR12" i="6"/>
  <c r="AQ12" i="6"/>
  <c r="AP12" i="6"/>
  <c r="AO12" i="6"/>
  <c r="AN12" i="6"/>
  <c r="AM12" i="6"/>
  <c r="AL12" i="6"/>
  <c r="AF12" i="6"/>
  <c r="BG63" i="5"/>
  <c r="BF63" i="5"/>
  <c r="BE63" i="5"/>
  <c r="BD63" i="5"/>
  <c r="BC63" i="5"/>
  <c r="BB63" i="5"/>
  <c r="BA63" i="5"/>
  <c r="AZ63" i="5"/>
  <c r="AY63" i="5"/>
  <c r="AX63" i="5"/>
  <c r="AV63" i="5"/>
  <c r="BN63" i="5" s="1"/>
  <c r="AD63" i="5"/>
  <c r="AC63" i="5"/>
  <c r="AB63" i="5"/>
  <c r="AA63" i="5"/>
  <c r="Z63" i="5"/>
  <c r="Y63" i="5"/>
  <c r="X63" i="5"/>
  <c r="W63" i="5"/>
  <c r="V63" i="5"/>
  <c r="U63" i="5"/>
  <c r="BG62" i="5"/>
  <c r="BF62" i="5"/>
  <c r="BE62" i="5"/>
  <c r="BD62" i="5"/>
  <c r="BC62" i="5"/>
  <c r="BB62" i="5"/>
  <c r="BA62" i="5"/>
  <c r="AZ62" i="5"/>
  <c r="AY62" i="5"/>
  <c r="AX62" i="5"/>
  <c r="AV62" i="5"/>
  <c r="BN62" i="5" s="1"/>
  <c r="AD62" i="5"/>
  <c r="AC62" i="5"/>
  <c r="AB62" i="5"/>
  <c r="AA62" i="5"/>
  <c r="Z62" i="5"/>
  <c r="Y62" i="5"/>
  <c r="X62" i="5"/>
  <c r="W62" i="5"/>
  <c r="V62" i="5"/>
  <c r="U62" i="5"/>
  <c r="BG61" i="5"/>
  <c r="BF61" i="5"/>
  <c r="BE61" i="5"/>
  <c r="BD61" i="5"/>
  <c r="BC61" i="5"/>
  <c r="BB61" i="5"/>
  <c r="BA61" i="5"/>
  <c r="AZ61" i="5"/>
  <c r="AY61" i="5"/>
  <c r="AX61" i="5"/>
  <c r="AV61" i="5"/>
  <c r="BN61" i="5" s="1"/>
  <c r="AD61" i="5"/>
  <c r="AC61" i="5"/>
  <c r="AB61" i="5"/>
  <c r="AA61" i="5"/>
  <c r="Z61" i="5"/>
  <c r="Y61" i="5"/>
  <c r="X61" i="5"/>
  <c r="W61" i="5"/>
  <c r="V61" i="5"/>
  <c r="U61" i="5"/>
  <c r="BG60" i="5"/>
  <c r="BF60" i="5"/>
  <c r="BE60" i="5"/>
  <c r="BD60" i="5"/>
  <c r="BC60" i="5"/>
  <c r="BB60" i="5"/>
  <c r="BA60" i="5"/>
  <c r="AZ60" i="5"/>
  <c r="AY60" i="5"/>
  <c r="AX60" i="5"/>
  <c r="AV60" i="5"/>
  <c r="AD60" i="5"/>
  <c r="AC60" i="5"/>
  <c r="AB60" i="5"/>
  <c r="AA60" i="5"/>
  <c r="Z60" i="5"/>
  <c r="Y60" i="5"/>
  <c r="X60" i="5"/>
  <c r="W60" i="5"/>
  <c r="V60" i="5"/>
  <c r="U60" i="5"/>
  <c r="BG59" i="5"/>
  <c r="BF59" i="5"/>
  <c r="BE59" i="5"/>
  <c r="BD59" i="5"/>
  <c r="BC59" i="5"/>
  <c r="BB59" i="5"/>
  <c r="BA59" i="5"/>
  <c r="AZ59" i="5"/>
  <c r="AY59" i="5"/>
  <c r="AX59" i="5"/>
  <c r="AV59" i="5"/>
  <c r="BN59" i="5" s="1"/>
  <c r="AD59" i="5"/>
  <c r="AC59" i="5"/>
  <c r="AB59" i="5"/>
  <c r="AA59" i="5"/>
  <c r="Z59" i="5"/>
  <c r="Y59" i="5"/>
  <c r="X59" i="5"/>
  <c r="W59" i="5"/>
  <c r="V59" i="5"/>
  <c r="U59" i="5"/>
  <c r="BG58" i="5"/>
  <c r="BF58" i="5"/>
  <c r="BE58" i="5"/>
  <c r="BD58" i="5"/>
  <c r="BC58" i="5"/>
  <c r="BB58" i="5"/>
  <c r="BA58" i="5"/>
  <c r="AZ58" i="5"/>
  <c r="AY58" i="5"/>
  <c r="AX58" i="5"/>
  <c r="AV58" i="5"/>
  <c r="BN58" i="5" s="1"/>
  <c r="AD58" i="5"/>
  <c r="AC58" i="5"/>
  <c r="AB58" i="5"/>
  <c r="AA58" i="5"/>
  <c r="Z58" i="5"/>
  <c r="Y58" i="5"/>
  <c r="X58" i="5"/>
  <c r="W58" i="5"/>
  <c r="V58" i="5"/>
  <c r="U58" i="5"/>
  <c r="AF58" i="5" s="1"/>
  <c r="BG57" i="5"/>
  <c r="BF57" i="5"/>
  <c r="BE57" i="5"/>
  <c r="BD57" i="5"/>
  <c r="BC57" i="5"/>
  <c r="BB57" i="5"/>
  <c r="BA57" i="5"/>
  <c r="AZ57" i="5"/>
  <c r="BH57" i="5" s="1"/>
  <c r="AY57" i="5"/>
  <c r="AX57" i="5"/>
  <c r="AV57" i="5"/>
  <c r="BN57" i="5" s="1"/>
  <c r="AD57" i="5"/>
  <c r="AC57" i="5"/>
  <c r="AB57" i="5"/>
  <c r="AA57" i="5"/>
  <c r="Z57" i="5"/>
  <c r="Y57" i="5"/>
  <c r="X57" i="5"/>
  <c r="W57" i="5"/>
  <c r="V57" i="5"/>
  <c r="P57" i="5" s="1"/>
  <c r="U57" i="5"/>
  <c r="BG56" i="5"/>
  <c r="BF56" i="5"/>
  <c r="BE56" i="5"/>
  <c r="BD56" i="5"/>
  <c r="BC56" i="5"/>
  <c r="BB56" i="5"/>
  <c r="BA56" i="5"/>
  <c r="AZ56" i="5"/>
  <c r="AY56" i="5"/>
  <c r="AX56" i="5"/>
  <c r="AV56" i="5"/>
  <c r="AW56" i="5" s="1"/>
  <c r="AD56" i="5"/>
  <c r="AC56" i="5"/>
  <c r="AB56" i="5"/>
  <c r="AA56" i="5"/>
  <c r="Z56" i="5"/>
  <c r="Y56" i="5"/>
  <c r="X56" i="5"/>
  <c r="W56" i="5"/>
  <c r="V56" i="5"/>
  <c r="U56" i="5"/>
  <c r="BG55" i="5"/>
  <c r="BF55" i="5"/>
  <c r="BE55" i="5"/>
  <c r="BD55" i="5"/>
  <c r="BC55" i="5"/>
  <c r="BB55" i="5"/>
  <c r="BA55" i="5"/>
  <c r="AZ55" i="5"/>
  <c r="AY55" i="5"/>
  <c r="AX55" i="5"/>
  <c r="AV55" i="5"/>
  <c r="BN55" i="5" s="1"/>
  <c r="AD55" i="5"/>
  <c r="AC55" i="5"/>
  <c r="AB55" i="5"/>
  <c r="AA55" i="5"/>
  <c r="Z55" i="5"/>
  <c r="Y55" i="5"/>
  <c r="X55" i="5"/>
  <c r="W55" i="5"/>
  <c r="V55" i="5"/>
  <c r="U55" i="5"/>
  <c r="BG54" i="5"/>
  <c r="BF54" i="5"/>
  <c r="BE54" i="5"/>
  <c r="BD54" i="5"/>
  <c r="BC54" i="5"/>
  <c r="BB54" i="5"/>
  <c r="BA54" i="5"/>
  <c r="AZ54" i="5"/>
  <c r="AY54" i="5"/>
  <c r="AX54" i="5"/>
  <c r="AV54" i="5"/>
  <c r="AD54" i="5"/>
  <c r="AC54" i="5"/>
  <c r="AB54" i="5"/>
  <c r="AA54" i="5"/>
  <c r="Z54" i="5"/>
  <c r="Y54" i="5"/>
  <c r="X54" i="5"/>
  <c r="W54" i="5"/>
  <c r="V54" i="5"/>
  <c r="U54" i="5"/>
  <c r="BG53" i="5"/>
  <c r="BF53" i="5"/>
  <c r="BE53" i="5"/>
  <c r="BD53" i="5"/>
  <c r="BC53" i="5"/>
  <c r="BB53" i="5"/>
  <c r="BA53" i="5"/>
  <c r="AZ53" i="5"/>
  <c r="AY53" i="5"/>
  <c r="AX53" i="5"/>
  <c r="AV53" i="5"/>
  <c r="AD53" i="5"/>
  <c r="AC53" i="5"/>
  <c r="AB53" i="5"/>
  <c r="AA53" i="5"/>
  <c r="Z53" i="5"/>
  <c r="Y53" i="5"/>
  <c r="X53" i="5"/>
  <c r="W53" i="5"/>
  <c r="V53" i="5"/>
  <c r="U53" i="5"/>
  <c r="BG52" i="5"/>
  <c r="BF52" i="5"/>
  <c r="BE52" i="5"/>
  <c r="BD52" i="5"/>
  <c r="BC52" i="5"/>
  <c r="BB52" i="5"/>
  <c r="BA52" i="5"/>
  <c r="AZ52" i="5"/>
  <c r="AY52" i="5"/>
  <c r="AX52" i="5"/>
  <c r="AV52" i="5"/>
  <c r="AW52" i="5" s="1"/>
  <c r="AD52" i="5"/>
  <c r="AC52" i="5"/>
  <c r="AB52" i="5"/>
  <c r="AA52" i="5"/>
  <c r="Z52" i="5"/>
  <c r="Y52" i="5"/>
  <c r="X52" i="5"/>
  <c r="W52" i="5"/>
  <c r="V52" i="5"/>
  <c r="U52" i="5"/>
  <c r="BG51" i="5"/>
  <c r="BF51" i="5"/>
  <c r="BE51" i="5"/>
  <c r="BD51" i="5"/>
  <c r="BC51" i="5"/>
  <c r="BB51" i="5"/>
  <c r="BA51" i="5"/>
  <c r="AZ51" i="5"/>
  <c r="AY51" i="5"/>
  <c r="AX51" i="5"/>
  <c r="AV51" i="5"/>
  <c r="AW51" i="5" s="1"/>
  <c r="AD51" i="5"/>
  <c r="AC51" i="5"/>
  <c r="AB51" i="5"/>
  <c r="AA51" i="5"/>
  <c r="Z51" i="5"/>
  <c r="Y51" i="5"/>
  <c r="X51" i="5"/>
  <c r="W51" i="5"/>
  <c r="V51" i="5"/>
  <c r="U51" i="5"/>
  <c r="BG50" i="5"/>
  <c r="BF50" i="5"/>
  <c r="BE50" i="5"/>
  <c r="BD50" i="5"/>
  <c r="BC50" i="5"/>
  <c r="BB50" i="5"/>
  <c r="BA50" i="5"/>
  <c r="AZ50" i="5"/>
  <c r="AY50" i="5"/>
  <c r="AX50" i="5"/>
  <c r="AV50" i="5"/>
  <c r="BN50" i="5" s="1"/>
  <c r="AD50" i="5"/>
  <c r="AC50" i="5"/>
  <c r="AB50" i="5"/>
  <c r="AA50" i="5"/>
  <c r="Z50" i="5"/>
  <c r="Y50" i="5"/>
  <c r="X50" i="5"/>
  <c r="W50" i="5"/>
  <c r="V50" i="5"/>
  <c r="U50" i="5"/>
  <c r="BG49" i="5"/>
  <c r="BF49" i="5"/>
  <c r="BE49" i="5"/>
  <c r="BD49" i="5"/>
  <c r="BC49" i="5"/>
  <c r="BB49" i="5"/>
  <c r="BA49" i="5"/>
  <c r="AZ49" i="5"/>
  <c r="AY49" i="5"/>
  <c r="AX49" i="5"/>
  <c r="AV49" i="5"/>
  <c r="AD49" i="5"/>
  <c r="AC49" i="5"/>
  <c r="AB49" i="5"/>
  <c r="AA49" i="5"/>
  <c r="Z49" i="5"/>
  <c r="Y49" i="5"/>
  <c r="X49" i="5"/>
  <c r="W49" i="5"/>
  <c r="V49" i="5"/>
  <c r="U49" i="5"/>
  <c r="BG48" i="5"/>
  <c r="BF48" i="5"/>
  <c r="BE48" i="5"/>
  <c r="BD48" i="5"/>
  <c r="BC48" i="5"/>
  <c r="BB48" i="5"/>
  <c r="BA48" i="5"/>
  <c r="AZ48" i="5"/>
  <c r="AY48" i="5"/>
  <c r="AX48" i="5"/>
  <c r="AV48" i="5"/>
  <c r="AW48" i="5" s="1"/>
  <c r="AD48" i="5"/>
  <c r="AC48" i="5"/>
  <c r="AB48" i="5"/>
  <c r="AA48" i="5"/>
  <c r="Z48" i="5"/>
  <c r="Y48" i="5"/>
  <c r="X48" i="5"/>
  <c r="W48" i="5"/>
  <c r="V48" i="5"/>
  <c r="U48" i="5"/>
  <c r="BG47" i="5"/>
  <c r="BF47" i="5"/>
  <c r="BE47" i="5"/>
  <c r="BD47" i="5"/>
  <c r="BC47" i="5"/>
  <c r="BB47" i="5"/>
  <c r="BA47" i="5"/>
  <c r="AZ47" i="5"/>
  <c r="AY47" i="5"/>
  <c r="AX47" i="5"/>
  <c r="AV47" i="5"/>
  <c r="BN47" i="5" s="1"/>
  <c r="AD47" i="5"/>
  <c r="AC47" i="5"/>
  <c r="AB47" i="5"/>
  <c r="AA47" i="5"/>
  <c r="Z47" i="5"/>
  <c r="Y47" i="5"/>
  <c r="X47" i="5"/>
  <c r="W47" i="5"/>
  <c r="V47" i="5"/>
  <c r="U47" i="5"/>
  <c r="BG46" i="5"/>
  <c r="BF46" i="5"/>
  <c r="BE46" i="5"/>
  <c r="BD46" i="5"/>
  <c r="BC46" i="5"/>
  <c r="BB46" i="5"/>
  <c r="BA46" i="5"/>
  <c r="AZ46" i="5"/>
  <c r="AY46" i="5"/>
  <c r="AX46" i="5"/>
  <c r="AV46" i="5"/>
  <c r="AD46" i="5"/>
  <c r="AC46" i="5"/>
  <c r="AB46" i="5"/>
  <c r="AA46" i="5"/>
  <c r="Z46" i="5"/>
  <c r="Y46" i="5"/>
  <c r="X46" i="5"/>
  <c r="W46" i="5"/>
  <c r="V46" i="5"/>
  <c r="U46" i="5"/>
  <c r="BG45" i="5"/>
  <c r="BF45" i="5"/>
  <c r="BE45" i="5"/>
  <c r="BD45" i="5"/>
  <c r="BC45" i="5"/>
  <c r="BB45" i="5"/>
  <c r="BA45" i="5"/>
  <c r="AZ45" i="5"/>
  <c r="AY45" i="5"/>
  <c r="AX45" i="5"/>
  <c r="AV45" i="5"/>
  <c r="AD45" i="5"/>
  <c r="AC45" i="5"/>
  <c r="AB45" i="5"/>
  <c r="AA45" i="5"/>
  <c r="Z45" i="5"/>
  <c r="Y45" i="5"/>
  <c r="X45" i="5"/>
  <c r="W45" i="5"/>
  <c r="V45" i="5"/>
  <c r="U45" i="5"/>
  <c r="BG44" i="5"/>
  <c r="BF44" i="5"/>
  <c r="BE44" i="5"/>
  <c r="BD44" i="5"/>
  <c r="BC44" i="5"/>
  <c r="BB44" i="5"/>
  <c r="BA44" i="5"/>
  <c r="AZ44" i="5"/>
  <c r="AY44" i="5"/>
  <c r="AX44" i="5"/>
  <c r="AV44" i="5"/>
  <c r="AW44" i="5" s="1"/>
  <c r="AD44" i="5"/>
  <c r="AC44" i="5"/>
  <c r="AB44" i="5"/>
  <c r="AA44" i="5"/>
  <c r="Z44" i="5"/>
  <c r="Y44" i="5"/>
  <c r="X44" i="5"/>
  <c r="W44" i="5"/>
  <c r="V44" i="5"/>
  <c r="U44" i="5"/>
  <c r="BG43" i="5"/>
  <c r="BF43" i="5"/>
  <c r="BE43" i="5"/>
  <c r="BD43" i="5"/>
  <c r="BC43" i="5"/>
  <c r="BB43" i="5"/>
  <c r="BA43" i="5"/>
  <c r="AZ43" i="5"/>
  <c r="AY43" i="5"/>
  <c r="AX43" i="5"/>
  <c r="AV43" i="5"/>
  <c r="BN43" i="5" s="1"/>
  <c r="AD43" i="5"/>
  <c r="AC43" i="5"/>
  <c r="AB43" i="5"/>
  <c r="AA43" i="5"/>
  <c r="Z43" i="5"/>
  <c r="Y43" i="5"/>
  <c r="X43" i="5"/>
  <c r="W43" i="5"/>
  <c r="V43" i="5"/>
  <c r="U43" i="5"/>
  <c r="BG42" i="5"/>
  <c r="BF42" i="5"/>
  <c r="BE42" i="5"/>
  <c r="BD42" i="5"/>
  <c r="BC42" i="5"/>
  <c r="BB42" i="5"/>
  <c r="BA42" i="5"/>
  <c r="AZ42" i="5"/>
  <c r="AY42" i="5"/>
  <c r="AX42" i="5"/>
  <c r="AV42" i="5"/>
  <c r="BN42" i="5" s="1"/>
  <c r="AD42" i="5"/>
  <c r="AC42" i="5"/>
  <c r="AB42" i="5"/>
  <c r="AA42" i="5"/>
  <c r="Z42" i="5"/>
  <c r="Y42" i="5"/>
  <c r="X42" i="5"/>
  <c r="W42" i="5"/>
  <c r="V42" i="5"/>
  <c r="U42" i="5"/>
  <c r="BG41" i="5"/>
  <c r="BF41" i="5"/>
  <c r="BE41" i="5"/>
  <c r="BD41" i="5"/>
  <c r="BC41" i="5"/>
  <c r="BB41" i="5"/>
  <c r="BA41" i="5"/>
  <c r="AZ41" i="5"/>
  <c r="AY41" i="5"/>
  <c r="AX41" i="5"/>
  <c r="AV41" i="5"/>
  <c r="AD41" i="5"/>
  <c r="AC41" i="5"/>
  <c r="AB41" i="5"/>
  <c r="AA41" i="5"/>
  <c r="Z41" i="5"/>
  <c r="Y41" i="5"/>
  <c r="X41" i="5"/>
  <c r="W41" i="5"/>
  <c r="V41" i="5"/>
  <c r="U41" i="5"/>
  <c r="P41" i="5" s="1"/>
  <c r="BG40" i="5"/>
  <c r="BF40" i="5"/>
  <c r="BE40" i="5"/>
  <c r="BD40" i="5"/>
  <c r="BC40" i="5"/>
  <c r="BB40" i="5"/>
  <c r="BA40" i="5"/>
  <c r="AZ40" i="5"/>
  <c r="AY40" i="5"/>
  <c r="AX40" i="5"/>
  <c r="AV40" i="5"/>
  <c r="AD40" i="5"/>
  <c r="AC40" i="5"/>
  <c r="AB40" i="5"/>
  <c r="AA40" i="5"/>
  <c r="Z40" i="5"/>
  <c r="Y40" i="5"/>
  <c r="X40" i="5"/>
  <c r="W40" i="5"/>
  <c r="V40" i="5"/>
  <c r="U40" i="5"/>
  <c r="BG39" i="5"/>
  <c r="BF39" i="5"/>
  <c r="BE39" i="5"/>
  <c r="BD39" i="5"/>
  <c r="BC39" i="5"/>
  <c r="BB39" i="5"/>
  <c r="BA39" i="5"/>
  <c r="AZ39" i="5"/>
  <c r="AY39" i="5"/>
  <c r="AX39" i="5"/>
  <c r="AV39" i="5"/>
  <c r="AW39" i="5" s="1"/>
  <c r="AD39" i="5"/>
  <c r="AC39" i="5"/>
  <c r="AB39" i="5"/>
  <c r="AA39" i="5"/>
  <c r="Z39" i="5"/>
  <c r="Y39" i="5"/>
  <c r="X39" i="5"/>
  <c r="W39" i="5"/>
  <c r="V39" i="5"/>
  <c r="U39" i="5"/>
  <c r="BG38" i="5"/>
  <c r="BF38" i="5"/>
  <c r="BE38" i="5"/>
  <c r="BD38" i="5"/>
  <c r="BC38" i="5"/>
  <c r="BB38" i="5"/>
  <c r="BA38" i="5"/>
  <c r="AZ38" i="5"/>
  <c r="AY38" i="5"/>
  <c r="AX38" i="5"/>
  <c r="AV38" i="5"/>
  <c r="BN38" i="5" s="1"/>
  <c r="AD38" i="5"/>
  <c r="AC38" i="5"/>
  <c r="AB38" i="5"/>
  <c r="AA38" i="5"/>
  <c r="Z38" i="5"/>
  <c r="Y38" i="5"/>
  <c r="X38" i="5"/>
  <c r="W38" i="5"/>
  <c r="V38" i="5"/>
  <c r="U38" i="5"/>
  <c r="BG37" i="5"/>
  <c r="BF37" i="5"/>
  <c r="BE37" i="5"/>
  <c r="BD37" i="5"/>
  <c r="BC37" i="5"/>
  <c r="BB37" i="5"/>
  <c r="BA37" i="5"/>
  <c r="AZ37" i="5"/>
  <c r="AY37" i="5"/>
  <c r="AX37" i="5"/>
  <c r="AV37" i="5"/>
  <c r="BN37" i="5" s="1"/>
  <c r="AD37" i="5"/>
  <c r="AC37" i="5"/>
  <c r="AB37" i="5"/>
  <c r="AA37" i="5"/>
  <c r="Z37" i="5"/>
  <c r="Y37" i="5"/>
  <c r="X37" i="5"/>
  <c r="W37" i="5"/>
  <c r="V37" i="5"/>
  <c r="U37" i="5"/>
  <c r="BG36" i="5"/>
  <c r="BF36" i="5"/>
  <c r="BE36" i="5"/>
  <c r="BD36" i="5"/>
  <c r="BC36" i="5"/>
  <c r="BB36" i="5"/>
  <c r="BA36" i="5"/>
  <c r="AZ36" i="5"/>
  <c r="AY36" i="5"/>
  <c r="AX36" i="5"/>
  <c r="AV36" i="5"/>
  <c r="BN36" i="5" s="1"/>
  <c r="AD36" i="5"/>
  <c r="AC36" i="5"/>
  <c r="AB36" i="5"/>
  <c r="AA36" i="5"/>
  <c r="Z36" i="5"/>
  <c r="Y36" i="5"/>
  <c r="X36" i="5"/>
  <c r="W36" i="5"/>
  <c r="V36" i="5"/>
  <c r="U36" i="5"/>
  <c r="BG35" i="5"/>
  <c r="BF35" i="5"/>
  <c r="BE35" i="5"/>
  <c r="BD35" i="5"/>
  <c r="BC35" i="5"/>
  <c r="BB35" i="5"/>
  <c r="BA35" i="5"/>
  <c r="AZ35" i="5"/>
  <c r="AY35" i="5"/>
  <c r="AX35" i="5"/>
  <c r="AV35" i="5"/>
  <c r="BN35" i="5" s="1"/>
  <c r="AD35" i="5"/>
  <c r="AC35" i="5"/>
  <c r="AB35" i="5"/>
  <c r="AA35" i="5"/>
  <c r="Z35" i="5"/>
  <c r="Y35" i="5"/>
  <c r="X35" i="5"/>
  <c r="W35" i="5"/>
  <c r="V35" i="5"/>
  <c r="U35" i="5"/>
  <c r="BG34" i="5"/>
  <c r="BF34" i="5"/>
  <c r="BE34" i="5"/>
  <c r="BD34" i="5"/>
  <c r="BC34" i="5"/>
  <c r="BB34" i="5"/>
  <c r="BA34" i="5"/>
  <c r="AZ34" i="5"/>
  <c r="AY34" i="5"/>
  <c r="AX34" i="5"/>
  <c r="AV34" i="5"/>
  <c r="BN34" i="5" s="1"/>
  <c r="AD34" i="5"/>
  <c r="AC34" i="5"/>
  <c r="AB34" i="5"/>
  <c r="AA34" i="5"/>
  <c r="Z34" i="5"/>
  <c r="Y34" i="5"/>
  <c r="X34" i="5"/>
  <c r="W34" i="5"/>
  <c r="V34" i="5"/>
  <c r="U34" i="5"/>
  <c r="BG33" i="5"/>
  <c r="BF33" i="5"/>
  <c r="BE33" i="5"/>
  <c r="BD33" i="5"/>
  <c r="BC33" i="5"/>
  <c r="BB33" i="5"/>
  <c r="BA33" i="5"/>
  <c r="AZ33" i="5"/>
  <c r="AY33" i="5"/>
  <c r="AX33" i="5"/>
  <c r="AV33" i="5"/>
  <c r="AW33" i="5" s="1"/>
  <c r="AD33" i="5"/>
  <c r="AC33" i="5"/>
  <c r="AB33" i="5"/>
  <c r="AA33" i="5"/>
  <c r="Z33" i="5"/>
  <c r="Y33" i="5"/>
  <c r="X33" i="5"/>
  <c r="W33" i="5"/>
  <c r="V33" i="5"/>
  <c r="U33" i="5"/>
  <c r="BG32" i="5"/>
  <c r="BF32" i="5"/>
  <c r="BE32" i="5"/>
  <c r="BD32" i="5"/>
  <c r="BC32" i="5"/>
  <c r="BB32" i="5"/>
  <c r="BA32" i="5"/>
  <c r="AZ32" i="5"/>
  <c r="AY32" i="5"/>
  <c r="AX32" i="5"/>
  <c r="AV32" i="5"/>
  <c r="BN32" i="5" s="1"/>
  <c r="AD32" i="5"/>
  <c r="AC32" i="5"/>
  <c r="AB32" i="5"/>
  <c r="AA32" i="5"/>
  <c r="Z32" i="5"/>
  <c r="Y32" i="5"/>
  <c r="X32" i="5"/>
  <c r="W32" i="5"/>
  <c r="V32" i="5"/>
  <c r="U32" i="5"/>
  <c r="BG31" i="5"/>
  <c r="BF31" i="5"/>
  <c r="BE31" i="5"/>
  <c r="BD31" i="5"/>
  <c r="BC31" i="5"/>
  <c r="BB31" i="5"/>
  <c r="BA31" i="5"/>
  <c r="AZ31" i="5"/>
  <c r="AY31" i="5"/>
  <c r="AX31" i="5"/>
  <c r="AV31" i="5"/>
  <c r="BN31" i="5" s="1"/>
  <c r="AD31" i="5"/>
  <c r="AC31" i="5"/>
  <c r="AB31" i="5"/>
  <c r="AA31" i="5"/>
  <c r="Z31" i="5"/>
  <c r="Y31" i="5"/>
  <c r="X31" i="5"/>
  <c r="W31" i="5"/>
  <c r="V31" i="5"/>
  <c r="U31" i="5"/>
  <c r="BG30" i="5"/>
  <c r="BF30" i="5"/>
  <c r="BE30" i="5"/>
  <c r="BD30" i="5"/>
  <c r="BC30" i="5"/>
  <c r="BB30" i="5"/>
  <c r="BA30" i="5"/>
  <c r="AZ30" i="5"/>
  <c r="AY30" i="5"/>
  <c r="AX30" i="5"/>
  <c r="AV30" i="5"/>
  <c r="BN30" i="5" s="1"/>
  <c r="AD30" i="5"/>
  <c r="AC30" i="5"/>
  <c r="AB30" i="5"/>
  <c r="AA30" i="5"/>
  <c r="Z30" i="5"/>
  <c r="Y30" i="5"/>
  <c r="X30" i="5"/>
  <c r="W30" i="5"/>
  <c r="V30" i="5"/>
  <c r="U30" i="5"/>
  <c r="BG29" i="5"/>
  <c r="BF29" i="5"/>
  <c r="BE29" i="5"/>
  <c r="BD29" i="5"/>
  <c r="BC29" i="5"/>
  <c r="BB29" i="5"/>
  <c r="BA29" i="5"/>
  <c r="AZ29" i="5"/>
  <c r="AY29" i="5"/>
  <c r="AX29" i="5"/>
  <c r="AV29" i="5"/>
  <c r="BN29" i="5" s="1"/>
  <c r="AD29" i="5"/>
  <c r="AC29" i="5"/>
  <c r="AB29" i="5"/>
  <c r="AA29" i="5"/>
  <c r="Z29" i="5"/>
  <c r="Y29" i="5"/>
  <c r="X29" i="5"/>
  <c r="W29" i="5"/>
  <c r="V29" i="5"/>
  <c r="U29" i="5"/>
  <c r="BG28" i="5"/>
  <c r="BF28" i="5"/>
  <c r="BE28" i="5"/>
  <c r="BD28" i="5"/>
  <c r="BC28" i="5"/>
  <c r="BB28" i="5"/>
  <c r="BA28" i="5"/>
  <c r="AZ28" i="5"/>
  <c r="AY28" i="5"/>
  <c r="AX28" i="5"/>
  <c r="AV28" i="5"/>
  <c r="BN28" i="5" s="1"/>
  <c r="AD28" i="5"/>
  <c r="AC28" i="5"/>
  <c r="AB28" i="5"/>
  <c r="AA28" i="5"/>
  <c r="Z28" i="5"/>
  <c r="Y28" i="5"/>
  <c r="X28" i="5"/>
  <c r="W28" i="5"/>
  <c r="V28" i="5"/>
  <c r="U28" i="5"/>
  <c r="BG27" i="5"/>
  <c r="BF27" i="5"/>
  <c r="BE27" i="5"/>
  <c r="BD27" i="5"/>
  <c r="BC27" i="5"/>
  <c r="BB27" i="5"/>
  <c r="BA27" i="5"/>
  <c r="AZ27" i="5"/>
  <c r="AY27" i="5"/>
  <c r="AX27" i="5"/>
  <c r="AV27" i="5"/>
  <c r="BN27" i="5" s="1"/>
  <c r="AD27" i="5"/>
  <c r="AC27" i="5"/>
  <c r="AB27" i="5"/>
  <c r="AA27" i="5"/>
  <c r="Z27" i="5"/>
  <c r="Y27" i="5"/>
  <c r="X27" i="5"/>
  <c r="W27" i="5"/>
  <c r="V27" i="5"/>
  <c r="U27" i="5"/>
  <c r="BG26" i="5"/>
  <c r="BF26" i="5"/>
  <c r="BE26" i="5"/>
  <c r="BD26" i="5"/>
  <c r="BC26" i="5"/>
  <c r="BB26" i="5"/>
  <c r="BA26" i="5"/>
  <c r="AZ26" i="5"/>
  <c r="AY26" i="5"/>
  <c r="AX26" i="5"/>
  <c r="AV26" i="5"/>
  <c r="BN26" i="5" s="1"/>
  <c r="AD26" i="5"/>
  <c r="AC26" i="5"/>
  <c r="AB26" i="5"/>
  <c r="AA26" i="5"/>
  <c r="Z26" i="5"/>
  <c r="Y26" i="5"/>
  <c r="X26" i="5"/>
  <c r="W26" i="5"/>
  <c r="V26" i="5"/>
  <c r="U26" i="5"/>
  <c r="BG25" i="5"/>
  <c r="BF25" i="5"/>
  <c r="BE25" i="5"/>
  <c r="BD25" i="5"/>
  <c r="BC25" i="5"/>
  <c r="BB25" i="5"/>
  <c r="BA25" i="5"/>
  <c r="AZ25" i="5"/>
  <c r="AY25" i="5"/>
  <c r="AX25" i="5"/>
  <c r="AV25" i="5"/>
  <c r="AW25" i="5" s="1"/>
  <c r="AD25" i="5"/>
  <c r="AC25" i="5"/>
  <c r="AB25" i="5"/>
  <c r="AA25" i="5"/>
  <c r="Z25" i="5"/>
  <c r="Y25" i="5"/>
  <c r="X25" i="5"/>
  <c r="W25" i="5"/>
  <c r="V25" i="5"/>
  <c r="U25" i="5"/>
  <c r="BG24" i="5"/>
  <c r="BF24" i="5"/>
  <c r="BE24" i="5"/>
  <c r="BD24" i="5"/>
  <c r="BC24" i="5"/>
  <c r="BB24" i="5"/>
  <c r="BA24" i="5"/>
  <c r="AZ24" i="5"/>
  <c r="AY24" i="5"/>
  <c r="AX24" i="5"/>
  <c r="AV24" i="5"/>
  <c r="BN24" i="5" s="1"/>
  <c r="AD24" i="5"/>
  <c r="AC24" i="5"/>
  <c r="AB24" i="5"/>
  <c r="AA24" i="5"/>
  <c r="Z24" i="5"/>
  <c r="Y24" i="5"/>
  <c r="X24" i="5"/>
  <c r="W24" i="5"/>
  <c r="V24" i="5"/>
  <c r="U24" i="5"/>
  <c r="BG23" i="5"/>
  <c r="BF23" i="5"/>
  <c r="BE23" i="5"/>
  <c r="BD23" i="5"/>
  <c r="BC23" i="5"/>
  <c r="BB23" i="5"/>
  <c r="BA23" i="5"/>
  <c r="AZ23" i="5"/>
  <c r="AY23" i="5"/>
  <c r="AX23" i="5"/>
  <c r="AV23" i="5"/>
  <c r="BN23" i="5" s="1"/>
  <c r="AD23" i="5"/>
  <c r="AC23" i="5"/>
  <c r="AB23" i="5"/>
  <c r="AA23" i="5"/>
  <c r="Z23" i="5"/>
  <c r="Y23" i="5"/>
  <c r="X23" i="5"/>
  <c r="W23" i="5"/>
  <c r="V23" i="5"/>
  <c r="U23" i="5"/>
  <c r="BG22" i="5"/>
  <c r="BF22" i="5"/>
  <c r="BE22" i="5"/>
  <c r="BD22" i="5"/>
  <c r="BC22" i="5"/>
  <c r="BB22" i="5"/>
  <c r="BA22" i="5"/>
  <c r="AZ22" i="5"/>
  <c r="AY22" i="5"/>
  <c r="AX22" i="5"/>
  <c r="AV22" i="5"/>
  <c r="BN22" i="5" s="1"/>
  <c r="AD22" i="5"/>
  <c r="AC22" i="5"/>
  <c r="AB22" i="5"/>
  <c r="AA22" i="5"/>
  <c r="Z22" i="5"/>
  <c r="Y22" i="5"/>
  <c r="X22" i="5"/>
  <c r="W22" i="5"/>
  <c r="V22" i="5"/>
  <c r="U22" i="5"/>
  <c r="BG21" i="5"/>
  <c r="BF21" i="5"/>
  <c r="BE21" i="5"/>
  <c r="BD21" i="5"/>
  <c r="BC21" i="5"/>
  <c r="BB21" i="5"/>
  <c r="BA21" i="5"/>
  <c r="AZ21" i="5"/>
  <c r="AY21" i="5"/>
  <c r="AX21" i="5"/>
  <c r="AV21" i="5"/>
  <c r="BN21" i="5" s="1"/>
  <c r="AD21" i="5"/>
  <c r="AC21" i="5"/>
  <c r="AB21" i="5"/>
  <c r="AA21" i="5"/>
  <c r="Z21" i="5"/>
  <c r="Y21" i="5"/>
  <c r="X21" i="5"/>
  <c r="W21" i="5"/>
  <c r="V21" i="5"/>
  <c r="U21" i="5"/>
  <c r="BG20" i="5"/>
  <c r="BF20" i="5"/>
  <c r="BE20" i="5"/>
  <c r="BD20" i="5"/>
  <c r="BC20" i="5"/>
  <c r="BB20" i="5"/>
  <c r="BA20" i="5"/>
  <c r="AZ20" i="5"/>
  <c r="AY20" i="5"/>
  <c r="AX20" i="5"/>
  <c r="AV20" i="5"/>
  <c r="BN20" i="5" s="1"/>
  <c r="AD20" i="5"/>
  <c r="AC20" i="5"/>
  <c r="AB20" i="5"/>
  <c r="AA20" i="5"/>
  <c r="Z20" i="5"/>
  <c r="Y20" i="5"/>
  <c r="X20" i="5"/>
  <c r="W20" i="5"/>
  <c r="V20" i="5"/>
  <c r="U20" i="5"/>
  <c r="BG19" i="5"/>
  <c r="BF19" i="5"/>
  <c r="BE19" i="5"/>
  <c r="BD19" i="5"/>
  <c r="BC19" i="5"/>
  <c r="BB19" i="5"/>
  <c r="BA19" i="5"/>
  <c r="AZ19" i="5"/>
  <c r="AY19" i="5"/>
  <c r="AX19" i="5"/>
  <c r="AV19" i="5"/>
  <c r="BN19" i="5" s="1"/>
  <c r="AD19" i="5"/>
  <c r="AC19" i="5"/>
  <c r="AB19" i="5"/>
  <c r="AA19" i="5"/>
  <c r="Z19" i="5"/>
  <c r="Y19" i="5"/>
  <c r="X19" i="5"/>
  <c r="W19" i="5"/>
  <c r="V19" i="5"/>
  <c r="U19" i="5"/>
  <c r="BG18" i="5"/>
  <c r="BF18" i="5"/>
  <c r="BE18" i="5"/>
  <c r="BD18" i="5"/>
  <c r="BC18" i="5"/>
  <c r="BB18" i="5"/>
  <c r="BA18" i="5"/>
  <c r="AZ18" i="5"/>
  <c r="AY18" i="5"/>
  <c r="AX18" i="5"/>
  <c r="AV18" i="5"/>
  <c r="BN18" i="5" s="1"/>
  <c r="AD18" i="5"/>
  <c r="AC18" i="5"/>
  <c r="AB18" i="5"/>
  <c r="AA18" i="5"/>
  <c r="Z18" i="5"/>
  <c r="Y18" i="5"/>
  <c r="X18" i="5"/>
  <c r="W18" i="5"/>
  <c r="V18" i="5"/>
  <c r="U18" i="5"/>
  <c r="BG17" i="5"/>
  <c r="BF17" i="5"/>
  <c r="BE17" i="5"/>
  <c r="BD17" i="5"/>
  <c r="BC17" i="5"/>
  <c r="BB17" i="5"/>
  <c r="BA17" i="5"/>
  <c r="AZ17" i="5"/>
  <c r="AY17" i="5"/>
  <c r="AX17" i="5"/>
  <c r="AV17" i="5"/>
  <c r="AW17" i="5" s="1"/>
  <c r="AD17" i="5"/>
  <c r="AC17" i="5"/>
  <c r="AB17" i="5"/>
  <c r="AA17" i="5"/>
  <c r="Z17" i="5"/>
  <c r="Y17" i="5"/>
  <c r="X17" i="5"/>
  <c r="W17" i="5"/>
  <c r="V17" i="5"/>
  <c r="U17" i="5"/>
  <c r="BG16" i="5"/>
  <c r="BF16" i="5"/>
  <c r="BE16" i="5"/>
  <c r="BD16" i="5"/>
  <c r="BC16" i="5"/>
  <c r="BB16" i="5"/>
  <c r="BA16" i="5"/>
  <c r="AZ16" i="5"/>
  <c r="AY16" i="5"/>
  <c r="AX16" i="5"/>
  <c r="AV16" i="5"/>
  <c r="BN16" i="5" s="1"/>
  <c r="AD16" i="5"/>
  <c r="AC16" i="5"/>
  <c r="AB16" i="5"/>
  <c r="AA16" i="5"/>
  <c r="Z16" i="5"/>
  <c r="Y16" i="5"/>
  <c r="X16" i="5"/>
  <c r="W16" i="5"/>
  <c r="V16" i="5"/>
  <c r="U16" i="5"/>
  <c r="BG15" i="5"/>
  <c r="BF15" i="5"/>
  <c r="BE15" i="5"/>
  <c r="BD15" i="5"/>
  <c r="BC15" i="5"/>
  <c r="BB15" i="5"/>
  <c r="BA15" i="5"/>
  <c r="AZ15" i="5"/>
  <c r="AY15" i="5"/>
  <c r="AX15" i="5"/>
  <c r="AV15" i="5"/>
  <c r="BN15" i="5" s="1"/>
  <c r="AD15" i="5"/>
  <c r="AC15" i="5"/>
  <c r="AB15" i="5"/>
  <c r="AA15" i="5"/>
  <c r="Z15" i="5"/>
  <c r="Y15" i="5"/>
  <c r="X15" i="5"/>
  <c r="W15" i="5"/>
  <c r="V15" i="5"/>
  <c r="U15" i="5"/>
  <c r="BG14" i="5"/>
  <c r="BF14" i="5"/>
  <c r="BE14" i="5"/>
  <c r="BD14" i="5"/>
  <c r="BC14" i="5"/>
  <c r="BB14" i="5"/>
  <c r="BA14" i="5"/>
  <c r="AZ14" i="5"/>
  <c r="AY14" i="5"/>
  <c r="AX14" i="5"/>
  <c r="AV14" i="5"/>
  <c r="BN14" i="5" s="1"/>
  <c r="AD14" i="5"/>
  <c r="AC14" i="5"/>
  <c r="AB14" i="5"/>
  <c r="AA14" i="5"/>
  <c r="Z14" i="5"/>
  <c r="Y14" i="5"/>
  <c r="X14" i="5"/>
  <c r="W14" i="5"/>
  <c r="V14" i="5"/>
  <c r="U14" i="5"/>
  <c r="BG13" i="5"/>
  <c r="BF13" i="5"/>
  <c r="BE13" i="5"/>
  <c r="BD13" i="5"/>
  <c r="BC13" i="5"/>
  <c r="BB13" i="5"/>
  <c r="BA13" i="5"/>
  <c r="AZ13" i="5"/>
  <c r="AY13" i="5"/>
  <c r="AX13" i="5"/>
  <c r="O13" i="5"/>
  <c r="N13" i="5"/>
  <c r="M13" i="5"/>
  <c r="L13" i="5"/>
  <c r="K13" i="5"/>
  <c r="J13" i="5"/>
  <c r="I13" i="5"/>
  <c r="H13" i="5"/>
  <c r="G13" i="5"/>
  <c r="F13" i="5"/>
  <c r="AU12" i="5"/>
  <c r="AT12" i="5"/>
  <c r="AS12" i="5"/>
  <c r="AR12" i="5"/>
  <c r="AQ12" i="5"/>
  <c r="AP12" i="5"/>
  <c r="AO12" i="5"/>
  <c r="AN12" i="5"/>
  <c r="AM12" i="5"/>
  <c r="AL12" i="5"/>
  <c r="AF12" i="5"/>
  <c r="BG63" i="4"/>
  <c r="BF63" i="4"/>
  <c r="BE63" i="4"/>
  <c r="BD63" i="4"/>
  <c r="BC63" i="4"/>
  <c r="BB63" i="4"/>
  <c r="BA63" i="4"/>
  <c r="AZ63" i="4"/>
  <c r="AY63" i="4"/>
  <c r="AX63" i="4"/>
  <c r="AV63" i="4"/>
  <c r="BN63" i="4" s="1"/>
  <c r="AD63" i="4"/>
  <c r="AC63" i="4"/>
  <c r="AB63" i="4"/>
  <c r="AA63" i="4"/>
  <c r="Z63" i="4"/>
  <c r="Y63" i="4"/>
  <c r="X63" i="4"/>
  <c r="W63" i="4"/>
  <c r="V63" i="4"/>
  <c r="U63" i="4"/>
  <c r="BG62" i="4"/>
  <c r="BF62" i="4"/>
  <c r="BE62" i="4"/>
  <c r="BD62" i="4"/>
  <c r="BC62" i="4"/>
  <c r="BB62" i="4"/>
  <c r="BA62" i="4"/>
  <c r="AZ62" i="4"/>
  <c r="AY62" i="4"/>
  <c r="AX62" i="4"/>
  <c r="BI62" i="4" s="1"/>
  <c r="AV62" i="4"/>
  <c r="BN62" i="4" s="1"/>
  <c r="AD62" i="4"/>
  <c r="AC62" i="4"/>
  <c r="AB62" i="4"/>
  <c r="AA62" i="4"/>
  <c r="Z62" i="4"/>
  <c r="Y62" i="4"/>
  <c r="X62" i="4"/>
  <c r="W62" i="4"/>
  <c r="V62" i="4"/>
  <c r="U62" i="4"/>
  <c r="BG61" i="4"/>
  <c r="BF61" i="4"/>
  <c r="BE61" i="4"/>
  <c r="BD61" i="4"/>
  <c r="BC61" i="4"/>
  <c r="BB61" i="4"/>
  <c r="BA61" i="4"/>
  <c r="AZ61" i="4"/>
  <c r="AY61" i="4"/>
  <c r="AX61" i="4"/>
  <c r="AV61" i="4"/>
  <c r="BN61" i="4" s="1"/>
  <c r="AD61" i="4"/>
  <c r="AC61" i="4"/>
  <c r="AB61" i="4"/>
  <c r="AA61" i="4"/>
  <c r="Z61" i="4"/>
  <c r="Y61" i="4"/>
  <c r="X61" i="4"/>
  <c r="W61" i="4"/>
  <c r="V61" i="4"/>
  <c r="U61" i="4"/>
  <c r="BG60" i="4"/>
  <c r="BF60" i="4"/>
  <c r="BE60" i="4"/>
  <c r="BD60" i="4"/>
  <c r="BC60" i="4"/>
  <c r="BB60" i="4"/>
  <c r="BA60" i="4"/>
  <c r="AZ60" i="4"/>
  <c r="AY60" i="4"/>
  <c r="AX60" i="4"/>
  <c r="AV60" i="4"/>
  <c r="BN60" i="4" s="1"/>
  <c r="AD60" i="4"/>
  <c r="AC60" i="4"/>
  <c r="AB60" i="4"/>
  <c r="AA60" i="4"/>
  <c r="Z60" i="4"/>
  <c r="Y60" i="4"/>
  <c r="X60" i="4"/>
  <c r="W60" i="4"/>
  <c r="V60" i="4"/>
  <c r="U60" i="4"/>
  <c r="BG59" i="4"/>
  <c r="BF59" i="4"/>
  <c r="BE59" i="4"/>
  <c r="BD59" i="4"/>
  <c r="BC59" i="4"/>
  <c r="BB59" i="4"/>
  <c r="BA59" i="4"/>
  <c r="AZ59" i="4"/>
  <c r="AY59" i="4"/>
  <c r="AX59" i="4"/>
  <c r="AV59" i="4"/>
  <c r="BN59" i="4" s="1"/>
  <c r="AD59" i="4"/>
  <c r="AC59" i="4"/>
  <c r="AB59" i="4"/>
  <c r="AA59" i="4"/>
  <c r="Z59" i="4"/>
  <c r="Y59" i="4"/>
  <c r="X59" i="4"/>
  <c r="W59" i="4"/>
  <c r="V59" i="4"/>
  <c r="U59" i="4"/>
  <c r="BG58" i="4"/>
  <c r="BF58" i="4"/>
  <c r="BE58" i="4"/>
  <c r="BD58" i="4"/>
  <c r="BC58" i="4"/>
  <c r="BB58" i="4"/>
  <c r="BA58" i="4"/>
  <c r="AZ58" i="4"/>
  <c r="AY58" i="4"/>
  <c r="AX58" i="4"/>
  <c r="AV58" i="4"/>
  <c r="AW58" i="4" s="1"/>
  <c r="AD58" i="4"/>
  <c r="AC58" i="4"/>
  <c r="AB58" i="4"/>
  <c r="AA58" i="4"/>
  <c r="Z58" i="4"/>
  <c r="Y58" i="4"/>
  <c r="X58" i="4"/>
  <c r="W58" i="4"/>
  <c r="V58" i="4"/>
  <c r="U58" i="4"/>
  <c r="BG57" i="4"/>
  <c r="BF57" i="4"/>
  <c r="BE57" i="4"/>
  <c r="BD57" i="4"/>
  <c r="BC57" i="4"/>
  <c r="BB57" i="4"/>
  <c r="BA57" i="4"/>
  <c r="AZ57" i="4"/>
  <c r="AY57" i="4"/>
  <c r="AX57" i="4"/>
  <c r="AV57" i="4"/>
  <c r="BN57" i="4" s="1"/>
  <c r="AD57" i="4"/>
  <c r="AC57" i="4"/>
  <c r="AB57" i="4"/>
  <c r="AA57" i="4"/>
  <c r="Z57" i="4"/>
  <c r="Y57" i="4"/>
  <c r="X57" i="4"/>
  <c r="W57" i="4"/>
  <c r="V57" i="4"/>
  <c r="U57" i="4"/>
  <c r="BG56" i="4"/>
  <c r="BF56" i="4"/>
  <c r="BE56" i="4"/>
  <c r="BD56" i="4"/>
  <c r="BC56" i="4"/>
  <c r="BB56" i="4"/>
  <c r="BA56" i="4"/>
  <c r="AZ56" i="4"/>
  <c r="AY56" i="4"/>
  <c r="AX56" i="4"/>
  <c r="AV56" i="4"/>
  <c r="AW56" i="4" s="1"/>
  <c r="AD56" i="4"/>
  <c r="AC56" i="4"/>
  <c r="AB56" i="4"/>
  <c r="AA56" i="4"/>
  <c r="Z56" i="4"/>
  <c r="Y56" i="4"/>
  <c r="X56" i="4"/>
  <c r="W56" i="4"/>
  <c r="V56" i="4"/>
  <c r="U56" i="4"/>
  <c r="BG55" i="4"/>
  <c r="BF55" i="4"/>
  <c r="BE55" i="4"/>
  <c r="BD55" i="4"/>
  <c r="BC55" i="4"/>
  <c r="BB55" i="4"/>
  <c r="BA55" i="4"/>
  <c r="AZ55" i="4"/>
  <c r="AY55" i="4"/>
  <c r="AX55" i="4"/>
  <c r="AV55" i="4"/>
  <c r="BN55" i="4" s="1"/>
  <c r="AD55" i="4"/>
  <c r="AC55" i="4"/>
  <c r="AB55" i="4"/>
  <c r="AA55" i="4"/>
  <c r="Z55" i="4"/>
  <c r="Y55" i="4"/>
  <c r="X55" i="4"/>
  <c r="W55" i="4"/>
  <c r="V55" i="4"/>
  <c r="U55" i="4"/>
  <c r="BG54" i="4"/>
  <c r="BF54" i="4"/>
  <c r="BE54" i="4"/>
  <c r="BD54" i="4"/>
  <c r="BC54" i="4"/>
  <c r="BB54" i="4"/>
  <c r="BA54" i="4"/>
  <c r="AZ54" i="4"/>
  <c r="AY54" i="4"/>
  <c r="AX54" i="4"/>
  <c r="AV54" i="4"/>
  <c r="BN54" i="4" s="1"/>
  <c r="AD54" i="4"/>
  <c r="AC54" i="4"/>
  <c r="AB54" i="4"/>
  <c r="AA54" i="4"/>
  <c r="Z54" i="4"/>
  <c r="Y54" i="4"/>
  <c r="X54" i="4"/>
  <c r="W54" i="4"/>
  <c r="V54" i="4"/>
  <c r="U54" i="4"/>
  <c r="BG53" i="4"/>
  <c r="BF53" i="4"/>
  <c r="BE53" i="4"/>
  <c r="BD53" i="4"/>
  <c r="BC53" i="4"/>
  <c r="BB53" i="4"/>
  <c r="BA53" i="4"/>
  <c r="AZ53" i="4"/>
  <c r="AY53" i="4"/>
  <c r="AX53" i="4"/>
  <c r="AV53" i="4"/>
  <c r="BN53" i="4" s="1"/>
  <c r="AD53" i="4"/>
  <c r="AC53" i="4"/>
  <c r="AB53" i="4"/>
  <c r="AA53" i="4"/>
  <c r="Z53" i="4"/>
  <c r="Y53" i="4"/>
  <c r="X53" i="4"/>
  <c r="W53" i="4"/>
  <c r="V53" i="4"/>
  <c r="U53" i="4"/>
  <c r="BG52" i="4"/>
  <c r="BF52" i="4"/>
  <c r="BE52" i="4"/>
  <c r="BD52" i="4"/>
  <c r="BC52" i="4"/>
  <c r="BB52" i="4"/>
  <c r="BA52" i="4"/>
  <c r="AZ52" i="4"/>
  <c r="AY52" i="4"/>
  <c r="AX52" i="4"/>
  <c r="AV52" i="4"/>
  <c r="BN52" i="4" s="1"/>
  <c r="AD52" i="4"/>
  <c r="AC52" i="4"/>
  <c r="AB52" i="4"/>
  <c r="AA52" i="4"/>
  <c r="Z52" i="4"/>
  <c r="Y52" i="4"/>
  <c r="X52" i="4"/>
  <c r="W52" i="4"/>
  <c r="V52" i="4"/>
  <c r="U52" i="4"/>
  <c r="BG51" i="4"/>
  <c r="BF51" i="4"/>
  <c r="BE51" i="4"/>
  <c r="BD51" i="4"/>
  <c r="BC51" i="4"/>
  <c r="BB51" i="4"/>
  <c r="BA51" i="4"/>
  <c r="AZ51" i="4"/>
  <c r="AY51" i="4"/>
  <c r="AX51" i="4"/>
  <c r="AV51" i="4"/>
  <c r="AD51" i="4"/>
  <c r="AC51" i="4"/>
  <c r="AB51" i="4"/>
  <c r="AA51" i="4"/>
  <c r="Z51" i="4"/>
  <c r="Y51" i="4"/>
  <c r="X51" i="4"/>
  <c r="W51" i="4"/>
  <c r="V51" i="4"/>
  <c r="U51" i="4"/>
  <c r="BG50" i="4"/>
  <c r="BF50" i="4"/>
  <c r="BE50" i="4"/>
  <c r="BD50" i="4"/>
  <c r="BC50" i="4"/>
  <c r="BB50" i="4"/>
  <c r="BA50" i="4"/>
  <c r="AZ50" i="4"/>
  <c r="AY50" i="4"/>
  <c r="AX50" i="4"/>
  <c r="AD50" i="4"/>
  <c r="AC50" i="4"/>
  <c r="AB50" i="4"/>
  <c r="AA50" i="4"/>
  <c r="Z50" i="4"/>
  <c r="Y50" i="4"/>
  <c r="X50" i="4"/>
  <c r="W50" i="4"/>
  <c r="V50" i="4"/>
  <c r="U50" i="4"/>
  <c r="BG49" i="4"/>
  <c r="BF49" i="4"/>
  <c r="BE49" i="4"/>
  <c r="BD49" i="4"/>
  <c r="BC49" i="4"/>
  <c r="BB49" i="4"/>
  <c r="BA49" i="4"/>
  <c r="AZ49" i="4"/>
  <c r="AY49" i="4"/>
  <c r="AX49" i="4"/>
  <c r="AD49" i="4"/>
  <c r="AC49" i="4"/>
  <c r="AB49" i="4"/>
  <c r="AA49" i="4"/>
  <c r="Z49" i="4"/>
  <c r="Y49" i="4"/>
  <c r="X49" i="4"/>
  <c r="W49" i="4"/>
  <c r="V49" i="4"/>
  <c r="U49" i="4"/>
  <c r="BG48" i="4"/>
  <c r="BF48" i="4"/>
  <c r="BE48" i="4"/>
  <c r="BD48" i="4"/>
  <c r="BC48" i="4"/>
  <c r="BB48" i="4"/>
  <c r="BA48" i="4"/>
  <c r="AZ48" i="4"/>
  <c r="AY48" i="4"/>
  <c r="AX48" i="4"/>
  <c r="AD48" i="4"/>
  <c r="AC48" i="4"/>
  <c r="AB48" i="4"/>
  <c r="AA48" i="4"/>
  <c r="Z48" i="4"/>
  <c r="Y48" i="4"/>
  <c r="X48" i="4"/>
  <c r="W48" i="4"/>
  <c r="V48" i="4"/>
  <c r="U48" i="4"/>
  <c r="BG47" i="4"/>
  <c r="BF47" i="4"/>
  <c r="BE47" i="4"/>
  <c r="BD47" i="4"/>
  <c r="BC47" i="4"/>
  <c r="BB47" i="4"/>
  <c r="BA47" i="4"/>
  <c r="AZ47" i="4"/>
  <c r="AY47" i="4"/>
  <c r="AX47" i="4"/>
  <c r="AD47" i="4"/>
  <c r="AC47" i="4"/>
  <c r="AB47" i="4"/>
  <c r="AA47" i="4"/>
  <c r="Z47" i="4"/>
  <c r="Y47" i="4"/>
  <c r="X47" i="4"/>
  <c r="W47" i="4"/>
  <c r="V47" i="4"/>
  <c r="U47" i="4"/>
  <c r="BG46" i="4"/>
  <c r="BF46" i="4"/>
  <c r="BE46" i="4"/>
  <c r="BD46" i="4"/>
  <c r="BC46" i="4"/>
  <c r="BB46" i="4"/>
  <c r="BA46" i="4"/>
  <c r="AZ46" i="4"/>
  <c r="AY46" i="4"/>
  <c r="AX46" i="4"/>
  <c r="AD46" i="4"/>
  <c r="AC46" i="4"/>
  <c r="AB46" i="4"/>
  <c r="AA46" i="4"/>
  <c r="Z46" i="4"/>
  <c r="Y46" i="4"/>
  <c r="X46" i="4"/>
  <c r="W46" i="4"/>
  <c r="V46" i="4"/>
  <c r="U46" i="4"/>
  <c r="BG45" i="4"/>
  <c r="BF45" i="4"/>
  <c r="BE45" i="4"/>
  <c r="BD45" i="4"/>
  <c r="BC45" i="4"/>
  <c r="BB45" i="4"/>
  <c r="BA45" i="4"/>
  <c r="AZ45" i="4"/>
  <c r="AY45" i="4"/>
  <c r="AX45" i="4"/>
  <c r="AD45" i="4"/>
  <c r="AC45" i="4"/>
  <c r="AB45" i="4"/>
  <c r="AA45" i="4"/>
  <c r="Z45" i="4"/>
  <c r="Y45" i="4"/>
  <c r="X45" i="4"/>
  <c r="W45" i="4"/>
  <c r="V45" i="4"/>
  <c r="U45" i="4"/>
  <c r="BG44" i="4"/>
  <c r="BF44" i="4"/>
  <c r="BE44" i="4"/>
  <c r="BD44" i="4"/>
  <c r="BC44" i="4"/>
  <c r="BB44" i="4"/>
  <c r="BA44" i="4"/>
  <c r="AZ44" i="4"/>
  <c r="AY44" i="4"/>
  <c r="AX44" i="4"/>
  <c r="AD44" i="4"/>
  <c r="AC44" i="4"/>
  <c r="AB44" i="4"/>
  <c r="AA44" i="4"/>
  <c r="Z44" i="4"/>
  <c r="Y44" i="4"/>
  <c r="X44" i="4"/>
  <c r="W44" i="4"/>
  <c r="V44" i="4"/>
  <c r="U44" i="4"/>
  <c r="BG43" i="4"/>
  <c r="BF43" i="4"/>
  <c r="BE43" i="4"/>
  <c r="BD43" i="4"/>
  <c r="BC43" i="4"/>
  <c r="BB43" i="4"/>
  <c r="BA43" i="4"/>
  <c r="AZ43" i="4"/>
  <c r="AY43" i="4"/>
  <c r="AX43" i="4"/>
  <c r="AD43" i="4"/>
  <c r="AC43" i="4"/>
  <c r="AB43" i="4"/>
  <c r="AA43" i="4"/>
  <c r="Z43" i="4"/>
  <c r="Y43" i="4"/>
  <c r="X43" i="4"/>
  <c r="W43" i="4"/>
  <c r="V43" i="4"/>
  <c r="U43" i="4"/>
  <c r="BG42" i="4"/>
  <c r="BF42" i="4"/>
  <c r="BE42" i="4"/>
  <c r="BD42" i="4"/>
  <c r="BC42" i="4"/>
  <c r="BB42" i="4"/>
  <c r="BA42" i="4"/>
  <c r="AZ42" i="4"/>
  <c r="AY42" i="4"/>
  <c r="AX42" i="4"/>
  <c r="AD42" i="4"/>
  <c r="AC42" i="4"/>
  <c r="AB42" i="4"/>
  <c r="AA42" i="4"/>
  <c r="Z42" i="4"/>
  <c r="Y42" i="4"/>
  <c r="X42" i="4"/>
  <c r="W42" i="4"/>
  <c r="V42" i="4"/>
  <c r="U42" i="4"/>
  <c r="BG41" i="4"/>
  <c r="BF41" i="4"/>
  <c r="BE41" i="4"/>
  <c r="BD41" i="4"/>
  <c r="BC41" i="4"/>
  <c r="BB41" i="4"/>
  <c r="BA41" i="4"/>
  <c r="AZ41" i="4"/>
  <c r="AY41" i="4"/>
  <c r="AX41" i="4"/>
  <c r="AD41" i="4"/>
  <c r="AC41" i="4"/>
  <c r="AB41" i="4"/>
  <c r="AA41" i="4"/>
  <c r="Z41" i="4"/>
  <c r="Y41" i="4"/>
  <c r="X41" i="4"/>
  <c r="W41" i="4"/>
  <c r="V41" i="4"/>
  <c r="U41" i="4"/>
  <c r="BG40" i="4"/>
  <c r="BF40" i="4"/>
  <c r="BE40" i="4"/>
  <c r="BD40" i="4"/>
  <c r="BC40" i="4"/>
  <c r="BB40" i="4"/>
  <c r="BA40" i="4"/>
  <c r="AZ40" i="4"/>
  <c r="AY40" i="4"/>
  <c r="AX40" i="4"/>
  <c r="AD40" i="4"/>
  <c r="AC40" i="4"/>
  <c r="AB40" i="4"/>
  <c r="AA40" i="4"/>
  <c r="Z40" i="4"/>
  <c r="Y40" i="4"/>
  <c r="X40" i="4"/>
  <c r="W40" i="4"/>
  <c r="V40" i="4"/>
  <c r="U40" i="4"/>
  <c r="BG39" i="4"/>
  <c r="BF39" i="4"/>
  <c r="BE39" i="4"/>
  <c r="BD39" i="4"/>
  <c r="BC39" i="4"/>
  <c r="BB39" i="4"/>
  <c r="BA39" i="4"/>
  <c r="AZ39" i="4"/>
  <c r="AY39" i="4"/>
  <c r="AX39" i="4"/>
  <c r="AD39" i="4"/>
  <c r="AC39" i="4"/>
  <c r="AB39" i="4"/>
  <c r="AA39" i="4"/>
  <c r="Z39" i="4"/>
  <c r="Y39" i="4"/>
  <c r="X39" i="4"/>
  <c r="W39" i="4"/>
  <c r="V39" i="4"/>
  <c r="U39" i="4"/>
  <c r="BG38" i="4"/>
  <c r="BF38" i="4"/>
  <c r="BE38" i="4"/>
  <c r="BD38" i="4"/>
  <c r="BC38" i="4"/>
  <c r="BB38" i="4"/>
  <c r="BA38" i="4"/>
  <c r="AZ38" i="4"/>
  <c r="AY38" i="4"/>
  <c r="AX38" i="4"/>
  <c r="AD38" i="4"/>
  <c r="AC38" i="4"/>
  <c r="AB38" i="4"/>
  <c r="AA38" i="4"/>
  <c r="Z38" i="4"/>
  <c r="Y38" i="4"/>
  <c r="X38" i="4"/>
  <c r="W38" i="4"/>
  <c r="V38" i="4"/>
  <c r="U38" i="4"/>
  <c r="BG37" i="4"/>
  <c r="BF37" i="4"/>
  <c r="BE37" i="4"/>
  <c r="BD37" i="4"/>
  <c r="BC37" i="4"/>
  <c r="BB37" i="4"/>
  <c r="BA37" i="4"/>
  <c r="AZ37" i="4"/>
  <c r="AY37" i="4"/>
  <c r="AX37" i="4"/>
  <c r="AD37" i="4"/>
  <c r="AC37" i="4"/>
  <c r="AB37" i="4"/>
  <c r="AA37" i="4"/>
  <c r="Z37" i="4"/>
  <c r="Y37" i="4"/>
  <c r="X37" i="4"/>
  <c r="W37" i="4"/>
  <c r="V37" i="4"/>
  <c r="U37" i="4"/>
  <c r="BG36" i="4"/>
  <c r="BF36" i="4"/>
  <c r="BE36" i="4"/>
  <c r="BD36" i="4"/>
  <c r="BC36" i="4"/>
  <c r="BB36" i="4"/>
  <c r="BA36" i="4"/>
  <c r="AZ36" i="4"/>
  <c r="AY36" i="4"/>
  <c r="AX36" i="4"/>
  <c r="AD36" i="4"/>
  <c r="AC36" i="4"/>
  <c r="AB36" i="4"/>
  <c r="AA36" i="4"/>
  <c r="Z36" i="4"/>
  <c r="Y36" i="4"/>
  <c r="X36" i="4"/>
  <c r="W36" i="4"/>
  <c r="V36" i="4"/>
  <c r="U36" i="4"/>
  <c r="BG35" i="4"/>
  <c r="BF35" i="4"/>
  <c r="BE35" i="4"/>
  <c r="BD35" i="4"/>
  <c r="BC35" i="4"/>
  <c r="BB35" i="4"/>
  <c r="BA35" i="4"/>
  <c r="AZ35" i="4"/>
  <c r="AY35" i="4"/>
  <c r="AX35" i="4"/>
  <c r="AD35" i="4"/>
  <c r="AC35" i="4"/>
  <c r="AB35" i="4"/>
  <c r="AA35" i="4"/>
  <c r="Z35" i="4"/>
  <c r="Y35" i="4"/>
  <c r="X35" i="4"/>
  <c r="W35" i="4"/>
  <c r="V35" i="4"/>
  <c r="U35" i="4"/>
  <c r="BG34" i="4"/>
  <c r="BF34" i="4"/>
  <c r="BE34" i="4"/>
  <c r="BD34" i="4"/>
  <c r="BC34" i="4"/>
  <c r="BB34" i="4"/>
  <c r="BA34" i="4"/>
  <c r="AZ34" i="4"/>
  <c r="AY34" i="4"/>
  <c r="AX34" i="4"/>
  <c r="AD34" i="4"/>
  <c r="AC34" i="4"/>
  <c r="AB34" i="4"/>
  <c r="AA34" i="4"/>
  <c r="Z34" i="4"/>
  <c r="Y34" i="4"/>
  <c r="X34" i="4"/>
  <c r="W34" i="4"/>
  <c r="V34" i="4"/>
  <c r="U34" i="4"/>
  <c r="BG33" i="4"/>
  <c r="BF33" i="4"/>
  <c r="BE33" i="4"/>
  <c r="BD33" i="4"/>
  <c r="BC33" i="4"/>
  <c r="BB33" i="4"/>
  <c r="BA33" i="4"/>
  <c r="AZ33" i="4"/>
  <c r="AY33" i="4"/>
  <c r="AX33" i="4"/>
  <c r="AD33" i="4"/>
  <c r="AC33" i="4"/>
  <c r="AB33" i="4"/>
  <c r="AA33" i="4"/>
  <c r="Z33" i="4"/>
  <c r="Y33" i="4"/>
  <c r="X33" i="4"/>
  <c r="W33" i="4"/>
  <c r="V33" i="4"/>
  <c r="U33" i="4"/>
  <c r="BG32" i="4"/>
  <c r="BF32" i="4"/>
  <c r="BE32" i="4"/>
  <c r="BD32" i="4"/>
  <c r="BC32" i="4"/>
  <c r="BB32" i="4"/>
  <c r="BA32" i="4"/>
  <c r="AZ32" i="4"/>
  <c r="AY32" i="4"/>
  <c r="AX32" i="4"/>
  <c r="AD32" i="4"/>
  <c r="AC32" i="4"/>
  <c r="AB32" i="4"/>
  <c r="AA32" i="4"/>
  <c r="Z32" i="4"/>
  <c r="Y32" i="4"/>
  <c r="X32" i="4"/>
  <c r="W32" i="4"/>
  <c r="V32" i="4"/>
  <c r="U32" i="4"/>
  <c r="BG31" i="4"/>
  <c r="BF31" i="4"/>
  <c r="BE31" i="4"/>
  <c r="BD31" i="4"/>
  <c r="BC31" i="4"/>
  <c r="BB31" i="4"/>
  <c r="BA31" i="4"/>
  <c r="AZ31" i="4"/>
  <c r="AY31" i="4"/>
  <c r="AX31" i="4"/>
  <c r="AD31" i="4"/>
  <c r="AC31" i="4"/>
  <c r="AB31" i="4"/>
  <c r="AA31" i="4"/>
  <c r="Z31" i="4"/>
  <c r="Y31" i="4"/>
  <c r="X31" i="4"/>
  <c r="W31" i="4"/>
  <c r="V31" i="4"/>
  <c r="U31" i="4"/>
  <c r="BG30" i="4"/>
  <c r="BF30" i="4"/>
  <c r="BE30" i="4"/>
  <c r="BD30" i="4"/>
  <c r="BC30" i="4"/>
  <c r="BB30" i="4"/>
  <c r="BA30" i="4"/>
  <c r="AZ30" i="4"/>
  <c r="AY30" i="4"/>
  <c r="AX30" i="4"/>
  <c r="AD30" i="4"/>
  <c r="AC30" i="4"/>
  <c r="AB30" i="4"/>
  <c r="AA30" i="4"/>
  <c r="Z30" i="4"/>
  <c r="Y30" i="4"/>
  <c r="X30" i="4"/>
  <c r="W30" i="4"/>
  <c r="V30" i="4"/>
  <c r="U30" i="4"/>
  <c r="BG29" i="4"/>
  <c r="BF29" i="4"/>
  <c r="BE29" i="4"/>
  <c r="BD29" i="4"/>
  <c r="BC29" i="4"/>
  <c r="BB29" i="4"/>
  <c r="BA29" i="4"/>
  <c r="AZ29" i="4"/>
  <c r="AY29" i="4"/>
  <c r="AX29" i="4"/>
  <c r="AD29" i="4"/>
  <c r="AC29" i="4"/>
  <c r="AB29" i="4"/>
  <c r="AA29" i="4"/>
  <c r="Z29" i="4"/>
  <c r="Y29" i="4"/>
  <c r="X29" i="4"/>
  <c r="W29" i="4"/>
  <c r="V29" i="4"/>
  <c r="U29" i="4"/>
  <c r="BG28" i="4"/>
  <c r="BF28" i="4"/>
  <c r="BE28" i="4"/>
  <c r="BD28" i="4"/>
  <c r="BC28" i="4"/>
  <c r="BB28" i="4"/>
  <c r="BA28" i="4"/>
  <c r="AZ28" i="4"/>
  <c r="AY28" i="4"/>
  <c r="AX28" i="4"/>
  <c r="AD28" i="4"/>
  <c r="AC28" i="4"/>
  <c r="AB28" i="4"/>
  <c r="AA28" i="4"/>
  <c r="Z28" i="4"/>
  <c r="Y28" i="4"/>
  <c r="X28" i="4"/>
  <c r="W28" i="4"/>
  <c r="V28" i="4"/>
  <c r="U28" i="4"/>
  <c r="BG27" i="4"/>
  <c r="BF27" i="4"/>
  <c r="BE27" i="4"/>
  <c r="BD27" i="4"/>
  <c r="BC27" i="4"/>
  <c r="BB27" i="4"/>
  <c r="BA27" i="4"/>
  <c r="AZ27" i="4"/>
  <c r="AY27" i="4"/>
  <c r="AX27" i="4"/>
  <c r="AD27" i="4"/>
  <c r="AC27" i="4"/>
  <c r="AB27" i="4"/>
  <c r="AA27" i="4"/>
  <c r="Z27" i="4"/>
  <c r="Y27" i="4"/>
  <c r="X27" i="4"/>
  <c r="W27" i="4"/>
  <c r="V27" i="4"/>
  <c r="U27" i="4"/>
  <c r="BG26" i="4"/>
  <c r="BF26" i="4"/>
  <c r="BE26" i="4"/>
  <c r="BD26" i="4"/>
  <c r="BC26" i="4"/>
  <c r="BB26" i="4"/>
  <c r="BA26" i="4"/>
  <c r="AZ26" i="4"/>
  <c r="AY26" i="4"/>
  <c r="AX26" i="4"/>
  <c r="AD26" i="4"/>
  <c r="AC26" i="4"/>
  <c r="AB26" i="4"/>
  <c r="AA26" i="4"/>
  <c r="Z26" i="4"/>
  <c r="Y26" i="4"/>
  <c r="X26" i="4"/>
  <c r="W26" i="4"/>
  <c r="V26" i="4"/>
  <c r="U26" i="4"/>
  <c r="BG25" i="4"/>
  <c r="BF25" i="4"/>
  <c r="BE25" i="4"/>
  <c r="BD25" i="4"/>
  <c r="BC25" i="4"/>
  <c r="BB25" i="4"/>
  <c r="BA25" i="4"/>
  <c r="AZ25" i="4"/>
  <c r="AY25" i="4"/>
  <c r="AX25" i="4"/>
  <c r="AD25" i="4"/>
  <c r="AC25" i="4"/>
  <c r="AB25" i="4"/>
  <c r="AA25" i="4"/>
  <c r="Z25" i="4"/>
  <c r="Y25" i="4"/>
  <c r="X25" i="4"/>
  <c r="W25" i="4"/>
  <c r="V25" i="4"/>
  <c r="U25" i="4"/>
  <c r="BG24" i="4"/>
  <c r="BF24" i="4"/>
  <c r="BE24" i="4"/>
  <c r="BD24" i="4"/>
  <c r="BC24" i="4"/>
  <c r="BB24" i="4"/>
  <c r="BA24" i="4"/>
  <c r="AZ24" i="4"/>
  <c r="AY24" i="4"/>
  <c r="AX24" i="4"/>
  <c r="AD24" i="4"/>
  <c r="AC24" i="4"/>
  <c r="AB24" i="4"/>
  <c r="AA24" i="4"/>
  <c r="Z24" i="4"/>
  <c r="Y24" i="4"/>
  <c r="X24" i="4"/>
  <c r="W24" i="4"/>
  <c r="V24" i="4"/>
  <c r="U24" i="4"/>
  <c r="BG23" i="4"/>
  <c r="BF23" i="4"/>
  <c r="BE23" i="4"/>
  <c r="BD23" i="4"/>
  <c r="BC23" i="4"/>
  <c r="BB23" i="4"/>
  <c r="BA23" i="4"/>
  <c r="AZ23" i="4"/>
  <c r="AY23" i="4"/>
  <c r="AX23" i="4"/>
  <c r="AD23" i="4"/>
  <c r="AC23" i="4"/>
  <c r="AB23" i="4"/>
  <c r="AA23" i="4"/>
  <c r="Z23" i="4"/>
  <c r="Y23" i="4"/>
  <c r="X23" i="4"/>
  <c r="W23" i="4"/>
  <c r="V23" i="4"/>
  <c r="U23" i="4"/>
  <c r="BG22" i="4"/>
  <c r="BF22" i="4"/>
  <c r="BE22" i="4"/>
  <c r="BD22" i="4"/>
  <c r="BC22" i="4"/>
  <c r="BB22" i="4"/>
  <c r="BA22" i="4"/>
  <c r="AZ22" i="4"/>
  <c r="AY22" i="4"/>
  <c r="AX22" i="4"/>
  <c r="AD22" i="4"/>
  <c r="AC22" i="4"/>
  <c r="AB22" i="4"/>
  <c r="AA22" i="4"/>
  <c r="Z22" i="4"/>
  <c r="Y22" i="4"/>
  <c r="X22" i="4"/>
  <c r="W22" i="4"/>
  <c r="V22" i="4"/>
  <c r="U22" i="4"/>
  <c r="BG21" i="4"/>
  <c r="BF21" i="4"/>
  <c r="BE21" i="4"/>
  <c r="BD21" i="4"/>
  <c r="BC21" i="4"/>
  <c r="BB21" i="4"/>
  <c r="BA21" i="4"/>
  <c r="AZ21" i="4"/>
  <c r="AY21" i="4"/>
  <c r="AX21" i="4"/>
  <c r="AD21" i="4"/>
  <c r="AC21" i="4"/>
  <c r="AB21" i="4"/>
  <c r="AA21" i="4"/>
  <c r="Z21" i="4"/>
  <c r="Y21" i="4"/>
  <c r="X21" i="4"/>
  <c r="W21" i="4"/>
  <c r="V21" i="4"/>
  <c r="U21" i="4"/>
  <c r="BG20" i="4"/>
  <c r="BF20" i="4"/>
  <c r="BE20" i="4"/>
  <c r="BD20" i="4"/>
  <c r="BC20" i="4"/>
  <c r="BB20" i="4"/>
  <c r="BA20" i="4"/>
  <c r="AZ20" i="4"/>
  <c r="AY20" i="4"/>
  <c r="AX20" i="4"/>
  <c r="AD20" i="4"/>
  <c r="AC20" i="4"/>
  <c r="AB20" i="4"/>
  <c r="AA20" i="4"/>
  <c r="Z20" i="4"/>
  <c r="Y20" i="4"/>
  <c r="X20" i="4"/>
  <c r="W20" i="4"/>
  <c r="V20" i="4"/>
  <c r="U20" i="4"/>
  <c r="BG19" i="4"/>
  <c r="BF19" i="4"/>
  <c r="BE19" i="4"/>
  <c r="BD19" i="4"/>
  <c r="BC19" i="4"/>
  <c r="BB19" i="4"/>
  <c r="BA19" i="4"/>
  <c r="AZ19" i="4"/>
  <c r="AY19" i="4"/>
  <c r="AX19" i="4"/>
  <c r="AD19" i="4"/>
  <c r="AC19" i="4"/>
  <c r="AB19" i="4"/>
  <c r="AA19" i="4"/>
  <c r="Z19" i="4"/>
  <c r="Y19" i="4"/>
  <c r="X19" i="4"/>
  <c r="W19" i="4"/>
  <c r="V19" i="4"/>
  <c r="U19" i="4"/>
  <c r="BG18" i="4"/>
  <c r="BF18" i="4"/>
  <c r="BE18" i="4"/>
  <c r="BD18" i="4"/>
  <c r="BC18" i="4"/>
  <c r="BB18" i="4"/>
  <c r="BA18" i="4"/>
  <c r="AZ18" i="4"/>
  <c r="AY18" i="4"/>
  <c r="AX18" i="4"/>
  <c r="AD18" i="4"/>
  <c r="AC18" i="4"/>
  <c r="AB18" i="4"/>
  <c r="AA18" i="4"/>
  <c r="Z18" i="4"/>
  <c r="Y18" i="4"/>
  <c r="X18" i="4"/>
  <c r="W18" i="4"/>
  <c r="V18" i="4"/>
  <c r="U18" i="4"/>
  <c r="BG17" i="4"/>
  <c r="BF17" i="4"/>
  <c r="BE17" i="4"/>
  <c r="BD17" i="4"/>
  <c r="BC17" i="4"/>
  <c r="BB17" i="4"/>
  <c r="BA17" i="4"/>
  <c r="AZ17" i="4"/>
  <c r="AY17" i="4"/>
  <c r="AX17" i="4"/>
  <c r="AD17" i="4"/>
  <c r="AC17" i="4"/>
  <c r="AB17" i="4"/>
  <c r="AA17" i="4"/>
  <c r="Z17" i="4"/>
  <c r="Y17" i="4"/>
  <c r="X17" i="4"/>
  <c r="W17" i="4"/>
  <c r="V17" i="4"/>
  <c r="U17" i="4"/>
  <c r="BG16" i="4"/>
  <c r="BF16" i="4"/>
  <c r="BE16" i="4"/>
  <c r="BD16" i="4"/>
  <c r="BC16" i="4"/>
  <c r="BB16" i="4"/>
  <c r="BA16" i="4"/>
  <c r="AZ16" i="4"/>
  <c r="AY16" i="4"/>
  <c r="AX16" i="4"/>
  <c r="AD16" i="4"/>
  <c r="AC16" i="4"/>
  <c r="AB16" i="4"/>
  <c r="AA16" i="4"/>
  <c r="Z16" i="4"/>
  <c r="Y16" i="4"/>
  <c r="X16" i="4"/>
  <c r="W16" i="4"/>
  <c r="V16" i="4"/>
  <c r="U16" i="4"/>
  <c r="BG15" i="4"/>
  <c r="BF15" i="4"/>
  <c r="BE15" i="4"/>
  <c r="BD15" i="4"/>
  <c r="BC15" i="4"/>
  <c r="BB15" i="4"/>
  <c r="BA15" i="4"/>
  <c r="AZ15" i="4"/>
  <c r="AY15" i="4"/>
  <c r="AX15" i="4"/>
  <c r="AD15" i="4"/>
  <c r="AC15" i="4"/>
  <c r="AB15" i="4"/>
  <c r="AA15" i="4"/>
  <c r="Z15" i="4"/>
  <c r="Y15" i="4"/>
  <c r="X15" i="4"/>
  <c r="W15" i="4"/>
  <c r="V15" i="4"/>
  <c r="U15" i="4"/>
  <c r="BG14" i="4"/>
  <c r="BF14" i="4"/>
  <c r="BE14" i="4"/>
  <c r="BD14" i="4"/>
  <c r="BC14" i="4"/>
  <c r="BB14" i="4"/>
  <c r="BA14" i="4"/>
  <c r="AZ14" i="4"/>
  <c r="AY14" i="4"/>
  <c r="AX14" i="4"/>
  <c r="AD14" i="4"/>
  <c r="AC14" i="4"/>
  <c r="AB14" i="4"/>
  <c r="AA14" i="4"/>
  <c r="Z14" i="4"/>
  <c r="Y14" i="4"/>
  <c r="X14" i="4"/>
  <c r="W14" i="4"/>
  <c r="V14" i="4"/>
  <c r="U14" i="4"/>
  <c r="BG13" i="4"/>
  <c r="BF13" i="4"/>
  <c r="BE13" i="4"/>
  <c r="BD13" i="4"/>
  <c r="BC13" i="4"/>
  <c r="BB13" i="4"/>
  <c r="BA13" i="4"/>
  <c r="AZ13" i="4"/>
  <c r="AY13" i="4"/>
  <c r="AX13" i="4"/>
  <c r="O13" i="4"/>
  <c r="N13" i="4"/>
  <c r="M13" i="4"/>
  <c r="L13" i="4"/>
  <c r="K13" i="4"/>
  <c r="J13" i="4"/>
  <c r="I13" i="4"/>
  <c r="H13" i="4"/>
  <c r="G13" i="4"/>
  <c r="F13" i="4"/>
  <c r="AU12" i="4"/>
  <c r="AT12" i="4"/>
  <c r="AS12" i="4"/>
  <c r="AR12" i="4"/>
  <c r="AQ12" i="4"/>
  <c r="AP12" i="4"/>
  <c r="AO12" i="4"/>
  <c r="AN12" i="4"/>
  <c r="AM12" i="4"/>
  <c r="AL12" i="4"/>
  <c r="AF12" i="4"/>
  <c r="BG63" i="2"/>
  <c r="BF63" i="2"/>
  <c r="BE63" i="2"/>
  <c r="BD63" i="2"/>
  <c r="BC63" i="2"/>
  <c r="BB63" i="2"/>
  <c r="BA63" i="2"/>
  <c r="AZ63" i="2"/>
  <c r="AY63" i="2"/>
  <c r="AX63" i="2"/>
  <c r="AV63" i="2"/>
  <c r="BN63" i="2" s="1"/>
  <c r="AD63" i="2"/>
  <c r="AC63" i="2"/>
  <c r="AB63" i="2"/>
  <c r="AA63" i="2"/>
  <c r="Z63" i="2"/>
  <c r="Y63" i="2"/>
  <c r="X63" i="2"/>
  <c r="W63" i="2"/>
  <c r="V63" i="2"/>
  <c r="U63" i="2"/>
  <c r="BG62" i="2"/>
  <c r="BF62" i="2"/>
  <c r="BE62" i="2"/>
  <c r="BD62" i="2"/>
  <c r="BC62" i="2"/>
  <c r="BB62" i="2"/>
  <c r="BA62" i="2"/>
  <c r="AZ62" i="2"/>
  <c r="AY62" i="2"/>
  <c r="AX62" i="2"/>
  <c r="AV62" i="2"/>
  <c r="AW62" i="2" s="1"/>
  <c r="AD62" i="2"/>
  <c r="AC62" i="2"/>
  <c r="AB62" i="2"/>
  <c r="AA62" i="2"/>
  <c r="Z62" i="2"/>
  <c r="Y62" i="2"/>
  <c r="X62" i="2"/>
  <c r="W62" i="2"/>
  <c r="V62" i="2"/>
  <c r="U62" i="2"/>
  <c r="BG61" i="2"/>
  <c r="BF61" i="2"/>
  <c r="BE61" i="2"/>
  <c r="BD61" i="2"/>
  <c r="BC61" i="2"/>
  <c r="BB61" i="2"/>
  <c r="BA61" i="2"/>
  <c r="AZ61" i="2"/>
  <c r="AY61" i="2"/>
  <c r="AX61" i="2"/>
  <c r="AV61" i="2"/>
  <c r="BN61" i="2" s="1"/>
  <c r="AD61" i="2"/>
  <c r="AC61" i="2"/>
  <c r="AB61" i="2"/>
  <c r="AA61" i="2"/>
  <c r="Z61" i="2"/>
  <c r="Y61" i="2"/>
  <c r="X61" i="2"/>
  <c r="W61" i="2"/>
  <c r="V61" i="2"/>
  <c r="U61" i="2"/>
  <c r="BG60" i="2"/>
  <c r="BF60" i="2"/>
  <c r="BE60" i="2"/>
  <c r="BD60" i="2"/>
  <c r="BC60" i="2"/>
  <c r="BB60" i="2"/>
  <c r="BA60" i="2"/>
  <c r="AZ60" i="2"/>
  <c r="AY60" i="2"/>
  <c r="AX60" i="2"/>
  <c r="AV60" i="2"/>
  <c r="AW60" i="2" s="1"/>
  <c r="AD60" i="2"/>
  <c r="AC60" i="2"/>
  <c r="AB60" i="2"/>
  <c r="AA60" i="2"/>
  <c r="Z60" i="2"/>
  <c r="Y60" i="2"/>
  <c r="X60" i="2"/>
  <c r="W60" i="2"/>
  <c r="V60" i="2"/>
  <c r="U60" i="2"/>
  <c r="BG59" i="2"/>
  <c r="BF59" i="2"/>
  <c r="BE59" i="2"/>
  <c r="BD59" i="2"/>
  <c r="BC59" i="2"/>
  <c r="BB59" i="2"/>
  <c r="BA59" i="2"/>
  <c r="AZ59" i="2"/>
  <c r="AY59" i="2"/>
  <c r="AX59" i="2"/>
  <c r="AV59" i="2"/>
  <c r="BN59" i="2" s="1"/>
  <c r="AD59" i="2"/>
  <c r="AC59" i="2"/>
  <c r="AB59" i="2"/>
  <c r="AA59" i="2"/>
  <c r="Z59" i="2"/>
  <c r="Y59" i="2"/>
  <c r="X59" i="2"/>
  <c r="W59" i="2"/>
  <c r="V59" i="2"/>
  <c r="U59" i="2"/>
  <c r="BG58" i="2"/>
  <c r="BF58" i="2"/>
  <c r="BE58" i="2"/>
  <c r="BD58" i="2"/>
  <c r="BC58" i="2"/>
  <c r="BB58" i="2"/>
  <c r="BA58" i="2"/>
  <c r="AZ58" i="2"/>
  <c r="AY58" i="2"/>
  <c r="AX58" i="2"/>
  <c r="AV58" i="2"/>
  <c r="AW58" i="2" s="1"/>
  <c r="AD58" i="2"/>
  <c r="AC58" i="2"/>
  <c r="AB58" i="2"/>
  <c r="AA58" i="2"/>
  <c r="Z58" i="2"/>
  <c r="Y58" i="2"/>
  <c r="X58" i="2"/>
  <c r="W58" i="2"/>
  <c r="V58" i="2"/>
  <c r="U58" i="2"/>
  <c r="BG57" i="2"/>
  <c r="BF57" i="2"/>
  <c r="BE57" i="2"/>
  <c r="BD57" i="2"/>
  <c r="BC57" i="2"/>
  <c r="BB57" i="2"/>
  <c r="BA57" i="2"/>
  <c r="AZ57" i="2"/>
  <c r="AY57" i="2"/>
  <c r="AX57" i="2"/>
  <c r="AV57" i="2"/>
  <c r="BN57" i="2" s="1"/>
  <c r="AD57" i="2"/>
  <c r="AC57" i="2"/>
  <c r="AB57" i="2"/>
  <c r="AA57" i="2"/>
  <c r="Z57" i="2"/>
  <c r="Y57" i="2"/>
  <c r="X57" i="2"/>
  <c r="W57" i="2"/>
  <c r="V57" i="2"/>
  <c r="U57" i="2"/>
  <c r="BG56" i="2"/>
  <c r="BF56" i="2"/>
  <c r="BE56" i="2"/>
  <c r="BD56" i="2"/>
  <c r="BC56" i="2"/>
  <c r="BB56" i="2"/>
  <c r="BA56" i="2"/>
  <c r="AZ56" i="2"/>
  <c r="AY56" i="2"/>
  <c r="AX56" i="2"/>
  <c r="AV56" i="2"/>
  <c r="BN56" i="2" s="1"/>
  <c r="AD56" i="2"/>
  <c r="AC56" i="2"/>
  <c r="AB56" i="2"/>
  <c r="AA56" i="2"/>
  <c r="Z56" i="2"/>
  <c r="Y56" i="2"/>
  <c r="X56" i="2"/>
  <c r="W56" i="2"/>
  <c r="V56" i="2"/>
  <c r="U56" i="2"/>
  <c r="BG55" i="2"/>
  <c r="BF55" i="2"/>
  <c r="BE55" i="2"/>
  <c r="BD55" i="2"/>
  <c r="BC55" i="2"/>
  <c r="BB55" i="2"/>
  <c r="BA55" i="2"/>
  <c r="AZ55" i="2"/>
  <c r="AY55" i="2"/>
  <c r="AX55" i="2"/>
  <c r="AV55" i="2"/>
  <c r="AW55" i="2" s="1"/>
  <c r="AD55" i="2"/>
  <c r="AC55" i="2"/>
  <c r="AB55" i="2"/>
  <c r="AA55" i="2"/>
  <c r="Z55" i="2"/>
  <c r="Y55" i="2"/>
  <c r="X55" i="2"/>
  <c r="W55" i="2"/>
  <c r="AF55" i="2" s="1"/>
  <c r="V55" i="2"/>
  <c r="U55" i="2"/>
  <c r="BG54" i="2"/>
  <c r="BF54" i="2"/>
  <c r="BE54" i="2"/>
  <c r="BD54" i="2"/>
  <c r="BC54" i="2"/>
  <c r="BB54" i="2"/>
  <c r="BA54" i="2"/>
  <c r="AZ54" i="2"/>
  <c r="AY54" i="2"/>
  <c r="AX54" i="2"/>
  <c r="AV54" i="2"/>
  <c r="AW54" i="2" s="1"/>
  <c r="AD54" i="2"/>
  <c r="AC54" i="2"/>
  <c r="AB54" i="2"/>
  <c r="AA54" i="2"/>
  <c r="Z54" i="2"/>
  <c r="Y54" i="2"/>
  <c r="X54" i="2"/>
  <c r="W54" i="2"/>
  <c r="V54" i="2"/>
  <c r="U54" i="2"/>
  <c r="P54" i="2"/>
  <c r="BG53" i="2"/>
  <c r="BF53" i="2"/>
  <c r="BE53" i="2"/>
  <c r="BD53" i="2"/>
  <c r="BC53" i="2"/>
  <c r="BB53" i="2"/>
  <c r="BA53" i="2"/>
  <c r="AZ53" i="2"/>
  <c r="AY53" i="2"/>
  <c r="AX53" i="2"/>
  <c r="AV53" i="2"/>
  <c r="BN53" i="2" s="1"/>
  <c r="AD53" i="2"/>
  <c r="AC53" i="2"/>
  <c r="AB53" i="2"/>
  <c r="AA53" i="2"/>
  <c r="Z53" i="2"/>
  <c r="Y53" i="2"/>
  <c r="X53" i="2"/>
  <c r="W53" i="2"/>
  <c r="V53" i="2"/>
  <c r="U53" i="2"/>
  <c r="BG52" i="2"/>
  <c r="BF52" i="2"/>
  <c r="BE52" i="2"/>
  <c r="BD52" i="2"/>
  <c r="BC52" i="2"/>
  <c r="BB52" i="2"/>
  <c r="BA52" i="2"/>
  <c r="AZ52" i="2"/>
  <c r="AY52" i="2"/>
  <c r="AX52" i="2"/>
  <c r="AV52" i="2"/>
  <c r="BN52" i="2" s="1"/>
  <c r="AD52" i="2"/>
  <c r="AC52" i="2"/>
  <c r="AB52" i="2"/>
  <c r="AA52" i="2"/>
  <c r="Z52" i="2"/>
  <c r="Y52" i="2"/>
  <c r="X52" i="2"/>
  <c r="W52" i="2"/>
  <c r="V52" i="2"/>
  <c r="U52" i="2"/>
  <c r="BG51" i="2"/>
  <c r="BF51" i="2"/>
  <c r="BE51" i="2"/>
  <c r="BD51" i="2"/>
  <c r="BC51" i="2"/>
  <c r="BB51" i="2"/>
  <c r="BA51" i="2"/>
  <c r="AZ51" i="2"/>
  <c r="AY51" i="2"/>
  <c r="AX51" i="2"/>
  <c r="AV51" i="2"/>
  <c r="BN51" i="2" s="1"/>
  <c r="AD51" i="2"/>
  <c r="AC51" i="2"/>
  <c r="AB51" i="2"/>
  <c r="AA51" i="2"/>
  <c r="Z51" i="2"/>
  <c r="Y51" i="2"/>
  <c r="X51" i="2"/>
  <c r="W51" i="2"/>
  <c r="V51" i="2"/>
  <c r="U51" i="2"/>
  <c r="BG50" i="2"/>
  <c r="BF50" i="2"/>
  <c r="BE50" i="2"/>
  <c r="BD50" i="2"/>
  <c r="BC50" i="2"/>
  <c r="BB50" i="2"/>
  <c r="BA50" i="2"/>
  <c r="AZ50" i="2"/>
  <c r="AY50" i="2"/>
  <c r="AX50" i="2"/>
  <c r="AD50" i="2"/>
  <c r="AC50" i="2"/>
  <c r="AB50" i="2"/>
  <c r="AA50" i="2"/>
  <c r="Z50" i="2"/>
  <c r="Y50" i="2"/>
  <c r="X50" i="2"/>
  <c r="W50" i="2"/>
  <c r="V50" i="2"/>
  <c r="U50" i="2"/>
  <c r="BG49" i="2"/>
  <c r="BF49" i="2"/>
  <c r="BE49" i="2"/>
  <c r="BD49" i="2"/>
  <c r="BC49" i="2"/>
  <c r="BB49" i="2"/>
  <c r="BA49" i="2"/>
  <c r="AZ49" i="2"/>
  <c r="AY49" i="2"/>
  <c r="AX49" i="2"/>
  <c r="AD49" i="2"/>
  <c r="AC49" i="2"/>
  <c r="AB49" i="2"/>
  <c r="AA49" i="2"/>
  <c r="Z49" i="2"/>
  <c r="Y49" i="2"/>
  <c r="X49" i="2"/>
  <c r="W49" i="2"/>
  <c r="V49" i="2"/>
  <c r="U49" i="2"/>
  <c r="BG48" i="2"/>
  <c r="BF48" i="2"/>
  <c r="BE48" i="2"/>
  <c r="BD48" i="2"/>
  <c r="BC48" i="2"/>
  <c r="BB48" i="2"/>
  <c r="BA48" i="2"/>
  <c r="AZ48" i="2"/>
  <c r="AY48" i="2"/>
  <c r="AX48" i="2"/>
  <c r="AD48" i="2"/>
  <c r="AC48" i="2"/>
  <c r="AB48" i="2"/>
  <c r="AA48" i="2"/>
  <c r="Z48" i="2"/>
  <c r="Y48" i="2"/>
  <c r="X48" i="2"/>
  <c r="W48" i="2"/>
  <c r="V48" i="2"/>
  <c r="U48" i="2"/>
  <c r="BG47" i="2"/>
  <c r="BF47" i="2"/>
  <c r="BE47" i="2"/>
  <c r="BD47" i="2"/>
  <c r="BC47" i="2"/>
  <c r="BB47" i="2"/>
  <c r="BA47" i="2"/>
  <c r="AZ47" i="2"/>
  <c r="AY47" i="2"/>
  <c r="AX47" i="2"/>
  <c r="AD47" i="2"/>
  <c r="AC47" i="2"/>
  <c r="AB47" i="2"/>
  <c r="AA47" i="2"/>
  <c r="Z47" i="2"/>
  <c r="Y47" i="2"/>
  <c r="X47" i="2"/>
  <c r="W47" i="2"/>
  <c r="V47" i="2"/>
  <c r="U47" i="2"/>
  <c r="BG46" i="2"/>
  <c r="BF46" i="2"/>
  <c r="BE46" i="2"/>
  <c r="BD46" i="2"/>
  <c r="BC46" i="2"/>
  <c r="BB46" i="2"/>
  <c r="BA46" i="2"/>
  <c r="AZ46" i="2"/>
  <c r="AY46" i="2"/>
  <c r="AX46" i="2"/>
  <c r="AD46" i="2"/>
  <c r="AC46" i="2"/>
  <c r="AB46" i="2"/>
  <c r="AA46" i="2"/>
  <c r="Z46" i="2"/>
  <c r="Y46" i="2"/>
  <c r="X46" i="2"/>
  <c r="W46" i="2"/>
  <c r="V46" i="2"/>
  <c r="U46" i="2"/>
  <c r="BG45" i="2"/>
  <c r="BF45" i="2"/>
  <c r="BE45" i="2"/>
  <c r="BD45" i="2"/>
  <c r="BC45" i="2"/>
  <c r="BB45" i="2"/>
  <c r="BA45" i="2"/>
  <c r="AZ45" i="2"/>
  <c r="AY45" i="2"/>
  <c r="AX45" i="2"/>
  <c r="AD45" i="2"/>
  <c r="AC45" i="2"/>
  <c r="AB45" i="2"/>
  <c r="AA45" i="2"/>
  <c r="Z45" i="2"/>
  <c r="Y45" i="2"/>
  <c r="X45" i="2"/>
  <c r="W45" i="2"/>
  <c r="V45" i="2"/>
  <c r="U45" i="2"/>
  <c r="BG44" i="2"/>
  <c r="BF44" i="2"/>
  <c r="BE44" i="2"/>
  <c r="BD44" i="2"/>
  <c r="BC44" i="2"/>
  <c r="BB44" i="2"/>
  <c r="BA44" i="2"/>
  <c r="AZ44" i="2"/>
  <c r="AY44" i="2"/>
  <c r="AX44" i="2"/>
  <c r="AD44" i="2"/>
  <c r="AC44" i="2"/>
  <c r="AB44" i="2"/>
  <c r="AA44" i="2"/>
  <c r="Z44" i="2"/>
  <c r="Y44" i="2"/>
  <c r="X44" i="2"/>
  <c r="W44" i="2"/>
  <c r="V44" i="2"/>
  <c r="U44" i="2"/>
  <c r="BG43" i="2"/>
  <c r="BF43" i="2"/>
  <c r="BE43" i="2"/>
  <c r="BD43" i="2"/>
  <c r="BC43" i="2"/>
  <c r="BB43" i="2"/>
  <c r="BA43" i="2"/>
  <c r="AZ43" i="2"/>
  <c r="AY43" i="2"/>
  <c r="AX43" i="2"/>
  <c r="AD43" i="2"/>
  <c r="AC43" i="2"/>
  <c r="AB43" i="2"/>
  <c r="AA43" i="2"/>
  <c r="Z43" i="2"/>
  <c r="Y43" i="2"/>
  <c r="X43" i="2"/>
  <c r="W43" i="2"/>
  <c r="V43" i="2"/>
  <c r="U43" i="2"/>
  <c r="BG42" i="2"/>
  <c r="BF42" i="2"/>
  <c r="BE42" i="2"/>
  <c r="BD42" i="2"/>
  <c r="BC42" i="2"/>
  <c r="BB42" i="2"/>
  <c r="BA42" i="2"/>
  <c r="AZ42" i="2"/>
  <c r="AY42" i="2"/>
  <c r="AX42" i="2"/>
  <c r="AD42" i="2"/>
  <c r="AC42" i="2"/>
  <c r="AB42" i="2"/>
  <c r="AA42" i="2"/>
  <c r="Z42" i="2"/>
  <c r="Y42" i="2"/>
  <c r="X42" i="2"/>
  <c r="W42" i="2"/>
  <c r="V42" i="2"/>
  <c r="U42" i="2"/>
  <c r="BG41" i="2"/>
  <c r="BF41" i="2"/>
  <c r="BE41" i="2"/>
  <c r="BD41" i="2"/>
  <c r="BC41" i="2"/>
  <c r="BB41" i="2"/>
  <c r="BA41" i="2"/>
  <c r="AZ41" i="2"/>
  <c r="AY41" i="2"/>
  <c r="AX41" i="2"/>
  <c r="AD41" i="2"/>
  <c r="AC41" i="2"/>
  <c r="AB41" i="2"/>
  <c r="AA41" i="2"/>
  <c r="Z41" i="2"/>
  <c r="Y41" i="2"/>
  <c r="X41" i="2"/>
  <c r="W41" i="2"/>
  <c r="V41" i="2"/>
  <c r="U41" i="2"/>
  <c r="BG40" i="2"/>
  <c r="BF40" i="2"/>
  <c r="BE40" i="2"/>
  <c r="BD40" i="2"/>
  <c r="BC40" i="2"/>
  <c r="BB40" i="2"/>
  <c r="BA40" i="2"/>
  <c r="AZ40" i="2"/>
  <c r="AY40" i="2"/>
  <c r="AX40" i="2"/>
  <c r="AD40" i="2"/>
  <c r="AC40" i="2"/>
  <c r="AB40" i="2"/>
  <c r="AA40" i="2"/>
  <c r="Z40" i="2"/>
  <c r="Y40" i="2"/>
  <c r="X40" i="2"/>
  <c r="W40" i="2"/>
  <c r="V40" i="2"/>
  <c r="U40" i="2"/>
  <c r="BG39" i="2"/>
  <c r="BF39" i="2"/>
  <c r="BE39" i="2"/>
  <c r="BD39" i="2"/>
  <c r="BC39" i="2"/>
  <c r="BB39" i="2"/>
  <c r="BA39" i="2"/>
  <c r="AZ39" i="2"/>
  <c r="AY39" i="2"/>
  <c r="AX39" i="2"/>
  <c r="AD39" i="2"/>
  <c r="AC39" i="2"/>
  <c r="AB39" i="2"/>
  <c r="AA39" i="2"/>
  <c r="Z39" i="2"/>
  <c r="Y39" i="2"/>
  <c r="X39" i="2"/>
  <c r="W39" i="2"/>
  <c r="V39" i="2"/>
  <c r="U39" i="2"/>
  <c r="BG38" i="2"/>
  <c r="BF38" i="2"/>
  <c r="BE38" i="2"/>
  <c r="BD38" i="2"/>
  <c r="BC38" i="2"/>
  <c r="BB38" i="2"/>
  <c r="BA38" i="2"/>
  <c r="AZ38" i="2"/>
  <c r="AY38" i="2"/>
  <c r="AX38" i="2"/>
  <c r="AD38" i="2"/>
  <c r="AC38" i="2"/>
  <c r="AB38" i="2"/>
  <c r="AA38" i="2"/>
  <c r="Z38" i="2"/>
  <c r="Y38" i="2"/>
  <c r="X38" i="2"/>
  <c r="W38" i="2"/>
  <c r="V38" i="2"/>
  <c r="U38" i="2"/>
  <c r="BG37" i="2"/>
  <c r="BF37" i="2"/>
  <c r="BE37" i="2"/>
  <c r="BD37" i="2"/>
  <c r="BC37" i="2"/>
  <c r="BB37" i="2"/>
  <c r="BA37" i="2"/>
  <c r="AZ37" i="2"/>
  <c r="AY37" i="2"/>
  <c r="AX37" i="2"/>
  <c r="AD37" i="2"/>
  <c r="AC37" i="2"/>
  <c r="AB37" i="2"/>
  <c r="AA37" i="2"/>
  <c r="Z37" i="2"/>
  <c r="Y37" i="2"/>
  <c r="X37" i="2"/>
  <c r="W37" i="2"/>
  <c r="V37" i="2"/>
  <c r="U37" i="2"/>
  <c r="BG36" i="2"/>
  <c r="BF36" i="2"/>
  <c r="BE36" i="2"/>
  <c r="BD36" i="2"/>
  <c r="BC36" i="2"/>
  <c r="BB36" i="2"/>
  <c r="BA36" i="2"/>
  <c r="AZ36" i="2"/>
  <c r="AY36" i="2"/>
  <c r="AX36" i="2"/>
  <c r="AD36" i="2"/>
  <c r="AC36" i="2"/>
  <c r="AB36" i="2"/>
  <c r="AA36" i="2"/>
  <c r="Z36" i="2"/>
  <c r="Y36" i="2"/>
  <c r="X36" i="2"/>
  <c r="W36" i="2"/>
  <c r="V36" i="2"/>
  <c r="U36" i="2"/>
  <c r="BG35" i="2"/>
  <c r="BF35" i="2"/>
  <c r="BE35" i="2"/>
  <c r="BD35" i="2"/>
  <c r="BC35" i="2"/>
  <c r="BB35" i="2"/>
  <c r="BA35" i="2"/>
  <c r="AZ35" i="2"/>
  <c r="AY35" i="2"/>
  <c r="AX35" i="2"/>
  <c r="AD35" i="2"/>
  <c r="AC35" i="2"/>
  <c r="AB35" i="2"/>
  <c r="AA35" i="2"/>
  <c r="Z35" i="2"/>
  <c r="Y35" i="2"/>
  <c r="X35" i="2"/>
  <c r="W35" i="2"/>
  <c r="V35" i="2"/>
  <c r="U35" i="2"/>
  <c r="BG34" i="2"/>
  <c r="BF34" i="2"/>
  <c r="BE34" i="2"/>
  <c r="BD34" i="2"/>
  <c r="BC34" i="2"/>
  <c r="BB34" i="2"/>
  <c r="BA34" i="2"/>
  <c r="AZ34" i="2"/>
  <c r="AY34" i="2"/>
  <c r="AX34" i="2"/>
  <c r="AD34" i="2"/>
  <c r="AC34" i="2"/>
  <c r="AB34" i="2"/>
  <c r="AA34" i="2"/>
  <c r="Z34" i="2"/>
  <c r="Y34" i="2"/>
  <c r="X34" i="2"/>
  <c r="W34" i="2"/>
  <c r="V34" i="2"/>
  <c r="U34" i="2"/>
  <c r="BG33" i="2"/>
  <c r="BF33" i="2"/>
  <c r="BE33" i="2"/>
  <c r="BD33" i="2"/>
  <c r="BC33" i="2"/>
  <c r="BB33" i="2"/>
  <c r="BA33" i="2"/>
  <c r="AZ33" i="2"/>
  <c r="AY33" i="2"/>
  <c r="AX33" i="2"/>
  <c r="AD33" i="2"/>
  <c r="AC33" i="2"/>
  <c r="AB33" i="2"/>
  <c r="AA33" i="2"/>
  <c r="Z33" i="2"/>
  <c r="Y33" i="2"/>
  <c r="X33" i="2"/>
  <c r="W33" i="2"/>
  <c r="V33" i="2"/>
  <c r="U33" i="2"/>
  <c r="BG32" i="2"/>
  <c r="BF32" i="2"/>
  <c r="BE32" i="2"/>
  <c r="BD32" i="2"/>
  <c r="BC32" i="2"/>
  <c r="BB32" i="2"/>
  <c r="BA32" i="2"/>
  <c r="AZ32" i="2"/>
  <c r="AY32" i="2"/>
  <c r="AX32" i="2"/>
  <c r="AD32" i="2"/>
  <c r="AC32" i="2"/>
  <c r="AB32" i="2"/>
  <c r="AA32" i="2"/>
  <c r="Z32" i="2"/>
  <c r="Y32" i="2"/>
  <c r="X32" i="2"/>
  <c r="W32" i="2"/>
  <c r="V32" i="2"/>
  <c r="U32" i="2"/>
  <c r="BG31" i="2"/>
  <c r="BF31" i="2"/>
  <c r="BE31" i="2"/>
  <c r="BD31" i="2"/>
  <c r="BC31" i="2"/>
  <c r="BB31" i="2"/>
  <c r="BA31" i="2"/>
  <c r="AZ31" i="2"/>
  <c r="AY31" i="2"/>
  <c r="AX31" i="2"/>
  <c r="AD31" i="2"/>
  <c r="AC31" i="2"/>
  <c r="AB31" i="2"/>
  <c r="AA31" i="2"/>
  <c r="Z31" i="2"/>
  <c r="Y31" i="2"/>
  <c r="X31" i="2"/>
  <c r="W31" i="2"/>
  <c r="V31" i="2"/>
  <c r="U31" i="2"/>
  <c r="BG30" i="2"/>
  <c r="BF30" i="2"/>
  <c r="BE30" i="2"/>
  <c r="BD30" i="2"/>
  <c r="BC30" i="2"/>
  <c r="BB30" i="2"/>
  <c r="BA30" i="2"/>
  <c r="AZ30" i="2"/>
  <c r="AY30" i="2"/>
  <c r="AX30" i="2"/>
  <c r="AD30" i="2"/>
  <c r="AC30" i="2"/>
  <c r="AB30" i="2"/>
  <c r="AA30" i="2"/>
  <c r="Z30" i="2"/>
  <c r="Y30" i="2"/>
  <c r="X30" i="2"/>
  <c r="W30" i="2"/>
  <c r="V30" i="2"/>
  <c r="U30" i="2"/>
  <c r="BG29" i="2"/>
  <c r="BF29" i="2"/>
  <c r="BE29" i="2"/>
  <c r="BD29" i="2"/>
  <c r="BC29" i="2"/>
  <c r="BB29" i="2"/>
  <c r="BA29" i="2"/>
  <c r="AZ29" i="2"/>
  <c r="AY29" i="2"/>
  <c r="AX29" i="2"/>
  <c r="AD29" i="2"/>
  <c r="AC29" i="2"/>
  <c r="AB29" i="2"/>
  <c r="AA29" i="2"/>
  <c r="Z29" i="2"/>
  <c r="Y29" i="2"/>
  <c r="X29" i="2"/>
  <c r="W29" i="2"/>
  <c r="V29" i="2"/>
  <c r="U29" i="2"/>
  <c r="BG28" i="2"/>
  <c r="BF28" i="2"/>
  <c r="BE28" i="2"/>
  <c r="BD28" i="2"/>
  <c r="BC28" i="2"/>
  <c r="BB28" i="2"/>
  <c r="BA28" i="2"/>
  <c r="AZ28" i="2"/>
  <c r="AY28" i="2"/>
  <c r="AX28" i="2"/>
  <c r="AD28" i="2"/>
  <c r="AC28" i="2"/>
  <c r="AB28" i="2"/>
  <c r="AA28" i="2"/>
  <c r="Z28" i="2"/>
  <c r="Y28" i="2"/>
  <c r="X28" i="2"/>
  <c r="W28" i="2"/>
  <c r="V28" i="2"/>
  <c r="U28" i="2"/>
  <c r="BG27" i="2"/>
  <c r="BF27" i="2"/>
  <c r="BE27" i="2"/>
  <c r="BD27" i="2"/>
  <c r="BC27" i="2"/>
  <c r="BB27" i="2"/>
  <c r="BA27" i="2"/>
  <c r="AZ27" i="2"/>
  <c r="AY27" i="2"/>
  <c r="AX27" i="2"/>
  <c r="AD27" i="2"/>
  <c r="AC27" i="2"/>
  <c r="AB27" i="2"/>
  <c r="AA27" i="2"/>
  <c r="Z27" i="2"/>
  <c r="Y27" i="2"/>
  <c r="X27" i="2"/>
  <c r="W27" i="2"/>
  <c r="V27" i="2"/>
  <c r="U27" i="2"/>
  <c r="BG26" i="2"/>
  <c r="BF26" i="2"/>
  <c r="BE26" i="2"/>
  <c r="BD26" i="2"/>
  <c r="BC26" i="2"/>
  <c r="BB26" i="2"/>
  <c r="BA26" i="2"/>
  <c r="AZ26" i="2"/>
  <c r="AY26" i="2"/>
  <c r="AX26" i="2"/>
  <c r="AD26" i="2"/>
  <c r="AC26" i="2"/>
  <c r="AB26" i="2"/>
  <c r="AA26" i="2"/>
  <c r="Z26" i="2"/>
  <c r="Y26" i="2"/>
  <c r="X26" i="2"/>
  <c r="W26" i="2"/>
  <c r="V26" i="2"/>
  <c r="U26" i="2"/>
  <c r="BG25" i="2"/>
  <c r="BF25" i="2"/>
  <c r="BE25" i="2"/>
  <c r="BD25" i="2"/>
  <c r="BC25" i="2"/>
  <c r="BB25" i="2"/>
  <c r="BA25" i="2"/>
  <c r="AZ25" i="2"/>
  <c r="AY25" i="2"/>
  <c r="AX25" i="2"/>
  <c r="AD25" i="2"/>
  <c r="AC25" i="2"/>
  <c r="AB25" i="2"/>
  <c r="AA25" i="2"/>
  <c r="Z25" i="2"/>
  <c r="Y25" i="2"/>
  <c r="X25" i="2"/>
  <c r="W25" i="2"/>
  <c r="V25" i="2"/>
  <c r="U25" i="2"/>
  <c r="BG24" i="2"/>
  <c r="BF24" i="2"/>
  <c r="BE24" i="2"/>
  <c r="BD24" i="2"/>
  <c r="BC24" i="2"/>
  <c r="BB24" i="2"/>
  <c r="BA24" i="2"/>
  <c r="AZ24" i="2"/>
  <c r="AY24" i="2"/>
  <c r="AX24" i="2"/>
  <c r="AD24" i="2"/>
  <c r="AC24" i="2"/>
  <c r="AB24" i="2"/>
  <c r="AA24" i="2"/>
  <c r="Z24" i="2"/>
  <c r="Y24" i="2"/>
  <c r="X24" i="2"/>
  <c r="W24" i="2"/>
  <c r="V24" i="2"/>
  <c r="U24" i="2"/>
  <c r="BG23" i="2"/>
  <c r="BF23" i="2"/>
  <c r="BE23" i="2"/>
  <c r="BD23" i="2"/>
  <c r="BC23" i="2"/>
  <c r="BB23" i="2"/>
  <c r="BA23" i="2"/>
  <c r="AZ23" i="2"/>
  <c r="AY23" i="2"/>
  <c r="AX23" i="2"/>
  <c r="AD23" i="2"/>
  <c r="AC23" i="2"/>
  <c r="AB23" i="2"/>
  <c r="AA23" i="2"/>
  <c r="Z23" i="2"/>
  <c r="Y23" i="2"/>
  <c r="X23" i="2"/>
  <c r="W23" i="2"/>
  <c r="V23" i="2"/>
  <c r="U23" i="2"/>
  <c r="BG22" i="2"/>
  <c r="BF22" i="2"/>
  <c r="BE22" i="2"/>
  <c r="BD22" i="2"/>
  <c r="BC22" i="2"/>
  <c r="BB22" i="2"/>
  <c r="BA22" i="2"/>
  <c r="AZ22" i="2"/>
  <c r="AY22" i="2"/>
  <c r="AX22" i="2"/>
  <c r="AD22" i="2"/>
  <c r="AC22" i="2"/>
  <c r="AB22" i="2"/>
  <c r="AA22" i="2"/>
  <c r="Z22" i="2"/>
  <c r="Y22" i="2"/>
  <c r="X22" i="2"/>
  <c r="W22" i="2"/>
  <c r="V22" i="2"/>
  <c r="U22" i="2"/>
  <c r="BG21" i="2"/>
  <c r="BF21" i="2"/>
  <c r="BE21" i="2"/>
  <c r="BD21" i="2"/>
  <c r="BC21" i="2"/>
  <c r="BB21" i="2"/>
  <c r="BA21" i="2"/>
  <c r="AZ21" i="2"/>
  <c r="AY21" i="2"/>
  <c r="AX21" i="2"/>
  <c r="AD21" i="2"/>
  <c r="AC21" i="2"/>
  <c r="AB21" i="2"/>
  <c r="AA21" i="2"/>
  <c r="Z21" i="2"/>
  <c r="Y21" i="2"/>
  <c r="X21" i="2"/>
  <c r="W21" i="2"/>
  <c r="V21" i="2"/>
  <c r="U21" i="2"/>
  <c r="BG20" i="2"/>
  <c r="BF20" i="2"/>
  <c r="BE20" i="2"/>
  <c r="BD20" i="2"/>
  <c r="BC20" i="2"/>
  <c r="BB20" i="2"/>
  <c r="BA20" i="2"/>
  <c r="AZ20" i="2"/>
  <c r="AY20" i="2"/>
  <c r="AX20" i="2"/>
  <c r="AD20" i="2"/>
  <c r="AC20" i="2"/>
  <c r="AB20" i="2"/>
  <c r="AA20" i="2"/>
  <c r="Z20" i="2"/>
  <c r="Y20" i="2"/>
  <c r="X20" i="2"/>
  <c r="W20" i="2"/>
  <c r="V20" i="2"/>
  <c r="U20" i="2"/>
  <c r="BG19" i="2"/>
  <c r="BF19" i="2"/>
  <c r="BE19" i="2"/>
  <c r="BD19" i="2"/>
  <c r="BC19" i="2"/>
  <c r="BB19" i="2"/>
  <c r="BA19" i="2"/>
  <c r="AZ19" i="2"/>
  <c r="AY19" i="2"/>
  <c r="AX19" i="2"/>
  <c r="AD19" i="2"/>
  <c r="AC19" i="2"/>
  <c r="AB19" i="2"/>
  <c r="AA19" i="2"/>
  <c r="Z19" i="2"/>
  <c r="Y19" i="2"/>
  <c r="X19" i="2"/>
  <c r="W19" i="2"/>
  <c r="V19" i="2"/>
  <c r="U19" i="2"/>
  <c r="BG18" i="2"/>
  <c r="BF18" i="2"/>
  <c r="BE18" i="2"/>
  <c r="BD18" i="2"/>
  <c r="BC18" i="2"/>
  <c r="BB18" i="2"/>
  <c r="BA18" i="2"/>
  <c r="AZ18" i="2"/>
  <c r="AY18" i="2"/>
  <c r="AX18" i="2"/>
  <c r="AD18" i="2"/>
  <c r="AC18" i="2"/>
  <c r="AB18" i="2"/>
  <c r="AA18" i="2"/>
  <c r="Z18" i="2"/>
  <c r="Y18" i="2"/>
  <c r="X18" i="2"/>
  <c r="W18" i="2"/>
  <c r="V18" i="2"/>
  <c r="U18" i="2"/>
  <c r="BG17" i="2"/>
  <c r="BF17" i="2"/>
  <c r="BE17" i="2"/>
  <c r="BD17" i="2"/>
  <c r="BC17" i="2"/>
  <c r="BB17" i="2"/>
  <c r="BA17" i="2"/>
  <c r="AZ17" i="2"/>
  <c r="AY17" i="2"/>
  <c r="AX17" i="2"/>
  <c r="AD17" i="2"/>
  <c r="AC17" i="2"/>
  <c r="AB17" i="2"/>
  <c r="AA17" i="2"/>
  <c r="Z17" i="2"/>
  <c r="Y17" i="2"/>
  <c r="X17" i="2"/>
  <c r="W17" i="2"/>
  <c r="V17" i="2"/>
  <c r="U17" i="2"/>
  <c r="BG16" i="2"/>
  <c r="BF16" i="2"/>
  <c r="BE16" i="2"/>
  <c r="BD16" i="2"/>
  <c r="BC16" i="2"/>
  <c r="BB16" i="2"/>
  <c r="BA16" i="2"/>
  <c r="AZ16" i="2"/>
  <c r="AY16" i="2"/>
  <c r="AX16" i="2"/>
  <c r="AD16" i="2"/>
  <c r="AC16" i="2"/>
  <c r="AB16" i="2"/>
  <c r="AA16" i="2"/>
  <c r="Z16" i="2"/>
  <c r="Y16" i="2"/>
  <c r="X16" i="2"/>
  <c r="W16" i="2"/>
  <c r="V16" i="2"/>
  <c r="U16" i="2"/>
  <c r="BG15" i="2"/>
  <c r="BF15" i="2"/>
  <c r="BE15" i="2"/>
  <c r="BD15" i="2"/>
  <c r="BC15" i="2"/>
  <c r="BB15" i="2"/>
  <c r="BA15" i="2"/>
  <c r="AZ15" i="2"/>
  <c r="AY15" i="2"/>
  <c r="AX15" i="2"/>
  <c r="AD15" i="2"/>
  <c r="AC15" i="2"/>
  <c r="AB15" i="2"/>
  <c r="AA15" i="2"/>
  <c r="Z15" i="2"/>
  <c r="Y15" i="2"/>
  <c r="X15" i="2"/>
  <c r="W15" i="2"/>
  <c r="V15" i="2"/>
  <c r="U15" i="2"/>
  <c r="BG14" i="2"/>
  <c r="BF14" i="2"/>
  <c r="BE14" i="2"/>
  <c r="BD14" i="2"/>
  <c r="BD11" i="2" s="1"/>
  <c r="BC14" i="2"/>
  <c r="BB14" i="2"/>
  <c r="BA14" i="2"/>
  <c r="AZ14" i="2"/>
  <c r="AY14" i="2"/>
  <c r="AX14" i="2"/>
  <c r="AD14" i="2"/>
  <c r="AC14" i="2"/>
  <c r="AB14" i="2"/>
  <c r="AA14" i="2"/>
  <c r="Z14" i="2"/>
  <c r="Y14" i="2"/>
  <c r="X14" i="2"/>
  <c r="W14" i="2"/>
  <c r="V14" i="2"/>
  <c r="U14" i="2"/>
  <c r="BG13" i="2"/>
  <c r="BF13" i="2"/>
  <c r="BE13" i="2"/>
  <c r="BD13" i="2"/>
  <c r="BC13" i="2"/>
  <c r="BB13" i="2"/>
  <c r="BA13" i="2"/>
  <c r="AZ13" i="2"/>
  <c r="AY13" i="2"/>
  <c r="AX13" i="2"/>
  <c r="O13" i="2"/>
  <c r="N13" i="2"/>
  <c r="M13" i="2"/>
  <c r="L13" i="2"/>
  <c r="K13" i="2"/>
  <c r="J13" i="2"/>
  <c r="I13" i="2"/>
  <c r="H13" i="2"/>
  <c r="G13" i="2"/>
  <c r="F13" i="2"/>
  <c r="AU12" i="2"/>
  <c r="AT12" i="2"/>
  <c r="AS12" i="2"/>
  <c r="AR12" i="2"/>
  <c r="AQ12" i="2"/>
  <c r="AP12" i="2"/>
  <c r="AO12" i="2"/>
  <c r="AN12" i="2"/>
  <c r="AM12" i="2"/>
  <c r="AL12" i="2"/>
  <c r="AF12" i="2"/>
  <c r="BG63" i="10"/>
  <c r="BF63" i="10"/>
  <c r="BE63" i="10"/>
  <c r="BD63" i="10"/>
  <c r="BC63" i="10"/>
  <c r="BB63" i="10"/>
  <c r="BA63" i="10"/>
  <c r="AZ63" i="10"/>
  <c r="AY63" i="10"/>
  <c r="AX63" i="10"/>
  <c r="AV63" i="10"/>
  <c r="BN63" i="10" s="1"/>
  <c r="AD63" i="10"/>
  <c r="AC63" i="10"/>
  <c r="AB63" i="10"/>
  <c r="AA63" i="10"/>
  <c r="Z63" i="10"/>
  <c r="Y63" i="10"/>
  <c r="X63" i="10"/>
  <c r="W63" i="10"/>
  <c r="V63" i="10"/>
  <c r="U63" i="10"/>
  <c r="BG62" i="10"/>
  <c r="BF62" i="10"/>
  <c r="BE62" i="10"/>
  <c r="BD62" i="10"/>
  <c r="BC62" i="10"/>
  <c r="BB62" i="10"/>
  <c r="BA62" i="10"/>
  <c r="AZ62" i="10"/>
  <c r="AY62" i="10"/>
  <c r="AX62" i="10"/>
  <c r="AV62" i="10"/>
  <c r="BN62" i="10" s="1"/>
  <c r="AD62" i="10"/>
  <c r="AC62" i="10"/>
  <c r="AB62" i="10"/>
  <c r="AA62" i="10"/>
  <c r="Z62" i="10"/>
  <c r="Y62" i="10"/>
  <c r="X62" i="10"/>
  <c r="W62" i="10"/>
  <c r="V62" i="10"/>
  <c r="U62" i="10"/>
  <c r="BG61" i="10"/>
  <c r="BF61" i="10"/>
  <c r="BE61" i="10"/>
  <c r="BD61" i="10"/>
  <c r="BC61" i="10"/>
  <c r="BB61" i="10"/>
  <c r="BA61" i="10"/>
  <c r="AZ61" i="10"/>
  <c r="AY61" i="10"/>
  <c r="AX61" i="10"/>
  <c r="AV61" i="10"/>
  <c r="BN61" i="10" s="1"/>
  <c r="AD61" i="10"/>
  <c r="AC61" i="10"/>
  <c r="AB61" i="10"/>
  <c r="AA61" i="10"/>
  <c r="Z61" i="10"/>
  <c r="Y61" i="10"/>
  <c r="X61" i="10"/>
  <c r="W61" i="10"/>
  <c r="V61" i="10"/>
  <c r="U61" i="10"/>
  <c r="BG60" i="10"/>
  <c r="BF60" i="10"/>
  <c r="BE60" i="10"/>
  <c r="BD60" i="10"/>
  <c r="BC60" i="10"/>
  <c r="BB60" i="10"/>
  <c r="BA60" i="10"/>
  <c r="AZ60" i="10"/>
  <c r="AY60" i="10"/>
  <c r="AX60" i="10"/>
  <c r="AV60" i="10"/>
  <c r="BN60" i="10" s="1"/>
  <c r="AD60" i="10"/>
  <c r="AC60" i="10"/>
  <c r="AB60" i="10"/>
  <c r="AA60" i="10"/>
  <c r="Z60" i="10"/>
  <c r="Y60" i="10"/>
  <c r="X60" i="10"/>
  <c r="W60" i="10"/>
  <c r="V60" i="10"/>
  <c r="U60" i="10"/>
  <c r="BG59" i="10"/>
  <c r="BF59" i="10"/>
  <c r="BE59" i="10"/>
  <c r="BD59" i="10"/>
  <c r="BC59" i="10"/>
  <c r="BB59" i="10"/>
  <c r="BA59" i="10"/>
  <c r="AZ59" i="10"/>
  <c r="AY59" i="10"/>
  <c r="AX59" i="10"/>
  <c r="AV59" i="10"/>
  <c r="BN59" i="10" s="1"/>
  <c r="AD59" i="10"/>
  <c r="AC59" i="10"/>
  <c r="AB59" i="10"/>
  <c r="AA59" i="10"/>
  <c r="Z59" i="10"/>
  <c r="Y59" i="10"/>
  <c r="X59" i="10"/>
  <c r="W59" i="10"/>
  <c r="V59" i="10"/>
  <c r="U59" i="10"/>
  <c r="BG58" i="10"/>
  <c r="BF58" i="10"/>
  <c r="BE58" i="10"/>
  <c r="BD58" i="10"/>
  <c r="BC58" i="10"/>
  <c r="BB58" i="10"/>
  <c r="BA58" i="10"/>
  <c r="AZ58" i="10"/>
  <c r="AY58" i="10"/>
  <c r="AX58" i="10"/>
  <c r="AV58" i="10"/>
  <c r="BN58" i="10" s="1"/>
  <c r="AD58" i="10"/>
  <c r="AC58" i="10"/>
  <c r="AB58" i="10"/>
  <c r="AA58" i="10"/>
  <c r="Z58" i="10"/>
  <c r="Y58" i="10"/>
  <c r="X58" i="10"/>
  <c r="W58" i="10"/>
  <c r="V58" i="10"/>
  <c r="U58" i="10"/>
  <c r="BG57" i="10"/>
  <c r="BF57" i="10"/>
  <c r="BE57" i="10"/>
  <c r="BD57" i="10"/>
  <c r="BC57" i="10"/>
  <c r="BB57" i="10"/>
  <c r="BA57" i="10"/>
  <c r="AZ57" i="10"/>
  <c r="AY57" i="10"/>
  <c r="AX57" i="10"/>
  <c r="AV57" i="10"/>
  <c r="BN57" i="10" s="1"/>
  <c r="AD57" i="10"/>
  <c r="AC57" i="10"/>
  <c r="AB57" i="10"/>
  <c r="AA57" i="10"/>
  <c r="Z57" i="10"/>
  <c r="Y57" i="10"/>
  <c r="X57" i="10"/>
  <c r="W57" i="10"/>
  <c r="V57" i="10"/>
  <c r="U57" i="10"/>
  <c r="BG56" i="10"/>
  <c r="BF56" i="10"/>
  <c r="BE56" i="10"/>
  <c r="BD56" i="10"/>
  <c r="BC56" i="10"/>
  <c r="BB56" i="10"/>
  <c r="BA56" i="10"/>
  <c r="AZ56" i="10"/>
  <c r="AY56" i="10"/>
  <c r="AX56" i="10"/>
  <c r="AV56" i="10"/>
  <c r="BN56" i="10" s="1"/>
  <c r="AD56" i="10"/>
  <c r="AC56" i="10"/>
  <c r="AB56" i="10"/>
  <c r="AA56" i="10"/>
  <c r="Z56" i="10"/>
  <c r="Y56" i="10"/>
  <c r="X56" i="10"/>
  <c r="W56" i="10"/>
  <c r="V56" i="10"/>
  <c r="U56" i="10"/>
  <c r="BG55" i="10"/>
  <c r="BF55" i="10"/>
  <c r="BE55" i="10"/>
  <c r="BD55" i="10"/>
  <c r="BC55" i="10"/>
  <c r="BB55" i="10"/>
  <c r="BA55" i="10"/>
  <c r="AZ55" i="10"/>
  <c r="AY55" i="10"/>
  <c r="AX55" i="10"/>
  <c r="AV55" i="10"/>
  <c r="BN55" i="10" s="1"/>
  <c r="AD55" i="10"/>
  <c r="AC55" i="10"/>
  <c r="AB55" i="10"/>
  <c r="AA55" i="10"/>
  <c r="Z55" i="10"/>
  <c r="Y55" i="10"/>
  <c r="X55" i="10"/>
  <c r="W55" i="10"/>
  <c r="V55" i="10"/>
  <c r="U55" i="10"/>
  <c r="BG54" i="10"/>
  <c r="BF54" i="10"/>
  <c r="BE54" i="10"/>
  <c r="BD54" i="10"/>
  <c r="BC54" i="10"/>
  <c r="BB54" i="10"/>
  <c r="BA54" i="10"/>
  <c r="AZ54" i="10"/>
  <c r="AY54" i="10"/>
  <c r="AX54" i="10"/>
  <c r="AV54" i="10"/>
  <c r="BN54" i="10" s="1"/>
  <c r="AD54" i="10"/>
  <c r="AC54" i="10"/>
  <c r="AB54" i="10"/>
  <c r="AA54" i="10"/>
  <c r="Z54" i="10"/>
  <c r="Y54" i="10"/>
  <c r="X54" i="10"/>
  <c r="W54" i="10"/>
  <c r="V54" i="10"/>
  <c r="U54" i="10"/>
  <c r="BG53" i="10"/>
  <c r="BF53" i="10"/>
  <c r="BE53" i="10"/>
  <c r="BD53" i="10"/>
  <c r="BC53" i="10"/>
  <c r="BB53" i="10"/>
  <c r="BA53" i="10"/>
  <c r="AZ53" i="10"/>
  <c r="AY53" i="10"/>
  <c r="AX53" i="10"/>
  <c r="AV53" i="10"/>
  <c r="BN53" i="10" s="1"/>
  <c r="AD53" i="10"/>
  <c r="AC53" i="10"/>
  <c r="AB53" i="10"/>
  <c r="AA53" i="10"/>
  <c r="Z53" i="10"/>
  <c r="Y53" i="10"/>
  <c r="X53" i="10"/>
  <c r="W53" i="10"/>
  <c r="V53" i="10"/>
  <c r="U53" i="10"/>
  <c r="BG52" i="10"/>
  <c r="BF52" i="10"/>
  <c r="BE52" i="10"/>
  <c r="BD52" i="10"/>
  <c r="BC52" i="10"/>
  <c r="BB52" i="10"/>
  <c r="BA52" i="10"/>
  <c r="AZ52" i="10"/>
  <c r="AY52" i="10"/>
  <c r="AX52" i="10"/>
  <c r="AV52" i="10"/>
  <c r="BN52" i="10" s="1"/>
  <c r="AD52" i="10"/>
  <c r="AC52" i="10"/>
  <c r="AB52" i="10"/>
  <c r="AA52" i="10"/>
  <c r="Z52" i="10"/>
  <c r="Y52" i="10"/>
  <c r="X52" i="10"/>
  <c r="W52" i="10"/>
  <c r="V52" i="10"/>
  <c r="U52" i="10"/>
  <c r="BG51" i="10"/>
  <c r="BF51" i="10"/>
  <c r="BE51" i="10"/>
  <c r="BD51" i="10"/>
  <c r="BC51" i="10"/>
  <c r="BB51" i="10"/>
  <c r="BA51" i="10"/>
  <c r="AZ51" i="10"/>
  <c r="AY51" i="10"/>
  <c r="AX51" i="10"/>
  <c r="AV51" i="10"/>
  <c r="BN51" i="10" s="1"/>
  <c r="AD51" i="10"/>
  <c r="AC51" i="10"/>
  <c r="AB51" i="10"/>
  <c r="AA51" i="10"/>
  <c r="Z51" i="10"/>
  <c r="Y51" i="10"/>
  <c r="X51" i="10"/>
  <c r="W51" i="10"/>
  <c r="V51" i="10"/>
  <c r="U51" i="10"/>
  <c r="BG50" i="10"/>
  <c r="BF50" i="10"/>
  <c r="BE50" i="10"/>
  <c r="BD50" i="10"/>
  <c r="BC50" i="10"/>
  <c r="BB50" i="10"/>
  <c r="BA50" i="10"/>
  <c r="AZ50" i="10"/>
  <c r="AY50" i="10"/>
  <c r="AX50" i="10"/>
  <c r="AD50" i="10"/>
  <c r="AC50" i="10"/>
  <c r="AB50" i="10"/>
  <c r="AA50" i="10"/>
  <c r="Z50" i="10"/>
  <c r="Y50" i="10"/>
  <c r="X50" i="10"/>
  <c r="W50" i="10"/>
  <c r="V50" i="10"/>
  <c r="U50" i="10"/>
  <c r="BG49" i="10"/>
  <c r="BF49" i="10"/>
  <c r="BE49" i="10"/>
  <c r="BD49" i="10"/>
  <c r="BC49" i="10"/>
  <c r="BB49" i="10"/>
  <c r="BA49" i="10"/>
  <c r="AZ49" i="10"/>
  <c r="AY49" i="10"/>
  <c r="AX49" i="10"/>
  <c r="AD49" i="10"/>
  <c r="AC49" i="10"/>
  <c r="AB49" i="10"/>
  <c r="AA49" i="10"/>
  <c r="Z49" i="10"/>
  <c r="Y49" i="10"/>
  <c r="X49" i="10"/>
  <c r="W49" i="10"/>
  <c r="V49" i="10"/>
  <c r="U49" i="10"/>
  <c r="BG48" i="10"/>
  <c r="BF48" i="10"/>
  <c r="BE48" i="10"/>
  <c r="BD48" i="10"/>
  <c r="BC48" i="10"/>
  <c r="BB48" i="10"/>
  <c r="BA48" i="10"/>
  <c r="AZ48" i="10"/>
  <c r="AY48" i="10"/>
  <c r="AX48" i="10"/>
  <c r="AD48" i="10"/>
  <c r="AC48" i="10"/>
  <c r="AB48" i="10"/>
  <c r="AA48" i="10"/>
  <c r="Z48" i="10"/>
  <c r="Y48" i="10"/>
  <c r="X48" i="10"/>
  <c r="W48" i="10"/>
  <c r="V48" i="10"/>
  <c r="U48" i="10"/>
  <c r="BG47" i="10"/>
  <c r="BF47" i="10"/>
  <c r="BE47" i="10"/>
  <c r="BD47" i="10"/>
  <c r="BC47" i="10"/>
  <c r="BB47" i="10"/>
  <c r="BA47" i="10"/>
  <c r="AZ47" i="10"/>
  <c r="AY47" i="10"/>
  <c r="AX47" i="10"/>
  <c r="AD47" i="10"/>
  <c r="AC47" i="10"/>
  <c r="AB47" i="10"/>
  <c r="AA47" i="10"/>
  <c r="Z47" i="10"/>
  <c r="Y47" i="10"/>
  <c r="X47" i="10"/>
  <c r="W47" i="10"/>
  <c r="V47" i="10"/>
  <c r="U47" i="10"/>
  <c r="BG46" i="10"/>
  <c r="BF46" i="10"/>
  <c r="BE46" i="10"/>
  <c r="BD46" i="10"/>
  <c r="BC46" i="10"/>
  <c r="BB46" i="10"/>
  <c r="BA46" i="10"/>
  <c r="AZ46" i="10"/>
  <c r="AY46" i="10"/>
  <c r="AX46" i="10"/>
  <c r="AD46" i="10"/>
  <c r="AC46" i="10"/>
  <c r="AB46" i="10"/>
  <c r="AA46" i="10"/>
  <c r="Z46" i="10"/>
  <c r="Y46" i="10"/>
  <c r="X46" i="10"/>
  <c r="W46" i="10"/>
  <c r="V46" i="10"/>
  <c r="U46" i="10"/>
  <c r="BG45" i="10"/>
  <c r="BF45" i="10"/>
  <c r="BE45" i="10"/>
  <c r="BD45" i="10"/>
  <c r="BC45" i="10"/>
  <c r="BB45" i="10"/>
  <c r="BA45" i="10"/>
  <c r="AZ45" i="10"/>
  <c r="AY45" i="10"/>
  <c r="AX45" i="10"/>
  <c r="AD45" i="10"/>
  <c r="AC45" i="10"/>
  <c r="AB45" i="10"/>
  <c r="AA45" i="10"/>
  <c r="Z45" i="10"/>
  <c r="Y45" i="10"/>
  <c r="X45" i="10"/>
  <c r="W45" i="10"/>
  <c r="V45" i="10"/>
  <c r="U45" i="10"/>
  <c r="BG44" i="10"/>
  <c r="BF44" i="10"/>
  <c r="BE44" i="10"/>
  <c r="BD44" i="10"/>
  <c r="BC44" i="10"/>
  <c r="BB44" i="10"/>
  <c r="BA44" i="10"/>
  <c r="AZ44" i="10"/>
  <c r="AY44" i="10"/>
  <c r="AX44" i="10"/>
  <c r="AD44" i="10"/>
  <c r="AC44" i="10"/>
  <c r="AB44" i="10"/>
  <c r="AA44" i="10"/>
  <c r="Z44" i="10"/>
  <c r="Y44" i="10"/>
  <c r="X44" i="10"/>
  <c r="W44" i="10"/>
  <c r="V44" i="10"/>
  <c r="U44" i="10"/>
  <c r="BG43" i="10"/>
  <c r="BF43" i="10"/>
  <c r="BE43" i="10"/>
  <c r="BD43" i="10"/>
  <c r="BC43" i="10"/>
  <c r="BB43" i="10"/>
  <c r="BA43" i="10"/>
  <c r="AZ43" i="10"/>
  <c r="AY43" i="10"/>
  <c r="AX43" i="10"/>
  <c r="AD43" i="10"/>
  <c r="AC43" i="10"/>
  <c r="AB43" i="10"/>
  <c r="AA43" i="10"/>
  <c r="Z43" i="10"/>
  <c r="Y43" i="10"/>
  <c r="X43" i="10"/>
  <c r="W43" i="10"/>
  <c r="V43" i="10"/>
  <c r="U43" i="10"/>
  <c r="BG42" i="10"/>
  <c r="BF42" i="10"/>
  <c r="BE42" i="10"/>
  <c r="BD42" i="10"/>
  <c r="BC42" i="10"/>
  <c r="BB42" i="10"/>
  <c r="BA42" i="10"/>
  <c r="AZ42" i="10"/>
  <c r="AY42" i="10"/>
  <c r="AX42" i="10"/>
  <c r="AD42" i="10"/>
  <c r="AC42" i="10"/>
  <c r="AB42" i="10"/>
  <c r="AA42" i="10"/>
  <c r="Z42" i="10"/>
  <c r="Y42" i="10"/>
  <c r="X42" i="10"/>
  <c r="W42" i="10"/>
  <c r="V42" i="10"/>
  <c r="U42" i="10"/>
  <c r="BG41" i="10"/>
  <c r="BF41" i="10"/>
  <c r="BE41" i="10"/>
  <c r="BD41" i="10"/>
  <c r="BC41" i="10"/>
  <c r="BB41" i="10"/>
  <c r="BA41" i="10"/>
  <c r="AZ41" i="10"/>
  <c r="AY41" i="10"/>
  <c r="AX41" i="10"/>
  <c r="AD41" i="10"/>
  <c r="AC41" i="10"/>
  <c r="AB41" i="10"/>
  <c r="AA41" i="10"/>
  <c r="Z41" i="10"/>
  <c r="Y41" i="10"/>
  <c r="X41" i="10"/>
  <c r="W41" i="10"/>
  <c r="V41" i="10"/>
  <c r="U41" i="10"/>
  <c r="BG40" i="10"/>
  <c r="BF40" i="10"/>
  <c r="BE40" i="10"/>
  <c r="BD40" i="10"/>
  <c r="BC40" i="10"/>
  <c r="BB40" i="10"/>
  <c r="BA40" i="10"/>
  <c r="AZ40" i="10"/>
  <c r="AY40" i="10"/>
  <c r="AX40" i="10"/>
  <c r="AD40" i="10"/>
  <c r="AC40" i="10"/>
  <c r="AB40" i="10"/>
  <c r="AA40" i="10"/>
  <c r="Z40" i="10"/>
  <c r="Y40" i="10"/>
  <c r="X40" i="10"/>
  <c r="W40" i="10"/>
  <c r="V40" i="10"/>
  <c r="U40" i="10"/>
  <c r="BG39" i="10"/>
  <c r="BF39" i="10"/>
  <c r="BE39" i="10"/>
  <c r="BD39" i="10"/>
  <c r="BC39" i="10"/>
  <c r="BB39" i="10"/>
  <c r="BA39" i="10"/>
  <c r="AZ39" i="10"/>
  <c r="AY39" i="10"/>
  <c r="AX39" i="10"/>
  <c r="AD39" i="10"/>
  <c r="AC39" i="10"/>
  <c r="AB39" i="10"/>
  <c r="AA39" i="10"/>
  <c r="Z39" i="10"/>
  <c r="Y39" i="10"/>
  <c r="X39" i="10"/>
  <c r="W39" i="10"/>
  <c r="V39" i="10"/>
  <c r="U39" i="10"/>
  <c r="BG38" i="10"/>
  <c r="BF38" i="10"/>
  <c r="BE38" i="10"/>
  <c r="BD38" i="10"/>
  <c r="BC38" i="10"/>
  <c r="BB38" i="10"/>
  <c r="BA38" i="10"/>
  <c r="AZ38" i="10"/>
  <c r="AY38" i="10"/>
  <c r="AX38" i="10"/>
  <c r="AD38" i="10"/>
  <c r="AC38" i="10"/>
  <c r="AB38" i="10"/>
  <c r="AA38" i="10"/>
  <c r="Z38" i="10"/>
  <c r="Y38" i="10"/>
  <c r="X38" i="10"/>
  <c r="W38" i="10"/>
  <c r="V38" i="10"/>
  <c r="U38" i="10"/>
  <c r="BG37" i="10"/>
  <c r="BF37" i="10"/>
  <c r="BE37" i="10"/>
  <c r="BD37" i="10"/>
  <c r="BC37" i="10"/>
  <c r="BB37" i="10"/>
  <c r="BA37" i="10"/>
  <c r="AZ37" i="10"/>
  <c r="AY37" i="10"/>
  <c r="AX37" i="10"/>
  <c r="AD37" i="10"/>
  <c r="AC37" i="10"/>
  <c r="AB37" i="10"/>
  <c r="AA37" i="10"/>
  <c r="Z37" i="10"/>
  <c r="Y37" i="10"/>
  <c r="X37" i="10"/>
  <c r="W37" i="10"/>
  <c r="V37" i="10"/>
  <c r="U37" i="10"/>
  <c r="BG36" i="10"/>
  <c r="BF36" i="10"/>
  <c r="BE36" i="10"/>
  <c r="BD36" i="10"/>
  <c r="BC36" i="10"/>
  <c r="BB36" i="10"/>
  <c r="BA36" i="10"/>
  <c r="AZ36" i="10"/>
  <c r="AY36" i="10"/>
  <c r="AX36" i="10"/>
  <c r="AD36" i="10"/>
  <c r="AC36" i="10"/>
  <c r="AB36" i="10"/>
  <c r="AA36" i="10"/>
  <c r="Z36" i="10"/>
  <c r="Y36" i="10"/>
  <c r="X36" i="10"/>
  <c r="W36" i="10"/>
  <c r="V36" i="10"/>
  <c r="U36" i="10"/>
  <c r="BG35" i="10"/>
  <c r="BF35" i="10"/>
  <c r="BE35" i="10"/>
  <c r="BD35" i="10"/>
  <c r="BC35" i="10"/>
  <c r="BB35" i="10"/>
  <c r="BA35" i="10"/>
  <c r="AZ35" i="10"/>
  <c r="AY35" i="10"/>
  <c r="AX35" i="10"/>
  <c r="AD35" i="10"/>
  <c r="AC35" i="10"/>
  <c r="AB35" i="10"/>
  <c r="AA35" i="10"/>
  <c r="Z35" i="10"/>
  <c r="Y35" i="10"/>
  <c r="X35" i="10"/>
  <c r="W35" i="10"/>
  <c r="V35" i="10"/>
  <c r="U35" i="10"/>
  <c r="BG34" i="10"/>
  <c r="BF34" i="10"/>
  <c r="BE34" i="10"/>
  <c r="BD34" i="10"/>
  <c r="BC34" i="10"/>
  <c r="BB34" i="10"/>
  <c r="BA34" i="10"/>
  <c r="AZ34" i="10"/>
  <c r="AY34" i="10"/>
  <c r="AX34" i="10"/>
  <c r="AD34" i="10"/>
  <c r="AC34" i="10"/>
  <c r="AB34" i="10"/>
  <c r="AA34" i="10"/>
  <c r="Z34" i="10"/>
  <c r="Y34" i="10"/>
  <c r="X34" i="10"/>
  <c r="W34" i="10"/>
  <c r="V34" i="10"/>
  <c r="U34" i="10"/>
  <c r="BG33" i="10"/>
  <c r="BF33" i="10"/>
  <c r="BE33" i="10"/>
  <c r="BD33" i="10"/>
  <c r="BC33" i="10"/>
  <c r="BB33" i="10"/>
  <c r="BA33" i="10"/>
  <c r="AZ33" i="10"/>
  <c r="AY33" i="10"/>
  <c r="AX33" i="10"/>
  <c r="AD33" i="10"/>
  <c r="AC33" i="10"/>
  <c r="AB33" i="10"/>
  <c r="AA33" i="10"/>
  <c r="Z33" i="10"/>
  <c r="Y33" i="10"/>
  <c r="X33" i="10"/>
  <c r="W33" i="10"/>
  <c r="V33" i="10"/>
  <c r="U33" i="10"/>
  <c r="BG32" i="10"/>
  <c r="BF32" i="10"/>
  <c r="BE32" i="10"/>
  <c r="BD32" i="10"/>
  <c r="BC32" i="10"/>
  <c r="BB32" i="10"/>
  <c r="BA32" i="10"/>
  <c r="AZ32" i="10"/>
  <c r="AY32" i="10"/>
  <c r="AX32" i="10"/>
  <c r="AD32" i="10"/>
  <c r="AC32" i="10"/>
  <c r="AB32" i="10"/>
  <c r="AA32" i="10"/>
  <c r="Z32" i="10"/>
  <c r="Y32" i="10"/>
  <c r="X32" i="10"/>
  <c r="W32" i="10"/>
  <c r="V32" i="10"/>
  <c r="U32" i="10"/>
  <c r="BG31" i="10"/>
  <c r="BF31" i="10"/>
  <c r="BE31" i="10"/>
  <c r="BD31" i="10"/>
  <c r="BC31" i="10"/>
  <c r="BB31" i="10"/>
  <c r="BA31" i="10"/>
  <c r="AZ31" i="10"/>
  <c r="AY31" i="10"/>
  <c r="AX31" i="10"/>
  <c r="AD31" i="10"/>
  <c r="AC31" i="10"/>
  <c r="AB31" i="10"/>
  <c r="AA31" i="10"/>
  <c r="Z31" i="10"/>
  <c r="Y31" i="10"/>
  <c r="X31" i="10"/>
  <c r="W31" i="10"/>
  <c r="V31" i="10"/>
  <c r="U31" i="10"/>
  <c r="BG30" i="10"/>
  <c r="BF30" i="10"/>
  <c r="BE30" i="10"/>
  <c r="BD30" i="10"/>
  <c r="BC30" i="10"/>
  <c r="BB30" i="10"/>
  <c r="BA30" i="10"/>
  <c r="AZ30" i="10"/>
  <c r="AY30" i="10"/>
  <c r="AX30" i="10"/>
  <c r="AD30" i="10"/>
  <c r="AC30" i="10"/>
  <c r="AB30" i="10"/>
  <c r="AA30" i="10"/>
  <c r="Z30" i="10"/>
  <c r="Y30" i="10"/>
  <c r="X30" i="10"/>
  <c r="W30" i="10"/>
  <c r="V30" i="10"/>
  <c r="U30" i="10"/>
  <c r="BG29" i="10"/>
  <c r="BF29" i="10"/>
  <c r="BE29" i="10"/>
  <c r="BD29" i="10"/>
  <c r="BC29" i="10"/>
  <c r="BB29" i="10"/>
  <c r="BA29" i="10"/>
  <c r="AZ29" i="10"/>
  <c r="AY29" i="10"/>
  <c r="AX29" i="10"/>
  <c r="AD29" i="10"/>
  <c r="AC29" i="10"/>
  <c r="AB29" i="10"/>
  <c r="AA29" i="10"/>
  <c r="Z29" i="10"/>
  <c r="Y29" i="10"/>
  <c r="X29" i="10"/>
  <c r="W29" i="10"/>
  <c r="V29" i="10"/>
  <c r="U29" i="10"/>
  <c r="BG28" i="10"/>
  <c r="BF28" i="10"/>
  <c r="BE28" i="10"/>
  <c r="BD28" i="10"/>
  <c r="BC28" i="10"/>
  <c r="BB28" i="10"/>
  <c r="BA28" i="10"/>
  <c r="AZ28" i="10"/>
  <c r="AY28" i="10"/>
  <c r="AX28" i="10"/>
  <c r="AD28" i="10"/>
  <c r="AC28" i="10"/>
  <c r="AB28" i="10"/>
  <c r="AA28" i="10"/>
  <c r="Z28" i="10"/>
  <c r="Y28" i="10"/>
  <c r="X28" i="10"/>
  <c r="W28" i="10"/>
  <c r="V28" i="10"/>
  <c r="U28" i="10"/>
  <c r="BG27" i="10"/>
  <c r="BF27" i="10"/>
  <c r="BE27" i="10"/>
  <c r="BD27" i="10"/>
  <c r="BC27" i="10"/>
  <c r="BB27" i="10"/>
  <c r="BA27" i="10"/>
  <c r="AZ27" i="10"/>
  <c r="AY27" i="10"/>
  <c r="AX27" i="10"/>
  <c r="AD27" i="10"/>
  <c r="AC27" i="10"/>
  <c r="AB27" i="10"/>
  <c r="AA27" i="10"/>
  <c r="Z27" i="10"/>
  <c r="Y27" i="10"/>
  <c r="X27" i="10"/>
  <c r="W27" i="10"/>
  <c r="V27" i="10"/>
  <c r="U27" i="10"/>
  <c r="BG26" i="10"/>
  <c r="BF26" i="10"/>
  <c r="BE26" i="10"/>
  <c r="BD26" i="10"/>
  <c r="BC26" i="10"/>
  <c r="BB26" i="10"/>
  <c r="BA26" i="10"/>
  <c r="AZ26" i="10"/>
  <c r="AY26" i="10"/>
  <c r="AX26" i="10"/>
  <c r="AD26" i="10"/>
  <c r="AC26" i="10"/>
  <c r="AB26" i="10"/>
  <c r="AA26" i="10"/>
  <c r="Z26" i="10"/>
  <c r="Y26" i="10"/>
  <c r="X26" i="10"/>
  <c r="W26" i="10"/>
  <c r="V26" i="10"/>
  <c r="U26" i="10"/>
  <c r="BG25" i="10"/>
  <c r="BF25" i="10"/>
  <c r="BE25" i="10"/>
  <c r="BD25" i="10"/>
  <c r="BC25" i="10"/>
  <c r="BB25" i="10"/>
  <c r="BA25" i="10"/>
  <c r="AZ25" i="10"/>
  <c r="AY25" i="10"/>
  <c r="AX25" i="10"/>
  <c r="AD25" i="10"/>
  <c r="AC25" i="10"/>
  <c r="AB25" i="10"/>
  <c r="AA25" i="10"/>
  <c r="Z25" i="10"/>
  <c r="Y25" i="10"/>
  <c r="X25" i="10"/>
  <c r="W25" i="10"/>
  <c r="V25" i="10"/>
  <c r="U25" i="10"/>
  <c r="BG24" i="10"/>
  <c r="BF24" i="10"/>
  <c r="BE24" i="10"/>
  <c r="BD24" i="10"/>
  <c r="BC24" i="10"/>
  <c r="BB24" i="10"/>
  <c r="BA24" i="10"/>
  <c r="AZ24" i="10"/>
  <c r="AY24" i="10"/>
  <c r="AX24" i="10"/>
  <c r="AD24" i="10"/>
  <c r="AC24" i="10"/>
  <c r="AB24" i="10"/>
  <c r="AA24" i="10"/>
  <c r="Z24" i="10"/>
  <c r="Y24" i="10"/>
  <c r="X24" i="10"/>
  <c r="W24" i="10"/>
  <c r="V24" i="10"/>
  <c r="U24" i="10"/>
  <c r="BG23" i="10"/>
  <c r="BF23" i="10"/>
  <c r="BE23" i="10"/>
  <c r="BD23" i="10"/>
  <c r="BC23" i="10"/>
  <c r="BB23" i="10"/>
  <c r="BA23" i="10"/>
  <c r="AZ23" i="10"/>
  <c r="AY23" i="10"/>
  <c r="AX23" i="10"/>
  <c r="AD23" i="10"/>
  <c r="AC23" i="10"/>
  <c r="AB23" i="10"/>
  <c r="AA23" i="10"/>
  <c r="Z23" i="10"/>
  <c r="Y23" i="10"/>
  <c r="X23" i="10"/>
  <c r="W23" i="10"/>
  <c r="V23" i="10"/>
  <c r="U23" i="10"/>
  <c r="BG22" i="10"/>
  <c r="BF22" i="10"/>
  <c r="BE22" i="10"/>
  <c r="BD22" i="10"/>
  <c r="BC22" i="10"/>
  <c r="BB22" i="10"/>
  <c r="BA22" i="10"/>
  <c r="AZ22" i="10"/>
  <c r="AY22" i="10"/>
  <c r="AX22" i="10"/>
  <c r="AD22" i="10"/>
  <c r="AC22" i="10"/>
  <c r="AB22" i="10"/>
  <c r="AA22" i="10"/>
  <c r="Z22" i="10"/>
  <c r="Y22" i="10"/>
  <c r="X22" i="10"/>
  <c r="W22" i="10"/>
  <c r="V22" i="10"/>
  <c r="U22" i="10"/>
  <c r="BG21" i="10"/>
  <c r="BF21" i="10"/>
  <c r="BE21" i="10"/>
  <c r="BD21" i="10"/>
  <c r="BC21" i="10"/>
  <c r="BB21" i="10"/>
  <c r="BA21" i="10"/>
  <c r="AZ21" i="10"/>
  <c r="AY21" i="10"/>
  <c r="AX21" i="10"/>
  <c r="AD21" i="10"/>
  <c r="AC21" i="10"/>
  <c r="AB21" i="10"/>
  <c r="AA21" i="10"/>
  <c r="Z21" i="10"/>
  <c r="Y21" i="10"/>
  <c r="X21" i="10"/>
  <c r="W21" i="10"/>
  <c r="V21" i="10"/>
  <c r="U21" i="10"/>
  <c r="BG20" i="10"/>
  <c r="BF20" i="10"/>
  <c r="BE20" i="10"/>
  <c r="BD20" i="10"/>
  <c r="BC20" i="10"/>
  <c r="BB20" i="10"/>
  <c r="BA20" i="10"/>
  <c r="AZ20" i="10"/>
  <c r="AY20" i="10"/>
  <c r="AX20" i="10"/>
  <c r="AD20" i="10"/>
  <c r="AC20" i="10"/>
  <c r="AB20" i="10"/>
  <c r="AA20" i="10"/>
  <c r="Z20" i="10"/>
  <c r="Y20" i="10"/>
  <c r="X20" i="10"/>
  <c r="W20" i="10"/>
  <c r="V20" i="10"/>
  <c r="U20" i="10"/>
  <c r="BG19" i="10"/>
  <c r="BF19" i="10"/>
  <c r="BE19" i="10"/>
  <c r="BD19" i="10"/>
  <c r="BC19" i="10"/>
  <c r="BB19" i="10"/>
  <c r="BA19" i="10"/>
  <c r="AZ19" i="10"/>
  <c r="AY19" i="10"/>
  <c r="AX19" i="10"/>
  <c r="AD19" i="10"/>
  <c r="AC19" i="10"/>
  <c r="AB19" i="10"/>
  <c r="AA19" i="10"/>
  <c r="Z19" i="10"/>
  <c r="Y19" i="10"/>
  <c r="X19" i="10"/>
  <c r="W19" i="10"/>
  <c r="V19" i="10"/>
  <c r="U19" i="10"/>
  <c r="BG18" i="10"/>
  <c r="BF18" i="10"/>
  <c r="BE18" i="10"/>
  <c r="BD18" i="10"/>
  <c r="BC18" i="10"/>
  <c r="BB18" i="10"/>
  <c r="BA18" i="10"/>
  <c r="AZ18" i="10"/>
  <c r="AY18" i="10"/>
  <c r="AX18" i="10"/>
  <c r="AD18" i="10"/>
  <c r="AC18" i="10"/>
  <c r="AB18" i="10"/>
  <c r="AA18" i="10"/>
  <c r="Z18" i="10"/>
  <c r="Y18" i="10"/>
  <c r="X18" i="10"/>
  <c r="W18" i="10"/>
  <c r="V18" i="10"/>
  <c r="U18" i="10"/>
  <c r="BG17" i="10"/>
  <c r="BF17" i="10"/>
  <c r="BE17" i="10"/>
  <c r="BD17" i="10"/>
  <c r="BC17" i="10"/>
  <c r="BB17" i="10"/>
  <c r="BA17" i="10"/>
  <c r="AZ17" i="10"/>
  <c r="AY17" i="10"/>
  <c r="AX17" i="10"/>
  <c r="AD17" i="10"/>
  <c r="AC17" i="10"/>
  <c r="AB17" i="10"/>
  <c r="AA17" i="10"/>
  <c r="Z17" i="10"/>
  <c r="Y17" i="10"/>
  <c r="X17" i="10"/>
  <c r="W17" i="10"/>
  <c r="V17" i="10"/>
  <c r="U17" i="10"/>
  <c r="BG16" i="10"/>
  <c r="BF16" i="10"/>
  <c r="BE16" i="10"/>
  <c r="BD16" i="10"/>
  <c r="BC16" i="10"/>
  <c r="BB16" i="10"/>
  <c r="BA16" i="10"/>
  <c r="AZ16" i="10"/>
  <c r="AY16" i="10"/>
  <c r="AX16" i="10"/>
  <c r="AD16" i="10"/>
  <c r="AC16" i="10"/>
  <c r="AB16" i="10"/>
  <c r="AA16" i="10"/>
  <c r="Z16" i="10"/>
  <c r="Y16" i="10"/>
  <c r="X16" i="10"/>
  <c r="W16" i="10"/>
  <c r="V16" i="10"/>
  <c r="U16" i="10"/>
  <c r="BG15" i="10"/>
  <c r="BF15" i="10"/>
  <c r="BE15" i="10"/>
  <c r="BD15" i="10"/>
  <c r="BC15" i="10"/>
  <c r="BB15" i="10"/>
  <c r="BA15" i="10"/>
  <c r="AZ15" i="10"/>
  <c r="AY15" i="10"/>
  <c r="AX15" i="10"/>
  <c r="AD15" i="10"/>
  <c r="AC15" i="10"/>
  <c r="AB15" i="10"/>
  <c r="AA15" i="10"/>
  <c r="Z15" i="10"/>
  <c r="Y15" i="10"/>
  <c r="X15" i="10"/>
  <c r="W15" i="10"/>
  <c r="V15" i="10"/>
  <c r="U15" i="10"/>
  <c r="BG14" i="10"/>
  <c r="BF14" i="10"/>
  <c r="BE14" i="10"/>
  <c r="BD14" i="10"/>
  <c r="BC14" i="10"/>
  <c r="BB14" i="10"/>
  <c r="BA14" i="10"/>
  <c r="AZ14" i="10"/>
  <c r="AY14" i="10"/>
  <c r="AX14" i="10"/>
  <c r="AD14" i="10"/>
  <c r="AC14" i="10"/>
  <c r="AB14" i="10"/>
  <c r="AA14" i="10"/>
  <c r="Z14" i="10"/>
  <c r="Y14" i="10"/>
  <c r="X14" i="10"/>
  <c r="W14" i="10"/>
  <c r="V14" i="10"/>
  <c r="U14" i="10"/>
  <c r="BG13" i="10"/>
  <c r="BF13" i="10"/>
  <c r="BE13" i="10"/>
  <c r="BD13" i="10"/>
  <c r="BC13" i="10"/>
  <c r="BB13" i="10"/>
  <c r="BA13" i="10"/>
  <c r="AZ13" i="10"/>
  <c r="AY13" i="10"/>
  <c r="AX13" i="10"/>
  <c r="O13" i="10"/>
  <c r="N13" i="10"/>
  <c r="M13" i="10"/>
  <c r="L13" i="10"/>
  <c r="K13" i="10"/>
  <c r="J13" i="10"/>
  <c r="I13" i="10"/>
  <c r="H13" i="10"/>
  <c r="G13" i="10"/>
  <c r="F13" i="10"/>
  <c r="AU12" i="10"/>
  <c r="AT12" i="10"/>
  <c r="AS12" i="10"/>
  <c r="AR12" i="10"/>
  <c r="AQ12" i="10"/>
  <c r="AP12" i="10"/>
  <c r="AO12" i="10"/>
  <c r="AN12" i="10"/>
  <c r="AM12" i="10"/>
  <c r="AL12" i="10"/>
  <c r="AF12" i="10"/>
  <c r="BG63" i="15"/>
  <c r="BF63" i="15"/>
  <c r="BE63" i="15"/>
  <c r="BD63" i="15"/>
  <c r="BC63" i="15"/>
  <c r="BB63" i="15"/>
  <c r="BA63" i="15"/>
  <c r="AZ63" i="15"/>
  <c r="AY63" i="15"/>
  <c r="AX63" i="15"/>
  <c r="AV63" i="15"/>
  <c r="AD63" i="15"/>
  <c r="AC63" i="15"/>
  <c r="AB63" i="15"/>
  <c r="AA63" i="15"/>
  <c r="Z63" i="15"/>
  <c r="Y63" i="15"/>
  <c r="X63" i="15"/>
  <c r="W63" i="15"/>
  <c r="V63" i="15"/>
  <c r="U63" i="15"/>
  <c r="BG62" i="15"/>
  <c r="BF62" i="15"/>
  <c r="BE62" i="15"/>
  <c r="BD62" i="15"/>
  <c r="BC62" i="15"/>
  <c r="BB62" i="15"/>
  <c r="BA62" i="15"/>
  <c r="AZ62" i="15"/>
  <c r="AY62" i="15"/>
  <c r="AX62" i="15"/>
  <c r="AV62" i="15"/>
  <c r="AW62" i="15" s="1"/>
  <c r="AD62" i="15"/>
  <c r="AC62" i="15"/>
  <c r="AB62" i="15"/>
  <c r="AA62" i="15"/>
  <c r="Z62" i="15"/>
  <c r="Y62" i="15"/>
  <c r="X62" i="15"/>
  <c r="W62" i="15"/>
  <c r="V62" i="15"/>
  <c r="U62" i="15"/>
  <c r="BG61" i="15"/>
  <c r="BF61" i="15"/>
  <c r="BE61" i="15"/>
  <c r="BD61" i="15"/>
  <c r="BC61" i="15"/>
  <c r="BB61" i="15"/>
  <c r="BA61" i="15"/>
  <c r="AZ61" i="15"/>
  <c r="AY61" i="15"/>
  <c r="AX61" i="15"/>
  <c r="AV61" i="15"/>
  <c r="BN61" i="15" s="1"/>
  <c r="AD61" i="15"/>
  <c r="AC61" i="15"/>
  <c r="AB61" i="15"/>
  <c r="AA61" i="15"/>
  <c r="Z61" i="15"/>
  <c r="Y61" i="15"/>
  <c r="X61" i="15"/>
  <c r="W61" i="15"/>
  <c r="V61" i="15"/>
  <c r="U61" i="15"/>
  <c r="BG60" i="15"/>
  <c r="BF60" i="15"/>
  <c r="BE60" i="15"/>
  <c r="BD60" i="15"/>
  <c r="BC60" i="15"/>
  <c r="BB60" i="15"/>
  <c r="BA60" i="15"/>
  <c r="AZ60" i="15"/>
  <c r="AY60" i="15"/>
  <c r="AX60" i="15"/>
  <c r="AV60" i="15"/>
  <c r="BN60" i="15" s="1"/>
  <c r="AD60" i="15"/>
  <c r="AC60" i="15"/>
  <c r="AB60" i="15"/>
  <c r="AA60" i="15"/>
  <c r="Z60" i="15"/>
  <c r="Y60" i="15"/>
  <c r="X60" i="15"/>
  <c r="W60" i="15"/>
  <c r="V60" i="15"/>
  <c r="U60" i="15"/>
  <c r="BG59" i="15"/>
  <c r="BF59" i="15"/>
  <c r="BE59" i="15"/>
  <c r="BD59" i="15"/>
  <c r="BC59" i="15"/>
  <c r="BB59" i="15"/>
  <c r="BA59" i="15"/>
  <c r="AZ59" i="15"/>
  <c r="AY59" i="15"/>
  <c r="AX59" i="15"/>
  <c r="AV59" i="15"/>
  <c r="BN59" i="15" s="1"/>
  <c r="AD59" i="15"/>
  <c r="AC59" i="15"/>
  <c r="AB59" i="15"/>
  <c r="AA59" i="15"/>
  <c r="Z59" i="15"/>
  <c r="Y59" i="15"/>
  <c r="X59" i="15"/>
  <c r="W59" i="15"/>
  <c r="V59" i="15"/>
  <c r="U59" i="15"/>
  <c r="BG58" i="15"/>
  <c r="BF58" i="15"/>
  <c r="BE58" i="15"/>
  <c r="BD58" i="15"/>
  <c r="BC58" i="15"/>
  <c r="BB58" i="15"/>
  <c r="BA58" i="15"/>
  <c r="AZ58" i="15"/>
  <c r="AY58" i="15"/>
  <c r="AX58" i="15"/>
  <c r="AV58" i="15"/>
  <c r="AW58" i="15" s="1"/>
  <c r="AD58" i="15"/>
  <c r="AC58" i="15"/>
  <c r="AB58" i="15"/>
  <c r="AA58" i="15"/>
  <c r="Z58" i="15"/>
  <c r="Y58" i="15"/>
  <c r="X58" i="15"/>
  <c r="W58" i="15"/>
  <c r="V58" i="15"/>
  <c r="U58" i="15"/>
  <c r="BG57" i="15"/>
  <c r="BF57" i="15"/>
  <c r="BE57" i="15"/>
  <c r="BD57" i="15"/>
  <c r="BC57" i="15"/>
  <c r="BB57" i="15"/>
  <c r="BA57" i="15"/>
  <c r="AZ57" i="15"/>
  <c r="AY57" i="15"/>
  <c r="AX57" i="15"/>
  <c r="AV57" i="15"/>
  <c r="BN57" i="15" s="1"/>
  <c r="AD57" i="15"/>
  <c r="AC57" i="15"/>
  <c r="AB57" i="15"/>
  <c r="AA57" i="15"/>
  <c r="Z57" i="15"/>
  <c r="Y57" i="15"/>
  <c r="X57" i="15"/>
  <c r="W57" i="15"/>
  <c r="V57" i="15"/>
  <c r="U57" i="15"/>
  <c r="BG56" i="15"/>
  <c r="BF56" i="15"/>
  <c r="BE56" i="15"/>
  <c r="BD56" i="15"/>
  <c r="BC56" i="15"/>
  <c r="BB56" i="15"/>
  <c r="BA56" i="15"/>
  <c r="AZ56" i="15"/>
  <c r="AY56" i="15"/>
  <c r="AX56" i="15"/>
  <c r="AV56" i="15"/>
  <c r="AW56" i="15" s="1"/>
  <c r="AD56" i="15"/>
  <c r="AC56" i="15"/>
  <c r="AB56" i="15"/>
  <c r="AA56" i="15"/>
  <c r="Z56" i="15"/>
  <c r="Y56" i="15"/>
  <c r="X56" i="15"/>
  <c r="W56" i="15"/>
  <c r="V56" i="15"/>
  <c r="U56" i="15"/>
  <c r="BG55" i="15"/>
  <c r="BF55" i="15"/>
  <c r="BE55" i="15"/>
  <c r="BD55" i="15"/>
  <c r="BC55" i="15"/>
  <c r="BB55" i="15"/>
  <c r="BA55" i="15"/>
  <c r="AZ55" i="15"/>
  <c r="AY55" i="15"/>
  <c r="AX55" i="15"/>
  <c r="AV55" i="15"/>
  <c r="BN55" i="15" s="1"/>
  <c r="AD55" i="15"/>
  <c r="AC55" i="15"/>
  <c r="AB55" i="15"/>
  <c r="AA55" i="15"/>
  <c r="Z55" i="15"/>
  <c r="Y55" i="15"/>
  <c r="X55" i="15"/>
  <c r="W55" i="15"/>
  <c r="V55" i="15"/>
  <c r="U55" i="15"/>
  <c r="BG54" i="15"/>
  <c r="BF54" i="15"/>
  <c r="BE54" i="15"/>
  <c r="BD54" i="15"/>
  <c r="BC54" i="15"/>
  <c r="BB54" i="15"/>
  <c r="BA54" i="15"/>
  <c r="AZ54" i="15"/>
  <c r="AY54" i="15"/>
  <c r="AX54" i="15"/>
  <c r="AV54" i="15"/>
  <c r="AW54" i="15" s="1"/>
  <c r="AD54" i="15"/>
  <c r="AC54" i="15"/>
  <c r="AB54" i="15"/>
  <c r="AA54" i="15"/>
  <c r="Z54" i="15"/>
  <c r="Y54" i="15"/>
  <c r="X54" i="15"/>
  <c r="W54" i="15"/>
  <c r="V54" i="15"/>
  <c r="U54" i="15"/>
  <c r="BG53" i="15"/>
  <c r="BF53" i="15"/>
  <c r="BE53" i="15"/>
  <c r="BD53" i="15"/>
  <c r="BC53" i="15"/>
  <c r="BB53" i="15"/>
  <c r="BA53" i="15"/>
  <c r="AZ53" i="15"/>
  <c r="AY53" i="15"/>
  <c r="AX53" i="15"/>
  <c r="AV53" i="15"/>
  <c r="BN53" i="15" s="1"/>
  <c r="AD53" i="15"/>
  <c r="AC53" i="15"/>
  <c r="AB53" i="15"/>
  <c r="AA53" i="15"/>
  <c r="Z53" i="15"/>
  <c r="Y53" i="15"/>
  <c r="X53" i="15"/>
  <c r="W53" i="15"/>
  <c r="V53" i="15"/>
  <c r="U53" i="15"/>
  <c r="BG52" i="15"/>
  <c r="BF52" i="15"/>
  <c r="BE52" i="15"/>
  <c r="BD52" i="15"/>
  <c r="BC52" i="15"/>
  <c r="BB52" i="15"/>
  <c r="BA52" i="15"/>
  <c r="AZ52" i="15"/>
  <c r="AY52" i="15"/>
  <c r="AX52" i="15"/>
  <c r="AV52" i="15"/>
  <c r="AW52" i="15" s="1"/>
  <c r="AD52" i="15"/>
  <c r="AC52" i="15"/>
  <c r="AB52" i="15"/>
  <c r="AA52" i="15"/>
  <c r="Z52" i="15"/>
  <c r="Y52" i="15"/>
  <c r="X52" i="15"/>
  <c r="W52" i="15"/>
  <c r="V52" i="15"/>
  <c r="U52" i="15"/>
  <c r="BG51" i="15"/>
  <c r="BF51" i="15"/>
  <c r="BE51" i="15"/>
  <c r="BD51" i="15"/>
  <c r="BC51" i="15"/>
  <c r="BB51" i="15"/>
  <c r="BA51" i="15"/>
  <c r="AZ51" i="15"/>
  <c r="AY51" i="15"/>
  <c r="AX51" i="15"/>
  <c r="AV51" i="15"/>
  <c r="BN51" i="15" s="1"/>
  <c r="AD51" i="15"/>
  <c r="AC51" i="15"/>
  <c r="AB51" i="15"/>
  <c r="AA51" i="15"/>
  <c r="Z51" i="15"/>
  <c r="Y51" i="15"/>
  <c r="X51" i="15"/>
  <c r="W51" i="15"/>
  <c r="V51" i="15"/>
  <c r="U51" i="15"/>
  <c r="BG50" i="15"/>
  <c r="BF50" i="15"/>
  <c r="BE50" i="15"/>
  <c r="BD50" i="15"/>
  <c r="BC50" i="15"/>
  <c r="BB50" i="15"/>
  <c r="BA50" i="15"/>
  <c r="AZ50" i="15"/>
  <c r="AY50" i="15"/>
  <c r="AX50" i="15"/>
  <c r="AD50" i="15"/>
  <c r="AC50" i="15"/>
  <c r="AB50" i="15"/>
  <c r="AA50" i="15"/>
  <c r="Z50" i="15"/>
  <c r="Y50" i="15"/>
  <c r="X50" i="15"/>
  <c r="W50" i="15"/>
  <c r="V50" i="15"/>
  <c r="U50" i="15"/>
  <c r="BG49" i="15"/>
  <c r="BF49" i="15"/>
  <c r="BE49" i="15"/>
  <c r="BD49" i="15"/>
  <c r="BC49" i="15"/>
  <c r="BB49" i="15"/>
  <c r="BA49" i="15"/>
  <c r="AZ49" i="15"/>
  <c r="AY49" i="15"/>
  <c r="AX49" i="15"/>
  <c r="AD49" i="15"/>
  <c r="AC49" i="15"/>
  <c r="AB49" i="15"/>
  <c r="AA49" i="15"/>
  <c r="Z49" i="15"/>
  <c r="Y49" i="15"/>
  <c r="X49" i="15"/>
  <c r="W49" i="15"/>
  <c r="V49" i="15"/>
  <c r="U49" i="15"/>
  <c r="BG48" i="15"/>
  <c r="BF48" i="15"/>
  <c r="BE48" i="15"/>
  <c r="BD48" i="15"/>
  <c r="BC48" i="15"/>
  <c r="BB48" i="15"/>
  <c r="BA48" i="15"/>
  <c r="AZ48" i="15"/>
  <c r="AY48" i="15"/>
  <c r="AX48" i="15"/>
  <c r="AD48" i="15"/>
  <c r="AC48" i="15"/>
  <c r="AB48" i="15"/>
  <c r="AA48" i="15"/>
  <c r="Z48" i="15"/>
  <c r="Y48" i="15"/>
  <c r="X48" i="15"/>
  <c r="W48" i="15"/>
  <c r="V48" i="15"/>
  <c r="U48" i="15"/>
  <c r="BG47" i="15"/>
  <c r="BF47" i="15"/>
  <c r="BE47" i="15"/>
  <c r="BD47" i="15"/>
  <c r="BC47" i="15"/>
  <c r="BB47" i="15"/>
  <c r="BA47" i="15"/>
  <c r="AZ47" i="15"/>
  <c r="AY47" i="15"/>
  <c r="AX47" i="15"/>
  <c r="AD47" i="15"/>
  <c r="AC47" i="15"/>
  <c r="AB47" i="15"/>
  <c r="AA47" i="15"/>
  <c r="Z47" i="15"/>
  <c r="Y47" i="15"/>
  <c r="X47" i="15"/>
  <c r="W47" i="15"/>
  <c r="V47" i="15"/>
  <c r="U47" i="15"/>
  <c r="BG46" i="15"/>
  <c r="BF46" i="15"/>
  <c r="BE46" i="15"/>
  <c r="BD46" i="15"/>
  <c r="BC46" i="15"/>
  <c r="BB46" i="15"/>
  <c r="BA46" i="15"/>
  <c r="AZ46" i="15"/>
  <c r="AY46" i="15"/>
  <c r="AX46" i="15"/>
  <c r="AD46" i="15"/>
  <c r="AC46" i="15"/>
  <c r="AB46" i="15"/>
  <c r="AA46" i="15"/>
  <c r="Z46" i="15"/>
  <c r="Y46" i="15"/>
  <c r="X46" i="15"/>
  <c r="W46" i="15"/>
  <c r="V46" i="15"/>
  <c r="U46" i="15"/>
  <c r="BG45" i="15"/>
  <c r="BF45" i="15"/>
  <c r="BE45" i="15"/>
  <c r="BD45" i="15"/>
  <c r="BC45" i="15"/>
  <c r="BB45" i="15"/>
  <c r="BA45" i="15"/>
  <c r="AZ45" i="15"/>
  <c r="AY45" i="15"/>
  <c r="AX45" i="15"/>
  <c r="AD45" i="15"/>
  <c r="AC45" i="15"/>
  <c r="AB45" i="15"/>
  <c r="AA45" i="15"/>
  <c r="Z45" i="15"/>
  <c r="Y45" i="15"/>
  <c r="X45" i="15"/>
  <c r="W45" i="15"/>
  <c r="V45" i="15"/>
  <c r="U45" i="15"/>
  <c r="BG44" i="15"/>
  <c r="BF44" i="15"/>
  <c r="BE44" i="15"/>
  <c r="BD44" i="15"/>
  <c r="BC44" i="15"/>
  <c r="BB44" i="15"/>
  <c r="BA44" i="15"/>
  <c r="AZ44" i="15"/>
  <c r="AY44" i="15"/>
  <c r="AX44" i="15"/>
  <c r="AD44" i="15"/>
  <c r="AC44" i="15"/>
  <c r="AB44" i="15"/>
  <c r="AA44" i="15"/>
  <c r="Z44" i="15"/>
  <c r="Y44" i="15"/>
  <c r="X44" i="15"/>
  <c r="W44" i="15"/>
  <c r="V44" i="15"/>
  <c r="U44" i="15"/>
  <c r="BG43" i="15"/>
  <c r="BF43" i="15"/>
  <c r="BE43" i="15"/>
  <c r="BD43" i="15"/>
  <c r="BC43" i="15"/>
  <c r="BB43" i="15"/>
  <c r="BA43" i="15"/>
  <c r="AZ43" i="15"/>
  <c r="AY43" i="15"/>
  <c r="AX43" i="15"/>
  <c r="AD43" i="15"/>
  <c r="AC43" i="15"/>
  <c r="AB43" i="15"/>
  <c r="AA43" i="15"/>
  <c r="Z43" i="15"/>
  <c r="Y43" i="15"/>
  <c r="X43" i="15"/>
  <c r="W43" i="15"/>
  <c r="V43" i="15"/>
  <c r="U43" i="15"/>
  <c r="BG42" i="15"/>
  <c r="BF42" i="15"/>
  <c r="BE42" i="15"/>
  <c r="BD42" i="15"/>
  <c r="BC42" i="15"/>
  <c r="BB42" i="15"/>
  <c r="BA42" i="15"/>
  <c r="AZ42" i="15"/>
  <c r="AY42" i="15"/>
  <c r="AX42" i="15"/>
  <c r="AD42" i="15"/>
  <c r="AC42" i="15"/>
  <c r="AB42" i="15"/>
  <c r="AA42" i="15"/>
  <c r="Z42" i="15"/>
  <c r="Y42" i="15"/>
  <c r="X42" i="15"/>
  <c r="W42" i="15"/>
  <c r="V42" i="15"/>
  <c r="U42" i="15"/>
  <c r="BG41" i="15"/>
  <c r="BF41" i="15"/>
  <c r="BE41" i="15"/>
  <c r="BD41" i="15"/>
  <c r="BC41" i="15"/>
  <c r="BB41" i="15"/>
  <c r="BA41" i="15"/>
  <c r="AZ41" i="15"/>
  <c r="AY41" i="15"/>
  <c r="AX41" i="15"/>
  <c r="AD41" i="15"/>
  <c r="AC41" i="15"/>
  <c r="AB41" i="15"/>
  <c r="AA41" i="15"/>
  <c r="Z41" i="15"/>
  <c r="Y41" i="15"/>
  <c r="X41" i="15"/>
  <c r="W41" i="15"/>
  <c r="V41" i="15"/>
  <c r="U41" i="15"/>
  <c r="BG40" i="15"/>
  <c r="BF40" i="15"/>
  <c r="BE40" i="15"/>
  <c r="BD40" i="15"/>
  <c r="BC40" i="15"/>
  <c r="BB40" i="15"/>
  <c r="BA40" i="15"/>
  <c r="AZ40" i="15"/>
  <c r="AY40" i="15"/>
  <c r="AX40" i="15"/>
  <c r="AD40" i="15"/>
  <c r="AC40" i="15"/>
  <c r="AB40" i="15"/>
  <c r="AA40" i="15"/>
  <c r="Z40" i="15"/>
  <c r="Y40" i="15"/>
  <c r="X40" i="15"/>
  <c r="W40" i="15"/>
  <c r="V40" i="15"/>
  <c r="U40" i="15"/>
  <c r="BG39" i="15"/>
  <c r="BF39" i="15"/>
  <c r="BE39" i="15"/>
  <c r="BD39" i="15"/>
  <c r="BC39" i="15"/>
  <c r="BB39" i="15"/>
  <c r="BA39" i="15"/>
  <c r="AZ39" i="15"/>
  <c r="AY39" i="15"/>
  <c r="AX39" i="15"/>
  <c r="AD39" i="15"/>
  <c r="AC39" i="15"/>
  <c r="AB39" i="15"/>
  <c r="AA39" i="15"/>
  <c r="Z39" i="15"/>
  <c r="Y39" i="15"/>
  <c r="X39" i="15"/>
  <c r="W39" i="15"/>
  <c r="V39" i="15"/>
  <c r="U39" i="15"/>
  <c r="BG38" i="15"/>
  <c r="BF38" i="15"/>
  <c r="BE38" i="15"/>
  <c r="BD38" i="15"/>
  <c r="BC38" i="15"/>
  <c r="BB38" i="15"/>
  <c r="BA38" i="15"/>
  <c r="AZ38" i="15"/>
  <c r="AY38" i="15"/>
  <c r="AX38" i="15"/>
  <c r="AD38" i="15"/>
  <c r="AC38" i="15"/>
  <c r="AB38" i="15"/>
  <c r="AA38" i="15"/>
  <c r="Z38" i="15"/>
  <c r="Y38" i="15"/>
  <c r="X38" i="15"/>
  <c r="W38" i="15"/>
  <c r="V38" i="15"/>
  <c r="U38" i="15"/>
  <c r="BG37" i="15"/>
  <c r="BF37" i="15"/>
  <c r="BE37" i="15"/>
  <c r="BD37" i="15"/>
  <c r="BC37" i="15"/>
  <c r="BB37" i="15"/>
  <c r="BA37" i="15"/>
  <c r="AZ37" i="15"/>
  <c r="AY37" i="15"/>
  <c r="AX37" i="15"/>
  <c r="AD37" i="15"/>
  <c r="AC37" i="15"/>
  <c r="AB37" i="15"/>
  <c r="AA37" i="15"/>
  <c r="Z37" i="15"/>
  <c r="Y37" i="15"/>
  <c r="X37" i="15"/>
  <c r="W37" i="15"/>
  <c r="V37" i="15"/>
  <c r="U37" i="15"/>
  <c r="BG36" i="15"/>
  <c r="BF36" i="15"/>
  <c r="BE36" i="15"/>
  <c r="BD36" i="15"/>
  <c r="BC36" i="15"/>
  <c r="BB36" i="15"/>
  <c r="BA36" i="15"/>
  <c r="AZ36" i="15"/>
  <c r="AY36" i="15"/>
  <c r="AX36" i="15"/>
  <c r="AD36" i="15"/>
  <c r="AC36" i="15"/>
  <c r="AB36" i="15"/>
  <c r="AA36" i="15"/>
  <c r="Z36" i="15"/>
  <c r="Y36" i="15"/>
  <c r="X36" i="15"/>
  <c r="W36" i="15"/>
  <c r="V36" i="15"/>
  <c r="U36" i="15"/>
  <c r="BG35" i="15"/>
  <c r="BF35" i="15"/>
  <c r="BE35" i="15"/>
  <c r="BD35" i="15"/>
  <c r="BC35" i="15"/>
  <c r="BB35" i="15"/>
  <c r="BA35" i="15"/>
  <c r="AZ35" i="15"/>
  <c r="AY35" i="15"/>
  <c r="AX35" i="15"/>
  <c r="AD35" i="15"/>
  <c r="AC35" i="15"/>
  <c r="AB35" i="15"/>
  <c r="AA35" i="15"/>
  <c r="Z35" i="15"/>
  <c r="Y35" i="15"/>
  <c r="X35" i="15"/>
  <c r="W35" i="15"/>
  <c r="V35" i="15"/>
  <c r="U35" i="15"/>
  <c r="BG34" i="15"/>
  <c r="BF34" i="15"/>
  <c r="BE34" i="15"/>
  <c r="BD34" i="15"/>
  <c r="BC34" i="15"/>
  <c r="BB34" i="15"/>
  <c r="BA34" i="15"/>
  <c r="AZ34" i="15"/>
  <c r="AY34" i="15"/>
  <c r="AX34" i="15"/>
  <c r="AD34" i="15"/>
  <c r="AC34" i="15"/>
  <c r="AB34" i="15"/>
  <c r="AA34" i="15"/>
  <c r="Z34" i="15"/>
  <c r="Y34" i="15"/>
  <c r="X34" i="15"/>
  <c r="W34" i="15"/>
  <c r="V34" i="15"/>
  <c r="U34" i="15"/>
  <c r="BG33" i="15"/>
  <c r="BF33" i="15"/>
  <c r="BE33" i="15"/>
  <c r="BD33" i="15"/>
  <c r="BC33" i="15"/>
  <c r="BB33" i="15"/>
  <c r="BA33" i="15"/>
  <c r="AZ33" i="15"/>
  <c r="AY33" i="15"/>
  <c r="AX33" i="15"/>
  <c r="AD33" i="15"/>
  <c r="AC33" i="15"/>
  <c r="AB33" i="15"/>
  <c r="AA33" i="15"/>
  <c r="Z33" i="15"/>
  <c r="Y33" i="15"/>
  <c r="X33" i="15"/>
  <c r="W33" i="15"/>
  <c r="V33" i="15"/>
  <c r="U33" i="15"/>
  <c r="BG32" i="15"/>
  <c r="BF32" i="15"/>
  <c r="BE32" i="15"/>
  <c r="BD32" i="15"/>
  <c r="BC32" i="15"/>
  <c r="BB32" i="15"/>
  <c r="BA32" i="15"/>
  <c r="AZ32" i="15"/>
  <c r="AY32" i="15"/>
  <c r="AX32" i="15"/>
  <c r="AD32" i="15"/>
  <c r="AC32" i="15"/>
  <c r="AB32" i="15"/>
  <c r="AA32" i="15"/>
  <c r="Z32" i="15"/>
  <c r="Y32" i="15"/>
  <c r="X32" i="15"/>
  <c r="W32" i="15"/>
  <c r="V32" i="15"/>
  <c r="U32" i="15"/>
  <c r="BG31" i="15"/>
  <c r="BF31" i="15"/>
  <c r="BE31" i="15"/>
  <c r="BD31" i="15"/>
  <c r="BC31" i="15"/>
  <c r="BB31" i="15"/>
  <c r="BA31" i="15"/>
  <c r="AZ31" i="15"/>
  <c r="AY31" i="15"/>
  <c r="AX31" i="15"/>
  <c r="AD31" i="15"/>
  <c r="AC31" i="15"/>
  <c r="AB31" i="15"/>
  <c r="AA31" i="15"/>
  <c r="Z31" i="15"/>
  <c r="Y31" i="15"/>
  <c r="X31" i="15"/>
  <c r="W31" i="15"/>
  <c r="V31" i="15"/>
  <c r="U31" i="15"/>
  <c r="BG30" i="15"/>
  <c r="BF30" i="15"/>
  <c r="BE30" i="15"/>
  <c r="BD30" i="15"/>
  <c r="BC30" i="15"/>
  <c r="BB30" i="15"/>
  <c r="BA30" i="15"/>
  <c r="AZ30" i="15"/>
  <c r="AY30" i="15"/>
  <c r="AX30" i="15"/>
  <c r="AD30" i="15"/>
  <c r="AC30" i="15"/>
  <c r="AB30" i="15"/>
  <c r="AA30" i="15"/>
  <c r="Z30" i="15"/>
  <c r="Y30" i="15"/>
  <c r="X30" i="15"/>
  <c r="W30" i="15"/>
  <c r="V30" i="15"/>
  <c r="U30" i="15"/>
  <c r="BG29" i="15"/>
  <c r="BF29" i="15"/>
  <c r="BE29" i="15"/>
  <c r="BD29" i="15"/>
  <c r="BC29" i="15"/>
  <c r="BB29" i="15"/>
  <c r="BA29" i="15"/>
  <c r="AZ29" i="15"/>
  <c r="AY29" i="15"/>
  <c r="AX29" i="15"/>
  <c r="AD29" i="15"/>
  <c r="AC29" i="15"/>
  <c r="AB29" i="15"/>
  <c r="AA29" i="15"/>
  <c r="Z29" i="15"/>
  <c r="Y29" i="15"/>
  <c r="X29" i="15"/>
  <c r="W29" i="15"/>
  <c r="V29" i="15"/>
  <c r="U29" i="15"/>
  <c r="BG28" i="15"/>
  <c r="BF28" i="15"/>
  <c r="BE28" i="15"/>
  <c r="BD28" i="15"/>
  <c r="BC28" i="15"/>
  <c r="BB28" i="15"/>
  <c r="BA28" i="15"/>
  <c r="AZ28" i="15"/>
  <c r="AY28" i="15"/>
  <c r="AX28" i="15"/>
  <c r="AD28" i="15"/>
  <c r="AC28" i="15"/>
  <c r="AB28" i="15"/>
  <c r="AA28" i="15"/>
  <c r="Z28" i="15"/>
  <c r="Y28" i="15"/>
  <c r="X28" i="15"/>
  <c r="W28" i="15"/>
  <c r="V28" i="15"/>
  <c r="U28" i="15"/>
  <c r="BG27" i="15"/>
  <c r="BF27" i="15"/>
  <c r="BE27" i="15"/>
  <c r="BD27" i="15"/>
  <c r="BC27" i="15"/>
  <c r="BB27" i="15"/>
  <c r="BA27" i="15"/>
  <c r="AZ27" i="15"/>
  <c r="AY27" i="15"/>
  <c r="AX27" i="15"/>
  <c r="AD27" i="15"/>
  <c r="AC27" i="15"/>
  <c r="AB27" i="15"/>
  <c r="AA27" i="15"/>
  <c r="Z27" i="15"/>
  <c r="Y27" i="15"/>
  <c r="X27" i="15"/>
  <c r="W27" i="15"/>
  <c r="V27" i="15"/>
  <c r="U27" i="15"/>
  <c r="BG26" i="15"/>
  <c r="BF26" i="15"/>
  <c r="BE26" i="15"/>
  <c r="BD26" i="15"/>
  <c r="BC26" i="15"/>
  <c r="BB26" i="15"/>
  <c r="BA26" i="15"/>
  <c r="AZ26" i="15"/>
  <c r="AY26" i="15"/>
  <c r="AX26" i="15"/>
  <c r="AD26" i="15"/>
  <c r="AC26" i="15"/>
  <c r="AB26" i="15"/>
  <c r="AA26" i="15"/>
  <c r="Z26" i="15"/>
  <c r="Y26" i="15"/>
  <c r="X26" i="15"/>
  <c r="W26" i="15"/>
  <c r="V26" i="15"/>
  <c r="U26" i="15"/>
  <c r="BG25" i="15"/>
  <c r="BF25" i="15"/>
  <c r="BE25" i="15"/>
  <c r="BD25" i="15"/>
  <c r="BC25" i="15"/>
  <c r="BB25" i="15"/>
  <c r="BA25" i="15"/>
  <c r="AZ25" i="15"/>
  <c r="AY25" i="15"/>
  <c r="AX25" i="15"/>
  <c r="AD25" i="15"/>
  <c r="AC25" i="15"/>
  <c r="AB25" i="15"/>
  <c r="AA25" i="15"/>
  <c r="Z25" i="15"/>
  <c r="Y25" i="15"/>
  <c r="X25" i="15"/>
  <c r="W25" i="15"/>
  <c r="V25" i="15"/>
  <c r="U25" i="15"/>
  <c r="BG24" i="15"/>
  <c r="BF24" i="15"/>
  <c r="BE24" i="15"/>
  <c r="BD24" i="15"/>
  <c r="BC24" i="15"/>
  <c r="BB24" i="15"/>
  <c r="BA24" i="15"/>
  <c r="AZ24" i="15"/>
  <c r="AY24" i="15"/>
  <c r="AX24" i="15"/>
  <c r="AD24" i="15"/>
  <c r="AC24" i="15"/>
  <c r="AB24" i="15"/>
  <c r="AA24" i="15"/>
  <c r="Z24" i="15"/>
  <c r="Y24" i="15"/>
  <c r="X24" i="15"/>
  <c r="W24" i="15"/>
  <c r="V24" i="15"/>
  <c r="U24" i="15"/>
  <c r="BG23" i="15"/>
  <c r="BF23" i="15"/>
  <c r="BE23" i="15"/>
  <c r="BD23" i="15"/>
  <c r="BC23" i="15"/>
  <c r="BB23" i="15"/>
  <c r="BA23" i="15"/>
  <c r="AZ23" i="15"/>
  <c r="AY23" i="15"/>
  <c r="AX23" i="15"/>
  <c r="AD23" i="15"/>
  <c r="AC23" i="15"/>
  <c r="AB23" i="15"/>
  <c r="AA23" i="15"/>
  <c r="Z23" i="15"/>
  <c r="Y23" i="15"/>
  <c r="X23" i="15"/>
  <c r="W23" i="15"/>
  <c r="V23" i="15"/>
  <c r="U23" i="15"/>
  <c r="BG22" i="15"/>
  <c r="BF22" i="15"/>
  <c r="BE22" i="15"/>
  <c r="BD22" i="15"/>
  <c r="BC22" i="15"/>
  <c r="BB22" i="15"/>
  <c r="BA22" i="15"/>
  <c r="AZ22" i="15"/>
  <c r="AY22" i="15"/>
  <c r="AX22" i="15"/>
  <c r="AD22" i="15"/>
  <c r="AC22" i="15"/>
  <c r="AB22" i="15"/>
  <c r="AA22" i="15"/>
  <c r="Z22" i="15"/>
  <c r="Y22" i="15"/>
  <c r="X22" i="15"/>
  <c r="W22" i="15"/>
  <c r="V22" i="15"/>
  <c r="U22" i="15"/>
  <c r="BG21" i="15"/>
  <c r="BF21" i="15"/>
  <c r="BE21" i="15"/>
  <c r="BD21" i="15"/>
  <c r="BC21" i="15"/>
  <c r="BB21" i="15"/>
  <c r="BA21" i="15"/>
  <c r="AZ21" i="15"/>
  <c r="AY21" i="15"/>
  <c r="AX21" i="15"/>
  <c r="AD21" i="15"/>
  <c r="AC21" i="15"/>
  <c r="AB21" i="15"/>
  <c r="AA21" i="15"/>
  <c r="Z21" i="15"/>
  <c r="Y21" i="15"/>
  <c r="X21" i="15"/>
  <c r="W21" i="15"/>
  <c r="V21" i="15"/>
  <c r="U21" i="15"/>
  <c r="BG20" i="15"/>
  <c r="BF20" i="15"/>
  <c r="BE20" i="15"/>
  <c r="BD20" i="15"/>
  <c r="BC20" i="15"/>
  <c r="BB20" i="15"/>
  <c r="BA20" i="15"/>
  <c r="AZ20" i="15"/>
  <c r="AY20" i="15"/>
  <c r="AX20" i="15"/>
  <c r="AD20" i="15"/>
  <c r="AC20" i="15"/>
  <c r="AB20" i="15"/>
  <c r="AA20" i="15"/>
  <c r="Z20" i="15"/>
  <c r="Y20" i="15"/>
  <c r="X20" i="15"/>
  <c r="W20" i="15"/>
  <c r="V20" i="15"/>
  <c r="U20" i="15"/>
  <c r="BG19" i="15"/>
  <c r="BF19" i="15"/>
  <c r="BE19" i="15"/>
  <c r="BD19" i="15"/>
  <c r="BC19" i="15"/>
  <c r="BB19" i="15"/>
  <c r="BA19" i="15"/>
  <c r="AZ19" i="15"/>
  <c r="AY19" i="15"/>
  <c r="AX19" i="15"/>
  <c r="AD19" i="15"/>
  <c r="AC19" i="15"/>
  <c r="AB19" i="15"/>
  <c r="AA19" i="15"/>
  <c r="Z19" i="15"/>
  <c r="Y19" i="15"/>
  <c r="X19" i="15"/>
  <c r="W19" i="15"/>
  <c r="V19" i="15"/>
  <c r="U19" i="15"/>
  <c r="BG18" i="15"/>
  <c r="BF18" i="15"/>
  <c r="BE18" i="15"/>
  <c r="BD18" i="15"/>
  <c r="BC18" i="15"/>
  <c r="BB18" i="15"/>
  <c r="BA18" i="15"/>
  <c r="AZ18" i="15"/>
  <c r="AY18" i="15"/>
  <c r="AX18" i="15"/>
  <c r="AD18" i="15"/>
  <c r="AC18" i="15"/>
  <c r="AB18" i="15"/>
  <c r="AA18" i="15"/>
  <c r="Z18" i="15"/>
  <c r="Y18" i="15"/>
  <c r="X18" i="15"/>
  <c r="W18" i="15"/>
  <c r="V18" i="15"/>
  <c r="U18" i="15"/>
  <c r="BG17" i="15"/>
  <c r="BF17" i="15"/>
  <c r="BE17" i="15"/>
  <c r="BD17" i="15"/>
  <c r="BC17" i="15"/>
  <c r="BB17" i="15"/>
  <c r="BA17" i="15"/>
  <c r="AZ17" i="15"/>
  <c r="AY17" i="15"/>
  <c r="AX17" i="15"/>
  <c r="AD17" i="15"/>
  <c r="AC17" i="15"/>
  <c r="AB17" i="15"/>
  <c r="AA17" i="15"/>
  <c r="Z17" i="15"/>
  <c r="Y17" i="15"/>
  <c r="X17" i="15"/>
  <c r="W17" i="15"/>
  <c r="V17" i="15"/>
  <c r="U17" i="15"/>
  <c r="BG16" i="15"/>
  <c r="BF16" i="15"/>
  <c r="BE16" i="15"/>
  <c r="BD16" i="15"/>
  <c r="BC16" i="15"/>
  <c r="BB16" i="15"/>
  <c r="BA16" i="15"/>
  <c r="AZ16" i="15"/>
  <c r="AY16" i="15"/>
  <c r="AX16" i="15"/>
  <c r="AD16" i="15"/>
  <c r="AC16" i="15"/>
  <c r="AB16" i="15"/>
  <c r="AA16" i="15"/>
  <c r="Z16" i="15"/>
  <c r="Y16" i="15"/>
  <c r="X16" i="15"/>
  <c r="W16" i="15"/>
  <c r="V16" i="15"/>
  <c r="U16" i="15"/>
  <c r="BG15" i="15"/>
  <c r="BF15" i="15"/>
  <c r="BE15" i="15"/>
  <c r="BD15" i="15"/>
  <c r="BC15" i="15"/>
  <c r="BB15" i="15"/>
  <c r="BA15" i="15"/>
  <c r="AZ15" i="15"/>
  <c r="AY15" i="15"/>
  <c r="AX15" i="15"/>
  <c r="AD15" i="15"/>
  <c r="AC15" i="15"/>
  <c r="AB15" i="15"/>
  <c r="AA15" i="15"/>
  <c r="Z15" i="15"/>
  <c r="Y15" i="15"/>
  <c r="X15" i="15"/>
  <c r="W15" i="15"/>
  <c r="V15" i="15"/>
  <c r="U15" i="15"/>
  <c r="BG14" i="15"/>
  <c r="BF14" i="15"/>
  <c r="BE14" i="15"/>
  <c r="BD14" i="15"/>
  <c r="BC14" i="15"/>
  <c r="BB14" i="15"/>
  <c r="BA14" i="15"/>
  <c r="AZ14" i="15"/>
  <c r="AY14" i="15"/>
  <c r="AX14" i="15"/>
  <c r="AD14" i="15"/>
  <c r="AC14" i="15"/>
  <c r="AB14" i="15"/>
  <c r="AA14" i="15"/>
  <c r="Z14" i="15"/>
  <c r="Y14" i="15"/>
  <c r="X14" i="15"/>
  <c r="W14" i="15"/>
  <c r="V14" i="15"/>
  <c r="U14" i="15"/>
  <c r="BG13" i="15"/>
  <c r="BF13" i="15"/>
  <c r="BE13" i="15"/>
  <c r="BD13" i="15"/>
  <c r="BC13" i="15"/>
  <c r="BB13" i="15"/>
  <c r="BA13" i="15"/>
  <c r="AZ13" i="15"/>
  <c r="AY13" i="15"/>
  <c r="AX13" i="15"/>
  <c r="O13" i="15"/>
  <c r="N13" i="15"/>
  <c r="M13" i="15"/>
  <c r="L13" i="15"/>
  <c r="K13" i="15"/>
  <c r="J13" i="15"/>
  <c r="I13" i="15"/>
  <c r="H13" i="15"/>
  <c r="G13" i="15"/>
  <c r="F13" i="15"/>
  <c r="AU12" i="15"/>
  <c r="AT12" i="15"/>
  <c r="AS12" i="15"/>
  <c r="AR12" i="15"/>
  <c r="AQ12" i="15"/>
  <c r="AP12" i="15"/>
  <c r="AO12" i="15"/>
  <c r="AN12" i="15"/>
  <c r="AM12" i="15"/>
  <c r="AL12" i="15"/>
  <c r="AF12" i="15"/>
  <c r="BG63" i="11"/>
  <c r="BF63" i="11"/>
  <c r="BE63" i="11"/>
  <c r="BD63" i="11"/>
  <c r="BC63" i="11"/>
  <c r="BB63" i="11"/>
  <c r="BA63" i="11"/>
  <c r="AZ63" i="11"/>
  <c r="AY63" i="11"/>
  <c r="AX63" i="11"/>
  <c r="AV63" i="11"/>
  <c r="AW63" i="11" s="1"/>
  <c r="AD63" i="11"/>
  <c r="AC63" i="11"/>
  <c r="AB63" i="11"/>
  <c r="AA63" i="11"/>
  <c r="Z63" i="11"/>
  <c r="Y63" i="11"/>
  <c r="X63" i="11"/>
  <c r="W63" i="11"/>
  <c r="V63" i="11"/>
  <c r="U63" i="11"/>
  <c r="BG62" i="11"/>
  <c r="BF62" i="11"/>
  <c r="BE62" i="11"/>
  <c r="BD62" i="11"/>
  <c r="BC62" i="11"/>
  <c r="BB62" i="11"/>
  <c r="BA62" i="11"/>
  <c r="AZ62" i="11"/>
  <c r="AY62" i="11"/>
  <c r="AX62" i="11"/>
  <c r="AV62" i="11"/>
  <c r="BN62" i="11" s="1"/>
  <c r="AD62" i="11"/>
  <c r="AC62" i="11"/>
  <c r="AB62" i="11"/>
  <c r="AA62" i="11"/>
  <c r="Z62" i="11"/>
  <c r="Y62" i="11"/>
  <c r="X62" i="11"/>
  <c r="W62" i="11"/>
  <c r="V62" i="11"/>
  <c r="U62" i="11"/>
  <c r="BG61" i="11"/>
  <c r="BF61" i="11"/>
  <c r="BE61" i="11"/>
  <c r="BD61" i="11"/>
  <c r="BC61" i="11"/>
  <c r="BB61" i="11"/>
  <c r="BA61" i="11"/>
  <c r="AZ61" i="11"/>
  <c r="AY61" i="11"/>
  <c r="AX61" i="11"/>
  <c r="AV61" i="11"/>
  <c r="BN61" i="11" s="1"/>
  <c r="AD61" i="11"/>
  <c r="AC61" i="11"/>
  <c r="AB61" i="11"/>
  <c r="AA61" i="11"/>
  <c r="Z61" i="11"/>
  <c r="Y61" i="11"/>
  <c r="X61" i="11"/>
  <c r="W61" i="11"/>
  <c r="V61" i="11"/>
  <c r="U61" i="11"/>
  <c r="BG60" i="11"/>
  <c r="BF60" i="11"/>
  <c r="BE60" i="11"/>
  <c r="BD60" i="11"/>
  <c r="BC60" i="11"/>
  <c r="BB60" i="11"/>
  <c r="BA60" i="11"/>
  <c r="AZ60" i="11"/>
  <c r="AY60" i="11"/>
  <c r="AX60" i="11"/>
  <c r="AV60" i="11"/>
  <c r="BN60" i="11" s="1"/>
  <c r="AD60" i="11"/>
  <c r="AC60" i="11"/>
  <c r="AB60" i="11"/>
  <c r="AA60" i="11"/>
  <c r="Z60" i="11"/>
  <c r="Y60" i="11"/>
  <c r="X60" i="11"/>
  <c r="W60" i="11"/>
  <c r="V60" i="11"/>
  <c r="U60" i="11"/>
  <c r="BG59" i="11"/>
  <c r="BF59" i="11"/>
  <c r="BE59" i="11"/>
  <c r="BD59" i="11"/>
  <c r="BC59" i="11"/>
  <c r="BB59" i="11"/>
  <c r="BA59" i="11"/>
  <c r="AZ59" i="11"/>
  <c r="AY59" i="11"/>
  <c r="AX59" i="11"/>
  <c r="AV59" i="11"/>
  <c r="AW59" i="11" s="1"/>
  <c r="AD59" i="11"/>
  <c r="AC59" i="11"/>
  <c r="AB59" i="11"/>
  <c r="AA59" i="11"/>
  <c r="Z59" i="11"/>
  <c r="Y59" i="11"/>
  <c r="X59" i="11"/>
  <c r="W59" i="11"/>
  <c r="V59" i="11"/>
  <c r="U59" i="11"/>
  <c r="BG58" i="11"/>
  <c r="BF58" i="11"/>
  <c r="BE58" i="11"/>
  <c r="BD58" i="11"/>
  <c r="BC58" i="11"/>
  <c r="BB58" i="11"/>
  <c r="BA58" i="11"/>
  <c r="AZ58" i="11"/>
  <c r="AY58" i="11"/>
  <c r="AX58" i="11"/>
  <c r="AV58" i="11"/>
  <c r="AW58" i="11" s="1"/>
  <c r="AD58" i="11"/>
  <c r="AC58" i="11"/>
  <c r="AB58" i="11"/>
  <c r="AA58" i="11"/>
  <c r="Z58" i="11"/>
  <c r="Y58" i="11"/>
  <c r="X58" i="11"/>
  <c r="W58" i="11"/>
  <c r="AE58" i="11" s="1"/>
  <c r="V58" i="11"/>
  <c r="U58" i="11"/>
  <c r="BG57" i="11"/>
  <c r="BF57" i="11"/>
  <c r="BE57" i="11"/>
  <c r="BD57" i="11"/>
  <c r="BC57" i="11"/>
  <c r="BB57" i="11"/>
  <c r="BA57" i="11"/>
  <c r="AZ57" i="11"/>
  <c r="AY57" i="11"/>
  <c r="AX57" i="11"/>
  <c r="AV57" i="11"/>
  <c r="BN57" i="11" s="1"/>
  <c r="AD57" i="11"/>
  <c r="AC57" i="11"/>
  <c r="AB57" i="11"/>
  <c r="AA57" i="11"/>
  <c r="Z57" i="11"/>
  <c r="Y57" i="11"/>
  <c r="X57" i="11"/>
  <c r="W57" i="11"/>
  <c r="V57" i="11"/>
  <c r="U57" i="11"/>
  <c r="BG56" i="11"/>
  <c r="BF56" i="11"/>
  <c r="BE56" i="11"/>
  <c r="BD56" i="11"/>
  <c r="BC56" i="11"/>
  <c r="BB56" i="11"/>
  <c r="BA56" i="11"/>
  <c r="AZ56" i="11"/>
  <c r="AY56" i="11"/>
  <c r="AX56" i="11"/>
  <c r="AV56" i="11"/>
  <c r="BN56" i="11" s="1"/>
  <c r="AD56" i="11"/>
  <c r="AC56" i="11"/>
  <c r="AB56" i="11"/>
  <c r="AA56" i="11"/>
  <c r="Z56" i="11"/>
  <c r="Y56" i="11"/>
  <c r="X56" i="11"/>
  <c r="W56" i="11"/>
  <c r="V56" i="11"/>
  <c r="U56" i="11"/>
  <c r="BG55" i="11"/>
  <c r="BF55" i="11"/>
  <c r="BE55" i="11"/>
  <c r="BD55" i="11"/>
  <c r="BC55" i="11"/>
  <c r="BB55" i="11"/>
  <c r="BA55" i="11"/>
  <c r="AZ55" i="11"/>
  <c r="AY55" i="11"/>
  <c r="AX55" i="11"/>
  <c r="AV55" i="11"/>
  <c r="AD55" i="11"/>
  <c r="AC55" i="11"/>
  <c r="AB55" i="11"/>
  <c r="AA55" i="11"/>
  <c r="Z55" i="11"/>
  <c r="Y55" i="11"/>
  <c r="X55" i="11"/>
  <c r="W55" i="11"/>
  <c r="V55" i="11"/>
  <c r="U55" i="11"/>
  <c r="BG54" i="11"/>
  <c r="BF54" i="11"/>
  <c r="BE54" i="11"/>
  <c r="BD54" i="11"/>
  <c r="BC54" i="11"/>
  <c r="BB54" i="11"/>
  <c r="BA54" i="11"/>
  <c r="AZ54" i="11"/>
  <c r="AY54" i="11"/>
  <c r="AX54" i="11"/>
  <c r="AV54" i="11"/>
  <c r="BN54" i="11" s="1"/>
  <c r="AD54" i="11"/>
  <c r="AC54" i="11"/>
  <c r="AB54" i="11"/>
  <c r="AA54" i="11"/>
  <c r="Z54" i="11"/>
  <c r="Y54" i="11"/>
  <c r="X54" i="11"/>
  <c r="W54" i="11"/>
  <c r="V54" i="11"/>
  <c r="U54" i="11"/>
  <c r="BG53" i="11"/>
  <c r="BF53" i="11"/>
  <c r="BE53" i="11"/>
  <c r="BD53" i="11"/>
  <c r="BC53" i="11"/>
  <c r="BB53" i="11"/>
  <c r="BA53" i="11"/>
  <c r="AZ53" i="11"/>
  <c r="AY53" i="11"/>
  <c r="AX53" i="11"/>
  <c r="AV53" i="11"/>
  <c r="BN53" i="11" s="1"/>
  <c r="AD53" i="11"/>
  <c r="AC53" i="11"/>
  <c r="AB53" i="11"/>
  <c r="AA53" i="11"/>
  <c r="Z53" i="11"/>
  <c r="Y53" i="11"/>
  <c r="X53" i="11"/>
  <c r="W53" i="11"/>
  <c r="V53" i="11"/>
  <c r="U53" i="11"/>
  <c r="BG52" i="11"/>
  <c r="BF52" i="11"/>
  <c r="BE52" i="11"/>
  <c r="BD52" i="11"/>
  <c r="BC52" i="11"/>
  <c r="BB52" i="11"/>
  <c r="BA52" i="11"/>
  <c r="AZ52" i="11"/>
  <c r="AY52" i="11"/>
  <c r="AX52" i="11"/>
  <c r="AV52" i="11"/>
  <c r="BN52" i="11" s="1"/>
  <c r="AD52" i="11"/>
  <c r="AC52" i="11"/>
  <c r="AB52" i="11"/>
  <c r="AA52" i="11"/>
  <c r="Z52" i="11"/>
  <c r="Y52" i="11"/>
  <c r="X52" i="11"/>
  <c r="W52" i="11"/>
  <c r="V52" i="11"/>
  <c r="U52" i="11"/>
  <c r="BG51" i="11"/>
  <c r="BF51" i="11"/>
  <c r="BE51" i="11"/>
  <c r="BD51" i="11"/>
  <c r="BC51" i="11"/>
  <c r="BB51" i="11"/>
  <c r="BA51" i="11"/>
  <c r="AZ51" i="11"/>
  <c r="AY51" i="11"/>
  <c r="AX51" i="11"/>
  <c r="AV51" i="11"/>
  <c r="AD51" i="11"/>
  <c r="AC51" i="11"/>
  <c r="AB51" i="11"/>
  <c r="AA51" i="11"/>
  <c r="Z51" i="11"/>
  <c r="Y51" i="11"/>
  <c r="X51" i="11"/>
  <c r="W51" i="11"/>
  <c r="V51" i="11"/>
  <c r="U51" i="11"/>
  <c r="BG50" i="11"/>
  <c r="BF50" i="11"/>
  <c r="BE50" i="11"/>
  <c r="BD50" i="11"/>
  <c r="BC50" i="11"/>
  <c r="BB50" i="11"/>
  <c r="BA50" i="11"/>
  <c r="AZ50" i="11"/>
  <c r="AY50" i="11"/>
  <c r="AX50" i="11"/>
  <c r="AV50" i="11"/>
  <c r="AW50" i="11" s="1"/>
  <c r="AD50" i="11"/>
  <c r="AC50" i="11"/>
  <c r="AB50" i="11"/>
  <c r="AA50" i="11"/>
  <c r="Z50" i="11"/>
  <c r="Y50" i="11"/>
  <c r="X50" i="11"/>
  <c r="W50" i="11"/>
  <c r="V50" i="11"/>
  <c r="U50" i="11"/>
  <c r="BG49" i="11"/>
  <c r="BF49" i="11"/>
  <c r="BE49" i="11"/>
  <c r="BD49" i="11"/>
  <c r="BC49" i="11"/>
  <c r="BB49" i="11"/>
  <c r="BA49" i="11"/>
  <c r="AZ49" i="11"/>
  <c r="AY49" i="11"/>
  <c r="AX49" i="11"/>
  <c r="AV49" i="11"/>
  <c r="BN49" i="11" s="1"/>
  <c r="AD49" i="11"/>
  <c r="AC49" i="11"/>
  <c r="AB49" i="11"/>
  <c r="AA49" i="11"/>
  <c r="Z49" i="11"/>
  <c r="Y49" i="11"/>
  <c r="X49" i="11"/>
  <c r="W49" i="11"/>
  <c r="V49" i="11"/>
  <c r="U49" i="11"/>
  <c r="BG48" i="11"/>
  <c r="BF48" i="11"/>
  <c r="BE48" i="11"/>
  <c r="BD48" i="11"/>
  <c r="BC48" i="11"/>
  <c r="BB48" i="11"/>
  <c r="BA48" i="11"/>
  <c r="AZ48" i="11"/>
  <c r="AY48" i="11"/>
  <c r="AX48" i="11"/>
  <c r="AV48" i="11"/>
  <c r="BN48" i="11" s="1"/>
  <c r="AD48" i="11"/>
  <c r="AC48" i="11"/>
  <c r="AB48" i="11"/>
  <c r="AA48" i="11"/>
  <c r="Z48" i="11"/>
  <c r="Y48" i="11"/>
  <c r="X48" i="11"/>
  <c r="W48" i="11"/>
  <c r="V48" i="11"/>
  <c r="U48" i="11"/>
  <c r="BG47" i="11"/>
  <c r="BF47" i="11"/>
  <c r="BE47" i="11"/>
  <c r="BD47" i="11"/>
  <c r="BC47" i="11"/>
  <c r="BB47" i="11"/>
  <c r="BA47" i="11"/>
  <c r="AZ47" i="11"/>
  <c r="AY47" i="11"/>
  <c r="AX47" i="11"/>
  <c r="AV47" i="11"/>
  <c r="AW47" i="11" s="1"/>
  <c r="AD47" i="11"/>
  <c r="AC47" i="11"/>
  <c r="AB47" i="11"/>
  <c r="AA47" i="11"/>
  <c r="Z47" i="11"/>
  <c r="Y47" i="11"/>
  <c r="X47" i="11"/>
  <c r="W47" i="11"/>
  <c r="V47" i="11"/>
  <c r="U47" i="11"/>
  <c r="BG46" i="11"/>
  <c r="BF46" i="11"/>
  <c r="BE46" i="11"/>
  <c r="BD46" i="11"/>
  <c r="BC46" i="11"/>
  <c r="BB46" i="11"/>
  <c r="BA46" i="11"/>
  <c r="AZ46" i="11"/>
  <c r="AY46" i="11"/>
  <c r="AX46" i="11"/>
  <c r="AV46" i="11"/>
  <c r="BN46" i="11" s="1"/>
  <c r="AD46" i="11"/>
  <c r="AC46" i="11"/>
  <c r="AB46" i="11"/>
  <c r="AA46" i="11"/>
  <c r="Z46" i="11"/>
  <c r="Y46" i="11"/>
  <c r="X46" i="11"/>
  <c r="W46" i="11"/>
  <c r="V46" i="11"/>
  <c r="U46" i="11"/>
  <c r="BG45" i="11"/>
  <c r="BF45" i="11"/>
  <c r="BE45" i="11"/>
  <c r="BD45" i="11"/>
  <c r="BC45" i="11"/>
  <c r="BB45" i="11"/>
  <c r="BA45" i="11"/>
  <c r="AZ45" i="11"/>
  <c r="AY45" i="11"/>
  <c r="AX45" i="11"/>
  <c r="AV45" i="11"/>
  <c r="AD45" i="11"/>
  <c r="AC45" i="11"/>
  <c r="AB45" i="11"/>
  <c r="AA45" i="11"/>
  <c r="Z45" i="11"/>
  <c r="Y45" i="11"/>
  <c r="X45" i="11"/>
  <c r="W45" i="11"/>
  <c r="V45" i="11"/>
  <c r="U45" i="11"/>
  <c r="BG44" i="11"/>
  <c r="BF44" i="11"/>
  <c r="BE44" i="11"/>
  <c r="BD44" i="11"/>
  <c r="BC44" i="11"/>
  <c r="BB44" i="11"/>
  <c r="BA44" i="11"/>
  <c r="AZ44" i="11"/>
  <c r="AY44" i="11"/>
  <c r="AX44" i="11"/>
  <c r="AV44" i="11"/>
  <c r="AD44" i="11"/>
  <c r="AC44" i="11"/>
  <c r="AB44" i="11"/>
  <c r="AA44" i="11"/>
  <c r="Z44" i="11"/>
  <c r="Y44" i="11"/>
  <c r="X44" i="11"/>
  <c r="W44" i="11"/>
  <c r="V44" i="11"/>
  <c r="U44" i="11"/>
  <c r="BG43" i="11"/>
  <c r="BF43" i="11"/>
  <c r="BE43" i="11"/>
  <c r="BD43" i="11"/>
  <c r="BC43" i="11"/>
  <c r="BB43" i="11"/>
  <c r="BA43" i="11"/>
  <c r="AZ43" i="11"/>
  <c r="AY43" i="11"/>
  <c r="AX43" i="11"/>
  <c r="AV43" i="11"/>
  <c r="AW43" i="11" s="1"/>
  <c r="AD43" i="11"/>
  <c r="AC43" i="11"/>
  <c r="AB43" i="11"/>
  <c r="AA43" i="11"/>
  <c r="Z43" i="11"/>
  <c r="Y43" i="11"/>
  <c r="X43" i="11"/>
  <c r="W43" i="11"/>
  <c r="V43" i="11"/>
  <c r="U43" i="11"/>
  <c r="BG42" i="11"/>
  <c r="BF42" i="11"/>
  <c r="BE42" i="11"/>
  <c r="BD42" i="11"/>
  <c r="BC42" i="11"/>
  <c r="BB42" i="11"/>
  <c r="BA42" i="11"/>
  <c r="AZ42" i="11"/>
  <c r="AY42" i="11"/>
  <c r="AX42" i="11"/>
  <c r="AV42" i="11"/>
  <c r="AW42" i="11" s="1"/>
  <c r="AD42" i="11"/>
  <c r="AC42" i="11"/>
  <c r="AB42" i="11"/>
  <c r="AA42" i="11"/>
  <c r="Z42" i="11"/>
  <c r="Y42" i="11"/>
  <c r="X42" i="11"/>
  <c r="W42" i="11"/>
  <c r="V42" i="11"/>
  <c r="U42" i="11"/>
  <c r="BG41" i="11"/>
  <c r="BF41" i="11"/>
  <c r="BE41" i="11"/>
  <c r="BD41" i="11"/>
  <c r="BC41" i="11"/>
  <c r="BB41" i="11"/>
  <c r="BA41" i="11"/>
  <c r="AZ41" i="11"/>
  <c r="AY41" i="11"/>
  <c r="AX41" i="11"/>
  <c r="AV41" i="11"/>
  <c r="BN41" i="11" s="1"/>
  <c r="AD41" i="11"/>
  <c r="AC41" i="11"/>
  <c r="AB41" i="11"/>
  <c r="AA41" i="11"/>
  <c r="Z41" i="11"/>
  <c r="Y41" i="11"/>
  <c r="X41" i="11"/>
  <c r="W41" i="11"/>
  <c r="V41" i="11"/>
  <c r="U41" i="11"/>
  <c r="BG40" i="11"/>
  <c r="BF40" i="11"/>
  <c r="BE40" i="11"/>
  <c r="BD40" i="11"/>
  <c r="BC40" i="11"/>
  <c r="BB40" i="11"/>
  <c r="BA40" i="11"/>
  <c r="AZ40" i="11"/>
  <c r="AY40" i="11"/>
  <c r="AX40" i="11"/>
  <c r="AV40" i="11"/>
  <c r="AD40" i="11"/>
  <c r="AC40" i="11"/>
  <c r="AB40" i="11"/>
  <c r="AA40" i="11"/>
  <c r="Z40" i="11"/>
  <c r="Y40" i="11"/>
  <c r="X40" i="11"/>
  <c r="W40" i="11"/>
  <c r="V40" i="11"/>
  <c r="U40" i="11"/>
  <c r="BG39" i="11"/>
  <c r="BF39" i="11"/>
  <c r="BE39" i="11"/>
  <c r="BD39" i="11"/>
  <c r="BC39" i="11"/>
  <c r="BB39" i="11"/>
  <c r="BA39" i="11"/>
  <c r="AZ39" i="11"/>
  <c r="AY39" i="11"/>
  <c r="AX39" i="11"/>
  <c r="AV39" i="11"/>
  <c r="AD39" i="11"/>
  <c r="AC39" i="11"/>
  <c r="AB39" i="11"/>
  <c r="AA39" i="11"/>
  <c r="Z39" i="11"/>
  <c r="Y39" i="11"/>
  <c r="X39" i="11"/>
  <c r="W39" i="11"/>
  <c r="V39" i="11"/>
  <c r="U39" i="11"/>
  <c r="BG38" i="11"/>
  <c r="BF38" i="11"/>
  <c r="BE38" i="11"/>
  <c r="BD38" i="11"/>
  <c r="BC38" i="11"/>
  <c r="BB38" i="11"/>
  <c r="BA38" i="11"/>
  <c r="AZ38" i="11"/>
  <c r="AY38" i="11"/>
  <c r="AX38" i="11"/>
  <c r="AV38" i="11"/>
  <c r="AW38" i="11" s="1"/>
  <c r="AD38" i="11"/>
  <c r="AC38" i="11"/>
  <c r="AB38" i="11"/>
  <c r="AA38" i="11"/>
  <c r="Z38" i="11"/>
  <c r="Y38" i="11"/>
  <c r="X38" i="11"/>
  <c r="W38" i="11"/>
  <c r="V38" i="11"/>
  <c r="U38" i="11"/>
  <c r="BG37" i="11"/>
  <c r="BF37" i="11"/>
  <c r="BE37" i="11"/>
  <c r="BD37" i="11"/>
  <c r="BC37" i="11"/>
  <c r="BB37" i="11"/>
  <c r="BA37" i="11"/>
  <c r="AZ37" i="11"/>
  <c r="AY37" i="11"/>
  <c r="AX37" i="11"/>
  <c r="AV37" i="11"/>
  <c r="BN37" i="11" s="1"/>
  <c r="AD37" i="11"/>
  <c r="AC37" i="11"/>
  <c r="AB37" i="11"/>
  <c r="AA37" i="11"/>
  <c r="Z37" i="11"/>
  <c r="Y37" i="11"/>
  <c r="X37" i="11"/>
  <c r="W37" i="11"/>
  <c r="V37" i="11"/>
  <c r="U37" i="11"/>
  <c r="BG36" i="11"/>
  <c r="BF36" i="11"/>
  <c r="BE36" i="11"/>
  <c r="BD36" i="11"/>
  <c r="BC36" i="11"/>
  <c r="BB36" i="11"/>
  <c r="BA36" i="11"/>
  <c r="AZ36" i="11"/>
  <c r="AY36" i="11"/>
  <c r="AX36" i="11"/>
  <c r="AV36" i="11"/>
  <c r="AD36" i="11"/>
  <c r="AC36" i="11"/>
  <c r="AB36" i="11"/>
  <c r="AA36" i="11"/>
  <c r="Z36" i="11"/>
  <c r="Y36" i="11"/>
  <c r="X36" i="11"/>
  <c r="W36" i="11"/>
  <c r="V36" i="11"/>
  <c r="U36" i="11"/>
  <c r="BG35" i="11"/>
  <c r="BF35" i="11"/>
  <c r="BE35" i="11"/>
  <c r="BD35" i="11"/>
  <c r="BC35" i="11"/>
  <c r="BB35" i="11"/>
  <c r="BA35" i="11"/>
  <c r="AZ35" i="11"/>
  <c r="AY35" i="11"/>
  <c r="AX35" i="11"/>
  <c r="AV35" i="11"/>
  <c r="AW35" i="11" s="1"/>
  <c r="AD35" i="11"/>
  <c r="AC35" i="11"/>
  <c r="AB35" i="11"/>
  <c r="AA35" i="11"/>
  <c r="Z35" i="11"/>
  <c r="Y35" i="11"/>
  <c r="X35" i="11"/>
  <c r="W35" i="11"/>
  <c r="V35" i="11"/>
  <c r="U35" i="11"/>
  <c r="BG34" i="11"/>
  <c r="BF34" i="11"/>
  <c r="BE34" i="11"/>
  <c r="BD34" i="11"/>
  <c r="BC34" i="11"/>
  <c r="BB34" i="11"/>
  <c r="BA34" i="11"/>
  <c r="AZ34" i="11"/>
  <c r="AY34" i="11"/>
  <c r="AX34" i="11"/>
  <c r="AV34" i="11"/>
  <c r="BN34" i="11" s="1"/>
  <c r="AD34" i="11"/>
  <c r="AC34" i="11"/>
  <c r="AB34" i="11"/>
  <c r="AA34" i="11"/>
  <c r="Z34" i="11"/>
  <c r="Y34" i="11"/>
  <c r="X34" i="11"/>
  <c r="W34" i="11"/>
  <c r="V34" i="11"/>
  <c r="U34" i="11"/>
  <c r="BG33" i="11"/>
  <c r="BF33" i="11"/>
  <c r="BE33" i="11"/>
  <c r="BD33" i="11"/>
  <c r="BC33" i="11"/>
  <c r="BB33" i="11"/>
  <c r="BA33" i="11"/>
  <c r="AZ33" i="11"/>
  <c r="AY33" i="11"/>
  <c r="AX33" i="11"/>
  <c r="AV33" i="11"/>
  <c r="BN33" i="11" s="1"/>
  <c r="AD33" i="11"/>
  <c r="AC33" i="11"/>
  <c r="AB33" i="11"/>
  <c r="AA33" i="11"/>
  <c r="Z33" i="11"/>
  <c r="Y33" i="11"/>
  <c r="X33" i="11"/>
  <c r="W33" i="11"/>
  <c r="V33" i="11"/>
  <c r="U33" i="11"/>
  <c r="BG32" i="11"/>
  <c r="BF32" i="11"/>
  <c r="BE32" i="11"/>
  <c r="BD32" i="11"/>
  <c r="BC32" i="11"/>
  <c r="BB32" i="11"/>
  <c r="BA32" i="11"/>
  <c r="AZ32" i="11"/>
  <c r="AY32" i="11"/>
  <c r="AX32" i="11"/>
  <c r="AV32" i="11"/>
  <c r="AD32" i="11"/>
  <c r="AC32" i="11"/>
  <c r="AB32" i="11"/>
  <c r="AA32" i="11"/>
  <c r="Z32" i="11"/>
  <c r="Y32" i="11"/>
  <c r="X32" i="11"/>
  <c r="W32" i="11"/>
  <c r="V32" i="11"/>
  <c r="U32" i="11"/>
  <c r="BG31" i="11"/>
  <c r="BF31" i="11"/>
  <c r="BE31" i="11"/>
  <c r="BD31" i="11"/>
  <c r="BC31" i="11"/>
  <c r="BB31" i="11"/>
  <c r="BA31" i="11"/>
  <c r="AZ31" i="11"/>
  <c r="AY31" i="11"/>
  <c r="AX31" i="11"/>
  <c r="AV31" i="11"/>
  <c r="AW31" i="11" s="1"/>
  <c r="AD31" i="11"/>
  <c r="AC31" i="11"/>
  <c r="AB31" i="11"/>
  <c r="AA31" i="11"/>
  <c r="Z31" i="11"/>
  <c r="Y31" i="11"/>
  <c r="X31" i="11"/>
  <c r="W31" i="11"/>
  <c r="V31" i="11"/>
  <c r="U31" i="11"/>
  <c r="BG30" i="11"/>
  <c r="BF30" i="11"/>
  <c r="BE30" i="11"/>
  <c r="BD30" i="11"/>
  <c r="BC30" i="11"/>
  <c r="BB30" i="11"/>
  <c r="BA30" i="11"/>
  <c r="AZ30" i="11"/>
  <c r="AY30" i="11"/>
  <c r="AX30" i="11"/>
  <c r="AV30" i="11"/>
  <c r="AW30" i="11" s="1"/>
  <c r="AD30" i="11"/>
  <c r="AC30" i="11"/>
  <c r="AB30" i="11"/>
  <c r="AA30" i="11"/>
  <c r="Z30" i="11"/>
  <c r="Y30" i="11"/>
  <c r="X30" i="11"/>
  <c r="W30" i="11"/>
  <c r="V30" i="11"/>
  <c r="U30" i="11"/>
  <c r="BG29" i="11"/>
  <c r="BF29" i="11"/>
  <c r="BE29" i="11"/>
  <c r="BD29" i="11"/>
  <c r="BC29" i="11"/>
  <c r="BB29" i="11"/>
  <c r="BA29" i="11"/>
  <c r="AZ29" i="11"/>
  <c r="AY29" i="11"/>
  <c r="AX29" i="11"/>
  <c r="AV29" i="11"/>
  <c r="BN29" i="11" s="1"/>
  <c r="AD29" i="11"/>
  <c r="AC29" i="11"/>
  <c r="AB29" i="11"/>
  <c r="AA29" i="11"/>
  <c r="Z29" i="11"/>
  <c r="Y29" i="11"/>
  <c r="X29" i="11"/>
  <c r="W29" i="11"/>
  <c r="V29" i="11"/>
  <c r="U29" i="11"/>
  <c r="BG28" i="11"/>
  <c r="BF28" i="11"/>
  <c r="BE28" i="11"/>
  <c r="BD28" i="11"/>
  <c r="BC28" i="11"/>
  <c r="BB28" i="11"/>
  <c r="BA28" i="11"/>
  <c r="AZ28" i="11"/>
  <c r="AY28" i="11"/>
  <c r="AX28" i="11"/>
  <c r="AV28" i="11"/>
  <c r="AD28" i="11"/>
  <c r="AC28" i="11"/>
  <c r="AB28" i="11"/>
  <c r="AA28" i="11"/>
  <c r="Z28" i="11"/>
  <c r="Y28" i="11"/>
  <c r="X28" i="11"/>
  <c r="W28" i="11"/>
  <c r="V28" i="11"/>
  <c r="U28" i="11"/>
  <c r="BG27" i="11"/>
  <c r="BF27" i="11"/>
  <c r="BE27" i="11"/>
  <c r="BD27" i="11"/>
  <c r="BC27" i="11"/>
  <c r="BB27" i="11"/>
  <c r="BA27" i="11"/>
  <c r="AZ27" i="11"/>
  <c r="AY27" i="11"/>
  <c r="AX27" i="11"/>
  <c r="AV27" i="11"/>
  <c r="AW27" i="11" s="1"/>
  <c r="AD27" i="11"/>
  <c r="AC27" i="11"/>
  <c r="AB27" i="11"/>
  <c r="AA27" i="11"/>
  <c r="Z27" i="11"/>
  <c r="Y27" i="11"/>
  <c r="X27" i="11"/>
  <c r="W27" i="11"/>
  <c r="V27" i="11"/>
  <c r="U27" i="11"/>
  <c r="BG26" i="11"/>
  <c r="BF26" i="11"/>
  <c r="BE26" i="11"/>
  <c r="BD26" i="11"/>
  <c r="BC26" i="11"/>
  <c r="BB26" i="11"/>
  <c r="BA26" i="11"/>
  <c r="AZ26" i="11"/>
  <c r="AY26" i="11"/>
  <c r="AX26" i="11"/>
  <c r="AV26" i="11"/>
  <c r="BN26" i="11" s="1"/>
  <c r="AD26" i="11"/>
  <c r="AC26" i="11"/>
  <c r="AB26" i="11"/>
  <c r="AA26" i="11"/>
  <c r="Z26" i="11"/>
  <c r="Y26" i="11"/>
  <c r="X26" i="11"/>
  <c r="W26" i="11"/>
  <c r="V26" i="11"/>
  <c r="U26" i="11"/>
  <c r="BG25" i="11"/>
  <c r="BF25" i="11"/>
  <c r="BE25" i="11"/>
  <c r="BD25" i="11"/>
  <c r="BC25" i="11"/>
  <c r="BB25" i="11"/>
  <c r="BA25" i="11"/>
  <c r="AZ25" i="11"/>
  <c r="AY25" i="11"/>
  <c r="AX25" i="11"/>
  <c r="AV25" i="11"/>
  <c r="BN25" i="11" s="1"/>
  <c r="AD25" i="11"/>
  <c r="AC25" i="11"/>
  <c r="AB25" i="11"/>
  <c r="AA25" i="11"/>
  <c r="Z25" i="11"/>
  <c r="Y25" i="11"/>
  <c r="X25" i="11"/>
  <c r="W25" i="11"/>
  <c r="V25" i="11"/>
  <c r="U25" i="11"/>
  <c r="BG24" i="11"/>
  <c r="BF24" i="11"/>
  <c r="BE24" i="11"/>
  <c r="BD24" i="11"/>
  <c r="BC24" i="11"/>
  <c r="BB24" i="11"/>
  <c r="BA24" i="11"/>
  <c r="AZ24" i="11"/>
  <c r="AY24" i="11"/>
  <c r="AX24" i="11"/>
  <c r="AV24" i="11"/>
  <c r="AD24" i="11"/>
  <c r="AC24" i="11"/>
  <c r="AB24" i="11"/>
  <c r="AA24" i="11"/>
  <c r="Z24" i="11"/>
  <c r="Y24" i="11"/>
  <c r="X24" i="11"/>
  <c r="W24" i="11"/>
  <c r="V24" i="11"/>
  <c r="U24" i="11"/>
  <c r="BG23" i="11"/>
  <c r="BF23" i="11"/>
  <c r="BE23" i="11"/>
  <c r="BD23" i="11"/>
  <c r="BC23" i="11"/>
  <c r="BB23" i="11"/>
  <c r="BA23" i="11"/>
  <c r="AZ23" i="11"/>
  <c r="AY23" i="11"/>
  <c r="AX23" i="11"/>
  <c r="AV23" i="11"/>
  <c r="AW23" i="11" s="1"/>
  <c r="AD23" i="11"/>
  <c r="AC23" i="11"/>
  <c r="AB23" i="11"/>
  <c r="AA23" i="11"/>
  <c r="Z23" i="11"/>
  <c r="Y23" i="11"/>
  <c r="X23" i="11"/>
  <c r="W23" i="11"/>
  <c r="V23" i="11"/>
  <c r="U23" i="11"/>
  <c r="BG22" i="11"/>
  <c r="BF22" i="11"/>
  <c r="BE22" i="11"/>
  <c r="BD22" i="11"/>
  <c r="BC22" i="11"/>
  <c r="BB22" i="11"/>
  <c r="BA22" i="11"/>
  <c r="AZ22" i="11"/>
  <c r="AY22" i="11"/>
  <c r="AX22" i="11"/>
  <c r="AV22" i="11"/>
  <c r="BN22" i="11" s="1"/>
  <c r="AD22" i="11"/>
  <c r="AC22" i="11"/>
  <c r="AB22" i="11"/>
  <c r="AA22" i="11"/>
  <c r="Z22" i="11"/>
  <c r="Y22" i="11"/>
  <c r="X22" i="11"/>
  <c r="W22" i="11"/>
  <c r="V22" i="11"/>
  <c r="U22" i="11"/>
  <c r="BG21" i="11"/>
  <c r="BF21" i="11"/>
  <c r="BE21" i="11"/>
  <c r="BD21" i="11"/>
  <c r="BC21" i="11"/>
  <c r="BB21" i="11"/>
  <c r="BA21" i="11"/>
  <c r="AZ21" i="11"/>
  <c r="AY21" i="11"/>
  <c r="AX21" i="11"/>
  <c r="AV21" i="11"/>
  <c r="BN21" i="11" s="1"/>
  <c r="AD21" i="11"/>
  <c r="AC21" i="11"/>
  <c r="AB21" i="11"/>
  <c r="AA21" i="11"/>
  <c r="Z21" i="11"/>
  <c r="Y21" i="11"/>
  <c r="X21" i="11"/>
  <c r="W21" i="11"/>
  <c r="V21" i="11"/>
  <c r="U21" i="11"/>
  <c r="BG20" i="11"/>
  <c r="BF20" i="11"/>
  <c r="BE20" i="11"/>
  <c r="BD20" i="11"/>
  <c r="BC20" i="11"/>
  <c r="BB20" i="11"/>
  <c r="BA20" i="11"/>
  <c r="AZ20" i="11"/>
  <c r="AY20" i="11"/>
  <c r="AX20" i="11"/>
  <c r="AV20" i="11"/>
  <c r="AD20" i="11"/>
  <c r="AC20" i="11"/>
  <c r="AB20" i="11"/>
  <c r="AA20" i="11"/>
  <c r="Z20" i="11"/>
  <c r="Y20" i="11"/>
  <c r="X20" i="11"/>
  <c r="W20" i="11"/>
  <c r="V20" i="11"/>
  <c r="U20" i="11"/>
  <c r="BG19" i="11"/>
  <c r="BF19" i="11"/>
  <c r="BE19" i="11"/>
  <c r="BD19" i="11"/>
  <c r="BC19" i="11"/>
  <c r="BB19" i="11"/>
  <c r="BA19" i="11"/>
  <c r="AZ19" i="11"/>
  <c r="AY19" i="11"/>
  <c r="AX19" i="11"/>
  <c r="AV19" i="11"/>
  <c r="AW19" i="11" s="1"/>
  <c r="AD19" i="11"/>
  <c r="AC19" i="11"/>
  <c r="AB19" i="11"/>
  <c r="AA19" i="11"/>
  <c r="Z19" i="11"/>
  <c r="Y19" i="11"/>
  <c r="X19" i="11"/>
  <c r="W19" i="11"/>
  <c r="V19" i="11"/>
  <c r="U19" i="11"/>
  <c r="BG18" i="11"/>
  <c r="BF18" i="11"/>
  <c r="BE18" i="11"/>
  <c r="BD18" i="11"/>
  <c r="BC18" i="11"/>
  <c r="BB18" i="11"/>
  <c r="BA18" i="11"/>
  <c r="AZ18" i="11"/>
  <c r="AY18" i="11"/>
  <c r="AX18" i="11"/>
  <c r="AV18" i="11"/>
  <c r="BN18" i="11" s="1"/>
  <c r="AD18" i="11"/>
  <c r="AC18" i="11"/>
  <c r="AB18" i="11"/>
  <c r="AA18" i="11"/>
  <c r="Z18" i="11"/>
  <c r="Y18" i="11"/>
  <c r="X18" i="11"/>
  <c r="W18" i="11"/>
  <c r="V18" i="11"/>
  <c r="U18" i="11"/>
  <c r="BG17" i="11"/>
  <c r="BF17" i="11"/>
  <c r="BE17" i="11"/>
  <c r="BD17" i="11"/>
  <c r="BC17" i="11"/>
  <c r="BB17" i="11"/>
  <c r="BA17" i="11"/>
  <c r="AZ17" i="11"/>
  <c r="AY17" i="11"/>
  <c r="AX17" i="11"/>
  <c r="AV17" i="11"/>
  <c r="BN17" i="11" s="1"/>
  <c r="AD17" i="11"/>
  <c r="AC17" i="11"/>
  <c r="AB17" i="11"/>
  <c r="AA17" i="11"/>
  <c r="Z17" i="11"/>
  <c r="Y17" i="11"/>
  <c r="X17" i="11"/>
  <c r="W17" i="11"/>
  <c r="V17" i="11"/>
  <c r="U17" i="11"/>
  <c r="BG16" i="11"/>
  <c r="BF16" i="11"/>
  <c r="BE16" i="11"/>
  <c r="BD16" i="11"/>
  <c r="BC16" i="11"/>
  <c r="BB16" i="11"/>
  <c r="BA16" i="11"/>
  <c r="AZ16" i="11"/>
  <c r="AY16" i="11"/>
  <c r="AX16" i="11"/>
  <c r="AV16" i="11"/>
  <c r="AD16" i="11"/>
  <c r="AC16" i="11"/>
  <c r="AB16" i="11"/>
  <c r="AA16" i="11"/>
  <c r="Z16" i="11"/>
  <c r="Y16" i="11"/>
  <c r="X16" i="11"/>
  <c r="W16" i="11"/>
  <c r="V16" i="11"/>
  <c r="U16" i="11"/>
  <c r="BG15" i="11"/>
  <c r="BF15" i="11"/>
  <c r="BE15" i="11"/>
  <c r="BD15" i="11"/>
  <c r="BC15" i="11"/>
  <c r="BB15" i="11"/>
  <c r="BA15" i="11"/>
  <c r="AZ15" i="11"/>
  <c r="AY15" i="11"/>
  <c r="AX15" i="11"/>
  <c r="AV15" i="11"/>
  <c r="AW15" i="11" s="1"/>
  <c r="AD15" i="11"/>
  <c r="AC15" i="11"/>
  <c r="AB15" i="11"/>
  <c r="AA15" i="11"/>
  <c r="Z15" i="11"/>
  <c r="Y15" i="11"/>
  <c r="X15" i="11"/>
  <c r="W15" i="11"/>
  <c r="V15" i="11"/>
  <c r="U15" i="11"/>
  <c r="BG14" i="11"/>
  <c r="BF14" i="11"/>
  <c r="BE14" i="11"/>
  <c r="BD14" i="11"/>
  <c r="BC14" i="11"/>
  <c r="BB14" i="11"/>
  <c r="BA14" i="11"/>
  <c r="AZ14" i="11"/>
  <c r="AY14" i="11"/>
  <c r="AX14" i="11"/>
  <c r="AV14" i="11"/>
  <c r="BN14" i="11" s="1"/>
  <c r="AD14" i="11"/>
  <c r="AC14" i="11"/>
  <c r="AB14" i="11"/>
  <c r="AA14" i="11"/>
  <c r="Z14" i="11"/>
  <c r="Y14" i="11"/>
  <c r="X14" i="11"/>
  <c r="W14" i="11"/>
  <c r="V14" i="11"/>
  <c r="U14" i="11"/>
  <c r="BG13" i="11"/>
  <c r="BF13" i="11"/>
  <c r="BE13" i="11"/>
  <c r="BD13" i="11"/>
  <c r="BC13" i="11"/>
  <c r="BB13" i="11"/>
  <c r="BA13" i="11"/>
  <c r="AZ13" i="11"/>
  <c r="AY13" i="11"/>
  <c r="AX13" i="11"/>
  <c r="O13" i="11"/>
  <c r="N13" i="11"/>
  <c r="M13" i="11"/>
  <c r="L13" i="11"/>
  <c r="K13" i="11"/>
  <c r="J13" i="11"/>
  <c r="I13" i="11"/>
  <c r="H13" i="11"/>
  <c r="G13" i="11"/>
  <c r="F13" i="11"/>
  <c r="AU12" i="11"/>
  <c r="AT12" i="11"/>
  <c r="AS12" i="11"/>
  <c r="AR12" i="11"/>
  <c r="AQ12" i="11"/>
  <c r="AP12" i="11"/>
  <c r="AO12" i="11"/>
  <c r="AN12" i="11"/>
  <c r="AM12" i="11"/>
  <c r="AL12" i="11"/>
  <c r="AF12" i="11"/>
  <c r="BG63" i="49"/>
  <c r="BF63" i="49"/>
  <c r="BE63" i="49"/>
  <c r="BD63" i="49"/>
  <c r="BC63" i="49"/>
  <c r="BB63" i="49"/>
  <c r="BA63" i="49"/>
  <c r="AZ63" i="49"/>
  <c r="AY63" i="49"/>
  <c r="AX63" i="49"/>
  <c r="AV63" i="49"/>
  <c r="BN63" i="49" s="1"/>
  <c r="AD63" i="49"/>
  <c r="AC63" i="49"/>
  <c r="AB63" i="49"/>
  <c r="AA63" i="49"/>
  <c r="Z63" i="49"/>
  <c r="Y63" i="49"/>
  <c r="X63" i="49"/>
  <c r="W63" i="49"/>
  <c r="V63" i="49"/>
  <c r="U63" i="49"/>
  <c r="BG62" i="49"/>
  <c r="BF62" i="49"/>
  <c r="BE62" i="49"/>
  <c r="BD62" i="49"/>
  <c r="BC62" i="49"/>
  <c r="BB62" i="49"/>
  <c r="BA62" i="49"/>
  <c r="AZ62" i="49"/>
  <c r="AY62" i="49"/>
  <c r="AX62" i="49"/>
  <c r="AV62" i="49"/>
  <c r="BN62" i="49" s="1"/>
  <c r="AD62" i="49"/>
  <c r="AC62" i="49"/>
  <c r="AB62" i="49"/>
  <c r="AA62" i="49"/>
  <c r="Z62" i="49"/>
  <c r="Y62" i="49"/>
  <c r="X62" i="49"/>
  <c r="W62" i="49"/>
  <c r="V62" i="49"/>
  <c r="U62" i="49"/>
  <c r="BG61" i="49"/>
  <c r="BF61" i="49"/>
  <c r="BE61" i="49"/>
  <c r="BD61" i="49"/>
  <c r="BC61" i="49"/>
  <c r="BB61" i="49"/>
  <c r="BA61" i="49"/>
  <c r="AZ61" i="49"/>
  <c r="AY61" i="49"/>
  <c r="AX61" i="49"/>
  <c r="AV61" i="49"/>
  <c r="AD61" i="49"/>
  <c r="AC61" i="49"/>
  <c r="AB61" i="49"/>
  <c r="AA61" i="49"/>
  <c r="Z61" i="49"/>
  <c r="Y61" i="49"/>
  <c r="X61" i="49"/>
  <c r="W61" i="49"/>
  <c r="V61" i="49"/>
  <c r="U61" i="49"/>
  <c r="BG60" i="49"/>
  <c r="BF60" i="49"/>
  <c r="BE60" i="49"/>
  <c r="BD60" i="49"/>
  <c r="BC60" i="49"/>
  <c r="BB60" i="49"/>
  <c r="BA60" i="49"/>
  <c r="AZ60" i="49"/>
  <c r="AY60" i="49"/>
  <c r="AX60" i="49"/>
  <c r="AV60" i="49"/>
  <c r="AW60" i="49" s="1"/>
  <c r="AD60" i="49"/>
  <c r="AC60" i="49"/>
  <c r="AB60" i="49"/>
  <c r="AA60" i="49"/>
  <c r="Z60" i="49"/>
  <c r="Y60" i="49"/>
  <c r="X60" i="49"/>
  <c r="W60" i="49"/>
  <c r="V60" i="49"/>
  <c r="U60" i="49"/>
  <c r="BG59" i="49"/>
  <c r="BF59" i="49"/>
  <c r="BE59" i="49"/>
  <c r="BD59" i="49"/>
  <c r="BC59" i="49"/>
  <c r="BB59" i="49"/>
  <c r="BA59" i="49"/>
  <c r="AZ59" i="49"/>
  <c r="AY59" i="49"/>
  <c r="AX59" i="49"/>
  <c r="AV59" i="49"/>
  <c r="BN59" i="49" s="1"/>
  <c r="AD59" i="49"/>
  <c r="AC59" i="49"/>
  <c r="AB59" i="49"/>
  <c r="AA59" i="49"/>
  <c r="Z59" i="49"/>
  <c r="Y59" i="49"/>
  <c r="X59" i="49"/>
  <c r="W59" i="49"/>
  <c r="V59" i="49"/>
  <c r="U59" i="49"/>
  <c r="BG58" i="49"/>
  <c r="BF58" i="49"/>
  <c r="BE58" i="49"/>
  <c r="BD58" i="49"/>
  <c r="BC58" i="49"/>
  <c r="BB58" i="49"/>
  <c r="BA58" i="49"/>
  <c r="AZ58" i="49"/>
  <c r="AY58" i="49"/>
  <c r="AX58" i="49"/>
  <c r="AV58" i="49"/>
  <c r="BN58" i="49" s="1"/>
  <c r="AD58" i="49"/>
  <c r="AC58" i="49"/>
  <c r="AB58" i="49"/>
  <c r="AA58" i="49"/>
  <c r="Z58" i="49"/>
  <c r="Y58" i="49"/>
  <c r="X58" i="49"/>
  <c r="W58" i="49"/>
  <c r="V58" i="49"/>
  <c r="U58" i="49"/>
  <c r="BG57" i="49"/>
  <c r="BF57" i="49"/>
  <c r="BE57" i="49"/>
  <c r="BD57" i="49"/>
  <c r="BC57" i="49"/>
  <c r="BB57" i="49"/>
  <c r="BA57" i="49"/>
  <c r="AZ57" i="49"/>
  <c r="AY57" i="49"/>
  <c r="AX57" i="49"/>
  <c r="AV57" i="49"/>
  <c r="AD57" i="49"/>
  <c r="AC57" i="49"/>
  <c r="AB57" i="49"/>
  <c r="AA57" i="49"/>
  <c r="Z57" i="49"/>
  <c r="Y57" i="49"/>
  <c r="X57" i="49"/>
  <c r="W57" i="49"/>
  <c r="V57" i="49"/>
  <c r="U57" i="49"/>
  <c r="BG56" i="49"/>
  <c r="BF56" i="49"/>
  <c r="BE56" i="49"/>
  <c r="BD56" i="49"/>
  <c r="BC56" i="49"/>
  <c r="BB56" i="49"/>
  <c r="BA56" i="49"/>
  <c r="AZ56" i="49"/>
  <c r="AY56" i="49"/>
  <c r="AX56" i="49"/>
  <c r="AV56" i="49"/>
  <c r="BN56" i="49" s="1"/>
  <c r="AD56" i="49"/>
  <c r="AC56" i="49"/>
  <c r="AB56" i="49"/>
  <c r="AA56" i="49"/>
  <c r="Z56" i="49"/>
  <c r="Y56" i="49"/>
  <c r="X56" i="49"/>
  <c r="W56" i="49"/>
  <c r="V56" i="49"/>
  <c r="U56" i="49"/>
  <c r="BG55" i="49"/>
  <c r="BF55" i="49"/>
  <c r="BE55" i="49"/>
  <c r="BD55" i="49"/>
  <c r="BC55" i="49"/>
  <c r="BB55" i="49"/>
  <c r="BA55" i="49"/>
  <c r="AZ55" i="49"/>
  <c r="AY55" i="49"/>
  <c r="AX55" i="49"/>
  <c r="AV55" i="49"/>
  <c r="AW55" i="49" s="1"/>
  <c r="AD55" i="49"/>
  <c r="AC55" i="49"/>
  <c r="AB55" i="49"/>
  <c r="AA55" i="49"/>
  <c r="Z55" i="49"/>
  <c r="Y55" i="49"/>
  <c r="X55" i="49"/>
  <c r="W55" i="49"/>
  <c r="V55" i="49"/>
  <c r="U55" i="49"/>
  <c r="BG54" i="49"/>
  <c r="BF54" i="49"/>
  <c r="BE54" i="49"/>
  <c r="BD54" i="49"/>
  <c r="BC54" i="49"/>
  <c r="BB54" i="49"/>
  <c r="BA54" i="49"/>
  <c r="AZ54" i="49"/>
  <c r="AY54" i="49"/>
  <c r="AX54" i="49"/>
  <c r="AV54" i="49"/>
  <c r="BN54" i="49" s="1"/>
  <c r="AD54" i="49"/>
  <c r="AC54" i="49"/>
  <c r="AB54" i="49"/>
  <c r="AA54" i="49"/>
  <c r="Z54" i="49"/>
  <c r="Y54" i="49"/>
  <c r="X54" i="49"/>
  <c r="W54" i="49"/>
  <c r="V54" i="49"/>
  <c r="U54" i="49"/>
  <c r="BG53" i="49"/>
  <c r="BF53" i="49"/>
  <c r="BE53" i="49"/>
  <c r="BD53" i="49"/>
  <c r="BC53" i="49"/>
  <c r="BB53" i="49"/>
  <c r="BA53" i="49"/>
  <c r="AZ53" i="49"/>
  <c r="AY53" i="49"/>
  <c r="AX53" i="49"/>
  <c r="AV53" i="49"/>
  <c r="AW53" i="49" s="1"/>
  <c r="AD53" i="49"/>
  <c r="AC53" i="49"/>
  <c r="AB53" i="49"/>
  <c r="AA53" i="49"/>
  <c r="Z53" i="49"/>
  <c r="Y53" i="49"/>
  <c r="X53" i="49"/>
  <c r="W53" i="49"/>
  <c r="V53" i="49"/>
  <c r="U53" i="49"/>
  <c r="BG52" i="49"/>
  <c r="BF52" i="49"/>
  <c r="BE52" i="49"/>
  <c r="BD52" i="49"/>
  <c r="BC52" i="49"/>
  <c r="BB52" i="49"/>
  <c r="BA52" i="49"/>
  <c r="AZ52" i="49"/>
  <c r="AY52" i="49"/>
  <c r="AX52" i="49"/>
  <c r="AV52" i="49"/>
  <c r="BN52" i="49" s="1"/>
  <c r="AD52" i="49"/>
  <c r="AC52" i="49"/>
  <c r="AB52" i="49"/>
  <c r="AA52" i="49"/>
  <c r="Z52" i="49"/>
  <c r="Y52" i="49"/>
  <c r="X52" i="49"/>
  <c r="W52" i="49"/>
  <c r="V52" i="49"/>
  <c r="U52" i="49"/>
  <c r="BG51" i="49"/>
  <c r="BF51" i="49"/>
  <c r="BE51" i="49"/>
  <c r="BD51" i="49"/>
  <c r="BC51" i="49"/>
  <c r="BB51" i="49"/>
  <c r="BA51" i="49"/>
  <c r="AZ51" i="49"/>
  <c r="AY51" i="49"/>
  <c r="AX51" i="49"/>
  <c r="AV51" i="49"/>
  <c r="BN51" i="49" s="1"/>
  <c r="AD51" i="49"/>
  <c r="AC51" i="49"/>
  <c r="AB51" i="49"/>
  <c r="AA51" i="49"/>
  <c r="Z51" i="49"/>
  <c r="Y51" i="49"/>
  <c r="X51" i="49"/>
  <c r="W51" i="49"/>
  <c r="V51" i="49"/>
  <c r="U51" i="49"/>
  <c r="BG50" i="49"/>
  <c r="BF50" i="49"/>
  <c r="BE50" i="49"/>
  <c r="BD50" i="49"/>
  <c r="BC50" i="49"/>
  <c r="BB50" i="49"/>
  <c r="BA50" i="49"/>
  <c r="AZ50" i="49"/>
  <c r="AY50" i="49"/>
  <c r="AX50" i="49"/>
  <c r="AV50" i="49"/>
  <c r="AW50" i="49" s="1"/>
  <c r="AD50" i="49"/>
  <c r="AC50" i="49"/>
  <c r="AB50" i="49"/>
  <c r="AA50" i="49"/>
  <c r="Z50" i="49"/>
  <c r="Y50" i="49"/>
  <c r="X50" i="49"/>
  <c r="W50" i="49"/>
  <c r="V50" i="49"/>
  <c r="U50" i="49"/>
  <c r="BG49" i="49"/>
  <c r="BF49" i="49"/>
  <c r="BE49" i="49"/>
  <c r="BD49" i="49"/>
  <c r="BC49" i="49"/>
  <c r="BB49" i="49"/>
  <c r="BA49" i="49"/>
  <c r="AZ49" i="49"/>
  <c r="AY49" i="49"/>
  <c r="AX49" i="49"/>
  <c r="AV49" i="49"/>
  <c r="AW49" i="49" s="1"/>
  <c r="AD49" i="49"/>
  <c r="AC49" i="49"/>
  <c r="AB49" i="49"/>
  <c r="AA49" i="49"/>
  <c r="Z49" i="49"/>
  <c r="Y49" i="49"/>
  <c r="X49" i="49"/>
  <c r="W49" i="49"/>
  <c r="V49" i="49"/>
  <c r="U49" i="49"/>
  <c r="P49" i="49" s="1"/>
  <c r="BG48" i="49"/>
  <c r="BF48" i="49"/>
  <c r="BE48" i="49"/>
  <c r="BD48" i="49"/>
  <c r="BC48" i="49"/>
  <c r="BB48" i="49"/>
  <c r="BA48" i="49"/>
  <c r="AZ48" i="49"/>
  <c r="AY48" i="49"/>
  <c r="AX48" i="49"/>
  <c r="AV48" i="49"/>
  <c r="BN48" i="49" s="1"/>
  <c r="AD48" i="49"/>
  <c r="AC48" i="49"/>
  <c r="AB48" i="49"/>
  <c r="AA48" i="49"/>
  <c r="Z48" i="49"/>
  <c r="Y48" i="49"/>
  <c r="X48" i="49"/>
  <c r="W48" i="49"/>
  <c r="V48" i="49"/>
  <c r="U48" i="49"/>
  <c r="BG47" i="49"/>
  <c r="BF47" i="49"/>
  <c r="BE47" i="49"/>
  <c r="BD47" i="49"/>
  <c r="BC47" i="49"/>
  <c r="BB47" i="49"/>
  <c r="BA47" i="49"/>
  <c r="AZ47" i="49"/>
  <c r="AY47" i="49"/>
  <c r="AX47" i="49"/>
  <c r="AV47" i="49"/>
  <c r="AW47" i="49" s="1"/>
  <c r="AD47" i="49"/>
  <c r="AC47" i="49"/>
  <c r="AB47" i="49"/>
  <c r="AA47" i="49"/>
  <c r="Z47" i="49"/>
  <c r="Y47" i="49"/>
  <c r="X47" i="49"/>
  <c r="W47" i="49"/>
  <c r="V47" i="49"/>
  <c r="U47" i="49"/>
  <c r="BG46" i="49"/>
  <c r="BF46" i="49"/>
  <c r="BE46" i="49"/>
  <c r="BD46" i="49"/>
  <c r="BC46" i="49"/>
  <c r="BB46" i="49"/>
  <c r="BA46" i="49"/>
  <c r="AZ46" i="49"/>
  <c r="AY46" i="49"/>
  <c r="AX46" i="49"/>
  <c r="AV46" i="49"/>
  <c r="BN46" i="49" s="1"/>
  <c r="AD46" i="49"/>
  <c r="AC46" i="49"/>
  <c r="AB46" i="49"/>
  <c r="AA46" i="49"/>
  <c r="Z46" i="49"/>
  <c r="Y46" i="49"/>
  <c r="X46" i="49"/>
  <c r="W46" i="49"/>
  <c r="V46" i="49"/>
  <c r="U46" i="49"/>
  <c r="BG45" i="49"/>
  <c r="BF45" i="49"/>
  <c r="BE45" i="49"/>
  <c r="BD45" i="49"/>
  <c r="BC45" i="49"/>
  <c r="BB45" i="49"/>
  <c r="BA45" i="49"/>
  <c r="AZ45" i="49"/>
  <c r="AY45" i="49"/>
  <c r="AX45" i="49"/>
  <c r="AV45" i="49"/>
  <c r="AW45" i="49" s="1"/>
  <c r="AD45" i="49"/>
  <c r="AC45" i="49"/>
  <c r="AB45" i="49"/>
  <c r="AA45" i="49"/>
  <c r="Z45" i="49"/>
  <c r="Y45" i="49"/>
  <c r="X45" i="49"/>
  <c r="W45" i="49"/>
  <c r="V45" i="49"/>
  <c r="U45" i="49"/>
  <c r="BG44" i="49"/>
  <c r="BF44" i="49"/>
  <c r="BE44" i="49"/>
  <c r="BD44" i="49"/>
  <c r="BC44" i="49"/>
  <c r="BB44" i="49"/>
  <c r="BA44" i="49"/>
  <c r="AZ44" i="49"/>
  <c r="AY44" i="49"/>
  <c r="AX44" i="49"/>
  <c r="AV44" i="49"/>
  <c r="BN44" i="49" s="1"/>
  <c r="AD44" i="49"/>
  <c r="AC44" i="49"/>
  <c r="AB44" i="49"/>
  <c r="AA44" i="49"/>
  <c r="Z44" i="49"/>
  <c r="Y44" i="49"/>
  <c r="X44" i="49"/>
  <c r="W44" i="49"/>
  <c r="V44" i="49"/>
  <c r="U44" i="49"/>
  <c r="BG43" i="49"/>
  <c r="BF43" i="49"/>
  <c r="BE43" i="49"/>
  <c r="BD43" i="49"/>
  <c r="BC43" i="49"/>
  <c r="BB43" i="49"/>
  <c r="BA43" i="49"/>
  <c r="AZ43" i="49"/>
  <c r="AY43" i="49"/>
  <c r="AX43" i="49"/>
  <c r="AV43" i="49"/>
  <c r="BN43" i="49" s="1"/>
  <c r="AD43" i="49"/>
  <c r="AC43" i="49"/>
  <c r="AB43" i="49"/>
  <c r="AA43" i="49"/>
  <c r="Z43" i="49"/>
  <c r="Y43" i="49"/>
  <c r="X43" i="49"/>
  <c r="W43" i="49"/>
  <c r="V43" i="49"/>
  <c r="U43" i="49"/>
  <c r="BG42" i="49"/>
  <c r="BF42" i="49"/>
  <c r="BE42" i="49"/>
  <c r="BD42" i="49"/>
  <c r="BC42" i="49"/>
  <c r="BB42" i="49"/>
  <c r="BA42" i="49"/>
  <c r="AZ42" i="49"/>
  <c r="AY42" i="49"/>
  <c r="AX42" i="49"/>
  <c r="AV42" i="49"/>
  <c r="AW42" i="49" s="1"/>
  <c r="AD42" i="49"/>
  <c r="AC42" i="49"/>
  <c r="AB42" i="49"/>
  <c r="AA42" i="49"/>
  <c r="Z42" i="49"/>
  <c r="Y42" i="49"/>
  <c r="X42" i="49"/>
  <c r="W42" i="49"/>
  <c r="V42" i="49"/>
  <c r="U42" i="49"/>
  <c r="BG41" i="49"/>
  <c r="BF41" i="49"/>
  <c r="BE41" i="49"/>
  <c r="BD41" i="49"/>
  <c r="BC41" i="49"/>
  <c r="BB41" i="49"/>
  <c r="BA41" i="49"/>
  <c r="AZ41" i="49"/>
  <c r="AY41" i="49"/>
  <c r="AX41" i="49"/>
  <c r="AV41" i="49"/>
  <c r="AW41" i="49" s="1"/>
  <c r="AD41" i="49"/>
  <c r="AC41" i="49"/>
  <c r="AB41" i="49"/>
  <c r="AA41" i="49"/>
  <c r="Z41" i="49"/>
  <c r="Y41" i="49"/>
  <c r="X41" i="49"/>
  <c r="W41" i="49"/>
  <c r="V41" i="49"/>
  <c r="U41" i="49"/>
  <c r="BG40" i="49"/>
  <c r="BF40" i="49"/>
  <c r="BE40" i="49"/>
  <c r="BD40" i="49"/>
  <c r="BC40" i="49"/>
  <c r="BB40" i="49"/>
  <c r="BA40" i="49"/>
  <c r="AZ40" i="49"/>
  <c r="AY40" i="49"/>
  <c r="AX40" i="49"/>
  <c r="AV40" i="49"/>
  <c r="BN40" i="49" s="1"/>
  <c r="AD40" i="49"/>
  <c r="AC40" i="49"/>
  <c r="AB40" i="49"/>
  <c r="AA40" i="49"/>
  <c r="Z40" i="49"/>
  <c r="Y40" i="49"/>
  <c r="X40" i="49"/>
  <c r="W40" i="49"/>
  <c r="V40" i="49"/>
  <c r="U40" i="49"/>
  <c r="BG39" i="49"/>
  <c r="BF39" i="49"/>
  <c r="BE39" i="49"/>
  <c r="BD39" i="49"/>
  <c r="BC39" i="49"/>
  <c r="BB39" i="49"/>
  <c r="BA39" i="49"/>
  <c r="AZ39" i="49"/>
  <c r="AY39" i="49"/>
  <c r="AX39" i="49"/>
  <c r="AV39" i="49"/>
  <c r="AD39" i="49"/>
  <c r="AC39" i="49"/>
  <c r="AB39" i="49"/>
  <c r="AA39" i="49"/>
  <c r="Z39" i="49"/>
  <c r="Y39" i="49"/>
  <c r="X39" i="49"/>
  <c r="W39" i="49"/>
  <c r="V39" i="49"/>
  <c r="U39" i="49"/>
  <c r="BG38" i="49"/>
  <c r="BF38" i="49"/>
  <c r="BE38" i="49"/>
  <c r="BD38" i="49"/>
  <c r="BC38" i="49"/>
  <c r="BB38" i="49"/>
  <c r="BA38" i="49"/>
  <c r="AZ38" i="49"/>
  <c r="AY38" i="49"/>
  <c r="AX38" i="49"/>
  <c r="AV38" i="49"/>
  <c r="BN38" i="49" s="1"/>
  <c r="AD38" i="49"/>
  <c r="AC38" i="49"/>
  <c r="AB38" i="49"/>
  <c r="AA38" i="49"/>
  <c r="Z38" i="49"/>
  <c r="Y38" i="49"/>
  <c r="X38" i="49"/>
  <c r="W38" i="49"/>
  <c r="V38" i="49"/>
  <c r="U38" i="49"/>
  <c r="BG37" i="49"/>
  <c r="BF37" i="49"/>
  <c r="BE37" i="49"/>
  <c r="BD37" i="49"/>
  <c r="BC37" i="49"/>
  <c r="BB37" i="49"/>
  <c r="BA37" i="49"/>
  <c r="AZ37" i="49"/>
  <c r="AY37" i="49"/>
  <c r="AX37" i="49"/>
  <c r="AV37" i="49"/>
  <c r="AW37" i="49" s="1"/>
  <c r="AD37" i="49"/>
  <c r="AC37" i="49"/>
  <c r="AB37" i="49"/>
  <c r="AA37" i="49"/>
  <c r="Z37" i="49"/>
  <c r="Y37" i="49"/>
  <c r="X37" i="49"/>
  <c r="W37" i="49"/>
  <c r="V37" i="49"/>
  <c r="U37" i="49"/>
  <c r="BG36" i="49"/>
  <c r="BF36" i="49"/>
  <c r="BE36" i="49"/>
  <c r="BD36" i="49"/>
  <c r="BC36" i="49"/>
  <c r="BB36" i="49"/>
  <c r="BA36" i="49"/>
  <c r="AZ36" i="49"/>
  <c r="AY36" i="49"/>
  <c r="AX36" i="49"/>
  <c r="AV36" i="49"/>
  <c r="BN36" i="49" s="1"/>
  <c r="AD36" i="49"/>
  <c r="AC36" i="49"/>
  <c r="AB36" i="49"/>
  <c r="AA36" i="49"/>
  <c r="Z36" i="49"/>
  <c r="Y36" i="49"/>
  <c r="X36" i="49"/>
  <c r="W36" i="49"/>
  <c r="V36" i="49"/>
  <c r="U36" i="49"/>
  <c r="BG35" i="49"/>
  <c r="BF35" i="49"/>
  <c r="BE35" i="49"/>
  <c r="BD35" i="49"/>
  <c r="BC35" i="49"/>
  <c r="BB35" i="49"/>
  <c r="BA35" i="49"/>
  <c r="AZ35" i="49"/>
  <c r="AY35" i="49"/>
  <c r="AX35" i="49"/>
  <c r="AV35" i="49"/>
  <c r="BN35" i="49" s="1"/>
  <c r="AD35" i="49"/>
  <c r="AC35" i="49"/>
  <c r="AB35" i="49"/>
  <c r="AA35" i="49"/>
  <c r="Z35" i="49"/>
  <c r="Y35" i="49"/>
  <c r="X35" i="49"/>
  <c r="W35" i="49"/>
  <c r="V35" i="49"/>
  <c r="U35" i="49"/>
  <c r="BG34" i="49"/>
  <c r="BF34" i="49"/>
  <c r="BE34" i="49"/>
  <c r="BD34" i="49"/>
  <c r="BC34" i="49"/>
  <c r="BB34" i="49"/>
  <c r="BA34" i="49"/>
  <c r="AZ34" i="49"/>
  <c r="AY34" i="49"/>
  <c r="AX34" i="49"/>
  <c r="AV34" i="49"/>
  <c r="AW34" i="49" s="1"/>
  <c r="AD34" i="49"/>
  <c r="AC34" i="49"/>
  <c r="AB34" i="49"/>
  <c r="AA34" i="49"/>
  <c r="Z34" i="49"/>
  <c r="Y34" i="49"/>
  <c r="X34" i="49"/>
  <c r="W34" i="49"/>
  <c r="V34" i="49"/>
  <c r="U34" i="49"/>
  <c r="BG33" i="49"/>
  <c r="BF33" i="49"/>
  <c r="BE33" i="49"/>
  <c r="BD33" i="49"/>
  <c r="BC33" i="49"/>
  <c r="BB33" i="49"/>
  <c r="BA33" i="49"/>
  <c r="AZ33" i="49"/>
  <c r="AY33" i="49"/>
  <c r="AX33" i="49"/>
  <c r="AV33" i="49"/>
  <c r="AW33" i="49" s="1"/>
  <c r="AD33" i="49"/>
  <c r="AC33" i="49"/>
  <c r="AB33" i="49"/>
  <c r="AA33" i="49"/>
  <c r="Z33" i="49"/>
  <c r="Y33" i="49"/>
  <c r="X33" i="49"/>
  <c r="W33" i="49"/>
  <c r="V33" i="49"/>
  <c r="U33" i="49"/>
  <c r="BG32" i="49"/>
  <c r="BF32" i="49"/>
  <c r="BE32" i="49"/>
  <c r="BD32" i="49"/>
  <c r="BC32" i="49"/>
  <c r="BB32" i="49"/>
  <c r="BA32" i="49"/>
  <c r="AZ32" i="49"/>
  <c r="AY32" i="49"/>
  <c r="AX32" i="49"/>
  <c r="AV32" i="49"/>
  <c r="BN32" i="49" s="1"/>
  <c r="AD32" i="49"/>
  <c r="AC32" i="49"/>
  <c r="AB32" i="49"/>
  <c r="AA32" i="49"/>
  <c r="Z32" i="49"/>
  <c r="Y32" i="49"/>
  <c r="X32" i="49"/>
  <c r="W32" i="49"/>
  <c r="V32" i="49"/>
  <c r="U32" i="49"/>
  <c r="BG31" i="49"/>
  <c r="BF31" i="49"/>
  <c r="BE31" i="49"/>
  <c r="BD31" i="49"/>
  <c r="BC31" i="49"/>
  <c r="BB31" i="49"/>
  <c r="BA31" i="49"/>
  <c r="AZ31" i="49"/>
  <c r="AY31" i="49"/>
  <c r="AX31" i="49"/>
  <c r="AV31" i="49"/>
  <c r="AW31" i="49" s="1"/>
  <c r="AD31" i="49"/>
  <c r="AC31" i="49"/>
  <c r="AB31" i="49"/>
  <c r="AA31" i="49"/>
  <c r="Z31" i="49"/>
  <c r="Y31" i="49"/>
  <c r="X31" i="49"/>
  <c r="W31" i="49"/>
  <c r="V31" i="49"/>
  <c r="U31" i="49"/>
  <c r="BG30" i="49"/>
  <c r="BF30" i="49"/>
  <c r="BE30" i="49"/>
  <c r="BD30" i="49"/>
  <c r="BC30" i="49"/>
  <c r="BB30" i="49"/>
  <c r="BA30" i="49"/>
  <c r="AZ30" i="49"/>
  <c r="AY30" i="49"/>
  <c r="AX30" i="49"/>
  <c r="AV30" i="49"/>
  <c r="BN30" i="49" s="1"/>
  <c r="AD30" i="49"/>
  <c r="AC30" i="49"/>
  <c r="AB30" i="49"/>
  <c r="AA30" i="49"/>
  <c r="Z30" i="49"/>
  <c r="Y30" i="49"/>
  <c r="X30" i="49"/>
  <c r="W30" i="49"/>
  <c r="V30" i="49"/>
  <c r="U30" i="49"/>
  <c r="BG29" i="49"/>
  <c r="BF29" i="49"/>
  <c r="BE29" i="49"/>
  <c r="BD29" i="49"/>
  <c r="BC29" i="49"/>
  <c r="BB29" i="49"/>
  <c r="BA29" i="49"/>
  <c r="AZ29" i="49"/>
  <c r="AY29" i="49"/>
  <c r="AX29" i="49"/>
  <c r="AV29" i="49"/>
  <c r="AW29" i="49" s="1"/>
  <c r="AD29" i="49"/>
  <c r="AC29" i="49"/>
  <c r="AB29" i="49"/>
  <c r="AA29" i="49"/>
  <c r="Z29" i="49"/>
  <c r="Y29" i="49"/>
  <c r="X29" i="49"/>
  <c r="W29" i="49"/>
  <c r="V29" i="49"/>
  <c r="U29" i="49"/>
  <c r="BG28" i="49"/>
  <c r="BF28" i="49"/>
  <c r="BE28" i="49"/>
  <c r="BD28" i="49"/>
  <c r="BC28" i="49"/>
  <c r="BB28" i="49"/>
  <c r="BA28" i="49"/>
  <c r="AZ28" i="49"/>
  <c r="AY28" i="49"/>
  <c r="AX28" i="49"/>
  <c r="AV28" i="49"/>
  <c r="BN28" i="49" s="1"/>
  <c r="AD28" i="49"/>
  <c r="AC28" i="49"/>
  <c r="AB28" i="49"/>
  <c r="AA28" i="49"/>
  <c r="Z28" i="49"/>
  <c r="Y28" i="49"/>
  <c r="X28" i="49"/>
  <c r="W28" i="49"/>
  <c r="V28" i="49"/>
  <c r="U28" i="49"/>
  <c r="BG27" i="49"/>
  <c r="BF27" i="49"/>
  <c r="BE27" i="49"/>
  <c r="BD27" i="49"/>
  <c r="BC27" i="49"/>
  <c r="BB27" i="49"/>
  <c r="BA27" i="49"/>
  <c r="AZ27" i="49"/>
  <c r="AY27" i="49"/>
  <c r="AX27" i="49"/>
  <c r="AV27" i="49"/>
  <c r="BN27" i="49" s="1"/>
  <c r="AD27" i="49"/>
  <c r="AC27" i="49"/>
  <c r="AB27" i="49"/>
  <c r="AA27" i="49"/>
  <c r="Z27" i="49"/>
  <c r="Y27" i="49"/>
  <c r="X27" i="49"/>
  <c r="W27" i="49"/>
  <c r="V27" i="49"/>
  <c r="U27" i="49"/>
  <c r="BG26" i="49"/>
  <c r="BF26" i="49"/>
  <c r="BE26" i="49"/>
  <c r="BD26" i="49"/>
  <c r="BC26" i="49"/>
  <c r="BB26" i="49"/>
  <c r="BA26" i="49"/>
  <c r="AZ26" i="49"/>
  <c r="AY26" i="49"/>
  <c r="AX26" i="49"/>
  <c r="AV26" i="49"/>
  <c r="AW26" i="49" s="1"/>
  <c r="AD26" i="49"/>
  <c r="AC26" i="49"/>
  <c r="AB26" i="49"/>
  <c r="AA26" i="49"/>
  <c r="Z26" i="49"/>
  <c r="Y26" i="49"/>
  <c r="X26" i="49"/>
  <c r="W26" i="49"/>
  <c r="V26" i="49"/>
  <c r="U26" i="49"/>
  <c r="BG25" i="49"/>
  <c r="BF25" i="49"/>
  <c r="BE25" i="49"/>
  <c r="BD25" i="49"/>
  <c r="BC25" i="49"/>
  <c r="BB25" i="49"/>
  <c r="BA25" i="49"/>
  <c r="AZ25" i="49"/>
  <c r="AY25" i="49"/>
  <c r="AX25" i="49"/>
  <c r="AV25" i="49"/>
  <c r="AW25" i="49" s="1"/>
  <c r="AD25" i="49"/>
  <c r="AC25" i="49"/>
  <c r="AB25" i="49"/>
  <c r="AA25" i="49"/>
  <c r="Z25" i="49"/>
  <c r="Y25" i="49"/>
  <c r="X25" i="49"/>
  <c r="W25" i="49"/>
  <c r="V25" i="49"/>
  <c r="U25" i="49"/>
  <c r="BG24" i="49"/>
  <c r="BF24" i="49"/>
  <c r="BE24" i="49"/>
  <c r="BD24" i="49"/>
  <c r="BC24" i="49"/>
  <c r="BB24" i="49"/>
  <c r="BA24" i="49"/>
  <c r="AZ24" i="49"/>
  <c r="AY24" i="49"/>
  <c r="AX24" i="49"/>
  <c r="AV24" i="49"/>
  <c r="BN24" i="49" s="1"/>
  <c r="AD24" i="49"/>
  <c r="AC24" i="49"/>
  <c r="AB24" i="49"/>
  <c r="AA24" i="49"/>
  <c r="Z24" i="49"/>
  <c r="Y24" i="49"/>
  <c r="X24" i="49"/>
  <c r="W24" i="49"/>
  <c r="V24" i="49"/>
  <c r="U24" i="49"/>
  <c r="BG23" i="49"/>
  <c r="BF23" i="49"/>
  <c r="BE23" i="49"/>
  <c r="BD23" i="49"/>
  <c r="BC23" i="49"/>
  <c r="BB23" i="49"/>
  <c r="BA23" i="49"/>
  <c r="AZ23" i="49"/>
  <c r="AY23" i="49"/>
  <c r="AX23" i="49"/>
  <c r="AV23" i="49"/>
  <c r="AW23" i="49" s="1"/>
  <c r="AD23" i="49"/>
  <c r="AC23" i="49"/>
  <c r="AB23" i="49"/>
  <c r="AA23" i="49"/>
  <c r="Z23" i="49"/>
  <c r="Y23" i="49"/>
  <c r="X23" i="49"/>
  <c r="W23" i="49"/>
  <c r="V23" i="49"/>
  <c r="U23" i="49"/>
  <c r="BG22" i="49"/>
  <c r="BF22" i="49"/>
  <c r="BE22" i="49"/>
  <c r="BD22" i="49"/>
  <c r="BC22" i="49"/>
  <c r="BB22" i="49"/>
  <c r="BA22" i="49"/>
  <c r="AZ22" i="49"/>
  <c r="AY22" i="49"/>
  <c r="AX22" i="49"/>
  <c r="AV22" i="49"/>
  <c r="AD22" i="49"/>
  <c r="AC22" i="49"/>
  <c r="AB22" i="49"/>
  <c r="AA22" i="49"/>
  <c r="Z22" i="49"/>
  <c r="Y22" i="49"/>
  <c r="X22" i="49"/>
  <c r="W22" i="49"/>
  <c r="V22" i="49"/>
  <c r="U22" i="49"/>
  <c r="BG21" i="49"/>
  <c r="BF21" i="49"/>
  <c r="BE21" i="49"/>
  <c r="BD21" i="49"/>
  <c r="BC21" i="49"/>
  <c r="BB21" i="49"/>
  <c r="BA21" i="49"/>
  <c r="AZ21" i="49"/>
  <c r="AY21" i="49"/>
  <c r="AX21" i="49"/>
  <c r="AV21" i="49"/>
  <c r="AW21" i="49" s="1"/>
  <c r="AD21" i="49"/>
  <c r="AC21" i="49"/>
  <c r="AB21" i="49"/>
  <c r="AA21" i="49"/>
  <c r="Z21" i="49"/>
  <c r="Y21" i="49"/>
  <c r="X21" i="49"/>
  <c r="W21" i="49"/>
  <c r="V21" i="49"/>
  <c r="U21" i="49"/>
  <c r="BG20" i="49"/>
  <c r="BF20" i="49"/>
  <c r="BE20" i="49"/>
  <c r="BD20" i="49"/>
  <c r="BC20" i="49"/>
  <c r="BB20" i="49"/>
  <c r="BA20" i="49"/>
  <c r="AZ20" i="49"/>
  <c r="AY20" i="49"/>
  <c r="AX20" i="49"/>
  <c r="AV20" i="49"/>
  <c r="BN20" i="49" s="1"/>
  <c r="AD20" i="49"/>
  <c r="AC20" i="49"/>
  <c r="AB20" i="49"/>
  <c r="AA20" i="49"/>
  <c r="Z20" i="49"/>
  <c r="Y20" i="49"/>
  <c r="X20" i="49"/>
  <c r="W20" i="49"/>
  <c r="V20" i="49"/>
  <c r="U20" i="49"/>
  <c r="BG19" i="49"/>
  <c r="BF19" i="49"/>
  <c r="BE19" i="49"/>
  <c r="BD19" i="49"/>
  <c r="BC19" i="49"/>
  <c r="BB19" i="49"/>
  <c r="BA19" i="49"/>
  <c r="AZ19" i="49"/>
  <c r="AY19" i="49"/>
  <c r="AX19" i="49"/>
  <c r="AV19" i="49"/>
  <c r="BN19" i="49" s="1"/>
  <c r="AD19" i="49"/>
  <c r="AC19" i="49"/>
  <c r="AB19" i="49"/>
  <c r="AA19" i="49"/>
  <c r="Z19" i="49"/>
  <c r="Y19" i="49"/>
  <c r="X19" i="49"/>
  <c r="W19" i="49"/>
  <c r="V19" i="49"/>
  <c r="U19" i="49"/>
  <c r="BG18" i="49"/>
  <c r="BF18" i="49"/>
  <c r="BE18" i="49"/>
  <c r="BD18" i="49"/>
  <c r="BC18" i="49"/>
  <c r="BB18" i="49"/>
  <c r="BA18" i="49"/>
  <c r="AZ18" i="49"/>
  <c r="AY18" i="49"/>
  <c r="AX18" i="49"/>
  <c r="AV18" i="49"/>
  <c r="AW18" i="49" s="1"/>
  <c r="AD18" i="49"/>
  <c r="AC18" i="49"/>
  <c r="AB18" i="49"/>
  <c r="AA18" i="49"/>
  <c r="Z18" i="49"/>
  <c r="Y18" i="49"/>
  <c r="X18" i="49"/>
  <c r="W18" i="49"/>
  <c r="V18" i="49"/>
  <c r="U18" i="49"/>
  <c r="BG17" i="49"/>
  <c r="BF17" i="49"/>
  <c r="BE17" i="49"/>
  <c r="BD17" i="49"/>
  <c r="BC17" i="49"/>
  <c r="BB17" i="49"/>
  <c r="BA17" i="49"/>
  <c r="AZ17" i="49"/>
  <c r="AY17" i="49"/>
  <c r="AX17" i="49"/>
  <c r="AV17" i="49"/>
  <c r="AW17" i="49" s="1"/>
  <c r="AD17" i="49"/>
  <c r="AC17" i="49"/>
  <c r="AB17" i="49"/>
  <c r="AA17" i="49"/>
  <c r="Z17" i="49"/>
  <c r="Y17" i="49"/>
  <c r="X17" i="49"/>
  <c r="W17" i="49"/>
  <c r="V17" i="49"/>
  <c r="U17" i="49"/>
  <c r="BG16" i="49"/>
  <c r="BF16" i="49"/>
  <c r="BE16" i="49"/>
  <c r="BD16" i="49"/>
  <c r="BC16" i="49"/>
  <c r="BB16" i="49"/>
  <c r="BA16" i="49"/>
  <c r="AZ16" i="49"/>
  <c r="AY16" i="49"/>
  <c r="AX16" i="49"/>
  <c r="AV16" i="49"/>
  <c r="BN16" i="49" s="1"/>
  <c r="AD16" i="49"/>
  <c r="AC16" i="49"/>
  <c r="AB16" i="49"/>
  <c r="AA16" i="49"/>
  <c r="Z16" i="49"/>
  <c r="Y16" i="49"/>
  <c r="X16" i="49"/>
  <c r="W16" i="49"/>
  <c r="V16" i="49"/>
  <c r="U16" i="49"/>
  <c r="BG15" i="49"/>
  <c r="BF15" i="49"/>
  <c r="BE15" i="49"/>
  <c r="BD15" i="49"/>
  <c r="BC15" i="49"/>
  <c r="BB15" i="49"/>
  <c r="BA15" i="49"/>
  <c r="AZ15" i="49"/>
  <c r="AY15" i="49"/>
  <c r="AX15" i="49"/>
  <c r="AV15" i="49"/>
  <c r="AW15" i="49" s="1"/>
  <c r="AD15" i="49"/>
  <c r="AC15" i="49"/>
  <c r="AB15" i="49"/>
  <c r="AA15" i="49"/>
  <c r="Z15" i="49"/>
  <c r="Y15" i="49"/>
  <c r="X15" i="49"/>
  <c r="W15" i="49"/>
  <c r="V15" i="49"/>
  <c r="U15" i="49"/>
  <c r="BG14" i="49"/>
  <c r="BF14" i="49"/>
  <c r="BE14" i="49"/>
  <c r="BD14" i="49"/>
  <c r="BC14" i="49"/>
  <c r="BB14" i="49"/>
  <c r="BA14" i="49"/>
  <c r="AZ14" i="49"/>
  <c r="AY14" i="49"/>
  <c r="AX14" i="49"/>
  <c r="AV14" i="49"/>
  <c r="AW14" i="49" s="1"/>
  <c r="AD14" i="49"/>
  <c r="AC14" i="49"/>
  <c r="AB14" i="49"/>
  <c r="AA14" i="49"/>
  <c r="Z14" i="49"/>
  <c r="Y14" i="49"/>
  <c r="X14" i="49"/>
  <c r="W14" i="49"/>
  <c r="V14" i="49"/>
  <c r="U14" i="49"/>
  <c r="BG13" i="49"/>
  <c r="BF13" i="49"/>
  <c r="BE13" i="49"/>
  <c r="BD13" i="49"/>
  <c r="BC13" i="49"/>
  <c r="BB13" i="49"/>
  <c r="BA13" i="49"/>
  <c r="AZ13" i="49"/>
  <c r="AY13" i="49"/>
  <c r="AX13" i="49"/>
  <c r="O13" i="49"/>
  <c r="N13" i="49"/>
  <c r="M13" i="49"/>
  <c r="L13" i="49"/>
  <c r="K13" i="49"/>
  <c r="J13" i="49"/>
  <c r="I13" i="49"/>
  <c r="H13" i="49"/>
  <c r="G13" i="49"/>
  <c r="F13" i="49"/>
  <c r="AU12" i="49"/>
  <c r="AT12" i="49"/>
  <c r="AS12" i="49"/>
  <c r="AR12" i="49"/>
  <c r="AQ12" i="49"/>
  <c r="AP12" i="49"/>
  <c r="AO12" i="49"/>
  <c r="AN12" i="49"/>
  <c r="AM12" i="49"/>
  <c r="AL12" i="49"/>
  <c r="AF12" i="49"/>
  <c r="BG63" i="44"/>
  <c r="BF63" i="44"/>
  <c r="BE63" i="44"/>
  <c r="BD63" i="44"/>
  <c r="BC63" i="44"/>
  <c r="BB63" i="44"/>
  <c r="BA63" i="44"/>
  <c r="AZ63" i="44"/>
  <c r="AY63" i="44"/>
  <c r="AX63" i="44"/>
  <c r="AV63" i="44"/>
  <c r="BN63" i="44" s="1"/>
  <c r="AD63" i="44"/>
  <c r="AC63" i="44"/>
  <c r="AB63" i="44"/>
  <c r="AA63" i="44"/>
  <c r="Z63" i="44"/>
  <c r="Y63" i="44"/>
  <c r="X63" i="44"/>
  <c r="W63" i="44"/>
  <c r="V63" i="44"/>
  <c r="U63" i="44"/>
  <c r="BG62" i="44"/>
  <c r="BF62" i="44"/>
  <c r="BE62" i="44"/>
  <c r="BD62" i="44"/>
  <c r="BC62" i="44"/>
  <c r="BB62" i="44"/>
  <c r="BA62" i="44"/>
  <c r="AZ62" i="44"/>
  <c r="AY62" i="44"/>
  <c r="AX62" i="44"/>
  <c r="AV62" i="44"/>
  <c r="AW62" i="44" s="1"/>
  <c r="AD62" i="44"/>
  <c r="AC62" i="44"/>
  <c r="AB62" i="44"/>
  <c r="AA62" i="44"/>
  <c r="Z62" i="44"/>
  <c r="Y62" i="44"/>
  <c r="X62" i="44"/>
  <c r="W62" i="44"/>
  <c r="V62" i="44"/>
  <c r="U62" i="44"/>
  <c r="BG61" i="44"/>
  <c r="BF61" i="44"/>
  <c r="BE61" i="44"/>
  <c r="BD61" i="44"/>
  <c r="BC61" i="44"/>
  <c r="BB61" i="44"/>
  <c r="BA61" i="44"/>
  <c r="AZ61" i="44"/>
  <c r="AY61" i="44"/>
  <c r="AX61" i="44"/>
  <c r="AV61" i="44"/>
  <c r="BN61" i="44" s="1"/>
  <c r="AD61" i="44"/>
  <c r="AC61" i="44"/>
  <c r="AB61" i="44"/>
  <c r="AA61" i="44"/>
  <c r="Z61" i="44"/>
  <c r="Y61" i="44"/>
  <c r="X61" i="44"/>
  <c r="W61" i="44"/>
  <c r="V61" i="44"/>
  <c r="U61" i="44"/>
  <c r="BG60" i="44"/>
  <c r="BF60" i="44"/>
  <c r="BE60" i="44"/>
  <c r="BD60" i="44"/>
  <c r="BC60" i="44"/>
  <c r="BB60" i="44"/>
  <c r="BA60" i="44"/>
  <c r="AZ60" i="44"/>
  <c r="AY60" i="44"/>
  <c r="AX60" i="44"/>
  <c r="AV60" i="44"/>
  <c r="AW60" i="44" s="1"/>
  <c r="AD60" i="44"/>
  <c r="AC60" i="44"/>
  <c r="AB60" i="44"/>
  <c r="AA60" i="44"/>
  <c r="Z60" i="44"/>
  <c r="Y60" i="44"/>
  <c r="X60" i="44"/>
  <c r="W60" i="44"/>
  <c r="V60" i="44"/>
  <c r="U60" i="44"/>
  <c r="BG59" i="44"/>
  <c r="BF59" i="44"/>
  <c r="BE59" i="44"/>
  <c r="BD59" i="44"/>
  <c r="BC59" i="44"/>
  <c r="BB59" i="44"/>
  <c r="BA59" i="44"/>
  <c r="AZ59" i="44"/>
  <c r="AY59" i="44"/>
  <c r="AX59" i="44"/>
  <c r="AV59" i="44"/>
  <c r="AW59" i="44" s="1"/>
  <c r="AD59" i="44"/>
  <c r="AC59" i="44"/>
  <c r="AB59" i="44"/>
  <c r="AA59" i="44"/>
  <c r="Z59" i="44"/>
  <c r="Y59" i="44"/>
  <c r="X59" i="44"/>
  <c r="W59" i="44"/>
  <c r="V59" i="44"/>
  <c r="U59" i="44"/>
  <c r="BG58" i="44"/>
  <c r="BF58" i="44"/>
  <c r="BE58" i="44"/>
  <c r="BD58" i="44"/>
  <c r="BC58" i="44"/>
  <c r="BB58" i="44"/>
  <c r="BA58" i="44"/>
  <c r="AZ58" i="44"/>
  <c r="AY58" i="44"/>
  <c r="AX58" i="44"/>
  <c r="AV58" i="44"/>
  <c r="AD58" i="44"/>
  <c r="AC58" i="44"/>
  <c r="AB58" i="44"/>
  <c r="AA58" i="44"/>
  <c r="Z58" i="44"/>
  <c r="Y58" i="44"/>
  <c r="X58" i="44"/>
  <c r="W58" i="44"/>
  <c r="V58" i="44"/>
  <c r="U58" i="44"/>
  <c r="BG57" i="44"/>
  <c r="BF57" i="44"/>
  <c r="BE57" i="44"/>
  <c r="BD57" i="44"/>
  <c r="BC57" i="44"/>
  <c r="BB57" i="44"/>
  <c r="BA57" i="44"/>
  <c r="AZ57" i="44"/>
  <c r="AY57" i="44"/>
  <c r="AX57" i="44"/>
  <c r="AV57" i="44"/>
  <c r="BN57" i="44" s="1"/>
  <c r="AD57" i="44"/>
  <c r="AC57" i="44"/>
  <c r="AB57" i="44"/>
  <c r="AA57" i="44"/>
  <c r="Z57" i="44"/>
  <c r="Y57" i="44"/>
  <c r="X57" i="44"/>
  <c r="W57" i="44"/>
  <c r="V57" i="44"/>
  <c r="U57" i="44"/>
  <c r="BG56" i="44"/>
  <c r="BF56" i="44"/>
  <c r="BE56" i="44"/>
  <c r="BD56" i="44"/>
  <c r="BC56" i="44"/>
  <c r="BB56" i="44"/>
  <c r="BA56" i="44"/>
  <c r="AZ56" i="44"/>
  <c r="AY56" i="44"/>
  <c r="AX56" i="44"/>
  <c r="AV56" i="44"/>
  <c r="AW56" i="44" s="1"/>
  <c r="AD56" i="44"/>
  <c r="AC56" i="44"/>
  <c r="AB56" i="44"/>
  <c r="AA56" i="44"/>
  <c r="Z56" i="44"/>
  <c r="Y56" i="44"/>
  <c r="X56" i="44"/>
  <c r="W56" i="44"/>
  <c r="V56" i="44"/>
  <c r="U56" i="44"/>
  <c r="BG55" i="44"/>
  <c r="BF55" i="44"/>
  <c r="BE55" i="44"/>
  <c r="BD55" i="44"/>
  <c r="BC55" i="44"/>
  <c r="BB55" i="44"/>
  <c r="BA55" i="44"/>
  <c r="AZ55" i="44"/>
  <c r="AY55" i="44"/>
  <c r="AX55" i="44"/>
  <c r="AV55" i="44"/>
  <c r="AW55" i="44" s="1"/>
  <c r="AD55" i="44"/>
  <c r="AC55" i="44"/>
  <c r="AB55" i="44"/>
  <c r="AA55" i="44"/>
  <c r="Z55" i="44"/>
  <c r="Y55" i="44"/>
  <c r="X55" i="44"/>
  <c r="W55" i="44"/>
  <c r="V55" i="44"/>
  <c r="U55" i="44"/>
  <c r="BG54" i="44"/>
  <c r="BF54" i="44"/>
  <c r="BE54" i="44"/>
  <c r="BD54" i="44"/>
  <c r="BC54" i="44"/>
  <c r="BB54" i="44"/>
  <c r="BA54" i="44"/>
  <c r="AZ54" i="44"/>
  <c r="AY54" i="44"/>
  <c r="AX54" i="44"/>
  <c r="AV54" i="44"/>
  <c r="AD54" i="44"/>
  <c r="AC54" i="44"/>
  <c r="AB54" i="44"/>
  <c r="AA54" i="44"/>
  <c r="Z54" i="44"/>
  <c r="Y54" i="44"/>
  <c r="X54" i="44"/>
  <c r="W54" i="44"/>
  <c r="V54" i="44"/>
  <c r="U54" i="44"/>
  <c r="BG53" i="44"/>
  <c r="BF53" i="44"/>
  <c r="BE53" i="44"/>
  <c r="BD53" i="44"/>
  <c r="BC53" i="44"/>
  <c r="BB53" i="44"/>
  <c r="BA53" i="44"/>
  <c r="AZ53" i="44"/>
  <c r="AY53" i="44"/>
  <c r="AX53" i="44"/>
  <c r="AV53" i="44"/>
  <c r="BN53" i="44" s="1"/>
  <c r="AD53" i="44"/>
  <c r="AC53" i="44"/>
  <c r="AB53" i="44"/>
  <c r="AA53" i="44"/>
  <c r="Z53" i="44"/>
  <c r="Y53" i="44"/>
  <c r="X53" i="44"/>
  <c r="W53" i="44"/>
  <c r="V53" i="44"/>
  <c r="U53" i="44"/>
  <c r="BG52" i="44"/>
  <c r="BF52" i="44"/>
  <c r="BE52" i="44"/>
  <c r="BD52" i="44"/>
  <c r="BC52" i="44"/>
  <c r="BB52" i="44"/>
  <c r="BA52" i="44"/>
  <c r="AZ52" i="44"/>
  <c r="AY52" i="44"/>
  <c r="AX52" i="44"/>
  <c r="AV52" i="44"/>
  <c r="AW52" i="44" s="1"/>
  <c r="AD52" i="44"/>
  <c r="AC52" i="44"/>
  <c r="AB52" i="44"/>
  <c r="AA52" i="44"/>
  <c r="Z52" i="44"/>
  <c r="Y52" i="44"/>
  <c r="X52" i="44"/>
  <c r="W52" i="44"/>
  <c r="V52" i="44"/>
  <c r="U52" i="44"/>
  <c r="BG51" i="44"/>
  <c r="BF51" i="44"/>
  <c r="BE51" i="44"/>
  <c r="BD51" i="44"/>
  <c r="BC51" i="44"/>
  <c r="BB51" i="44"/>
  <c r="BA51" i="44"/>
  <c r="AZ51" i="44"/>
  <c r="AY51" i="44"/>
  <c r="AX51" i="44"/>
  <c r="AV51" i="44"/>
  <c r="BN51" i="44" s="1"/>
  <c r="AD51" i="44"/>
  <c r="AC51" i="44"/>
  <c r="AB51" i="44"/>
  <c r="AA51" i="44"/>
  <c r="Z51" i="44"/>
  <c r="Y51" i="44"/>
  <c r="X51" i="44"/>
  <c r="W51" i="44"/>
  <c r="V51" i="44"/>
  <c r="U51" i="44"/>
  <c r="BG50" i="44"/>
  <c r="BF50" i="44"/>
  <c r="BE50" i="44"/>
  <c r="BD50" i="44"/>
  <c r="BC50" i="44"/>
  <c r="BB50" i="44"/>
  <c r="BA50" i="44"/>
  <c r="AZ50" i="44"/>
  <c r="AY50" i="44"/>
  <c r="AX50" i="44"/>
  <c r="AD50" i="44"/>
  <c r="AC50" i="44"/>
  <c r="AB50" i="44"/>
  <c r="AA50" i="44"/>
  <c r="Z50" i="44"/>
  <c r="Y50" i="44"/>
  <c r="X50" i="44"/>
  <c r="W50" i="44"/>
  <c r="V50" i="44"/>
  <c r="U50" i="44"/>
  <c r="BG49" i="44"/>
  <c r="BF49" i="44"/>
  <c r="BE49" i="44"/>
  <c r="BD49" i="44"/>
  <c r="BC49" i="44"/>
  <c r="BB49" i="44"/>
  <c r="BA49" i="44"/>
  <c r="AZ49" i="44"/>
  <c r="AY49" i="44"/>
  <c r="AX49" i="44"/>
  <c r="AD49" i="44"/>
  <c r="AC49" i="44"/>
  <c r="AB49" i="44"/>
  <c r="AA49" i="44"/>
  <c r="Z49" i="44"/>
  <c r="Y49" i="44"/>
  <c r="X49" i="44"/>
  <c r="W49" i="44"/>
  <c r="V49" i="44"/>
  <c r="U49" i="44"/>
  <c r="BG48" i="44"/>
  <c r="BF48" i="44"/>
  <c r="BE48" i="44"/>
  <c r="BD48" i="44"/>
  <c r="BC48" i="44"/>
  <c r="BB48" i="44"/>
  <c r="BA48" i="44"/>
  <c r="AZ48" i="44"/>
  <c r="AY48" i="44"/>
  <c r="AX48" i="44"/>
  <c r="AD48" i="44"/>
  <c r="AC48" i="44"/>
  <c r="AB48" i="44"/>
  <c r="AA48" i="44"/>
  <c r="Z48" i="44"/>
  <c r="Y48" i="44"/>
  <c r="X48" i="44"/>
  <c r="W48" i="44"/>
  <c r="V48" i="44"/>
  <c r="U48" i="44"/>
  <c r="BG47" i="44"/>
  <c r="BF47" i="44"/>
  <c r="BE47" i="44"/>
  <c r="BD47" i="44"/>
  <c r="BC47" i="44"/>
  <c r="BB47" i="44"/>
  <c r="BA47" i="44"/>
  <c r="AZ47" i="44"/>
  <c r="AY47" i="44"/>
  <c r="AX47" i="44"/>
  <c r="BH47" i="44" s="1"/>
  <c r="BL47" i="44" s="1"/>
  <c r="AD47" i="44"/>
  <c r="AC47" i="44"/>
  <c r="AB47" i="44"/>
  <c r="AA47" i="44"/>
  <c r="Z47" i="44"/>
  <c r="Y47" i="44"/>
  <c r="X47" i="44"/>
  <c r="W47" i="44"/>
  <c r="V47" i="44"/>
  <c r="U47" i="44"/>
  <c r="BG46" i="44"/>
  <c r="BF46" i="44"/>
  <c r="BE46" i="44"/>
  <c r="BD46" i="44"/>
  <c r="BC46" i="44"/>
  <c r="BB46" i="44"/>
  <c r="BA46" i="44"/>
  <c r="AZ46" i="44"/>
  <c r="AY46" i="44"/>
  <c r="AX46" i="44"/>
  <c r="AD46" i="44"/>
  <c r="AC46" i="44"/>
  <c r="AB46" i="44"/>
  <c r="AA46" i="44"/>
  <c r="Z46" i="44"/>
  <c r="Y46" i="44"/>
  <c r="X46" i="44"/>
  <c r="W46" i="44"/>
  <c r="V46" i="44"/>
  <c r="U46" i="44"/>
  <c r="BG45" i="44"/>
  <c r="BF45" i="44"/>
  <c r="BE45" i="44"/>
  <c r="BD45" i="44"/>
  <c r="BC45" i="44"/>
  <c r="BB45" i="44"/>
  <c r="BA45" i="44"/>
  <c r="AZ45" i="44"/>
  <c r="AY45" i="44"/>
  <c r="AX45" i="44"/>
  <c r="AD45" i="44"/>
  <c r="AC45" i="44"/>
  <c r="AB45" i="44"/>
  <c r="AA45" i="44"/>
  <c r="Z45" i="44"/>
  <c r="Y45" i="44"/>
  <c r="X45" i="44"/>
  <c r="W45" i="44"/>
  <c r="V45" i="44"/>
  <c r="U45" i="44"/>
  <c r="BG44" i="44"/>
  <c r="BF44" i="44"/>
  <c r="BE44" i="44"/>
  <c r="BD44" i="44"/>
  <c r="BC44" i="44"/>
  <c r="BB44" i="44"/>
  <c r="BA44" i="44"/>
  <c r="AZ44" i="44"/>
  <c r="AY44" i="44"/>
  <c r="AX44" i="44"/>
  <c r="AD44" i="44"/>
  <c r="AC44" i="44"/>
  <c r="AB44" i="44"/>
  <c r="AA44" i="44"/>
  <c r="Z44" i="44"/>
  <c r="Y44" i="44"/>
  <c r="X44" i="44"/>
  <c r="W44" i="44"/>
  <c r="V44" i="44"/>
  <c r="U44" i="44"/>
  <c r="BG43" i="44"/>
  <c r="BF43" i="44"/>
  <c r="BE43" i="44"/>
  <c r="BD43" i="44"/>
  <c r="BC43" i="44"/>
  <c r="BB43" i="44"/>
  <c r="BA43" i="44"/>
  <c r="AZ43" i="44"/>
  <c r="AY43" i="44"/>
  <c r="AX43" i="44"/>
  <c r="AD43" i="44"/>
  <c r="AC43" i="44"/>
  <c r="AB43" i="44"/>
  <c r="AA43" i="44"/>
  <c r="Z43" i="44"/>
  <c r="Y43" i="44"/>
  <c r="X43" i="44"/>
  <c r="W43" i="44"/>
  <c r="V43" i="44"/>
  <c r="U43" i="44"/>
  <c r="BG42" i="44"/>
  <c r="BF42" i="44"/>
  <c r="BE42" i="44"/>
  <c r="BD42" i="44"/>
  <c r="BC42" i="44"/>
  <c r="BB42" i="44"/>
  <c r="BA42" i="44"/>
  <c r="AZ42" i="44"/>
  <c r="AY42" i="44"/>
  <c r="AX42" i="44"/>
  <c r="AD42" i="44"/>
  <c r="AC42" i="44"/>
  <c r="AB42" i="44"/>
  <c r="AA42" i="44"/>
  <c r="Z42" i="44"/>
  <c r="Y42" i="44"/>
  <c r="X42" i="44"/>
  <c r="W42" i="44"/>
  <c r="V42" i="44"/>
  <c r="U42" i="44"/>
  <c r="BG41" i="44"/>
  <c r="BF41" i="44"/>
  <c r="BE41" i="44"/>
  <c r="BD41" i="44"/>
  <c r="BC41" i="44"/>
  <c r="BB41" i="44"/>
  <c r="BA41" i="44"/>
  <c r="AZ41" i="44"/>
  <c r="AY41" i="44"/>
  <c r="AX41" i="44"/>
  <c r="AD41" i="44"/>
  <c r="AC41" i="44"/>
  <c r="AB41" i="44"/>
  <c r="AA41" i="44"/>
  <c r="Z41" i="44"/>
  <c r="Y41" i="44"/>
  <c r="X41" i="44"/>
  <c r="W41" i="44"/>
  <c r="V41" i="44"/>
  <c r="U41" i="44"/>
  <c r="BG40" i="44"/>
  <c r="BF40" i="44"/>
  <c r="BE40" i="44"/>
  <c r="BD40" i="44"/>
  <c r="BC40" i="44"/>
  <c r="BB40" i="44"/>
  <c r="BA40" i="44"/>
  <c r="AZ40" i="44"/>
  <c r="AY40" i="44"/>
  <c r="AX40" i="44"/>
  <c r="AD40" i="44"/>
  <c r="AC40" i="44"/>
  <c r="AB40" i="44"/>
  <c r="AA40" i="44"/>
  <c r="Z40" i="44"/>
  <c r="Y40" i="44"/>
  <c r="X40" i="44"/>
  <c r="W40" i="44"/>
  <c r="V40" i="44"/>
  <c r="U40" i="44"/>
  <c r="BG39" i="44"/>
  <c r="BF39" i="44"/>
  <c r="BE39" i="44"/>
  <c r="BD39" i="44"/>
  <c r="BC39" i="44"/>
  <c r="BB39" i="44"/>
  <c r="BA39" i="44"/>
  <c r="AZ39" i="44"/>
  <c r="AY39" i="44"/>
  <c r="AX39" i="44"/>
  <c r="AD39" i="44"/>
  <c r="AC39" i="44"/>
  <c r="AB39" i="44"/>
  <c r="AA39" i="44"/>
  <c r="Z39" i="44"/>
  <c r="Y39" i="44"/>
  <c r="X39" i="44"/>
  <c r="W39" i="44"/>
  <c r="V39" i="44"/>
  <c r="U39" i="44"/>
  <c r="BG38" i="44"/>
  <c r="BF38" i="44"/>
  <c r="BE38" i="44"/>
  <c r="BD38" i="44"/>
  <c r="BC38" i="44"/>
  <c r="BB38" i="44"/>
  <c r="BA38" i="44"/>
  <c r="AZ38" i="44"/>
  <c r="AY38" i="44"/>
  <c r="AX38" i="44"/>
  <c r="AD38" i="44"/>
  <c r="AC38" i="44"/>
  <c r="AB38" i="44"/>
  <c r="AA38" i="44"/>
  <c r="Z38" i="44"/>
  <c r="Y38" i="44"/>
  <c r="X38" i="44"/>
  <c r="W38" i="44"/>
  <c r="V38" i="44"/>
  <c r="U38" i="44"/>
  <c r="BG37" i="44"/>
  <c r="BF37" i="44"/>
  <c r="BE37" i="44"/>
  <c r="BD37" i="44"/>
  <c r="BC37" i="44"/>
  <c r="BB37" i="44"/>
  <c r="BA37" i="44"/>
  <c r="AZ37" i="44"/>
  <c r="AY37" i="44"/>
  <c r="AX37" i="44"/>
  <c r="AD37" i="44"/>
  <c r="AC37" i="44"/>
  <c r="AB37" i="44"/>
  <c r="AA37" i="44"/>
  <c r="Z37" i="44"/>
  <c r="Y37" i="44"/>
  <c r="X37" i="44"/>
  <c r="W37" i="44"/>
  <c r="V37" i="44"/>
  <c r="U37" i="44"/>
  <c r="BG36" i="44"/>
  <c r="BF36" i="44"/>
  <c r="BE36" i="44"/>
  <c r="BD36" i="44"/>
  <c r="BC36" i="44"/>
  <c r="BB36" i="44"/>
  <c r="BA36" i="44"/>
  <c r="AZ36" i="44"/>
  <c r="AY36" i="44"/>
  <c r="AX36" i="44"/>
  <c r="AD36" i="44"/>
  <c r="AC36" i="44"/>
  <c r="AB36" i="44"/>
  <c r="AA36" i="44"/>
  <c r="Z36" i="44"/>
  <c r="Y36" i="44"/>
  <c r="X36" i="44"/>
  <c r="W36" i="44"/>
  <c r="V36" i="44"/>
  <c r="U36" i="44"/>
  <c r="BG35" i="44"/>
  <c r="BF35" i="44"/>
  <c r="BE35" i="44"/>
  <c r="BD35" i="44"/>
  <c r="BC35" i="44"/>
  <c r="BB35" i="44"/>
  <c r="BA35" i="44"/>
  <c r="AZ35" i="44"/>
  <c r="AY35" i="44"/>
  <c r="AX35" i="44"/>
  <c r="AD35" i="44"/>
  <c r="AC35" i="44"/>
  <c r="AB35" i="44"/>
  <c r="AA35" i="44"/>
  <c r="Z35" i="44"/>
  <c r="Y35" i="44"/>
  <c r="X35" i="44"/>
  <c r="W35" i="44"/>
  <c r="V35" i="44"/>
  <c r="U35" i="44"/>
  <c r="BG34" i="44"/>
  <c r="BF34" i="44"/>
  <c r="BE34" i="44"/>
  <c r="BD34" i="44"/>
  <c r="BC34" i="44"/>
  <c r="BB34" i="44"/>
  <c r="BA34" i="44"/>
  <c r="AZ34" i="44"/>
  <c r="AY34" i="44"/>
  <c r="AX34" i="44"/>
  <c r="AD34" i="44"/>
  <c r="AC34" i="44"/>
  <c r="AB34" i="44"/>
  <c r="AA34" i="44"/>
  <c r="Z34" i="44"/>
  <c r="Y34" i="44"/>
  <c r="X34" i="44"/>
  <c r="W34" i="44"/>
  <c r="V34" i="44"/>
  <c r="U34" i="44"/>
  <c r="BG33" i="44"/>
  <c r="BF33" i="44"/>
  <c r="BE33" i="44"/>
  <c r="BD33" i="44"/>
  <c r="BC33" i="44"/>
  <c r="BB33" i="44"/>
  <c r="BA33" i="44"/>
  <c r="AZ33" i="44"/>
  <c r="AY33" i="44"/>
  <c r="AX33" i="44"/>
  <c r="AD33" i="44"/>
  <c r="AC33" i="44"/>
  <c r="AB33" i="44"/>
  <c r="AA33" i="44"/>
  <c r="Z33" i="44"/>
  <c r="Y33" i="44"/>
  <c r="X33" i="44"/>
  <c r="W33" i="44"/>
  <c r="V33" i="44"/>
  <c r="U33" i="44"/>
  <c r="BG32" i="44"/>
  <c r="BF32" i="44"/>
  <c r="BE32" i="44"/>
  <c r="BD32" i="44"/>
  <c r="BC32" i="44"/>
  <c r="BB32" i="44"/>
  <c r="BA32" i="44"/>
  <c r="AZ32" i="44"/>
  <c r="AY32" i="44"/>
  <c r="AX32" i="44"/>
  <c r="AD32" i="44"/>
  <c r="AC32" i="44"/>
  <c r="AB32" i="44"/>
  <c r="AA32" i="44"/>
  <c r="Z32" i="44"/>
  <c r="Y32" i="44"/>
  <c r="X32" i="44"/>
  <c r="W32" i="44"/>
  <c r="V32" i="44"/>
  <c r="U32" i="44"/>
  <c r="BG31" i="44"/>
  <c r="BF31" i="44"/>
  <c r="BE31" i="44"/>
  <c r="BD31" i="44"/>
  <c r="BC31" i="44"/>
  <c r="BB31" i="44"/>
  <c r="BA31" i="44"/>
  <c r="AZ31" i="44"/>
  <c r="AY31" i="44"/>
  <c r="AX31" i="44"/>
  <c r="AD31" i="44"/>
  <c r="AC31" i="44"/>
  <c r="AB31" i="44"/>
  <c r="AA31" i="44"/>
  <c r="Z31" i="44"/>
  <c r="Y31" i="44"/>
  <c r="X31" i="44"/>
  <c r="W31" i="44"/>
  <c r="V31" i="44"/>
  <c r="U31" i="44"/>
  <c r="BG30" i="44"/>
  <c r="BF30" i="44"/>
  <c r="BE30" i="44"/>
  <c r="BD30" i="44"/>
  <c r="BC30" i="44"/>
  <c r="BB30" i="44"/>
  <c r="BA30" i="44"/>
  <c r="AZ30" i="44"/>
  <c r="AY30" i="44"/>
  <c r="AX30" i="44"/>
  <c r="AD30" i="44"/>
  <c r="AC30" i="44"/>
  <c r="AB30" i="44"/>
  <c r="AA30" i="44"/>
  <c r="Z30" i="44"/>
  <c r="Y30" i="44"/>
  <c r="X30" i="44"/>
  <c r="W30" i="44"/>
  <c r="V30" i="44"/>
  <c r="U30" i="44"/>
  <c r="BG29" i="44"/>
  <c r="BF29" i="44"/>
  <c r="BE29" i="44"/>
  <c r="BD29" i="44"/>
  <c r="BC29" i="44"/>
  <c r="BB29" i="44"/>
  <c r="BA29" i="44"/>
  <c r="AZ29" i="44"/>
  <c r="AY29" i="44"/>
  <c r="AX29" i="44"/>
  <c r="AD29" i="44"/>
  <c r="AC29" i="44"/>
  <c r="AB29" i="44"/>
  <c r="AA29" i="44"/>
  <c r="Z29" i="44"/>
  <c r="Y29" i="44"/>
  <c r="X29" i="44"/>
  <c r="W29" i="44"/>
  <c r="V29" i="44"/>
  <c r="U29" i="44"/>
  <c r="BG28" i="44"/>
  <c r="BF28" i="44"/>
  <c r="BE28" i="44"/>
  <c r="BD28" i="44"/>
  <c r="BC28" i="44"/>
  <c r="BB28" i="44"/>
  <c r="BA28" i="44"/>
  <c r="AZ28" i="44"/>
  <c r="AY28" i="44"/>
  <c r="AX28" i="44"/>
  <c r="AD28" i="44"/>
  <c r="AC28" i="44"/>
  <c r="AB28" i="44"/>
  <c r="AA28" i="44"/>
  <c r="Z28" i="44"/>
  <c r="Y28" i="44"/>
  <c r="X28" i="44"/>
  <c r="W28" i="44"/>
  <c r="V28" i="44"/>
  <c r="U28" i="44"/>
  <c r="BG27" i="44"/>
  <c r="BF27" i="44"/>
  <c r="BE27" i="44"/>
  <c r="BD27" i="44"/>
  <c r="BC27" i="44"/>
  <c r="BB27" i="44"/>
  <c r="BA27" i="44"/>
  <c r="AZ27" i="44"/>
  <c r="AY27" i="44"/>
  <c r="AX27" i="44"/>
  <c r="AD27" i="44"/>
  <c r="AC27" i="44"/>
  <c r="AB27" i="44"/>
  <c r="AA27" i="44"/>
  <c r="Z27" i="44"/>
  <c r="Y27" i="44"/>
  <c r="X27" i="44"/>
  <c r="W27" i="44"/>
  <c r="V27" i="44"/>
  <c r="U27" i="44"/>
  <c r="BG26" i="44"/>
  <c r="BF26" i="44"/>
  <c r="BE26" i="44"/>
  <c r="BD26" i="44"/>
  <c r="BC26" i="44"/>
  <c r="BB26" i="44"/>
  <c r="BA26" i="44"/>
  <c r="AZ26" i="44"/>
  <c r="AY26" i="44"/>
  <c r="AX26" i="44"/>
  <c r="AD26" i="44"/>
  <c r="AC26" i="44"/>
  <c r="AB26" i="44"/>
  <c r="AA26" i="44"/>
  <c r="Z26" i="44"/>
  <c r="Y26" i="44"/>
  <c r="X26" i="44"/>
  <c r="W26" i="44"/>
  <c r="V26" i="44"/>
  <c r="U26" i="44"/>
  <c r="BG25" i="44"/>
  <c r="BF25" i="44"/>
  <c r="BE25" i="44"/>
  <c r="BD25" i="44"/>
  <c r="BC25" i="44"/>
  <c r="BB25" i="44"/>
  <c r="BA25" i="44"/>
  <c r="AZ25" i="44"/>
  <c r="AY25" i="44"/>
  <c r="AX25" i="44"/>
  <c r="AD25" i="44"/>
  <c r="AC25" i="44"/>
  <c r="AB25" i="44"/>
  <c r="AA25" i="44"/>
  <c r="Z25" i="44"/>
  <c r="Y25" i="44"/>
  <c r="X25" i="44"/>
  <c r="W25" i="44"/>
  <c r="V25" i="44"/>
  <c r="U25" i="44"/>
  <c r="BG24" i="44"/>
  <c r="BF24" i="44"/>
  <c r="BE24" i="44"/>
  <c r="BD24" i="44"/>
  <c r="BC24" i="44"/>
  <c r="BB24" i="44"/>
  <c r="BA24" i="44"/>
  <c r="AZ24" i="44"/>
  <c r="AY24" i="44"/>
  <c r="AX24" i="44"/>
  <c r="AD24" i="44"/>
  <c r="AC24" i="44"/>
  <c r="AB24" i="44"/>
  <c r="AA24" i="44"/>
  <c r="Z24" i="44"/>
  <c r="Y24" i="44"/>
  <c r="X24" i="44"/>
  <c r="W24" i="44"/>
  <c r="V24" i="44"/>
  <c r="U24" i="44"/>
  <c r="BG23" i="44"/>
  <c r="BF23" i="44"/>
  <c r="BE23" i="44"/>
  <c r="BD23" i="44"/>
  <c r="BC23" i="44"/>
  <c r="BB23" i="44"/>
  <c r="BA23" i="44"/>
  <c r="AZ23" i="44"/>
  <c r="AY23" i="44"/>
  <c r="AX23" i="44"/>
  <c r="AD23" i="44"/>
  <c r="AC23" i="44"/>
  <c r="AB23" i="44"/>
  <c r="AA23" i="44"/>
  <c r="Z23" i="44"/>
  <c r="Y23" i="44"/>
  <c r="X23" i="44"/>
  <c r="W23" i="44"/>
  <c r="V23" i="44"/>
  <c r="U23" i="44"/>
  <c r="BG22" i="44"/>
  <c r="BF22" i="44"/>
  <c r="BE22" i="44"/>
  <c r="BD22" i="44"/>
  <c r="BC22" i="44"/>
  <c r="BB22" i="44"/>
  <c r="BA22" i="44"/>
  <c r="AZ22" i="44"/>
  <c r="AY22" i="44"/>
  <c r="AX22" i="44"/>
  <c r="AD22" i="44"/>
  <c r="AC22" i="44"/>
  <c r="AB22" i="44"/>
  <c r="AA22" i="44"/>
  <c r="Z22" i="44"/>
  <c r="Y22" i="44"/>
  <c r="X22" i="44"/>
  <c r="W22" i="44"/>
  <c r="V22" i="44"/>
  <c r="U22" i="44"/>
  <c r="BG21" i="44"/>
  <c r="BF21" i="44"/>
  <c r="BE21" i="44"/>
  <c r="BD21" i="44"/>
  <c r="BC21" i="44"/>
  <c r="BB21" i="44"/>
  <c r="BA21" i="44"/>
  <c r="AZ21" i="44"/>
  <c r="AY21" i="44"/>
  <c r="AX21" i="44"/>
  <c r="AD21" i="44"/>
  <c r="AC21" i="44"/>
  <c r="AB21" i="44"/>
  <c r="AA21" i="44"/>
  <c r="Z21" i="44"/>
  <c r="Y21" i="44"/>
  <c r="X21" i="44"/>
  <c r="W21" i="44"/>
  <c r="V21" i="44"/>
  <c r="U21" i="44"/>
  <c r="BG20" i="44"/>
  <c r="BF20" i="44"/>
  <c r="BE20" i="44"/>
  <c r="BD20" i="44"/>
  <c r="BC20" i="44"/>
  <c r="BB20" i="44"/>
  <c r="BA20" i="44"/>
  <c r="AZ20" i="44"/>
  <c r="AY20" i="44"/>
  <c r="AX20" i="44"/>
  <c r="AD20" i="44"/>
  <c r="AC20" i="44"/>
  <c r="AB20" i="44"/>
  <c r="AA20" i="44"/>
  <c r="Z20" i="44"/>
  <c r="Y20" i="44"/>
  <c r="X20" i="44"/>
  <c r="W20" i="44"/>
  <c r="V20" i="44"/>
  <c r="U20" i="44"/>
  <c r="BG19" i="44"/>
  <c r="BF19" i="44"/>
  <c r="BE19" i="44"/>
  <c r="BD19" i="44"/>
  <c r="BC19" i="44"/>
  <c r="BB19" i="44"/>
  <c r="BA19" i="44"/>
  <c r="AZ19" i="44"/>
  <c r="AY19" i="44"/>
  <c r="AX19" i="44"/>
  <c r="AD19" i="44"/>
  <c r="AC19" i="44"/>
  <c r="AB19" i="44"/>
  <c r="AA19" i="44"/>
  <c r="Z19" i="44"/>
  <c r="Y19" i="44"/>
  <c r="X19" i="44"/>
  <c r="W19" i="44"/>
  <c r="V19" i="44"/>
  <c r="U19" i="44"/>
  <c r="BG18" i="44"/>
  <c r="BF18" i="44"/>
  <c r="BE18" i="44"/>
  <c r="BD18" i="44"/>
  <c r="BC18" i="44"/>
  <c r="BB18" i="44"/>
  <c r="BA18" i="44"/>
  <c r="AZ18" i="44"/>
  <c r="AY18" i="44"/>
  <c r="AX18" i="44"/>
  <c r="AD18" i="44"/>
  <c r="AC18" i="44"/>
  <c r="AB18" i="44"/>
  <c r="AA18" i="44"/>
  <c r="Z18" i="44"/>
  <c r="Y18" i="44"/>
  <c r="X18" i="44"/>
  <c r="W18" i="44"/>
  <c r="V18" i="44"/>
  <c r="U18" i="44"/>
  <c r="BG17" i="44"/>
  <c r="BF17" i="44"/>
  <c r="BE17" i="44"/>
  <c r="BD17" i="44"/>
  <c r="BC17" i="44"/>
  <c r="BB17" i="44"/>
  <c r="BA17" i="44"/>
  <c r="AZ17" i="44"/>
  <c r="AY17" i="44"/>
  <c r="AX17" i="44"/>
  <c r="AD17" i="44"/>
  <c r="AC17" i="44"/>
  <c r="AB17" i="44"/>
  <c r="AA17" i="44"/>
  <c r="Z17" i="44"/>
  <c r="Y17" i="44"/>
  <c r="X17" i="44"/>
  <c r="W17" i="44"/>
  <c r="V17" i="44"/>
  <c r="U17" i="44"/>
  <c r="BG16" i="44"/>
  <c r="BF16" i="44"/>
  <c r="BE16" i="44"/>
  <c r="BD16" i="44"/>
  <c r="BC16" i="44"/>
  <c r="BB16" i="44"/>
  <c r="BA16" i="44"/>
  <c r="AZ16" i="44"/>
  <c r="AY16" i="44"/>
  <c r="AX16" i="44"/>
  <c r="AD16" i="44"/>
  <c r="AC16" i="44"/>
  <c r="AB16" i="44"/>
  <c r="AA16" i="44"/>
  <c r="Z16" i="44"/>
  <c r="Y16" i="44"/>
  <c r="X16" i="44"/>
  <c r="W16" i="44"/>
  <c r="V16" i="44"/>
  <c r="U16" i="44"/>
  <c r="BG15" i="44"/>
  <c r="BF15" i="44"/>
  <c r="BE15" i="44"/>
  <c r="BD15" i="44"/>
  <c r="BC15" i="44"/>
  <c r="BB15" i="44"/>
  <c r="BA15" i="44"/>
  <c r="AZ15" i="44"/>
  <c r="AY15" i="44"/>
  <c r="AX15" i="44"/>
  <c r="AD15" i="44"/>
  <c r="AC15" i="44"/>
  <c r="AB15" i="44"/>
  <c r="AA15" i="44"/>
  <c r="Z15" i="44"/>
  <c r="Y15" i="44"/>
  <c r="X15" i="44"/>
  <c r="W15" i="44"/>
  <c r="V15" i="44"/>
  <c r="U15" i="44"/>
  <c r="BG14" i="44"/>
  <c r="BF14" i="44"/>
  <c r="BE14" i="44"/>
  <c r="BD14" i="44"/>
  <c r="BC14" i="44"/>
  <c r="BB14" i="44"/>
  <c r="BA14" i="44"/>
  <c r="AZ14" i="44"/>
  <c r="AY14" i="44"/>
  <c r="AX14" i="44"/>
  <c r="AD14" i="44"/>
  <c r="AC14" i="44"/>
  <c r="AB14" i="44"/>
  <c r="AA14" i="44"/>
  <c r="Z14" i="44"/>
  <c r="Y14" i="44"/>
  <c r="X14" i="44"/>
  <c r="W14" i="44"/>
  <c r="V14" i="44"/>
  <c r="U14" i="44"/>
  <c r="BG13" i="44"/>
  <c r="BF13" i="44"/>
  <c r="BE13" i="44"/>
  <c r="BD13" i="44"/>
  <c r="BC13" i="44"/>
  <c r="BB13" i="44"/>
  <c r="BA13" i="44"/>
  <c r="AZ13" i="44"/>
  <c r="AY13" i="44"/>
  <c r="AX13" i="44"/>
  <c r="O13" i="44"/>
  <c r="N13" i="44"/>
  <c r="M13" i="44"/>
  <c r="L13" i="44"/>
  <c r="K13" i="44"/>
  <c r="J13" i="44"/>
  <c r="I13" i="44"/>
  <c r="H13" i="44"/>
  <c r="G13" i="44"/>
  <c r="F13" i="44"/>
  <c r="AU12" i="44"/>
  <c r="AT12" i="44"/>
  <c r="AS12" i="44"/>
  <c r="AR12" i="44"/>
  <c r="AQ12" i="44"/>
  <c r="AP12" i="44"/>
  <c r="AO12" i="44"/>
  <c r="AN12" i="44"/>
  <c r="AM12" i="44"/>
  <c r="AL12" i="44"/>
  <c r="AF12" i="44"/>
  <c r="BG63" i="12"/>
  <c r="BF63" i="12"/>
  <c r="BE63" i="12"/>
  <c r="BD63" i="12"/>
  <c r="BC63" i="12"/>
  <c r="BB63" i="12"/>
  <c r="BA63" i="12"/>
  <c r="AZ63" i="12"/>
  <c r="AY63" i="12"/>
  <c r="AX63" i="12"/>
  <c r="AV63" i="12"/>
  <c r="BN63" i="12" s="1"/>
  <c r="AD63" i="12"/>
  <c r="AC63" i="12"/>
  <c r="AB63" i="12"/>
  <c r="AA63" i="12"/>
  <c r="Z63" i="12"/>
  <c r="Y63" i="12"/>
  <c r="X63" i="12"/>
  <c r="W63" i="12"/>
  <c r="V63" i="12"/>
  <c r="U63" i="12"/>
  <c r="BG62" i="12"/>
  <c r="BF62" i="12"/>
  <c r="BE62" i="12"/>
  <c r="BD62" i="12"/>
  <c r="BC62" i="12"/>
  <c r="BB62" i="12"/>
  <c r="BA62" i="12"/>
  <c r="AZ62" i="12"/>
  <c r="AY62" i="12"/>
  <c r="AX62" i="12"/>
  <c r="AV62" i="12"/>
  <c r="AW62" i="12" s="1"/>
  <c r="AD62" i="12"/>
  <c r="AC62" i="12"/>
  <c r="AB62" i="12"/>
  <c r="AA62" i="12"/>
  <c r="Z62" i="12"/>
  <c r="Y62" i="12"/>
  <c r="X62" i="12"/>
  <c r="W62" i="12"/>
  <c r="V62" i="12"/>
  <c r="U62" i="12"/>
  <c r="BG61" i="12"/>
  <c r="BF61" i="12"/>
  <c r="BE61" i="12"/>
  <c r="BD61" i="12"/>
  <c r="BC61" i="12"/>
  <c r="BB61" i="12"/>
  <c r="BA61" i="12"/>
  <c r="AZ61" i="12"/>
  <c r="AY61" i="12"/>
  <c r="AX61" i="12"/>
  <c r="AV61" i="12"/>
  <c r="AW61" i="12" s="1"/>
  <c r="AD61" i="12"/>
  <c r="AC61" i="12"/>
  <c r="AB61" i="12"/>
  <c r="AA61" i="12"/>
  <c r="Z61" i="12"/>
  <c r="Y61" i="12"/>
  <c r="X61" i="12"/>
  <c r="W61" i="12"/>
  <c r="V61" i="12"/>
  <c r="U61" i="12"/>
  <c r="BG60" i="12"/>
  <c r="BF60" i="12"/>
  <c r="BE60" i="12"/>
  <c r="BD60" i="12"/>
  <c r="BC60" i="12"/>
  <c r="BB60" i="12"/>
  <c r="BA60" i="12"/>
  <c r="AZ60" i="12"/>
  <c r="AY60" i="12"/>
  <c r="AX60" i="12"/>
  <c r="AV60" i="12"/>
  <c r="BN60" i="12" s="1"/>
  <c r="AD60" i="12"/>
  <c r="AC60" i="12"/>
  <c r="AB60" i="12"/>
  <c r="AA60" i="12"/>
  <c r="Z60" i="12"/>
  <c r="Y60" i="12"/>
  <c r="X60" i="12"/>
  <c r="W60" i="12"/>
  <c r="V60" i="12"/>
  <c r="U60" i="12"/>
  <c r="BG59" i="12"/>
  <c r="BF59" i="12"/>
  <c r="BE59" i="12"/>
  <c r="BD59" i="12"/>
  <c r="BC59" i="12"/>
  <c r="BB59" i="12"/>
  <c r="BA59" i="12"/>
  <c r="AZ59" i="12"/>
  <c r="AY59" i="12"/>
  <c r="AX59" i="12"/>
  <c r="AV59" i="12"/>
  <c r="BN59" i="12" s="1"/>
  <c r="AD59" i="12"/>
  <c r="AC59" i="12"/>
  <c r="AB59" i="12"/>
  <c r="AA59" i="12"/>
  <c r="Z59" i="12"/>
  <c r="Y59" i="12"/>
  <c r="X59" i="12"/>
  <c r="W59" i="12"/>
  <c r="V59" i="12"/>
  <c r="U59" i="12"/>
  <c r="BG58" i="12"/>
  <c r="BF58" i="12"/>
  <c r="BE58" i="12"/>
  <c r="BD58" i="12"/>
  <c r="BC58" i="12"/>
  <c r="BB58" i="12"/>
  <c r="BA58" i="12"/>
  <c r="AZ58" i="12"/>
  <c r="AY58" i="12"/>
  <c r="AX58" i="12"/>
  <c r="AV58" i="12"/>
  <c r="AW58" i="12" s="1"/>
  <c r="AD58" i="12"/>
  <c r="AC58" i="12"/>
  <c r="AB58" i="12"/>
  <c r="AA58" i="12"/>
  <c r="Z58" i="12"/>
  <c r="Y58" i="12"/>
  <c r="X58" i="12"/>
  <c r="W58" i="12"/>
  <c r="V58" i="12"/>
  <c r="U58" i="12"/>
  <c r="BG57" i="12"/>
  <c r="BF57" i="12"/>
  <c r="BE57" i="12"/>
  <c r="BD57" i="12"/>
  <c r="BC57" i="12"/>
  <c r="BB57" i="12"/>
  <c r="BA57" i="12"/>
  <c r="AZ57" i="12"/>
  <c r="AY57" i="12"/>
  <c r="AX57" i="12"/>
  <c r="AV57" i="12"/>
  <c r="AW57" i="12" s="1"/>
  <c r="AD57" i="12"/>
  <c r="AC57" i="12"/>
  <c r="AB57" i="12"/>
  <c r="AA57" i="12"/>
  <c r="Z57" i="12"/>
  <c r="Y57" i="12"/>
  <c r="X57" i="12"/>
  <c r="W57" i="12"/>
  <c r="V57" i="12"/>
  <c r="U57" i="12"/>
  <c r="BG56" i="12"/>
  <c r="BF56" i="12"/>
  <c r="BE56" i="12"/>
  <c r="BD56" i="12"/>
  <c r="BC56" i="12"/>
  <c r="BB56" i="12"/>
  <c r="BA56" i="12"/>
  <c r="AZ56" i="12"/>
  <c r="AY56" i="12"/>
  <c r="AX56" i="12"/>
  <c r="AV56" i="12"/>
  <c r="AW56" i="12" s="1"/>
  <c r="AD56" i="12"/>
  <c r="AC56" i="12"/>
  <c r="AB56" i="12"/>
  <c r="AA56" i="12"/>
  <c r="Z56" i="12"/>
  <c r="Y56" i="12"/>
  <c r="X56" i="12"/>
  <c r="W56" i="12"/>
  <c r="V56" i="12"/>
  <c r="U56" i="12"/>
  <c r="BG55" i="12"/>
  <c r="BF55" i="12"/>
  <c r="BE55" i="12"/>
  <c r="BD55" i="12"/>
  <c r="BC55" i="12"/>
  <c r="BB55" i="12"/>
  <c r="BA55" i="12"/>
  <c r="BI55" i="12" s="1"/>
  <c r="AZ55" i="12"/>
  <c r="AY55" i="12"/>
  <c r="AX55" i="12"/>
  <c r="AV55" i="12"/>
  <c r="BN55" i="12" s="1"/>
  <c r="AD55" i="12"/>
  <c r="AC55" i="12"/>
  <c r="AB55" i="12"/>
  <c r="AA55" i="12"/>
  <c r="Z55" i="12"/>
  <c r="Y55" i="12"/>
  <c r="X55" i="12"/>
  <c r="W55" i="12"/>
  <c r="V55" i="12"/>
  <c r="U55" i="12"/>
  <c r="BG54" i="12"/>
  <c r="BF54" i="12"/>
  <c r="BE54" i="12"/>
  <c r="BD54" i="12"/>
  <c r="BC54" i="12"/>
  <c r="BB54" i="12"/>
  <c r="BA54" i="12"/>
  <c r="AZ54" i="12"/>
  <c r="AY54" i="12"/>
  <c r="AX54" i="12"/>
  <c r="AV54" i="12"/>
  <c r="AW54" i="12" s="1"/>
  <c r="AD54" i="12"/>
  <c r="AC54" i="12"/>
  <c r="AB54" i="12"/>
  <c r="AA54" i="12"/>
  <c r="Z54" i="12"/>
  <c r="Y54" i="12"/>
  <c r="X54" i="12"/>
  <c r="W54" i="12"/>
  <c r="V54" i="12"/>
  <c r="U54" i="12"/>
  <c r="BG53" i="12"/>
  <c r="BF53" i="12"/>
  <c r="BE53" i="12"/>
  <c r="BD53" i="12"/>
  <c r="BC53" i="12"/>
  <c r="BB53" i="12"/>
  <c r="BA53" i="12"/>
  <c r="AZ53" i="12"/>
  <c r="AY53" i="12"/>
  <c r="AX53" i="12"/>
  <c r="AV53" i="12"/>
  <c r="AW53" i="12" s="1"/>
  <c r="AD53" i="12"/>
  <c r="AC53" i="12"/>
  <c r="AB53" i="12"/>
  <c r="AA53" i="12"/>
  <c r="Z53" i="12"/>
  <c r="Y53" i="12"/>
  <c r="X53" i="12"/>
  <c r="W53" i="12"/>
  <c r="V53" i="12"/>
  <c r="U53" i="12"/>
  <c r="BG52" i="12"/>
  <c r="BF52" i="12"/>
  <c r="BE52" i="12"/>
  <c r="BD52" i="12"/>
  <c r="BC52" i="12"/>
  <c r="BB52" i="12"/>
  <c r="BA52" i="12"/>
  <c r="AZ52" i="12"/>
  <c r="AY52" i="12"/>
  <c r="AX52" i="12"/>
  <c r="AV52" i="12"/>
  <c r="BN52" i="12" s="1"/>
  <c r="AD52" i="12"/>
  <c r="AC52" i="12"/>
  <c r="AB52" i="12"/>
  <c r="AA52" i="12"/>
  <c r="Z52" i="12"/>
  <c r="Y52" i="12"/>
  <c r="X52" i="12"/>
  <c r="AF52" i="12" s="1"/>
  <c r="W52" i="12"/>
  <c r="V52" i="12"/>
  <c r="U52" i="12"/>
  <c r="BG51" i="12"/>
  <c r="BF51" i="12"/>
  <c r="BE51" i="12"/>
  <c r="BD51" i="12"/>
  <c r="BC51" i="12"/>
  <c r="BB51" i="12"/>
  <c r="BA51" i="12"/>
  <c r="AZ51" i="12"/>
  <c r="AY51" i="12"/>
  <c r="AX51" i="12"/>
  <c r="AV51" i="12"/>
  <c r="BN51" i="12" s="1"/>
  <c r="AD51" i="12"/>
  <c r="AC51" i="12"/>
  <c r="AB51" i="12"/>
  <c r="AA51" i="12"/>
  <c r="Z51" i="12"/>
  <c r="Y51" i="12"/>
  <c r="X51" i="12"/>
  <c r="W51" i="12"/>
  <c r="V51" i="12"/>
  <c r="U51" i="12"/>
  <c r="BG50" i="12"/>
  <c r="BF50" i="12"/>
  <c r="BE50" i="12"/>
  <c r="BD50" i="12"/>
  <c r="BC50" i="12"/>
  <c r="BB50" i="12"/>
  <c r="BA50" i="12"/>
  <c r="AZ50" i="12"/>
  <c r="AY50" i="12"/>
  <c r="AX50" i="12"/>
  <c r="AD50" i="12"/>
  <c r="AC50" i="12"/>
  <c r="AB50" i="12"/>
  <c r="AA50" i="12"/>
  <c r="Z50" i="12"/>
  <c r="Y50" i="12"/>
  <c r="X50" i="12"/>
  <c r="W50" i="12"/>
  <c r="V50" i="12"/>
  <c r="U50" i="12"/>
  <c r="BG49" i="12"/>
  <c r="BF49" i="12"/>
  <c r="BE49" i="12"/>
  <c r="BD49" i="12"/>
  <c r="BC49" i="12"/>
  <c r="BB49" i="12"/>
  <c r="BA49" i="12"/>
  <c r="AZ49" i="12"/>
  <c r="AY49" i="12"/>
  <c r="AX49" i="12"/>
  <c r="AD49" i="12"/>
  <c r="AC49" i="12"/>
  <c r="AB49" i="12"/>
  <c r="AA49" i="12"/>
  <c r="Z49" i="12"/>
  <c r="Y49" i="12"/>
  <c r="X49" i="12"/>
  <c r="W49" i="12"/>
  <c r="V49" i="12"/>
  <c r="U49" i="12"/>
  <c r="BG48" i="12"/>
  <c r="BF48" i="12"/>
  <c r="BE48" i="12"/>
  <c r="BD48" i="12"/>
  <c r="BC48" i="12"/>
  <c r="BB48" i="12"/>
  <c r="BA48" i="12"/>
  <c r="AZ48" i="12"/>
  <c r="AY48" i="12"/>
  <c r="AX48" i="12"/>
  <c r="AD48" i="12"/>
  <c r="AC48" i="12"/>
  <c r="AB48" i="12"/>
  <c r="AA48" i="12"/>
  <c r="Z48" i="12"/>
  <c r="Y48" i="12"/>
  <c r="X48" i="12"/>
  <c r="W48" i="12"/>
  <c r="V48" i="12"/>
  <c r="U48" i="12"/>
  <c r="BG47" i="12"/>
  <c r="BF47" i="12"/>
  <c r="BE47" i="12"/>
  <c r="BD47" i="12"/>
  <c r="BC47" i="12"/>
  <c r="BB47" i="12"/>
  <c r="BA47" i="12"/>
  <c r="AZ47" i="12"/>
  <c r="AY47" i="12"/>
  <c r="AX47" i="12"/>
  <c r="AD47" i="12"/>
  <c r="AC47" i="12"/>
  <c r="AB47" i="12"/>
  <c r="AA47" i="12"/>
  <c r="Z47" i="12"/>
  <c r="Y47" i="12"/>
  <c r="X47" i="12"/>
  <c r="W47" i="12"/>
  <c r="V47" i="12"/>
  <c r="U47" i="12"/>
  <c r="BG46" i="12"/>
  <c r="BF46" i="12"/>
  <c r="BE46" i="12"/>
  <c r="BD46" i="12"/>
  <c r="BC46" i="12"/>
  <c r="BB46" i="12"/>
  <c r="BA46" i="12"/>
  <c r="AZ46" i="12"/>
  <c r="AY46" i="12"/>
  <c r="AX46" i="12"/>
  <c r="AD46" i="12"/>
  <c r="AC46" i="12"/>
  <c r="AB46" i="12"/>
  <c r="AA46" i="12"/>
  <c r="Z46" i="12"/>
  <c r="Y46" i="12"/>
  <c r="X46" i="12"/>
  <c r="W46" i="12"/>
  <c r="V46" i="12"/>
  <c r="U46" i="12"/>
  <c r="BG45" i="12"/>
  <c r="BF45" i="12"/>
  <c r="BE45" i="12"/>
  <c r="BD45" i="12"/>
  <c r="BC45" i="12"/>
  <c r="BB45" i="12"/>
  <c r="BA45" i="12"/>
  <c r="AZ45" i="12"/>
  <c r="AY45" i="12"/>
  <c r="AX45" i="12"/>
  <c r="AD45" i="12"/>
  <c r="AC45" i="12"/>
  <c r="AB45" i="12"/>
  <c r="AA45" i="12"/>
  <c r="Z45" i="12"/>
  <c r="Y45" i="12"/>
  <c r="X45" i="12"/>
  <c r="W45" i="12"/>
  <c r="V45" i="12"/>
  <c r="U45" i="12"/>
  <c r="BG44" i="12"/>
  <c r="BF44" i="12"/>
  <c r="BE44" i="12"/>
  <c r="BD44" i="12"/>
  <c r="BC44" i="12"/>
  <c r="BB44" i="12"/>
  <c r="BA44" i="12"/>
  <c r="AZ44" i="12"/>
  <c r="AY44" i="12"/>
  <c r="AX44" i="12"/>
  <c r="AD44" i="12"/>
  <c r="AC44" i="12"/>
  <c r="AB44" i="12"/>
  <c r="AA44" i="12"/>
  <c r="Z44" i="12"/>
  <c r="Y44" i="12"/>
  <c r="X44" i="12"/>
  <c r="W44" i="12"/>
  <c r="V44" i="12"/>
  <c r="U44" i="12"/>
  <c r="BG43" i="12"/>
  <c r="BF43" i="12"/>
  <c r="BE43" i="12"/>
  <c r="BD43" i="12"/>
  <c r="BC43" i="12"/>
  <c r="BB43" i="12"/>
  <c r="BA43" i="12"/>
  <c r="AZ43" i="12"/>
  <c r="AY43" i="12"/>
  <c r="AX43" i="12"/>
  <c r="AD43" i="12"/>
  <c r="AC43" i="12"/>
  <c r="AB43" i="12"/>
  <c r="AA43" i="12"/>
  <c r="Z43" i="12"/>
  <c r="Y43" i="12"/>
  <c r="X43" i="12"/>
  <c r="W43" i="12"/>
  <c r="V43" i="12"/>
  <c r="U43" i="12"/>
  <c r="BG42" i="12"/>
  <c r="BF42" i="12"/>
  <c r="BE42" i="12"/>
  <c r="BD42" i="12"/>
  <c r="BC42" i="12"/>
  <c r="BB42" i="12"/>
  <c r="BA42" i="12"/>
  <c r="AZ42" i="12"/>
  <c r="AY42" i="12"/>
  <c r="AX42" i="12"/>
  <c r="AD42" i="12"/>
  <c r="AC42" i="12"/>
  <c r="AB42" i="12"/>
  <c r="AA42" i="12"/>
  <c r="Z42" i="12"/>
  <c r="Y42" i="12"/>
  <c r="X42" i="12"/>
  <c r="W42" i="12"/>
  <c r="V42" i="12"/>
  <c r="U42" i="12"/>
  <c r="BG41" i="12"/>
  <c r="BF41" i="12"/>
  <c r="BE41" i="12"/>
  <c r="BD41" i="12"/>
  <c r="BC41" i="12"/>
  <c r="BB41" i="12"/>
  <c r="BA41" i="12"/>
  <c r="AZ41" i="12"/>
  <c r="AY41" i="12"/>
  <c r="AX41" i="12"/>
  <c r="AD41" i="12"/>
  <c r="AC41" i="12"/>
  <c r="AB41" i="12"/>
  <c r="AA41" i="12"/>
  <c r="Z41" i="12"/>
  <c r="Y41" i="12"/>
  <c r="X41" i="12"/>
  <c r="W41" i="12"/>
  <c r="V41" i="12"/>
  <c r="U41" i="12"/>
  <c r="BG40" i="12"/>
  <c r="BF40" i="12"/>
  <c r="BE40" i="12"/>
  <c r="BD40" i="12"/>
  <c r="BC40" i="12"/>
  <c r="BB40" i="12"/>
  <c r="BA40" i="12"/>
  <c r="AZ40" i="12"/>
  <c r="AY40" i="12"/>
  <c r="AX40" i="12"/>
  <c r="AD40" i="12"/>
  <c r="AC40" i="12"/>
  <c r="AB40" i="12"/>
  <c r="AA40" i="12"/>
  <c r="Z40" i="12"/>
  <c r="Y40" i="12"/>
  <c r="X40" i="12"/>
  <c r="W40" i="12"/>
  <c r="V40" i="12"/>
  <c r="U40" i="12"/>
  <c r="BG39" i="12"/>
  <c r="BF39" i="12"/>
  <c r="BE39" i="12"/>
  <c r="BD39" i="12"/>
  <c r="BC39" i="12"/>
  <c r="BB39" i="12"/>
  <c r="BA39" i="12"/>
  <c r="AZ39" i="12"/>
  <c r="AY39" i="12"/>
  <c r="AX39" i="12"/>
  <c r="AD39" i="12"/>
  <c r="AC39" i="12"/>
  <c r="AB39" i="12"/>
  <c r="AA39" i="12"/>
  <c r="Z39" i="12"/>
  <c r="Y39" i="12"/>
  <c r="X39" i="12"/>
  <c r="W39" i="12"/>
  <c r="V39" i="12"/>
  <c r="U39" i="12"/>
  <c r="BG38" i="12"/>
  <c r="BF38" i="12"/>
  <c r="BE38" i="12"/>
  <c r="BD38" i="12"/>
  <c r="BC38" i="12"/>
  <c r="BB38" i="12"/>
  <c r="BA38" i="12"/>
  <c r="AZ38" i="12"/>
  <c r="AY38" i="12"/>
  <c r="AX38" i="12"/>
  <c r="AD38" i="12"/>
  <c r="AC38" i="12"/>
  <c r="AB38" i="12"/>
  <c r="AA38" i="12"/>
  <c r="Z38" i="12"/>
  <c r="Y38" i="12"/>
  <c r="X38" i="12"/>
  <c r="W38" i="12"/>
  <c r="V38" i="12"/>
  <c r="U38" i="12"/>
  <c r="BG37" i="12"/>
  <c r="BF37" i="12"/>
  <c r="BE37" i="12"/>
  <c r="BD37" i="12"/>
  <c r="BC37" i="12"/>
  <c r="BB37" i="12"/>
  <c r="BA37" i="12"/>
  <c r="AZ37" i="12"/>
  <c r="AY37" i="12"/>
  <c r="AX37" i="12"/>
  <c r="AD37" i="12"/>
  <c r="AC37" i="12"/>
  <c r="AB37" i="12"/>
  <c r="AA37" i="12"/>
  <c r="Z37" i="12"/>
  <c r="Y37" i="12"/>
  <c r="X37" i="12"/>
  <c r="W37" i="12"/>
  <c r="V37" i="12"/>
  <c r="U37" i="12"/>
  <c r="BG36" i="12"/>
  <c r="BF36" i="12"/>
  <c r="BE36" i="12"/>
  <c r="BD36" i="12"/>
  <c r="BC36" i="12"/>
  <c r="BB36" i="12"/>
  <c r="BA36" i="12"/>
  <c r="AZ36" i="12"/>
  <c r="AY36" i="12"/>
  <c r="AX36" i="12"/>
  <c r="AD36" i="12"/>
  <c r="AC36" i="12"/>
  <c r="AB36" i="12"/>
  <c r="AA36" i="12"/>
  <c r="Z36" i="12"/>
  <c r="Y36" i="12"/>
  <c r="X36" i="12"/>
  <c r="W36" i="12"/>
  <c r="V36" i="12"/>
  <c r="U36" i="12"/>
  <c r="BG35" i="12"/>
  <c r="BF35" i="12"/>
  <c r="BE35" i="12"/>
  <c r="BD35" i="12"/>
  <c r="BC35" i="12"/>
  <c r="BB35" i="12"/>
  <c r="BA35" i="12"/>
  <c r="AZ35" i="12"/>
  <c r="AY35" i="12"/>
  <c r="AX35" i="12"/>
  <c r="AD35" i="12"/>
  <c r="AC35" i="12"/>
  <c r="AB35" i="12"/>
  <c r="AA35" i="12"/>
  <c r="Z35" i="12"/>
  <c r="Y35" i="12"/>
  <c r="X35" i="12"/>
  <c r="W35" i="12"/>
  <c r="V35" i="12"/>
  <c r="U35" i="12"/>
  <c r="BG34" i="12"/>
  <c r="BF34" i="12"/>
  <c r="BE34" i="12"/>
  <c r="BD34" i="12"/>
  <c r="BC34" i="12"/>
  <c r="BB34" i="12"/>
  <c r="BA34" i="12"/>
  <c r="AZ34" i="12"/>
  <c r="AY34" i="12"/>
  <c r="AX34" i="12"/>
  <c r="AD34" i="12"/>
  <c r="AC34" i="12"/>
  <c r="AB34" i="12"/>
  <c r="AA34" i="12"/>
  <c r="Z34" i="12"/>
  <c r="Y34" i="12"/>
  <c r="X34" i="12"/>
  <c r="W34" i="12"/>
  <c r="V34" i="12"/>
  <c r="U34" i="12"/>
  <c r="BG33" i="12"/>
  <c r="BF33" i="12"/>
  <c r="BE33" i="12"/>
  <c r="BD33" i="12"/>
  <c r="BC33" i="12"/>
  <c r="BB33" i="12"/>
  <c r="BA33" i="12"/>
  <c r="AZ33" i="12"/>
  <c r="AY33" i="12"/>
  <c r="AX33" i="12"/>
  <c r="AD33" i="12"/>
  <c r="AC33" i="12"/>
  <c r="AB33" i="12"/>
  <c r="AA33" i="12"/>
  <c r="Z33" i="12"/>
  <c r="Y33" i="12"/>
  <c r="X33" i="12"/>
  <c r="W33" i="12"/>
  <c r="V33" i="12"/>
  <c r="U33" i="12"/>
  <c r="BG32" i="12"/>
  <c r="BF32" i="12"/>
  <c r="BE32" i="12"/>
  <c r="BD32" i="12"/>
  <c r="BC32" i="12"/>
  <c r="BB32" i="12"/>
  <c r="BA32" i="12"/>
  <c r="AZ32" i="12"/>
  <c r="AY32" i="12"/>
  <c r="AX32" i="12"/>
  <c r="AD32" i="12"/>
  <c r="AC32" i="12"/>
  <c r="AB32" i="12"/>
  <c r="AA32" i="12"/>
  <c r="Z32" i="12"/>
  <c r="Y32" i="12"/>
  <c r="X32" i="12"/>
  <c r="W32" i="12"/>
  <c r="V32" i="12"/>
  <c r="U32" i="12"/>
  <c r="BG31" i="12"/>
  <c r="BF31" i="12"/>
  <c r="BE31" i="12"/>
  <c r="BD31" i="12"/>
  <c r="BC31" i="12"/>
  <c r="BB31" i="12"/>
  <c r="BA31" i="12"/>
  <c r="AZ31" i="12"/>
  <c r="AY31" i="12"/>
  <c r="AX31" i="12"/>
  <c r="AD31" i="12"/>
  <c r="AC31" i="12"/>
  <c r="AB31" i="12"/>
  <c r="AA31" i="12"/>
  <c r="Z31" i="12"/>
  <c r="Y31" i="12"/>
  <c r="X31" i="12"/>
  <c r="W31" i="12"/>
  <c r="V31" i="12"/>
  <c r="U31" i="12"/>
  <c r="BG30" i="12"/>
  <c r="BF30" i="12"/>
  <c r="BE30" i="12"/>
  <c r="BD30" i="12"/>
  <c r="BC30" i="12"/>
  <c r="BB30" i="12"/>
  <c r="BA30" i="12"/>
  <c r="AZ30" i="12"/>
  <c r="AY30" i="12"/>
  <c r="AX30" i="12"/>
  <c r="AD30" i="12"/>
  <c r="AC30" i="12"/>
  <c r="AB30" i="12"/>
  <c r="AA30" i="12"/>
  <c r="Z30" i="12"/>
  <c r="Y30" i="12"/>
  <c r="X30" i="12"/>
  <c r="W30" i="12"/>
  <c r="V30" i="12"/>
  <c r="U30" i="12"/>
  <c r="BG29" i="12"/>
  <c r="BF29" i="12"/>
  <c r="BE29" i="12"/>
  <c r="BD29" i="12"/>
  <c r="BC29" i="12"/>
  <c r="BB29" i="12"/>
  <c r="BA29" i="12"/>
  <c r="AZ29" i="12"/>
  <c r="AY29" i="12"/>
  <c r="AX29" i="12"/>
  <c r="AD29" i="12"/>
  <c r="AC29" i="12"/>
  <c r="AB29" i="12"/>
  <c r="AA29" i="12"/>
  <c r="Z29" i="12"/>
  <c r="Y29" i="12"/>
  <c r="X29" i="12"/>
  <c r="W29" i="12"/>
  <c r="V29" i="12"/>
  <c r="U29" i="12"/>
  <c r="BG28" i="12"/>
  <c r="BF28" i="12"/>
  <c r="BE28" i="12"/>
  <c r="BD28" i="12"/>
  <c r="BC28" i="12"/>
  <c r="BB28" i="12"/>
  <c r="BA28" i="12"/>
  <c r="AZ28" i="12"/>
  <c r="AY28" i="12"/>
  <c r="AX28" i="12"/>
  <c r="AD28" i="12"/>
  <c r="AC28" i="12"/>
  <c r="AB28" i="12"/>
  <c r="AA28" i="12"/>
  <c r="Z28" i="12"/>
  <c r="Y28" i="12"/>
  <c r="X28" i="12"/>
  <c r="W28" i="12"/>
  <c r="V28" i="12"/>
  <c r="U28" i="12"/>
  <c r="BG27" i="12"/>
  <c r="BF27" i="12"/>
  <c r="BE27" i="12"/>
  <c r="BD27" i="12"/>
  <c r="BC27" i="12"/>
  <c r="BB27" i="12"/>
  <c r="BA27" i="12"/>
  <c r="AZ27" i="12"/>
  <c r="AY27" i="12"/>
  <c r="AX27" i="12"/>
  <c r="AD27" i="12"/>
  <c r="AC27" i="12"/>
  <c r="AB27" i="12"/>
  <c r="AA27" i="12"/>
  <c r="Z27" i="12"/>
  <c r="Y27" i="12"/>
  <c r="X27" i="12"/>
  <c r="W27" i="12"/>
  <c r="V27" i="12"/>
  <c r="U27" i="12"/>
  <c r="BG26" i="12"/>
  <c r="BF26" i="12"/>
  <c r="BE26" i="12"/>
  <c r="BD26" i="12"/>
  <c r="BC26" i="12"/>
  <c r="BB26" i="12"/>
  <c r="BA26" i="12"/>
  <c r="AZ26" i="12"/>
  <c r="AY26" i="12"/>
  <c r="AX26" i="12"/>
  <c r="AD26" i="12"/>
  <c r="AC26" i="12"/>
  <c r="AB26" i="12"/>
  <c r="AA26" i="12"/>
  <c r="Z26" i="12"/>
  <c r="Y26" i="12"/>
  <c r="X26" i="12"/>
  <c r="W26" i="12"/>
  <c r="V26" i="12"/>
  <c r="U26" i="12"/>
  <c r="BG25" i="12"/>
  <c r="BF25" i="12"/>
  <c r="BE25" i="12"/>
  <c r="BD25" i="12"/>
  <c r="BC25" i="12"/>
  <c r="BB25" i="12"/>
  <c r="BA25" i="12"/>
  <c r="AZ25" i="12"/>
  <c r="AY25" i="12"/>
  <c r="AX25" i="12"/>
  <c r="AD25" i="12"/>
  <c r="AC25" i="12"/>
  <c r="AB25" i="12"/>
  <c r="AA25" i="12"/>
  <c r="Z25" i="12"/>
  <c r="Y25" i="12"/>
  <c r="X25" i="12"/>
  <c r="W25" i="12"/>
  <c r="V25" i="12"/>
  <c r="U25" i="12"/>
  <c r="BG24" i="12"/>
  <c r="BF24" i="12"/>
  <c r="BE24" i="12"/>
  <c r="BD24" i="12"/>
  <c r="BC24" i="12"/>
  <c r="BB24" i="12"/>
  <c r="BA24" i="12"/>
  <c r="AZ24" i="12"/>
  <c r="AY24" i="12"/>
  <c r="AX24" i="12"/>
  <c r="AD24" i="12"/>
  <c r="AC24" i="12"/>
  <c r="AB24" i="12"/>
  <c r="AA24" i="12"/>
  <c r="Z24" i="12"/>
  <c r="Y24" i="12"/>
  <c r="X24" i="12"/>
  <c r="W24" i="12"/>
  <c r="V24" i="12"/>
  <c r="U24" i="12"/>
  <c r="BG23" i="12"/>
  <c r="BF23" i="12"/>
  <c r="BE23" i="12"/>
  <c r="BD23" i="12"/>
  <c r="BC23" i="12"/>
  <c r="BB23" i="12"/>
  <c r="BA23" i="12"/>
  <c r="AZ23" i="12"/>
  <c r="AY23" i="12"/>
  <c r="AX23" i="12"/>
  <c r="AD23" i="12"/>
  <c r="AC23" i="12"/>
  <c r="AB23" i="12"/>
  <c r="AA23" i="12"/>
  <c r="Z23" i="12"/>
  <c r="Y23" i="12"/>
  <c r="X23" i="12"/>
  <c r="W23" i="12"/>
  <c r="V23" i="12"/>
  <c r="U23" i="12"/>
  <c r="BG22" i="12"/>
  <c r="BF22" i="12"/>
  <c r="BE22" i="12"/>
  <c r="BD22" i="12"/>
  <c r="BC22" i="12"/>
  <c r="BB22" i="12"/>
  <c r="BA22" i="12"/>
  <c r="AZ22" i="12"/>
  <c r="AY22" i="12"/>
  <c r="AX22" i="12"/>
  <c r="AD22" i="12"/>
  <c r="AC22" i="12"/>
  <c r="AB22" i="12"/>
  <c r="AA22" i="12"/>
  <c r="Z22" i="12"/>
  <c r="Y22" i="12"/>
  <c r="X22" i="12"/>
  <c r="W22" i="12"/>
  <c r="V22" i="12"/>
  <c r="U22" i="12"/>
  <c r="BG21" i="12"/>
  <c r="BF21" i="12"/>
  <c r="BE21" i="12"/>
  <c r="BD21" i="12"/>
  <c r="BC21" i="12"/>
  <c r="BB21" i="12"/>
  <c r="BA21" i="12"/>
  <c r="AZ21" i="12"/>
  <c r="AY21" i="12"/>
  <c r="AX21" i="12"/>
  <c r="AD21" i="12"/>
  <c r="AC21" i="12"/>
  <c r="AB21" i="12"/>
  <c r="AA21" i="12"/>
  <c r="Z21" i="12"/>
  <c r="Y21" i="12"/>
  <c r="X21" i="12"/>
  <c r="W21" i="12"/>
  <c r="V21" i="12"/>
  <c r="U21" i="12"/>
  <c r="BG20" i="12"/>
  <c r="BF20" i="12"/>
  <c r="BE20" i="12"/>
  <c r="BD20" i="12"/>
  <c r="BC20" i="12"/>
  <c r="BB20" i="12"/>
  <c r="BA20" i="12"/>
  <c r="AZ20" i="12"/>
  <c r="AY20" i="12"/>
  <c r="AX20" i="12"/>
  <c r="AD20" i="12"/>
  <c r="AC20" i="12"/>
  <c r="AB20" i="12"/>
  <c r="AA20" i="12"/>
  <c r="Z20" i="12"/>
  <c r="Y20" i="12"/>
  <c r="X20" i="12"/>
  <c r="W20" i="12"/>
  <c r="V20" i="12"/>
  <c r="U20" i="12"/>
  <c r="BG19" i="12"/>
  <c r="BF19" i="12"/>
  <c r="BE19" i="12"/>
  <c r="BD19" i="12"/>
  <c r="BC19" i="12"/>
  <c r="BB19" i="12"/>
  <c r="BA19" i="12"/>
  <c r="AZ19" i="12"/>
  <c r="AY19" i="12"/>
  <c r="AX19" i="12"/>
  <c r="AD19" i="12"/>
  <c r="AC19" i="12"/>
  <c r="AB19" i="12"/>
  <c r="AA19" i="12"/>
  <c r="Z19" i="12"/>
  <c r="Y19" i="12"/>
  <c r="X19" i="12"/>
  <c r="W19" i="12"/>
  <c r="V19" i="12"/>
  <c r="U19" i="12"/>
  <c r="BG18" i="12"/>
  <c r="BF18" i="12"/>
  <c r="BE18" i="12"/>
  <c r="BD18" i="12"/>
  <c r="BC18" i="12"/>
  <c r="BB18" i="12"/>
  <c r="BA18" i="12"/>
  <c r="AZ18" i="12"/>
  <c r="AY18" i="12"/>
  <c r="AX18" i="12"/>
  <c r="AD18" i="12"/>
  <c r="AC18" i="12"/>
  <c r="AB18" i="12"/>
  <c r="AA18" i="12"/>
  <c r="Z18" i="12"/>
  <c r="Y18" i="12"/>
  <c r="X18" i="12"/>
  <c r="W18" i="12"/>
  <c r="V18" i="12"/>
  <c r="U18" i="12"/>
  <c r="BG17" i="12"/>
  <c r="BF17" i="12"/>
  <c r="BE17" i="12"/>
  <c r="BD17" i="12"/>
  <c r="BC17" i="12"/>
  <c r="BB17" i="12"/>
  <c r="BA17" i="12"/>
  <c r="AZ17" i="12"/>
  <c r="AY17" i="12"/>
  <c r="AX17" i="12"/>
  <c r="AD17" i="12"/>
  <c r="AC17" i="12"/>
  <c r="AB17" i="12"/>
  <c r="AA17" i="12"/>
  <c r="Z17" i="12"/>
  <c r="Y17" i="12"/>
  <c r="X17" i="12"/>
  <c r="W17" i="12"/>
  <c r="V17" i="12"/>
  <c r="U17" i="12"/>
  <c r="BG16" i="12"/>
  <c r="BF16" i="12"/>
  <c r="BE16" i="12"/>
  <c r="BD16" i="12"/>
  <c r="BC16" i="12"/>
  <c r="BB16" i="12"/>
  <c r="BA16" i="12"/>
  <c r="AZ16" i="12"/>
  <c r="AY16" i="12"/>
  <c r="AX16" i="12"/>
  <c r="AD16" i="12"/>
  <c r="AC16" i="12"/>
  <c r="AB16" i="12"/>
  <c r="AA16" i="12"/>
  <c r="Z16" i="12"/>
  <c r="Y16" i="12"/>
  <c r="X16" i="12"/>
  <c r="W16" i="12"/>
  <c r="V16" i="12"/>
  <c r="U16" i="12"/>
  <c r="BG15" i="12"/>
  <c r="BF15" i="12"/>
  <c r="BE15" i="12"/>
  <c r="BD15" i="12"/>
  <c r="BC15" i="12"/>
  <c r="BB15" i="12"/>
  <c r="BA15" i="12"/>
  <c r="AZ15" i="12"/>
  <c r="AY15" i="12"/>
  <c r="AX15" i="12"/>
  <c r="AD15" i="12"/>
  <c r="AC15" i="12"/>
  <c r="AB15" i="12"/>
  <c r="AA15" i="12"/>
  <c r="Z15" i="12"/>
  <c r="Y15" i="12"/>
  <c r="X15" i="12"/>
  <c r="W15" i="12"/>
  <c r="V15" i="12"/>
  <c r="U15" i="12"/>
  <c r="BG14" i="12"/>
  <c r="BF14" i="12"/>
  <c r="BE14" i="12"/>
  <c r="BD14" i="12"/>
  <c r="BC14" i="12"/>
  <c r="BB14" i="12"/>
  <c r="BA14" i="12"/>
  <c r="AZ14" i="12"/>
  <c r="AY14" i="12"/>
  <c r="AX14" i="12"/>
  <c r="AD14" i="12"/>
  <c r="AC14" i="12"/>
  <c r="AB14" i="12"/>
  <c r="AA14" i="12"/>
  <c r="Z14" i="12"/>
  <c r="Y14" i="12"/>
  <c r="X14" i="12"/>
  <c r="W14" i="12"/>
  <c r="V14" i="12"/>
  <c r="U14" i="12"/>
  <c r="BG13" i="12"/>
  <c r="BF13" i="12"/>
  <c r="BE13" i="12"/>
  <c r="BD13" i="12"/>
  <c r="BC13" i="12"/>
  <c r="BB13" i="12"/>
  <c r="BA13" i="12"/>
  <c r="AZ13" i="12"/>
  <c r="AY13" i="12"/>
  <c r="AX13" i="12"/>
  <c r="O13" i="12"/>
  <c r="N13" i="12"/>
  <c r="M13" i="12"/>
  <c r="L13" i="12"/>
  <c r="K13" i="12"/>
  <c r="J13" i="12"/>
  <c r="I13" i="12"/>
  <c r="H13" i="12"/>
  <c r="G13" i="12"/>
  <c r="F13" i="12"/>
  <c r="AU12" i="12"/>
  <c r="AT12" i="12"/>
  <c r="AS12" i="12"/>
  <c r="AR12" i="12"/>
  <c r="AQ12" i="12"/>
  <c r="AP12" i="12"/>
  <c r="AO12" i="12"/>
  <c r="AN12" i="12"/>
  <c r="AM12" i="12"/>
  <c r="AL12" i="12"/>
  <c r="AF12" i="12"/>
  <c r="BG63" i="39"/>
  <c r="BF63" i="39"/>
  <c r="BE63" i="39"/>
  <c r="BD63" i="39"/>
  <c r="BC63" i="39"/>
  <c r="BB63" i="39"/>
  <c r="BA63" i="39"/>
  <c r="AZ63" i="39"/>
  <c r="AY63" i="39"/>
  <c r="AX63" i="39"/>
  <c r="AV63" i="39"/>
  <c r="AW63" i="39" s="1"/>
  <c r="AD63" i="39"/>
  <c r="AC63" i="39"/>
  <c r="AB63" i="39"/>
  <c r="AA63" i="39"/>
  <c r="Z63" i="39"/>
  <c r="Y63" i="39"/>
  <c r="X63" i="39"/>
  <c r="W63" i="39"/>
  <c r="P63" i="39" s="1"/>
  <c r="V63" i="39"/>
  <c r="U63" i="39"/>
  <c r="BG62" i="39"/>
  <c r="BF62" i="39"/>
  <c r="BE62" i="39"/>
  <c r="BD62" i="39"/>
  <c r="BC62" i="39"/>
  <c r="BB62" i="39"/>
  <c r="BA62" i="39"/>
  <c r="AZ62" i="39"/>
  <c r="AY62" i="39"/>
  <c r="AX62" i="39"/>
  <c r="AV62" i="39"/>
  <c r="AW62" i="39" s="1"/>
  <c r="AD62" i="39"/>
  <c r="AC62" i="39"/>
  <c r="AB62" i="39"/>
  <c r="AA62" i="39"/>
  <c r="Z62" i="39"/>
  <c r="Y62" i="39"/>
  <c r="X62" i="39"/>
  <c r="W62" i="39"/>
  <c r="V62" i="39"/>
  <c r="U62" i="39"/>
  <c r="BG61" i="39"/>
  <c r="BF61" i="39"/>
  <c r="BE61" i="39"/>
  <c r="BD61" i="39"/>
  <c r="BC61" i="39"/>
  <c r="BB61" i="39"/>
  <c r="BA61" i="39"/>
  <c r="AZ61" i="39"/>
  <c r="AY61" i="39"/>
  <c r="AX61" i="39"/>
  <c r="AV61" i="39"/>
  <c r="AW61" i="39" s="1"/>
  <c r="AD61" i="39"/>
  <c r="AC61" i="39"/>
  <c r="AB61" i="39"/>
  <c r="AA61" i="39"/>
  <c r="Z61" i="39"/>
  <c r="Y61" i="39"/>
  <c r="X61" i="39"/>
  <c r="W61" i="39"/>
  <c r="V61" i="39"/>
  <c r="U61" i="39"/>
  <c r="BG60" i="39"/>
  <c r="BF60" i="39"/>
  <c r="BE60" i="39"/>
  <c r="BD60" i="39"/>
  <c r="BC60" i="39"/>
  <c r="BB60" i="39"/>
  <c r="BA60" i="39"/>
  <c r="AZ60" i="39"/>
  <c r="AY60" i="39"/>
  <c r="AX60" i="39"/>
  <c r="AV60" i="39"/>
  <c r="BN60" i="39" s="1"/>
  <c r="AD60" i="39"/>
  <c r="AC60" i="39"/>
  <c r="AB60" i="39"/>
  <c r="AA60" i="39"/>
  <c r="Z60" i="39"/>
  <c r="Y60" i="39"/>
  <c r="X60" i="39"/>
  <c r="W60" i="39"/>
  <c r="V60" i="39"/>
  <c r="U60" i="39"/>
  <c r="BG59" i="39"/>
  <c r="BF59" i="39"/>
  <c r="BE59" i="39"/>
  <c r="BD59" i="39"/>
  <c r="BC59" i="39"/>
  <c r="BB59" i="39"/>
  <c r="BA59" i="39"/>
  <c r="AZ59" i="39"/>
  <c r="AY59" i="39"/>
  <c r="AX59" i="39"/>
  <c r="AV59" i="39"/>
  <c r="AW59" i="39" s="1"/>
  <c r="AD59" i="39"/>
  <c r="AC59" i="39"/>
  <c r="AB59" i="39"/>
  <c r="AA59" i="39"/>
  <c r="Z59" i="39"/>
  <c r="Y59" i="39"/>
  <c r="X59" i="39"/>
  <c r="W59" i="39"/>
  <c r="V59" i="39"/>
  <c r="U59" i="39"/>
  <c r="BG58" i="39"/>
  <c r="BF58" i="39"/>
  <c r="BE58" i="39"/>
  <c r="BD58" i="39"/>
  <c r="BC58" i="39"/>
  <c r="BB58" i="39"/>
  <c r="BA58" i="39"/>
  <c r="AZ58" i="39"/>
  <c r="AY58" i="39"/>
  <c r="AX58" i="39"/>
  <c r="AV58" i="39"/>
  <c r="AW58" i="39" s="1"/>
  <c r="AD58" i="39"/>
  <c r="AC58" i="39"/>
  <c r="AB58" i="39"/>
  <c r="AA58" i="39"/>
  <c r="Z58" i="39"/>
  <c r="Y58" i="39"/>
  <c r="X58" i="39"/>
  <c r="W58" i="39"/>
  <c r="V58" i="39"/>
  <c r="U58" i="39"/>
  <c r="BG57" i="39"/>
  <c r="BF57" i="39"/>
  <c r="BE57" i="39"/>
  <c r="BD57" i="39"/>
  <c r="BC57" i="39"/>
  <c r="BB57" i="39"/>
  <c r="BA57" i="39"/>
  <c r="AZ57" i="39"/>
  <c r="AY57" i="39"/>
  <c r="AX57" i="39"/>
  <c r="AV57" i="39"/>
  <c r="AD57" i="39"/>
  <c r="AC57" i="39"/>
  <c r="AB57" i="39"/>
  <c r="AA57" i="39"/>
  <c r="Z57" i="39"/>
  <c r="Y57" i="39"/>
  <c r="X57" i="39"/>
  <c r="W57" i="39"/>
  <c r="V57" i="39"/>
  <c r="U57" i="39"/>
  <c r="BG56" i="39"/>
  <c r="BF56" i="39"/>
  <c r="BE56" i="39"/>
  <c r="BD56" i="39"/>
  <c r="BC56" i="39"/>
  <c r="BB56" i="39"/>
  <c r="BA56" i="39"/>
  <c r="AZ56" i="39"/>
  <c r="AY56" i="39"/>
  <c r="AX56" i="39"/>
  <c r="AV56" i="39"/>
  <c r="BN56" i="39" s="1"/>
  <c r="AD56" i="39"/>
  <c r="AC56" i="39"/>
  <c r="AB56" i="39"/>
  <c r="AA56" i="39"/>
  <c r="Z56" i="39"/>
  <c r="Y56" i="39"/>
  <c r="X56" i="39"/>
  <c r="W56" i="39"/>
  <c r="V56" i="39"/>
  <c r="U56" i="39"/>
  <c r="BG55" i="39"/>
  <c r="BF55" i="39"/>
  <c r="BE55" i="39"/>
  <c r="BD55" i="39"/>
  <c r="BC55" i="39"/>
  <c r="BB55" i="39"/>
  <c r="BA55" i="39"/>
  <c r="AZ55" i="39"/>
  <c r="AY55" i="39"/>
  <c r="AX55" i="39"/>
  <c r="AV55" i="39"/>
  <c r="AW55" i="39" s="1"/>
  <c r="AD55" i="39"/>
  <c r="AC55" i="39"/>
  <c r="AB55" i="39"/>
  <c r="AA55" i="39"/>
  <c r="Z55" i="39"/>
  <c r="Y55" i="39"/>
  <c r="X55" i="39"/>
  <c r="W55" i="39"/>
  <c r="V55" i="39"/>
  <c r="U55" i="39"/>
  <c r="BG54" i="39"/>
  <c r="BF54" i="39"/>
  <c r="BE54" i="39"/>
  <c r="BD54" i="39"/>
  <c r="BC54" i="39"/>
  <c r="BB54" i="39"/>
  <c r="BA54" i="39"/>
  <c r="AZ54" i="39"/>
  <c r="AY54" i="39"/>
  <c r="AX54" i="39"/>
  <c r="AV54" i="39"/>
  <c r="AW54" i="39" s="1"/>
  <c r="AD54" i="39"/>
  <c r="AC54" i="39"/>
  <c r="AB54" i="39"/>
  <c r="AA54" i="39"/>
  <c r="Z54" i="39"/>
  <c r="Y54" i="39"/>
  <c r="X54" i="39"/>
  <c r="W54" i="39"/>
  <c r="V54" i="39"/>
  <c r="U54" i="39"/>
  <c r="BG53" i="39"/>
  <c r="BF53" i="39"/>
  <c r="BE53" i="39"/>
  <c r="BD53" i="39"/>
  <c r="BC53" i="39"/>
  <c r="BB53" i="39"/>
  <c r="BA53" i="39"/>
  <c r="AZ53" i="39"/>
  <c r="AY53" i="39"/>
  <c r="AX53" i="39"/>
  <c r="AV53" i="39"/>
  <c r="AD53" i="39"/>
  <c r="AC53" i="39"/>
  <c r="AB53" i="39"/>
  <c r="AA53" i="39"/>
  <c r="Z53" i="39"/>
  <c r="Y53" i="39"/>
  <c r="X53" i="39"/>
  <c r="W53" i="39"/>
  <c r="V53" i="39"/>
  <c r="U53" i="39"/>
  <c r="BG52" i="39"/>
  <c r="BF52" i="39"/>
  <c r="BE52" i="39"/>
  <c r="BD52" i="39"/>
  <c r="BC52" i="39"/>
  <c r="BB52" i="39"/>
  <c r="BA52" i="39"/>
  <c r="AZ52" i="39"/>
  <c r="AY52" i="39"/>
  <c r="AX52" i="39"/>
  <c r="AV52" i="39"/>
  <c r="BN52" i="39" s="1"/>
  <c r="AD52" i="39"/>
  <c r="AC52" i="39"/>
  <c r="AB52" i="39"/>
  <c r="AA52" i="39"/>
  <c r="Z52" i="39"/>
  <c r="Y52" i="39"/>
  <c r="X52" i="39"/>
  <c r="W52" i="39"/>
  <c r="V52" i="39"/>
  <c r="U52" i="39"/>
  <c r="BG51" i="39"/>
  <c r="BF51" i="39"/>
  <c r="BE51" i="39"/>
  <c r="BD51" i="39"/>
  <c r="BC51" i="39"/>
  <c r="BB51" i="39"/>
  <c r="BA51" i="39"/>
  <c r="AZ51" i="39"/>
  <c r="AY51" i="39"/>
  <c r="AX51" i="39"/>
  <c r="AV51" i="39"/>
  <c r="AW51" i="39" s="1"/>
  <c r="AD51" i="39"/>
  <c r="AC51" i="39"/>
  <c r="AB51" i="39"/>
  <c r="AA51" i="39"/>
  <c r="Z51" i="39"/>
  <c r="Y51" i="39"/>
  <c r="X51" i="39"/>
  <c r="W51" i="39"/>
  <c r="V51" i="39"/>
  <c r="U51" i="39"/>
  <c r="BG50" i="39"/>
  <c r="BF50" i="39"/>
  <c r="BE50" i="39"/>
  <c r="BD50" i="39"/>
  <c r="BC50" i="39"/>
  <c r="BB50" i="39"/>
  <c r="BA50" i="39"/>
  <c r="AZ50" i="39"/>
  <c r="AY50" i="39"/>
  <c r="AX50" i="39"/>
  <c r="AD50" i="39"/>
  <c r="AC50" i="39"/>
  <c r="AB50" i="39"/>
  <c r="AA50" i="39"/>
  <c r="Z50" i="39"/>
  <c r="Y50" i="39"/>
  <c r="X50" i="39"/>
  <c r="W50" i="39"/>
  <c r="V50" i="39"/>
  <c r="U50" i="39"/>
  <c r="BG49" i="39"/>
  <c r="BF49" i="39"/>
  <c r="BE49" i="39"/>
  <c r="BD49" i="39"/>
  <c r="BC49" i="39"/>
  <c r="BB49" i="39"/>
  <c r="BA49" i="39"/>
  <c r="AZ49" i="39"/>
  <c r="AY49" i="39"/>
  <c r="AX49" i="39"/>
  <c r="AD49" i="39"/>
  <c r="AC49" i="39"/>
  <c r="AB49" i="39"/>
  <c r="AA49" i="39"/>
  <c r="Z49" i="39"/>
  <c r="Y49" i="39"/>
  <c r="X49" i="39"/>
  <c r="W49" i="39"/>
  <c r="V49" i="39"/>
  <c r="U49" i="39"/>
  <c r="BG48" i="39"/>
  <c r="BF48" i="39"/>
  <c r="BE48" i="39"/>
  <c r="BD48" i="39"/>
  <c r="BC48" i="39"/>
  <c r="BB48" i="39"/>
  <c r="BA48" i="39"/>
  <c r="AZ48" i="39"/>
  <c r="AY48" i="39"/>
  <c r="AX48" i="39"/>
  <c r="AD48" i="39"/>
  <c r="AC48" i="39"/>
  <c r="AB48" i="39"/>
  <c r="AA48" i="39"/>
  <c r="Z48" i="39"/>
  <c r="Y48" i="39"/>
  <c r="X48" i="39"/>
  <c r="W48" i="39"/>
  <c r="V48" i="39"/>
  <c r="U48" i="39"/>
  <c r="BG47" i="39"/>
  <c r="BF47" i="39"/>
  <c r="BE47" i="39"/>
  <c r="BD47" i="39"/>
  <c r="BC47" i="39"/>
  <c r="BB47" i="39"/>
  <c r="BA47" i="39"/>
  <c r="AZ47" i="39"/>
  <c r="AY47" i="39"/>
  <c r="AX47" i="39"/>
  <c r="AD47" i="39"/>
  <c r="AC47" i="39"/>
  <c r="AB47" i="39"/>
  <c r="AA47" i="39"/>
  <c r="Z47" i="39"/>
  <c r="Y47" i="39"/>
  <c r="X47" i="39"/>
  <c r="W47" i="39"/>
  <c r="V47" i="39"/>
  <c r="U47" i="39"/>
  <c r="BG46" i="39"/>
  <c r="BF46" i="39"/>
  <c r="BE46" i="39"/>
  <c r="BD46" i="39"/>
  <c r="BC46" i="39"/>
  <c r="BB46" i="39"/>
  <c r="BA46" i="39"/>
  <c r="AZ46" i="39"/>
  <c r="AY46" i="39"/>
  <c r="AX46" i="39"/>
  <c r="AD46" i="39"/>
  <c r="AC46" i="39"/>
  <c r="AB46" i="39"/>
  <c r="AA46" i="39"/>
  <c r="Z46" i="39"/>
  <c r="Y46" i="39"/>
  <c r="X46" i="39"/>
  <c r="W46" i="39"/>
  <c r="V46" i="39"/>
  <c r="U46" i="39"/>
  <c r="BG45" i="39"/>
  <c r="BF45" i="39"/>
  <c r="BE45" i="39"/>
  <c r="BD45" i="39"/>
  <c r="BC45" i="39"/>
  <c r="BB45" i="39"/>
  <c r="BA45" i="39"/>
  <c r="AZ45" i="39"/>
  <c r="AY45" i="39"/>
  <c r="AX45" i="39"/>
  <c r="AD45" i="39"/>
  <c r="AC45" i="39"/>
  <c r="AB45" i="39"/>
  <c r="AA45" i="39"/>
  <c r="Z45" i="39"/>
  <c r="Y45" i="39"/>
  <c r="X45" i="39"/>
  <c r="W45" i="39"/>
  <c r="V45" i="39"/>
  <c r="U45" i="39"/>
  <c r="BG44" i="39"/>
  <c r="BF44" i="39"/>
  <c r="BE44" i="39"/>
  <c r="BD44" i="39"/>
  <c r="BC44" i="39"/>
  <c r="BB44" i="39"/>
  <c r="BA44" i="39"/>
  <c r="AZ44" i="39"/>
  <c r="AY44" i="39"/>
  <c r="AX44" i="39"/>
  <c r="AD44" i="39"/>
  <c r="AC44" i="39"/>
  <c r="AB44" i="39"/>
  <c r="AA44" i="39"/>
  <c r="Z44" i="39"/>
  <c r="Y44" i="39"/>
  <c r="X44" i="39"/>
  <c r="W44" i="39"/>
  <c r="V44" i="39"/>
  <c r="U44" i="39"/>
  <c r="BG43" i="39"/>
  <c r="BF43" i="39"/>
  <c r="BE43" i="39"/>
  <c r="BD43" i="39"/>
  <c r="BC43" i="39"/>
  <c r="BB43" i="39"/>
  <c r="BA43" i="39"/>
  <c r="AZ43" i="39"/>
  <c r="AY43" i="39"/>
  <c r="AX43" i="39"/>
  <c r="AD43" i="39"/>
  <c r="AC43" i="39"/>
  <c r="AB43" i="39"/>
  <c r="AA43" i="39"/>
  <c r="Z43" i="39"/>
  <c r="Y43" i="39"/>
  <c r="X43" i="39"/>
  <c r="W43" i="39"/>
  <c r="V43" i="39"/>
  <c r="U43" i="39"/>
  <c r="BG42" i="39"/>
  <c r="BF42" i="39"/>
  <c r="BE42" i="39"/>
  <c r="BD42" i="39"/>
  <c r="BC42" i="39"/>
  <c r="BB42" i="39"/>
  <c r="BA42" i="39"/>
  <c r="AZ42" i="39"/>
  <c r="AY42" i="39"/>
  <c r="AX42" i="39"/>
  <c r="AD42" i="39"/>
  <c r="AC42" i="39"/>
  <c r="AB42" i="39"/>
  <c r="AA42" i="39"/>
  <c r="Z42" i="39"/>
  <c r="Y42" i="39"/>
  <c r="X42" i="39"/>
  <c r="W42" i="39"/>
  <c r="V42" i="39"/>
  <c r="U42" i="39"/>
  <c r="BG41" i="39"/>
  <c r="BF41" i="39"/>
  <c r="BE41" i="39"/>
  <c r="BD41" i="39"/>
  <c r="BC41" i="39"/>
  <c r="BB41" i="39"/>
  <c r="BA41" i="39"/>
  <c r="AZ41" i="39"/>
  <c r="AY41" i="39"/>
  <c r="AX41" i="39"/>
  <c r="AD41" i="39"/>
  <c r="AC41" i="39"/>
  <c r="AB41" i="39"/>
  <c r="AA41" i="39"/>
  <c r="Z41" i="39"/>
  <c r="Y41" i="39"/>
  <c r="X41" i="39"/>
  <c r="W41" i="39"/>
  <c r="V41" i="39"/>
  <c r="U41" i="39"/>
  <c r="BG40" i="39"/>
  <c r="BF40" i="39"/>
  <c r="BE40" i="39"/>
  <c r="BD40" i="39"/>
  <c r="BC40" i="39"/>
  <c r="BB40" i="39"/>
  <c r="BA40" i="39"/>
  <c r="AZ40" i="39"/>
  <c r="AY40" i="39"/>
  <c r="AX40" i="39"/>
  <c r="AD40" i="39"/>
  <c r="AC40" i="39"/>
  <c r="AB40" i="39"/>
  <c r="AA40" i="39"/>
  <c r="Z40" i="39"/>
  <c r="Y40" i="39"/>
  <c r="X40" i="39"/>
  <c r="W40" i="39"/>
  <c r="V40" i="39"/>
  <c r="U40" i="39"/>
  <c r="BG39" i="39"/>
  <c r="BF39" i="39"/>
  <c r="BE39" i="39"/>
  <c r="BD39" i="39"/>
  <c r="BC39" i="39"/>
  <c r="BB39" i="39"/>
  <c r="BA39" i="39"/>
  <c r="AZ39" i="39"/>
  <c r="AY39" i="39"/>
  <c r="AX39" i="39"/>
  <c r="AD39" i="39"/>
  <c r="AC39" i="39"/>
  <c r="AB39" i="39"/>
  <c r="AA39" i="39"/>
  <c r="Z39" i="39"/>
  <c r="Y39" i="39"/>
  <c r="X39" i="39"/>
  <c r="W39" i="39"/>
  <c r="V39" i="39"/>
  <c r="U39" i="39"/>
  <c r="BG38" i="39"/>
  <c r="BF38" i="39"/>
  <c r="BE38" i="39"/>
  <c r="BD38" i="39"/>
  <c r="BC38" i="39"/>
  <c r="BB38" i="39"/>
  <c r="BA38" i="39"/>
  <c r="AZ38" i="39"/>
  <c r="AY38" i="39"/>
  <c r="AX38" i="39"/>
  <c r="AD38" i="39"/>
  <c r="AC38" i="39"/>
  <c r="AB38" i="39"/>
  <c r="AA38" i="39"/>
  <c r="Z38" i="39"/>
  <c r="Y38" i="39"/>
  <c r="X38" i="39"/>
  <c r="W38" i="39"/>
  <c r="V38" i="39"/>
  <c r="U38" i="39"/>
  <c r="BG37" i="39"/>
  <c r="BF37" i="39"/>
  <c r="BE37" i="39"/>
  <c r="BD37" i="39"/>
  <c r="BC37" i="39"/>
  <c r="BB37" i="39"/>
  <c r="BA37" i="39"/>
  <c r="AZ37" i="39"/>
  <c r="AY37" i="39"/>
  <c r="AX37" i="39"/>
  <c r="AD37" i="39"/>
  <c r="AC37" i="39"/>
  <c r="AB37" i="39"/>
  <c r="AA37" i="39"/>
  <c r="Z37" i="39"/>
  <c r="Y37" i="39"/>
  <c r="X37" i="39"/>
  <c r="W37" i="39"/>
  <c r="V37" i="39"/>
  <c r="U37" i="39"/>
  <c r="BG36" i="39"/>
  <c r="BF36" i="39"/>
  <c r="BE36" i="39"/>
  <c r="BD36" i="39"/>
  <c r="BC36" i="39"/>
  <c r="BB36" i="39"/>
  <c r="BA36" i="39"/>
  <c r="AZ36" i="39"/>
  <c r="AY36" i="39"/>
  <c r="AX36" i="39"/>
  <c r="AD36" i="39"/>
  <c r="AC36" i="39"/>
  <c r="AB36" i="39"/>
  <c r="AA36" i="39"/>
  <c r="Z36" i="39"/>
  <c r="Y36" i="39"/>
  <c r="X36" i="39"/>
  <c r="W36" i="39"/>
  <c r="V36" i="39"/>
  <c r="U36" i="39"/>
  <c r="BG35" i="39"/>
  <c r="BF35" i="39"/>
  <c r="BE35" i="39"/>
  <c r="BD35" i="39"/>
  <c r="BC35" i="39"/>
  <c r="BB35" i="39"/>
  <c r="BA35" i="39"/>
  <c r="AZ35" i="39"/>
  <c r="AY35" i="39"/>
  <c r="AX35" i="39"/>
  <c r="AD35" i="39"/>
  <c r="AC35" i="39"/>
  <c r="AB35" i="39"/>
  <c r="AA35" i="39"/>
  <c r="Z35" i="39"/>
  <c r="Y35" i="39"/>
  <c r="X35" i="39"/>
  <c r="W35" i="39"/>
  <c r="V35" i="39"/>
  <c r="U35" i="39"/>
  <c r="BG34" i="39"/>
  <c r="BF34" i="39"/>
  <c r="BE34" i="39"/>
  <c r="BD34" i="39"/>
  <c r="BC34" i="39"/>
  <c r="BB34" i="39"/>
  <c r="BA34" i="39"/>
  <c r="AZ34" i="39"/>
  <c r="AY34" i="39"/>
  <c r="AX34" i="39"/>
  <c r="AD34" i="39"/>
  <c r="AC34" i="39"/>
  <c r="AB34" i="39"/>
  <c r="AA34" i="39"/>
  <c r="Z34" i="39"/>
  <c r="Y34" i="39"/>
  <c r="X34" i="39"/>
  <c r="W34" i="39"/>
  <c r="V34" i="39"/>
  <c r="U34" i="39"/>
  <c r="BG33" i="39"/>
  <c r="BF33" i="39"/>
  <c r="BE33" i="39"/>
  <c r="BD33" i="39"/>
  <c r="BC33" i="39"/>
  <c r="BB33" i="39"/>
  <c r="BA33" i="39"/>
  <c r="AZ33" i="39"/>
  <c r="AY33" i="39"/>
  <c r="AX33" i="39"/>
  <c r="AD33" i="39"/>
  <c r="AC33" i="39"/>
  <c r="AB33" i="39"/>
  <c r="AA33" i="39"/>
  <c r="Z33" i="39"/>
  <c r="Y33" i="39"/>
  <c r="X33" i="39"/>
  <c r="W33" i="39"/>
  <c r="V33" i="39"/>
  <c r="U33" i="39"/>
  <c r="BG32" i="39"/>
  <c r="BF32" i="39"/>
  <c r="BE32" i="39"/>
  <c r="BD32" i="39"/>
  <c r="BC32" i="39"/>
  <c r="BB32" i="39"/>
  <c r="BA32" i="39"/>
  <c r="AZ32" i="39"/>
  <c r="AY32" i="39"/>
  <c r="AX32" i="39"/>
  <c r="AD32" i="39"/>
  <c r="AC32" i="39"/>
  <c r="AB32" i="39"/>
  <c r="AA32" i="39"/>
  <c r="Z32" i="39"/>
  <c r="Y32" i="39"/>
  <c r="X32" i="39"/>
  <c r="W32" i="39"/>
  <c r="V32" i="39"/>
  <c r="U32" i="39"/>
  <c r="BG31" i="39"/>
  <c r="BF31" i="39"/>
  <c r="BE31" i="39"/>
  <c r="BD31" i="39"/>
  <c r="BC31" i="39"/>
  <c r="BB31" i="39"/>
  <c r="BA31" i="39"/>
  <c r="AZ31" i="39"/>
  <c r="AY31" i="39"/>
  <c r="AX31" i="39"/>
  <c r="AD31" i="39"/>
  <c r="AC31" i="39"/>
  <c r="AB31" i="39"/>
  <c r="AA31" i="39"/>
  <c r="Z31" i="39"/>
  <c r="Y31" i="39"/>
  <c r="X31" i="39"/>
  <c r="W31" i="39"/>
  <c r="V31" i="39"/>
  <c r="U31" i="39"/>
  <c r="BG30" i="39"/>
  <c r="BF30" i="39"/>
  <c r="BE30" i="39"/>
  <c r="BD30" i="39"/>
  <c r="BC30" i="39"/>
  <c r="BB30" i="39"/>
  <c r="BA30" i="39"/>
  <c r="AZ30" i="39"/>
  <c r="AY30" i="39"/>
  <c r="AX30" i="39"/>
  <c r="AD30" i="39"/>
  <c r="AC30" i="39"/>
  <c r="AB30" i="39"/>
  <c r="AA30" i="39"/>
  <c r="Z30" i="39"/>
  <c r="Y30" i="39"/>
  <c r="X30" i="39"/>
  <c r="W30" i="39"/>
  <c r="V30" i="39"/>
  <c r="U30" i="39"/>
  <c r="BG29" i="39"/>
  <c r="BF29" i="39"/>
  <c r="BE29" i="39"/>
  <c r="BD29" i="39"/>
  <c r="BC29" i="39"/>
  <c r="BB29" i="39"/>
  <c r="BA29" i="39"/>
  <c r="AZ29" i="39"/>
  <c r="AY29" i="39"/>
  <c r="AX29" i="39"/>
  <c r="AD29" i="39"/>
  <c r="AC29" i="39"/>
  <c r="AB29" i="39"/>
  <c r="AA29" i="39"/>
  <c r="Z29" i="39"/>
  <c r="Y29" i="39"/>
  <c r="X29" i="39"/>
  <c r="W29" i="39"/>
  <c r="V29" i="39"/>
  <c r="U29" i="39"/>
  <c r="BG28" i="39"/>
  <c r="BF28" i="39"/>
  <c r="BE28" i="39"/>
  <c r="BD28" i="39"/>
  <c r="BC28" i="39"/>
  <c r="BB28" i="39"/>
  <c r="BA28" i="39"/>
  <c r="AZ28" i="39"/>
  <c r="AY28" i="39"/>
  <c r="AX28" i="39"/>
  <c r="AD28" i="39"/>
  <c r="AC28" i="39"/>
  <c r="AB28" i="39"/>
  <c r="AA28" i="39"/>
  <c r="Z28" i="39"/>
  <c r="Y28" i="39"/>
  <c r="X28" i="39"/>
  <c r="W28" i="39"/>
  <c r="V28" i="39"/>
  <c r="U28" i="39"/>
  <c r="BG27" i="39"/>
  <c r="BF27" i="39"/>
  <c r="BE27" i="39"/>
  <c r="BD27" i="39"/>
  <c r="BC27" i="39"/>
  <c r="BB27" i="39"/>
  <c r="BA27" i="39"/>
  <c r="AZ27" i="39"/>
  <c r="AY27" i="39"/>
  <c r="AX27" i="39"/>
  <c r="AD27" i="39"/>
  <c r="AC27" i="39"/>
  <c r="AB27" i="39"/>
  <c r="AA27" i="39"/>
  <c r="Z27" i="39"/>
  <c r="Y27" i="39"/>
  <c r="X27" i="39"/>
  <c r="W27" i="39"/>
  <c r="V27" i="39"/>
  <c r="U27" i="39"/>
  <c r="BG26" i="39"/>
  <c r="BF26" i="39"/>
  <c r="BE26" i="39"/>
  <c r="BD26" i="39"/>
  <c r="BC26" i="39"/>
  <c r="BB26" i="39"/>
  <c r="BA26" i="39"/>
  <c r="AZ26" i="39"/>
  <c r="AY26" i="39"/>
  <c r="AX26" i="39"/>
  <c r="AD26" i="39"/>
  <c r="AC26" i="39"/>
  <c r="AB26" i="39"/>
  <c r="AA26" i="39"/>
  <c r="Z26" i="39"/>
  <c r="Y26" i="39"/>
  <c r="X26" i="39"/>
  <c r="W26" i="39"/>
  <c r="V26" i="39"/>
  <c r="U26" i="39"/>
  <c r="BG25" i="39"/>
  <c r="BF25" i="39"/>
  <c r="BE25" i="39"/>
  <c r="BD25" i="39"/>
  <c r="BC25" i="39"/>
  <c r="BB25" i="39"/>
  <c r="BA25" i="39"/>
  <c r="AZ25" i="39"/>
  <c r="AY25" i="39"/>
  <c r="AX25" i="39"/>
  <c r="AD25" i="39"/>
  <c r="AC25" i="39"/>
  <c r="AB25" i="39"/>
  <c r="AA25" i="39"/>
  <c r="Z25" i="39"/>
  <c r="Y25" i="39"/>
  <c r="X25" i="39"/>
  <c r="W25" i="39"/>
  <c r="V25" i="39"/>
  <c r="U25" i="39"/>
  <c r="BG24" i="39"/>
  <c r="BF24" i="39"/>
  <c r="BE24" i="39"/>
  <c r="BD24" i="39"/>
  <c r="BC24" i="39"/>
  <c r="BB24" i="39"/>
  <c r="BA24" i="39"/>
  <c r="AZ24" i="39"/>
  <c r="AY24" i="39"/>
  <c r="AX24" i="39"/>
  <c r="AD24" i="39"/>
  <c r="AC24" i="39"/>
  <c r="AB24" i="39"/>
  <c r="AA24" i="39"/>
  <c r="Z24" i="39"/>
  <c r="Y24" i="39"/>
  <c r="X24" i="39"/>
  <c r="W24" i="39"/>
  <c r="V24" i="39"/>
  <c r="U24" i="39"/>
  <c r="BG23" i="39"/>
  <c r="BF23" i="39"/>
  <c r="BE23" i="39"/>
  <c r="BD23" i="39"/>
  <c r="BC23" i="39"/>
  <c r="BB23" i="39"/>
  <c r="BA23" i="39"/>
  <c r="AZ23" i="39"/>
  <c r="AY23" i="39"/>
  <c r="AX23" i="39"/>
  <c r="AD23" i="39"/>
  <c r="AC23" i="39"/>
  <c r="AB23" i="39"/>
  <c r="AA23" i="39"/>
  <c r="Z23" i="39"/>
  <c r="Y23" i="39"/>
  <c r="X23" i="39"/>
  <c r="W23" i="39"/>
  <c r="V23" i="39"/>
  <c r="U23" i="39"/>
  <c r="BG22" i="39"/>
  <c r="BF22" i="39"/>
  <c r="BE22" i="39"/>
  <c r="BD22" i="39"/>
  <c r="BC22" i="39"/>
  <c r="BB22" i="39"/>
  <c r="BA22" i="39"/>
  <c r="AZ22" i="39"/>
  <c r="AY22" i="39"/>
  <c r="AX22" i="39"/>
  <c r="AD22" i="39"/>
  <c r="AC22" i="39"/>
  <c r="AB22" i="39"/>
  <c r="AA22" i="39"/>
  <c r="Z22" i="39"/>
  <c r="Y22" i="39"/>
  <c r="X22" i="39"/>
  <c r="W22" i="39"/>
  <c r="V22" i="39"/>
  <c r="U22" i="39"/>
  <c r="BG21" i="39"/>
  <c r="BF21" i="39"/>
  <c r="BE21" i="39"/>
  <c r="BD21" i="39"/>
  <c r="BC21" i="39"/>
  <c r="BB21" i="39"/>
  <c r="BA21" i="39"/>
  <c r="AZ21" i="39"/>
  <c r="AY21" i="39"/>
  <c r="AX21" i="39"/>
  <c r="AD21" i="39"/>
  <c r="AC21" i="39"/>
  <c r="AB21" i="39"/>
  <c r="AA21" i="39"/>
  <c r="Z21" i="39"/>
  <c r="Y21" i="39"/>
  <c r="X21" i="39"/>
  <c r="W21" i="39"/>
  <c r="V21" i="39"/>
  <c r="U21" i="39"/>
  <c r="BG20" i="39"/>
  <c r="BF20" i="39"/>
  <c r="BE20" i="39"/>
  <c r="BD20" i="39"/>
  <c r="BC20" i="39"/>
  <c r="BB20" i="39"/>
  <c r="BA20" i="39"/>
  <c r="AZ20" i="39"/>
  <c r="AY20" i="39"/>
  <c r="AX20" i="39"/>
  <c r="AD20" i="39"/>
  <c r="AC20" i="39"/>
  <c r="AB20" i="39"/>
  <c r="AA20" i="39"/>
  <c r="Z20" i="39"/>
  <c r="Y20" i="39"/>
  <c r="X20" i="39"/>
  <c r="W20" i="39"/>
  <c r="V20" i="39"/>
  <c r="U20" i="39"/>
  <c r="BG19" i="39"/>
  <c r="BF19" i="39"/>
  <c r="BE19" i="39"/>
  <c r="BD19" i="39"/>
  <c r="BC19" i="39"/>
  <c r="BB19" i="39"/>
  <c r="BA19" i="39"/>
  <c r="AZ19" i="39"/>
  <c r="AY19" i="39"/>
  <c r="AX19" i="39"/>
  <c r="AD19" i="39"/>
  <c r="AC19" i="39"/>
  <c r="AB19" i="39"/>
  <c r="AA19" i="39"/>
  <c r="Z19" i="39"/>
  <c r="Y19" i="39"/>
  <c r="X19" i="39"/>
  <c r="W19" i="39"/>
  <c r="V19" i="39"/>
  <c r="U19" i="39"/>
  <c r="BG18" i="39"/>
  <c r="BF18" i="39"/>
  <c r="BE18" i="39"/>
  <c r="BD18" i="39"/>
  <c r="BC18" i="39"/>
  <c r="BB18" i="39"/>
  <c r="BA18" i="39"/>
  <c r="AZ18" i="39"/>
  <c r="AY18" i="39"/>
  <c r="AX18" i="39"/>
  <c r="AD18" i="39"/>
  <c r="AC18" i="39"/>
  <c r="AB18" i="39"/>
  <c r="AA18" i="39"/>
  <c r="Z18" i="39"/>
  <c r="Y18" i="39"/>
  <c r="X18" i="39"/>
  <c r="W18" i="39"/>
  <c r="V18" i="39"/>
  <c r="U18" i="39"/>
  <c r="BG17" i="39"/>
  <c r="BF17" i="39"/>
  <c r="BE17" i="39"/>
  <c r="BD17" i="39"/>
  <c r="BC17" i="39"/>
  <c r="BB17" i="39"/>
  <c r="BA17" i="39"/>
  <c r="AZ17" i="39"/>
  <c r="AY17" i="39"/>
  <c r="AX17" i="39"/>
  <c r="AD17" i="39"/>
  <c r="AC17" i="39"/>
  <c r="AB17" i="39"/>
  <c r="AA17" i="39"/>
  <c r="Z17" i="39"/>
  <c r="Y17" i="39"/>
  <c r="X17" i="39"/>
  <c r="W17" i="39"/>
  <c r="V17" i="39"/>
  <c r="U17" i="39"/>
  <c r="BG16" i="39"/>
  <c r="BF16" i="39"/>
  <c r="BE16" i="39"/>
  <c r="BD16" i="39"/>
  <c r="BC16" i="39"/>
  <c r="BB16" i="39"/>
  <c r="BA16" i="39"/>
  <c r="AZ16" i="39"/>
  <c r="AY16" i="39"/>
  <c r="AX16" i="39"/>
  <c r="AD16" i="39"/>
  <c r="AC16" i="39"/>
  <c r="AB16" i="39"/>
  <c r="AA16" i="39"/>
  <c r="Z16" i="39"/>
  <c r="Y16" i="39"/>
  <c r="X16" i="39"/>
  <c r="W16" i="39"/>
  <c r="V16" i="39"/>
  <c r="U16" i="39"/>
  <c r="BG15" i="39"/>
  <c r="BF15" i="39"/>
  <c r="BE15" i="39"/>
  <c r="BD15" i="39"/>
  <c r="BC15" i="39"/>
  <c r="BB15" i="39"/>
  <c r="BA15" i="39"/>
  <c r="AZ15" i="39"/>
  <c r="AY15" i="39"/>
  <c r="AX15" i="39"/>
  <c r="AD15" i="39"/>
  <c r="AC15" i="39"/>
  <c r="AB15" i="39"/>
  <c r="AA15" i="39"/>
  <c r="Z15" i="39"/>
  <c r="Y15" i="39"/>
  <c r="X15" i="39"/>
  <c r="W15" i="39"/>
  <c r="V15" i="39"/>
  <c r="U15" i="39"/>
  <c r="BG14" i="39"/>
  <c r="BF14" i="39"/>
  <c r="BE14" i="39"/>
  <c r="BD14" i="39"/>
  <c r="BC14" i="39"/>
  <c r="BB14" i="39"/>
  <c r="BA14" i="39"/>
  <c r="AZ14" i="39"/>
  <c r="AY14" i="39"/>
  <c r="AX14" i="39"/>
  <c r="AD14" i="39"/>
  <c r="AC14" i="39"/>
  <c r="AB14" i="39"/>
  <c r="AA14" i="39"/>
  <c r="Z14" i="39"/>
  <c r="Y14" i="39"/>
  <c r="X14" i="39"/>
  <c r="W14" i="39"/>
  <c r="V14" i="39"/>
  <c r="U14" i="39"/>
  <c r="BG13" i="39"/>
  <c r="BF13" i="39"/>
  <c r="BE13" i="39"/>
  <c r="BD13" i="39"/>
  <c r="BC13" i="39"/>
  <c r="BB13" i="39"/>
  <c r="BA13" i="39"/>
  <c r="AZ13" i="39"/>
  <c r="AY13" i="39"/>
  <c r="AX13" i="39"/>
  <c r="O13" i="39"/>
  <c r="N13" i="39"/>
  <c r="M13" i="39"/>
  <c r="L13" i="39"/>
  <c r="K13" i="39"/>
  <c r="J13" i="39"/>
  <c r="I13" i="39"/>
  <c r="H13" i="39"/>
  <c r="G13" i="39"/>
  <c r="F13" i="39"/>
  <c r="AU12" i="39"/>
  <c r="AT12" i="39"/>
  <c r="AS12" i="39"/>
  <c r="AR12" i="39"/>
  <c r="AQ12" i="39"/>
  <c r="AP12" i="39"/>
  <c r="AO12" i="39"/>
  <c r="AN12" i="39"/>
  <c r="AM12" i="39"/>
  <c r="AL12" i="39"/>
  <c r="AF12" i="39"/>
  <c r="BG63" i="38"/>
  <c r="BF63" i="38"/>
  <c r="BE63" i="38"/>
  <c r="BD63" i="38"/>
  <c r="BC63" i="38"/>
  <c r="BB63" i="38"/>
  <c r="BA63" i="38"/>
  <c r="AZ63" i="38"/>
  <c r="AY63" i="38"/>
  <c r="AX63" i="38"/>
  <c r="AV63" i="38"/>
  <c r="AW63" i="38" s="1"/>
  <c r="AD63" i="38"/>
  <c r="AC63" i="38"/>
  <c r="AB63" i="38"/>
  <c r="AA63" i="38"/>
  <c r="Z63" i="38"/>
  <c r="Y63" i="38"/>
  <c r="X63" i="38"/>
  <c r="W63" i="38"/>
  <c r="V63" i="38"/>
  <c r="U63" i="38"/>
  <c r="BG62" i="38"/>
  <c r="BF62" i="38"/>
  <c r="BE62" i="38"/>
  <c r="BD62" i="38"/>
  <c r="BC62" i="38"/>
  <c r="BB62" i="38"/>
  <c r="BA62" i="38"/>
  <c r="AZ62" i="38"/>
  <c r="AY62" i="38"/>
  <c r="AX62" i="38"/>
  <c r="AV62" i="38"/>
  <c r="BN62" i="38" s="1"/>
  <c r="AD62" i="38"/>
  <c r="AC62" i="38"/>
  <c r="AB62" i="38"/>
  <c r="AA62" i="38"/>
  <c r="Z62" i="38"/>
  <c r="Y62" i="38"/>
  <c r="X62" i="38"/>
  <c r="W62" i="38"/>
  <c r="V62" i="38"/>
  <c r="U62" i="38"/>
  <c r="BG61" i="38"/>
  <c r="BF61" i="38"/>
  <c r="BE61" i="38"/>
  <c r="BD61" i="38"/>
  <c r="BC61" i="38"/>
  <c r="BB61" i="38"/>
  <c r="BA61" i="38"/>
  <c r="AZ61" i="38"/>
  <c r="AY61" i="38"/>
  <c r="AX61" i="38"/>
  <c r="AV61" i="38"/>
  <c r="BN61" i="38" s="1"/>
  <c r="AD61" i="38"/>
  <c r="AC61" i="38"/>
  <c r="AB61" i="38"/>
  <c r="AA61" i="38"/>
  <c r="Z61" i="38"/>
  <c r="Y61" i="38"/>
  <c r="X61" i="38"/>
  <c r="W61" i="38"/>
  <c r="V61" i="38"/>
  <c r="U61" i="38"/>
  <c r="BG60" i="38"/>
  <c r="BF60" i="38"/>
  <c r="BE60" i="38"/>
  <c r="BD60" i="38"/>
  <c r="BC60" i="38"/>
  <c r="BB60" i="38"/>
  <c r="BA60" i="38"/>
  <c r="AZ60" i="38"/>
  <c r="AY60" i="38"/>
  <c r="AX60" i="38"/>
  <c r="AV60" i="38"/>
  <c r="AW60" i="38" s="1"/>
  <c r="AD60" i="38"/>
  <c r="AC60" i="38"/>
  <c r="AB60" i="38"/>
  <c r="AA60" i="38"/>
  <c r="Z60" i="38"/>
  <c r="Y60" i="38"/>
  <c r="X60" i="38"/>
  <c r="W60" i="38"/>
  <c r="V60" i="38"/>
  <c r="U60" i="38"/>
  <c r="BG59" i="38"/>
  <c r="BF59" i="38"/>
  <c r="BE59" i="38"/>
  <c r="BD59" i="38"/>
  <c r="BC59" i="38"/>
  <c r="BB59" i="38"/>
  <c r="BA59" i="38"/>
  <c r="AZ59" i="38"/>
  <c r="AY59" i="38"/>
  <c r="AX59" i="38"/>
  <c r="AV59" i="38"/>
  <c r="BN59" i="38" s="1"/>
  <c r="AD59" i="38"/>
  <c r="AC59" i="38"/>
  <c r="AB59" i="38"/>
  <c r="AA59" i="38"/>
  <c r="Z59" i="38"/>
  <c r="Y59" i="38"/>
  <c r="X59" i="38"/>
  <c r="W59" i="38"/>
  <c r="V59" i="38"/>
  <c r="U59" i="38"/>
  <c r="BG58" i="38"/>
  <c r="BF58" i="38"/>
  <c r="BE58" i="38"/>
  <c r="BD58" i="38"/>
  <c r="BC58" i="38"/>
  <c r="BB58" i="38"/>
  <c r="BA58" i="38"/>
  <c r="AZ58" i="38"/>
  <c r="AY58" i="38"/>
  <c r="AX58" i="38"/>
  <c r="AV58" i="38"/>
  <c r="BN58" i="38" s="1"/>
  <c r="AD58" i="38"/>
  <c r="AC58" i="38"/>
  <c r="AB58" i="38"/>
  <c r="AA58" i="38"/>
  <c r="Z58" i="38"/>
  <c r="Y58" i="38"/>
  <c r="X58" i="38"/>
  <c r="W58" i="38"/>
  <c r="V58" i="38"/>
  <c r="U58" i="38"/>
  <c r="BG57" i="38"/>
  <c r="BF57" i="38"/>
  <c r="BE57" i="38"/>
  <c r="BD57" i="38"/>
  <c r="BC57" i="38"/>
  <c r="BB57" i="38"/>
  <c r="BA57" i="38"/>
  <c r="AZ57" i="38"/>
  <c r="AY57" i="38"/>
  <c r="AX57" i="38"/>
  <c r="AV57" i="38"/>
  <c r="BN57" i="38" s="1"/>
  <c r="AD57" i="38"/>
  <c r="AC57" i="38"/>
  <c r="AB57" i="38"/>
  <c r="AA57" i="38"/>
  <c r="Z57" i="38"/>
  <c r="Y57" i="38"/>
  <c r="X57" i="38"/>
  <c r="W57" i="38"/>
  <c r="V57" i="38"/>
  <c r="U57" i="38"/>
  <c r="BG56" i="38"/>
  <c r="BF56" i="38"/>
  <c r="BE56" i="38"/>
  <c r="BD56" i="38"/>
  <c r="BC56" i="38"/>
  <c r="BB56" i="38"/>
  <c r="BA56" i="38"/>
  <c r="AZ56" i="38"/>
  <c r="AY56" i="38"/>
  <c r="AX56" i="38"/>
  <c r="AV56" i="38"/>
  <c r="AW56" i="38" s="1"/>
  <c r="AD56" i="38"/>
  <c r="AC56" i="38"/>
  <c r="AB56" i="38"/>
  <c r="AA56" i="38"/>
  <c r="Z56" i="38"/>
  <c r="Y56" i="38"/>
  <c r="X56" i="38"/>
  <c r="W56" i="38"/>
  <c r="V56" i="38"/>
  <c r="U56" i="38"/>
  <c r="BG55" i="38"/>
  <c r="BF55" i="38"/>
  <c r="BE55" i="38"/>
  <c r="BD55" i="38"/>
  <c r="BC55" i="38"/>
  <c r="BB55" i="38"/>
  <c r="BA55" i="38"/>
  <c r="AZ55" i="38"/>
  <c r="AY55" i="38"/>
  <c r="AX55" i="38"/>
  <c r="AV55" i="38"/>
  <c r="AW55" i="38" s="1"/>
  <c r="AD55" i="38"/>
  <c r="AC55" i="38"/>
  <c r="AB55" i="38"/>
  <c r="AA55" i="38"/>
  <c r="Z55" i="38"/>
  <c r="Y55" i="38"/>
  <c r="X55" i="38"/>
  <c r="W55" i="38"/>
  <c r="V55" i="38"/>
  <c r="U55" i="38"/>
  <c r="BG54" i="38"/>
  <c r="BF54" i="38"/>
  <c r="BE54" i="38"/>
  <c r="BD54" i="38"/>
  <c r="BC54" i="38"/>
  <c r="BB54" i="38"/>
  <c r="BA54" i="38"/>
  <c r="AZ54" i="38"/>
  <c r="AY54" i="38"/>
  <c r="AX54" i="38"/>
  <c r="AV54" i="38"/>
  <c r="BN54" i="38" s="1"/>
  <c r="AD54" i="38"/>
  <c r="AC54" i="38"/>
  <c r="AB54" i="38"/>
  <c r="AA54" i="38"/>
  <c r="Z54" i="38"/>
  <c r="Y54" i="38"/>
  <c r="X54" i="38"/>
  <c r="W54" i="38"/>
  <c r="V54" i="38"/>
  <c r="U54" i="38"/>
  <c r="BG53" i="38"/>
  <c r="BF53" i="38"/>
  <c r="BE53" i="38"/>
  <c r="BD53" i="38"/>
  <c r="BC53" i="38"/>
  <c r="BB53" i="38"/>
  <c r="BA53" i="38"/>
  <c r="AZ53" i="38"/>
  <c r="AY53" i="38"/>
  <c r="AX53" i="38"/>
  <c r="AV53" i="38"/>
  <c r="AW53" i="38" s="1"/>
  <c r="AD53" i="38"/>
  <c r="AC53" i="38"/>
  <c r="AB53" i="38"/>
  <c r="AA53" i="38"/>
  <c r="Z53" i="38"/>
  <c r="Y53" i="38"/>
  <c r="X53" i="38"/>
  <c r="W53" i="38"/>
  <c r="V53" i="38"/>
  <c r="U53" i="38"/>
  <c r="BG52" i="38"/>
  <c r="BF52" i="38"/>
  <c r="BE52" i="38"/>
  <c r="BD52" i="38"/>
  <c r="BC52" i="38"/>
  <c r="BB52" i="38"/>
  <c r="BA52" i="38"/>
  <c r="AZ52" i="38"/>
  <c r="AY52" i="38"/>
  <c r="AX52" i="38"/>
  <c r="AV52" i="38"/>
  <c r="AW52" i="38" s="1"/>
  <c r="AD52" i="38"/>
  <c r="AC52" i="38"/>
  <c r="AB52" i="38"/>
  <c r="AA52" i="38"/>
  <c r="Z52" i="38"/>
  <c r="Y52" i="38"/>
  <c r="X52" i="38"/>
  <c r="W52" i="38"/>
  <c r="V52" i="38"/>
  <c r="U52" i="38"/>
  <c r="BG51" i="38"/>
  <c r="BF51" i="38"/>
  <c r="BE51" i="38"/>
  <c r="BD51" i="38"/>
  <c r="BC51" i="38"/>
  <c r="BB51" i="38"/>
  <c r="BA51" i="38"/>
  <c r="AZ51" i="38"/>
  <c r="AY51" i="38"/>
  <c r="AX51" i="38"/>
  <c r="AV51" i="38"/>
  <c r="BN51" i="38" s="1"/>
  <c r="AD51" i="38"/>
  <c r="AC51" i="38"/>
  <c r="AB51" i="38"/>
  <c r="AA51" i="38"/>
  <c r="Z51" i="38"/>
  <c r="Y51" i="38"/>
  <c r="X51" i="38"/>
  <c r="W51" i="38"/>
  <c r="V51" i="38"/>
  <c r="U51" i="38"/>
  <c r="BG50" i="38"/>
  <c r="BF50" i="38"/>
  <c r="BE50" i="38"/>
  <c r="BD50" i="38"/>
  <c r="BC50" i="38"/>
  <c r="BB50" i="38"/>
  <c r="BA50" i="38"/>
  <c r="AZ50" i="38"/>
  <c r="AY50" i="38"/>
  <c r="AX50" i="38"/>
  <c r="AD50" i="38"/>
  <c r="AC50" i="38"/>
  <c r="AB50" i="38"/>
  <c r="AA50" i="38"/>
  <c r="Z50" i="38"/>
  <c r="Y50" i="38"/>
  <c r="X50" i="38"/>
  <c r="W50" i="38"/>
  <c r="V50" i="38"/>
  <c r="U50" i="38"/>
  <c r="BG49" i="38"/>
  <c r="BF49" i="38"/>
  <c r="BE49" i="38"/>
  <c r="BD49" i="38"/>
  <c r="BC49" i="38"/>
  <c r="BB49" i="38"/>
  <c r="BA49" i="38"/>
  <c r="AZ49" i="38"/>
  <c r="AY49" i="38"/>
  <c r="AX49" i="38"/>
  <c r="AD49" i="38"/>
  <c r="AC49" i="38"/>
  <c r="AB49" i="38"/>
  <c r="AA49" i="38"/>
  <c r="Z49" i="38"/>
  <c r="Y49" i="38"/>
  <c r="X49" i="38"/>
  <c r="W49" i="38"/>
  <c r="V49" i="38"/>
  <c r="U49" i="38"/>
  <c r="BG48" i="38"/>
  <c r="BF48" i="38"/>
  <c r="BE48" i="38"/>
  <c r="BD48" i="38"/>
  <c r="BC48" i="38"/>
  <c r="BB48" i="38"/>
  <c r="BA48" i="38"/>
  <c r="AZ48" i="38"/>
  <c r="AY48" i="38"/>
  <c r="AX48" i="38"/>
  <c r="AD48" i="38"/>
  <c r="AC48" i="38"/>
  <c r="AB48" i="38"/>
  <c r="AA48" i="38"/>
  <c r="Z48" i="38"/>
  <c r="Y48" i="38"/>
  <c r="X48" i="38"/>
  <c r="W48" i="38"/>
  <c r="V48" i="38"/>
  <c r="U48" i="38"/>
  <c r="BG47" i="38"/>
  <c r="BF47" i="38"/>
  <c r="BE47" i="38"/>
  <c r="BD47" i="38"/>
  <c r="BC47" i="38"/>
  <c r="BB47" i="38"/>
  <c r="BA47" i="38"/>
  <c r="AZ47" i="38"/>
  <c r="AY47" i="38"/>
  <c r="AX47" i="38"/>
  <c r="AD47" i="38"/>
  <c r="AC47" i="38"/>
  <c r="AB47" i="38"/>
  <c r="AA47" i="38"/>
  <c r="Z47" i="38"/>
  <c r="Y47" i="38"/>
  <c r="X47" i="38"/>
  <c r="W47" i="38"/>
  <c r="V47" i="38"/>
  <c r="U47" i="38"/>
  <c r="BG46" i="38"/>
  <c r="BF46" i="38"/>
  <c r="BE46" i="38"/>
  <c r="BD46" i="38"/>
  <c r="BC46" i="38"/>
  <c r="BB46" i="38"/>
  <c r="BA46" i="38"/>
  <c r="AZ46" i="38"/>
  <c r="AY46" i="38"/>
  <c r="AX46" i="38"/>
  <c r="AD46" i="38"/>
  <c r="AC46" i="38"/>
  <c r="AB46" i="38"/>
  <c r="AA46" i="38"/>
  <c r="Z46" i="38"/>
  <c r="Y46" i="38"/>
  <c r="X46" i="38"/>
  <c r="W46" i="38"/>
  <c r="V46" i="38"/>
  <c r="U46" i="38"/>
  <c r="BG45" i="38"/>
  <c r="BF45" i="38"/>
  <c r="BE45" i="38"/>
  <c r="BD45" i="38"/>
  <c r="BC45" i="38"/>
  <c r="BB45" i="38"/>
  <c r="BA45" i="38"/>
  <c r="AZ45" i="38"/>
  <c r="AY45" i="38"/>
  <c r="AX45" i="38"/>
  <c r="AD45" i="38"/>
  <c r="AC45" i="38"/>
  <c r="AB45" i="38"/>
  <c r="AA45" i="38"/>
  <c r="Z45" i="38"/>
  <c r="Y45" i="38"/>
  <c r="X45" i="38"/>
  <c r="W45" i="38"/>
  <c r="V45" i="38"/>
  <c r="U45" i="38"/>
  <c r="BG44" i="38"/>
  <c r="BF44" i="38"/>
  <c r="BE44" i="38"/>
  <c r="BD44" i="38"/>
  <c r="BC44" i="38"/>
  <c r="BB44" i="38"/>
  <c r="BA44" i="38"/>
  <c r="AZ44" i="38"/>
  <c r="AY44" i="38"/>
  <c r="AX44" i="38"/>
  <c r="AD44" i="38"/>
  <c r="AC44" i="38"/>
  <c r="AB44" i="38"/>
  <c r="AA44" i="38"/>
  <c r="Z44" i="38"/>
  <c r="Y44" i="38"/>
  <c r="X44" i="38"/>
  <c r="W44" i="38"/>
  <c r="V44" i="38"/>
  <c r="U44" i="38"/>
  <c r="BG43" i="38"/>
  <c r="BF43" i="38"/>
  <c r="BE43" i="38"/>
  <c r="BD43" i="38"/>
  <c r="BC43" i="38"/>
  <c r="BB43" i="38"/>
  <c r="BA43" i="38"/>
  <c r="AZ43" i="38"/>
  <c r="AY43" i="38"/>
  <c r="AX43" i="38"/>
  <c r="AD43" i="38"/>
  <c r="AC43" i="38"/>
  <c r="AB43" i="38"/>
  <c r="AA43" i="38"/>
  <c r="Z43" i="38"/>
  <c r="Y43" i="38"/>
  <c r="X43" i="38"/>
  <c r="W43" i="38"/>
  <c r="V43" i="38"/>
  <c r="U43" i="38"/>
  <c r="BG42" i="38"/>
  <c r="BF42" i="38"/>
  <c r="BE42" i="38"/>
  <c r="BD42" i="38"/>
  <c r="BC42" i="38"/>
  <c r="BB42" i="38"/>
  <c r="BA42" i="38"/>
  <c r="AZ42" i="38"/>
  <c r="AY42" i="38"/>
  <c r="AX42" i="38"/>
  <c r="AD42" i="38"/>
  <c r="AC42" i="38"/>
  <c r="AB42" i="38"/>
  <c r="AA42" i="38"/>
  <c r="Z42" i="38"/>
  <c r="Y42" i="38"/>
  <c r="X42" i="38"/>
  <c r="W42" i="38"/>
  <c r="V42" i="38"/>
  <c r="U42" i="38"/>
  <c r="BG41" i="38"/>
  <c r="BF41" i="38"/>
  <c r="BE41" i="38"/>
  <c r="BD41" i="38"/>
  <c r="BC41" i="38"/>
  <c r="BB41" i="38"/>
  <c r="BA41" i="38"/>
  <c r="AZ41" i="38"/>
  <c r="AY41" i="38"/>
  <c r="AX41" i="38"/>
  <c r="AD41" i="38"/>
  <c r="AC41" i="38"/>
  <c r="AB41" i="38"/>
  <c r="AA41" i="38"/>
  <c r="Z41" i="38"/>
  <c r="Y41" i="38"/>
  <c r="X41" i="38"/>
  <c r="W41" i="38"/>
  <c r="V41" i="38"/>
  <c r="U41" i="38"/>
  <c r="BG40" i="38"/>
  <c r="BF40" i="38"/>
  <c r="BE40" i="38"/>
  <c r="BD40" i="38"/>
  <c r="BC40" i="38"/>
  <c r="BB40" i="38"/>
  <c r="BA40" i="38"/>
  <c r="AZ40" i="38"/>
  <c r="AY40" i="38"/>
  <c r="AX40" i="38"/>
  <c r="AD40" i="38"/>
  <c r="AC40" i="38"/>
  <c r="AB40" i="38"/>
  <c r="AA40" i="38"/>
  <c r="Z40" i="38"/>
  <c r="Y40" i="38"/>
  <c r="X40" i="38"/>
  <c r="W40" i="38"/>
  <c r="V40" i="38"/>
  <c r="U40" i="38"/>
  <c r="BG39" i="38"/>
  <c r="BF39" i="38"/>
  <c r="BE39" i="38"/>
  <c r="BD39" i="38"/>
  <c r="BC39" i="38"/>
  <c r="BB39" i="38"/>
  <c r="BA39" i="38"/>
  <c r="AZ39" i="38"/>
  <c r="AY39" i="38"/>
  <c r="AX39" i="38"/>
  <c r="AD39" i="38"/>
  <c r="AC39" i="38"/>
  <c r="AB39" i="38"/>
  <c r="AA39" i="38"/>
  <c r="Z39" i="38"/>
  <c r="Y39" i="38"/>
  <c r="X39" i="38"/>
  <c r="W39" i="38"/>
  <c r="V39" i="38"/>
  <c r="U39" i="38"/>
  <c r="BG38" i="38"/>
  <c r="BF38" i="38"/>
  <c r="BE38" i="38"/>
  <c r="BD38" i="38"/>
  <c r="BC38" i="38"/>
  <c r="BB38" i="38"/>
  <c r="BA38" i="38"/>
  <c r="AZ38" i="38"/>
  <c r="AY38" i="38"/>
  <c r="AX38" i="38"/>
  <c r="AD38" i="38"/>
  <c r="AC38" i="38"/>
  <c r="AB38" i="38"/>
  <c r="AA38" i="38"/>
  <c r="Z38" i="38"/>
  <c r="Y38" i="38"/>
  <c r="X38" i="38"/>
  <c r="W38" i="38"/>
  <c r="V38" i="38"/>
  <c r="U38" i="38"/>
  <c r="BG37" i="38"/>
  <c r="BF37" i="38"/>
  <c r="BE37" i="38"/>
  <c r="BD37" i="38"/>
  <c r="BC37" i="38"/>
  <c r="BB37" i="38"/>
  <c r="BA37" i="38"/>
  <c r="AZ37" i="38"/>
  <c r="AY37" i="38"/>
  <c r="AX37" i="38"/>
  <c r="AD37" i="38"/>
  <c r="AC37" i="38"/>
  <c r="AB37" i="38"/>
  <c r="AA37" i="38"/>
  <c r="Z37" i="38"/>
  <c r="Y37" i="38"/>
  <c r="X37" i="38"/>
  <c r="W37" i="38"/>
  <c r="V37" i="38"/>
  <c r="U37" i="38"/>
  <c r="BG36" i="38"/>
  <c r="BF36" i="38"/>
  <c r="BE36" i="38"/>
  <c r="BD36" i="38"/>
  <c r="BC36" i="38"/>
  <c r="BB36" i="38"/>
  <c r="BA36" i="38"/>
  <c r="AZ36" i="38"/>
  <c r="AY36" i="38"/>
  <c r="AX36" i="38"/>
  <c r="AD36" i="38"/>
  <c r="AC36" i="38"/>
  <c r="AB36" i="38"/>
  <c r="AA36" i="38"/>
  <c r="Z36" i="38"/>
  <c r="Y36" i="38"/>
  <c r="X36" i="38"/>
  <c r="W36" i="38"/>
  <c r="V36" i="38"/>
  <c r="U36" i="38"/>
  <c r="BG35" i="38"/>
  <c r="BF35" i="38"/>
  <c r="BE35" i="38"/>
  <c r="BD35" i="38"/>
  <c r="BC35" i="38"/>
  <c r="BB35" i="38"/>
  <c r="BA35" i="38"/>
  <c r="AZ35" i="38"/>
  <c r="AY35" i="38"/>
  <c r="AX35" i="38"/>
  <c r="AD35" i="38"/>
  <c r="AC35" i="38"/>
  <c r="AB35" i="38"/>
  <c r="AA35" i="38"/>
  <c r="Z35" i="38"/>
  <c r="Y35" i="38"/>
  <c r="X35" i="38"/>
  <c r="W35" i="38"/>
  <c r="V35" i="38"/>
  <c r="U35" i="38"/>
  <c r="BG34" i="38"/>
  <c r="BF34" i="38"/>
  <c r="BE34" i="38"/>
  <c r="BD34" i="38"/>
  <c r="BC34" i="38"/>
  <c r="BB34" i="38"/>
  <c r="BA34" i="38"/>
  <c r="AZ34" i="38"/>
  <c r="AY34" i="38"/>
  <c r="AX34" i="38"/>
  <c r="AD34" i="38"/>
  <c r="AC34" i="38"/>
  <c r="AB34" i="38"/>
  <c r="AA34" i="38"/>
  <c r="Z34" i="38"/>
  <c r="Y34" i="38"/>
  <c r="X34" i="38"/>
  <c r="W34" i="38"/>
  <c r="V34" i="38"/>
  <c r="U34" i="38"/>
  <c r="BG33" i="38"/>
  <c r="BF33" i="38"/>
  <c r="BE33" i="38"/>
  <c r="BD33" i="38"/>
  <c r="BC33" i="38"/>
  <c r="BB33" i="38"/>
  <c r="BA33" i="38"/>
  <c r="AZ33" i="38"/>
  <c r="AY33" i="38"/>
  <c r="AX33" i="38"/>
  <c r="AD33" i="38"/>
  <c r="AC33" i="38"/>
  <c r="AB33" i="38"/>
  <c r="AA33" i="38"/>
  <c r="Z33" i="38"/>
  <c r="Y33" i="38"/>
  <c r="X33" i="38"/>
  <c r="W33" i="38"/>
  <c r="V33" i="38"/>
  <c r="U33" i="38"/>
  <c r="BG32" i="38"/>
  <c r="BF32" i="38"/>
  <c r="BE32" i="38"/>
  <c r="BD32" i="38"/>
  <c r="BC32" i="38"/>
  <c r="BB32" i="38"/>
  <c r="BA32" i="38"/>
  <c r="AZ32" i="38"/>
  <c r="AY32" i="38"/>
  <c r="AX32" i="38"/>
  <c r="AD32" i="38"/>
  <c r="AC32" i="38"/>
  <c r="AB32" i="38"/>
  <c r="AA32" i="38"/>
  <c r="Z32" i="38"/>
  <c r="Y32" i="38"/>
  <c r="X32" i="38"/>
  <c r="W32" i="38"/>
  <c r="V32" i="38"/>
  <c r="U32" i="38"/>
  <c r="BG31" i="38"/>
  <c r="BF31" i="38"/>
  <c r="BE31" i="38"/>
  <c r="BD31" i="38"/>
  <c r="BC31" i="38"/>
  <c r="BB31" i="38"/>
  <c r="BA31" i="38"/>
  <c r="AZ31" i="38"/>
  <c r="AY31" i="38"/>
  <c r="AX31" i="38"/>
  <c r="AD31" i="38"/>
  <c r="AC31" i="38"/>
  <c r="AB31" i="38"/>
  <c r="AA31" i="38"/>
  <c r="Z31" i="38"/>
  <c r="Y31" i="38"/>
  <c r="X31" i="38"/>
  <c r="W31" i="38"/>
  <c r="V31" i="38"/>
  <c r="U31" i="38"/>
  <c r="BG30" i="38"/>
  <c r="BF30" i="38"/>
  <c r="BE30" i="38"/>
  <c r="BD30" i="38"/>
  <c r="BC30" i="38"/>
  <c r="BB30" i="38"/>
  <c r="BA30" i="38"/>
  <c r="AZ30" i="38"/>
  <c r="AY30" i="38"/>
  <c r="AX30" i="38"/>
  <c r="AD30" i="38"/>
  <c r="AC30" i="38"/>
  <c r="AB30" i="38"/>
  <c r="AA30" i="38"/>
  <c r="Z30" i="38"/>
  <c r="Y30" i="38"/>
  <c r="X30" i="38"/>
  <c r="W30" i="38"/>
  <c r="V30" i="38"/>
  <c r="U30" i="38"/>
  <c r="BG29" i="38"/>
  <c r="BF29" i="38"/>
  <c r="BE29" i="38"/>
  <c r="BD29" i="38"/>
  <c r="BC29" i="38"/>
  <c r="BB29" i="38"/>
  <c r="BA29" i="38"/>
  <c r="AZ29" i="38"/>
  <c r="AY29" i="38"/>
  <c r="AX29" i="38"/>
  <c r="AD29" i="38"/>
  <c r="AC29" i="38"/>
  <c r="AB29" i="38"/>
  <c r="AA29" i="38"/>
  <c r="Z29" i="38"/>
  <c r="Y29" i="38"/>
  <c r="X29" i="38"/>
  <c r="W29" i="38"/>
  <c r="V29" i="38"/>
  <c r="U29" i="38"/>
  <c r="BG28" i="38"/>
  <c r="BF28" i="38"/>
  <c r="BE28" i="38"/>
  <c r="BD28" i="38"/>
  <c r="BC28" i="38"/>
  <c r="BB28" i="38"/>
  <c r="BA28" i="38"/>
  <c r="AZ28" i="38"/>
  <c r="AY28" i="38"/>
  <c r="AX28" i="38"/>
  <c r="AD28" i="38"/>
  <c r="AC28" i="38"/>
  <c r="AB28" i="38"/>
  <c r="AA28" i="38"/>
  <c r="Z28" i="38"/>
  <c r="Y28" i="38"/>
  <c r="X28" i="38"/>
  <c r="W28" i="38"/>
  <c r="V28" i="38"/>
  <c r="U28" i="38"/>
  <c r="BG27" i="38"/>
  <c r="BF27" i="38"/>
  <c r="BE27" i="38"/>
  <c r="BD27" i="38"/>
  <c r="BC27" i="38"/>
  <c r="BB27" i="38"/>
  <c r="BA27" i="38"/>
  <c r="AZ27" i="38"/>
  <c r="AY27" i="38"/>
  <c r="AX27" i="38"/>
  <c r="AD27" i="38"/>
  <c r="AC27" i="38"/>
  <c r="AB27" i="38"/>
  <c r="AA27" i="38"/>
  <c r="Z27" i="38"/>
  <c r="Y27" i="38"/>
  <c r="X27" i="38"/>
  <c r="W27" i="38"/>
  <c r="V27" i="38"/>
  <c r="U27" i="38"/>
  <c r="BG26" i="38"/>
  <c r="BF26" i="38"/>
  <c r="BE26" i="38"/>
  <c r="BD26" i="38"/>
  <c r="BC26" i="38"/>
  <c r="BB26" i="38"/>
  <c r="BA26" i="38"/>
  <c r="AZ26" i="38"/>
  <c r="AY26" i="38"/>
  <c r="AX26" i="38"/>
  <c r="AD26" i="38"/>
  <c r="AC26" i="38"/>
  <c r="AB26" i="38"/>
  <c r="AA26" i="38"/>
  <c r="Z26" i="38"/>
  <c r="Y26" i="38"/>
  <c r="X26" i="38"/>
  <c r="W26" i="38"/>
  <c r="V26" i="38"/>
  <c r="U26" i="38"/>
  <c r="BG25" i="38"/>
  <c r="BF25" i="38"/>
  <c r="BE25" i="38"/>
  <c r="BD25" i="38"/>
  <c r="BC25" i="38"/>
  <c r="BB25" i="38"/>
  <c r="BA25" i="38"/>
  <c r="AZ25" i="38"/>
  <c r="AY25" i="38"/>
  <c r="AX25" i="38"/>
  <c r="AD25" i="38"/>
  <c r="AC25" i="38"/>
  <c r="AB25" i="38"/>
  <c r="AA25" i="38"/>
  <c r="Z25" i="38"/>
  <c r="Y25" i="38"/>
  <c r="X25" i="38"/>
  <c r="W25" i="38"/>
  <c r="V25" i="38"/>
  <c r="U25" i="38"/>
  <c r="BG24" i="38"/>
  <c r="BF24" i="38"/>
  <c r="BE24" i="38"/>
  <c r="BD24" i="38"/>
  <c r="BC24" i="38"/>
  <c r="BB24" i="38"/>
  <c r="BA24" i="38"/>
  <c r="AZ24" i="38"/>
  <c r="AY24" i="38"/>
  <c r="AX24" i="38"/>
  <c r="AD24" i="38"/>
  <c r="AC24" i="38"/>
  <c r="AB24" i="38"/>
  <c r="AA24" i="38"/>
  <c r="Z24" i="38"/>
  <c r="Y24" i="38"/>
  <c r="X24" i="38"/>
  <c r="W24" i="38"/>
  <c r="V24" i="38"/>
  <c r="U24" i="38"/>
  <c r="BG23" i="38"/>
  <c r="BF23" i="38"/>
  <c r="BE23" i="38"/>
  <c r="BD23" i="38"/>
  <c r="BC23" i="38"/>
  <c r="BB23" i="38"/>
  <c r="BA23" i="38"/>
  <c r="AZ23" i="38"/>
  <c r="AY23" i="38"/>
  <c r="AX23" i="38"/>
  <c r="AD23" i="38"/>
  <c r="AC23" i="38"/>
  <c r="AB23" i="38"/>
  <c r="AA23" i="38"/>
  <c r="Z23" i="38"/>
  <c r="Y23" i="38"/>
  <c r="X23" i="38"/>
  <c r="W23" i="38"/>
  <c r="V23" i="38"/>
  <c r="U23" i="38"/>
  <c r="BG22" i="38"/>
  <c r="BF22" i="38"/>
  <c r="BE22" i="38"/>
  <c r="BD22" i="38"/>
  <c r="BC22" i="38"/>
  <c r="BB22" i="38"/>
  <c r="BA22" i="38"/>
  <c r="AZ22" i="38"/>
  <c r="AY22" i="38"/>
  <c r="AX22" i="38"/>
  <c r="AD22" i="38"/>
  <c r="AC22" i="38"/>
  <c r="AB22" i="38"/>
  <c r="AA22" i="38"/>
  <c r="Z22" i="38"/>
  <c r="Y22" i="38"/>
  <c r="X22" i="38"/>
  <c r="W22" i="38"/>
  <c r="V22" i="38"/>
  <c r="U22" i="38"/>
  <c r="BG21" i="38"/>
  <c r="BF21" i="38"/>
  <c r="BE21" i="38"/>
  <c r="BD21" i="38"/>
  <c r="BC21" i="38"/>
  <c r="BB21" i="38"/>
  <c r="BA21" i="38"/>
  <c r="AZ21" i="38"/>
  <c r="AY21" i="38"/>
  <c r="AX21" i="38"/>
  <c r="AD21" i="38"/>
  <c r="AC21" i="38"/>
  <c r="AB21" i="38"/>
  <c r="AA21" i="38"/>
  <c r="Z21" i="38"/>
  <c r="Y21" i="38"/>
  <c r="X21" i="38"/>
  <c r="W21" i="38"/>
  <c r="V21" i="38"/>
  <c r="U21" i="38"/>
  <c r="BG20" i="38"/>
  <c r="BF20" i="38"/>
  <c r="BE20" i="38"/>
  <c r="BD20" i="38"/>
  <c r="BC20" i="38"/>
  <c r="BB20" i="38"/>
  <c r="BA20" i="38"/>
  <c r="AZ20" i="38"/>
  <c r="AY20" i="38"/>
  <c r="AX20" i="38"/>
  <c r="AD20" i="38"/>
  <c r="AC20" i="38"/>
  <c r="AB20" i="38"/>
  <c r="AA20" i="38"/>
  <c r="Z20" i="38"/>
  <c r="Y20" i="38"/>
  <c r="X20" i="38"/>
  <c r="W20" i="38"/>
  <c r="V20" i="38"/>
  <c r="U20" i="38"/>
  <c r="BG19" i="38"/>
  <c r="BF19" i="38"/>
  <c r="BE19" i="38"/>
  <c r="BD19" i="38"/>
  <c r="BC19" i="38"/>
  <c r="BB19" i="38"/>
  <c r="BA19" i="38"/>
  <c r="AZ19" i="38"/>
  <c r="AY19" i="38"/>
  <c r="AX19" i="38"/>
  <c r="AD19" i="38"/>
  <c r="AC19" i="38"/>
  <c r="AB19" i="38"/>
  <c r="AA19" i="38"/>
  <c r="Z19" i="38"/>
  <c r="Y19" i="38"/>
  <c r="X19" i="38"/>
  <c r="W19" i="38"/>
  <c r="V19" i="38"/>
  <c r="U19" i="38"/>
  <c r="BG18" i="38"/>
  <c r="BF18" i="38"/>
  <c r="BE18" i="38"/>
  <c r="BD18" i="38"/>
  <c r="BC18" i="38"/>
  <c r="BB18" i="38"/>
  <c r="BA18" i="38"/>
  <c r="AZ18" i="38"/>
  <c r="AY18" i="38"/>
  <c r="AX18" i="38"/>
  <c r="AD18" i="38"/>
  <c r="AC18" i="38"/>
  <c r="AB18" i="38"/>
  <c r="AA18" i="38"/>
  <c r="Z18" i="38"/>
  <c r="Y18" i="38"/>
  <c r="X18" i="38"/>
  <c r="W18" i="38"/>
  <c r="V18" i="38"/>
  <c r="U18" i="38"/>
  <c r="BG17" i="38"/>
  <c r="BF17" i="38"/>
  <c r="BE17" i="38"/>
  <c r="BD17" i="38"/>
  <c r="BC17" i="38"/>
  <c r="BB17" i="38"/>
  <c r="BA17" i="38"/>
  <c r="AZ17" i="38"/>
  <c r="AY17" i="38"/>
  <c r="AX17" i="38"/>
  <c r="AD17" i="38"/>
  <c r="AC17" i="38"/>
  <c r="AB17" i="38"/>
  <c r="AA17" i="38"/>
  <c r="Z17" i="38"/>
  <c r="Y17" i="38"/>
  <c r="X17" i="38"/>
  <c r="W17" i="38"/>
  <c r="V17" i="38"/>
  <c r="U17" i="38"/>
  <c r="BG16" i="38"/>
  <c r="BF16" i="38"/>
  <c r="BE16" i="38"/>
  <c r="BD16" i="38"/>
  <c r="BC16" i="38"/>
  <c r="BB16" i="38"/>
  <c r="BA16" i="38"/>
  <c r="AZ16" i="38"/>
  <c r="AY16" i="38"/>
  <c r="AX16" i="38"/>
  <c r="AD16" i="38"/>
  <c r="AC16" i="38"/>
  <c r="AB16" i="38"/>
  <c r="AA16" i="38"/>
  <c r="Z16" i="38"/>
  <c r="Y16" i="38"/>
  <c r="X16" i="38"/>
  <c r="W16" i="38"/>
  <c r="V16" i="38"/>
  <c r="U16" i="38"/>
  <c r="BG15" i="38"/>
  <c r="BF15" i="38"/>
  <c r="BE15" i="38"/>
  <c r="BD15" i="38"/>
  <c r="BC15" i="38"/>
  <c r="BB15" i="38"/>
  <c r="BA15" i="38"/>
  <c r="AZ15" i="38"/>
  <c r="AY15" i="38"/>
  <c r="AX15" i="38"/>
  <c r="AD15" i="38"/>
  <c r="AC15" i="38"/>
  <c r="AB15" i="38"/>
  <c r="AA15" i="38"/>
  <c r="Z15" i="38"/>
  <c r="Y15" i="38"/>
  <c r="X15" i="38"/>
  <c r="W15" i="38"/>
  <c r="V15" i="38"/>
  <c r="U15" i="38"/>
  <c r="BG14" i="38"/>
  <c r="BF14" i="38"/>
  <c r="BE14" i="38"/>
  <c r="BD14" i="38"/>
  <c r="BC14" i="38"/>
  <c r="BB14" i="38"/>
  <c r="BA14" i="38"/>
  <c r="AZ14" i="38"/>
  <c r="AY14" i="38"/>
  <c r="AX14" i="38"/>
  <c r="AD14" i="38"/>
  <c r="AC14" i="38"/>
  <c r="AB14" i="38"/>
  <c r="AA14" i="38"/>
  <c r="Z14" i="38"/>
  <c r="Y14" i="38"/>
  <c r="X14" i="38"/>
  <c r="W14" i="38"/>
  <c r="V14" i="38"/>
  <c r="U14" i="38"/>
  <c r="BG13" i="38"/>
  <c r="BF13" i="38"/>
  <c r="BE13" i="38"/>
  <c r="BD13" i="38"/>
  <c r="BC13" i="38"/>
  <c r="BB13" i="38"/>
  <c r="BA13" i="38"/>
  <c r="AZ13" i="38"/>
  <c r="AY13" i="38"/>
  <c r="AX13" i="38"/>
  <c r="O13" i="38"/>
  <c r="N13" i="38"/>
  <c r="M13" i="38"/>
  <c r="L13" i="38"/>
  <c r="K13" i="38"/>
  <c r="J13" i="38"/>
  <c r="I13" i="38"/>
  <c r="H13" i="38"/>
  <c r="G13" i="38"/>
  <c r="F13" i="38"/>
  <c r="AU12" i="38"/>
  <c r="AT12" i="38"/>
  <c r="AS12" i="38"/>
  <c r="AR12" i="38"/>
  <c r="AQ12" i="38"/>
  <c r="AP12" i="38"/>
  <c r="AO12" i="38"/>
  <c r="AN12" i="38"/>
  <c r="AM12" i="38"/>
  <c r="AL12" i="38"/>
  <c r="AF12" i="38"/>
  <c r="BG63" i="37"/>
  <c r="BF63" i="37"/>
  <c r="BE63" i="37"/>
  <c r="BD63" i="37"/>
  <c r="BC63" i="37"/>
  <c r="BB63" i="37"/>
  <c r="BA63" i="37"/>
  <c r="AZ63" i="37"/>
  <c r="AY63" i="37"/>
  <c r="AX63" i="37"/>
  <c r="AV63" i="37"/>
  <c r="BN63" i="37" s="1"/>
  <c r="AD63" i="37"/>
  <c r="AC63" i="37"/>
  <c r="AB63" i="37"/>
  <c r="AA63" i="37"/>
  <c r="Z63" i="37"/>
  <c r="Y63" i="37"/>
  <c r="X63" i="37"/>
  <c r="W63" i="37"/>
  <c r="V63" i="37"/>
  <c r="U63" i="37"/>
  <c r="BG62" i="37"/>
  <c r="BF62" i="37"/>
  <c r="BE62" i="37"/>
  <c r="BD62" i="37"/>
  <c r="BC62" i="37"/>
  <c r="BB62" i="37"/>
  <c r="BA62" i="37"/>
  <c r="AZ62" i="37"/>
  <c r="AY62" i="37"/>
  <c r="AX62" i="37"/>
  <c r="AV62" i="37"/>
  <c r="AW62" i="37" s="1"/>
  <c r="AD62" i="37"/>
  <c r="AC62" i="37"/>
  <c r="AB62" i="37"/>
  <c r="AA62" i="37"/>
  <c r="Z62" i="37"/>
  <c r="Y62" i="37"/>
  <c r="X62" i="37"/>
  <c r="W62" i="37"/>
  <c r="V62" i="37"/>
  <c r="U62" i="37"/>
  <c r="BG61" i="37"/>
  <c r="BF61" i="37"/>
  <c r="BE61" i="37"/>
  <c r="BD61" i="37"/>
  <c r="BC61" i="37"/>
  <c r="BB61" i="37"/>
  <c r="BA61" i="37"/>
  <c r="AZ61" i="37"/>
  <c r="AY61" i="37"/>
  <c r="AX61" i="37"/>
  <c r="AV61" i="37"/>
  <c r="AD61" i="37"/>
  <c r="AC61" i="37"/>
  <c r="AB61" i="37"/>
  <c r="AA61" i="37"/>
  <c r="Z61" i="37"/>
  <c r="Y61" i="37"/>
  <c r="X61" i="37"/>
  <c r="W61" i="37"/>
  <c r="V61" i="37"/>
  <c r="U61" i="37"/>
  <c r="BG60" i="37"/>
  <c r="BF60" i="37"/>
  <c r="BE60" i="37"/>
  <c r="BD60" i="37"/>
  <c r="BC60" i="37"/>
  <c r="BB60" i="37"/>
  <c r="BA60" i="37"/>
  <c r="AZ60" i="37"/>
  <c r="AY60" i="37"/>
  <c r="AX60" i="37"/>
  <c r="AV60" i="37"/>
  <c r="AD60" i="37"/>
  <c r="AC60" i="37"/>
  <c r="AB60" i="37"/>
  <c r="AA60" i="37"/>
  <c r="Z60" i="37"/>
  <c r="Y60" i="37"/>
  <c r="X60" i="37"/>
  <c r="W60" i="37"/>
  <c r="V60" i="37"/>
  <c r="U60" i="37"/>
  <c r="BG59" i="37"/>
  <c r="BF59" i="37"/>
  <c r="BE59" i="37"/>
  <c r="BD59" i="37"/>
  <c r="BC59" i="37"/>
  <c r="BB59" i="37"/>
  <c r="BA59" i="37"/>
  <c r="AZ59" i="37"/>
  <c r="AY59" i="37"/>
  <c r="AX59" i="37"/>
  <c r="AV59" i="37"/>
  <c r="AD59" i="37"/>
  <c r="AC59" i="37"/>
  <c r="AB59" i="37"/>
  <c r="AA59" i="37"/>
  <c r="Z59" i="37"/>
  <c r="Y59" i="37"/>
  <c r="X59" i="37"/>
  <c r="W59" i="37"/>
  <c r="V59" i="37"/>
  <c r="U59" i="37"/>
  <c r="BG58" i="37"/>
  <c r="BF58" i="37"/>
  <c r="BE58" i="37"/>
  <c r="BD58" i="37"/>
  <c r="BC58" i="37"/>
  <c r="BB58" i="37"/>
  <c r="BA58" i="37"/>
  <c r="AZ58" i="37"/>
  <c r="AY58" i="37"/>
  <c r="AX58" i="37"/>
  <c r="AV58" i="37"/>
  <c r="AW58" i="37" s="1"/>
  <c r="AD58" i="37"/>
  <c r="AC58" i="37"/>
  <c r="AB58" i="37"/>
  <c r="AA58" i="37"/>
  <c r="Z58" i="37"/>
  <c r="Y58" i="37"/>
  <c r="X58" i="37"/>
  <c r="W58" i="37"/>
  <c r="V58" i="37"/>
  <c r="U58" i="37"/>
  <c r="BG57" i="37"/>
  <c r="BF57" i="37"/>
  <c r="BE57" i="37"/>
  <c r="BD57" i="37"/>
  <c r="BC57" i="37"/>
  <c r="BB57" i="37"/>
  <c r="BA57" i="37"/>
  <c r="AZ57" i="37"/>
  <c r="AY57" i="37"/>
  <c r="AX57" i="37"/>
  <c r="AV57" i="37"/>
  <c r="AW57" i="37" s="1"/>
  <c r="AD57" i="37"/>
  <c r="AC57" i="37"/>
  <c r="AB57" i="37"/>
  <c r="AA57" i="37"/>
  <c r="Z57" i="37"/>
  <c r="Y57" i="37"/>
  <c r="X57" i="37"/>
  <c r="W57" i="37"/>
  <c r="V57" i="37"/>
  <c r="U57" i="37"/>
  <c r="BG56" i="37"/>
  <c r="BF56" i="37"/>
  <c r="BE56" i="37"/>
  <c r="BD56" i="37"/>
  <c r="BC56" i="37"/>
  <c r="BB56" i="37"/>
  <c r="BA56" i="37"/>
  <c r="AZ56" i="37"/>
  <c r="AY56" i="37"/>
  <c r="AX56" i="37"/>
  <c r="AV56" i="37"/>
  <c r="BN56" i="37" s="1"/>
  <c r="AD56" i="37"/>
  <c r="AC56" i="37"/>
  <c r="AB56" i="37"/>
  <c r="AA56" i="37"/>
  <c r="Z56" i="37"/>
  <c r="Y56" i="37"/>
  <c r="X56" i="37"/>
  <c r="W56" i="37"/>
  <c r="V56" i="37"/>
  <c r="U56" i="37"/>
  <c r="BG55" i="37"/>
  <c r="BF55" i="37"/>
  <c r="BE55" i="37"/>
  <c r="BD55" i="37"/>
  <c r="BC55" i="37"/>
  <c r="BB55" i="37"/>
  <c r="BA55" i="37"/>
  <c r="AZ55" i="37"/>
  <c r="AY55" i="37"/>
  <c r="AX55" i="37"/>
  <c r="AV55" i="37"/>
  <c r="AD55" i="37"/>
  <c r="AC55" i="37"/>
  <c r="AB55" i="37"/>
  <c r="AA55" i="37"/>
  <c r="Z55" i="37"/>
  <c r="Y55" i="37"/>
  <c r="X55" i="37"/>
  <c r="W55" i="37"/>
  <c r="V55" i="37"/>
  <c r="U55" i="37"/>
  <c r="BG54" i="37"/>
  <c r="BF54" i="37"/>
  <c r="BE54" i="37"/>
  <c r="BD54" i="37"/>
  <c r="BC54" i="37"/>
  <c r="BB54" i="37"/>
  <c r="BA54" i="37"/>
  <c r="AZ54" i="37"/>
  <c r="AY54" i="37"/>
  <c r="AX54" i="37"/>
  <c r="AV54" i="37"/>
  <c r="BN54" i="37" s="1"/>
  <c r="AD54" i="37"/>
  <c r="AC54" i="37"/>
  <c r="AB54" i="37"/>
  <c r="AA54" i="37"/>
  <c r="Z54" i="37"/>
  <c r="Y54" i="37"/>
  <c r="X54" i="37"/>
  <c r="W54" i="37"/>
  <c r="V54" i="37"/>
  <c r="U54" i="37"/>
  <c r="BG53" i="37"/>
  <c r="BF53" i="37"/>
  <c r="BE53" i="37"/>
  <c r="BD53" i="37"/>
  <c r="BC53" i="37"/>
  <c r="BB53" i="37"/>
  <c r="BA53" i="37"/>
  <c r="AZ53" i="37"/>
  <c r="AY53" i="37"/>
  <c r="AX53" i="37"/>
  <c r="AV53" i="37"/>
  <c r="AW53" i="37" s="1"/>
  <c r="AD53" i="37"/>
  <c r="AC53" i="37"/>
  <c r="AB53" i="37"/>
  <c r="AA53" i="37"/>
  <c r="Z53" i="37"/>
  <c r="Y53" i="37"/>
  <c r="X53" i="37"/>
  <c r="W53" i="37"/>
  <c r="V53" i="37"/>
  <c r="U53" i="37"/>
  <c r="BG52" i="37"/>
  <c r="BF52" i="37"/>
  <c r="BE52" i="37"/>
  <c r="BD52" i="37"/>
  <c r="BC52" i="37"/>
  <c r="BB52" i="37"/>
  <c r="BA52" i="37"/>
  <c r="AZ52" i="37"/>
  <c r="AY52" i="37"/>
  <c r="AX52" i="37"/>
  <c r="AV52" i="37"/>
  <c r="BN52" i="37" s="1"/>
  <c r="AD52" i="37"/>
  <c r="AC52" i="37"/>
  <c r="AB52" i="37"/>
  <c r="AA52" i="37"/>
  <c r="Z52" i="37"/>
  <c r="Y52" i="37"/>
  <c r="X52" i="37"/>
  <c r="W52" i="37"/>
  <c r="V52" i="37"/>
  <c r="U52" i="37"/>
  <c r="BG51" i="37"/>
  <c r="BF51" i="37"/>
  <c r="BE51" i="37"/>
  <c r="BD51" i="37"/>
  <c r="BC51" i="37"/>
  <c r="BB51" i="37"/>
  <c r="BA51" i="37"/>
  <c r="AZ51" i="37"/>
  <c r="AY51" i="37"/>
  <c r="AX51" i="37"/>
  <c r="AV51" i="37"/>
  <c r="AD51" i="37"/>
  <c r="AC51" i="37"/>
  <c r="AB51" i="37"/>
  <c r="AA51" i="37"/>
  <c r="Z51" i="37"/>
  <c r="Y51" i="37"/>
  <c r="X51" i="37"/>
  <c r="W51" i="37"/>
  <c r="V51" i="37"/>
  <c r="U51" i="37"/>
  <c r="BG50" i="37"/>
  <c r="BF50" i="37"/>
  <c r="BE50" i="37"/>
  <c r="BD50" i="37"/>
  <c r="BC50" i="37"/>
  <c r="BB50" i="37"/>
  <c r="BA50" i="37"/>
  <c r="AZ50" i="37"/>
  <c r="AY50" i="37"/>
  <c r="AX50" i="37"/>
  <c r="AV50" i="37"/>
  <c r="BN50" i="37" s="1"/>
  <c r="AD50" i="37"/>
  <c r="AC50" i="37"/>
  <c r="AB50" i="37"/>
  <c r="AA50" i="37"/>
  <c r="Z50" i="37"/>
  <c r="Y50" i="37"/>
  <c r="X50" i="37"/>
  <c r="W50" i="37"/>
  <c r="V50" i="37"/>
  <c r="U50" i="37"/>
  <c r="BG49" i="37"/>
  <c r="BF49" i="37"/>
  <c r="BE49" i="37"/>
  <c r="BD49" i="37"/>
  <c r="BC49" i="37"/>
  <c r="BB49" i="37"/>
  <c r="BA49" i="37"/>
  <c r="AZ49" i="37"/>
  <c r="AY49" i="37"/>
  <c r="AX49" i="37"/>
  <c r="AV49" i="37"/>
  <c r="AW49" i="37" s="1"/>
  <c r="AD49" i="37"/>
  <c r="AC49" i="37"/>
  <c r="AB49" i="37"/>
  <c r="AA49" i="37"/>
  <c r="Z49" i="37"/>
  <c r="Y49" i="37"/>
  <c r="X49" i="37"/>
  <c r="W49" i="37"/>
  <c r="V49" i="37"/>
  <c r="U49" i="37"/>
  <c r="BG48" i="37"/>
  <c r="BF48" i="37"/>
  <c r="BE48" i="37"/>
  <c r="BD48" i="37"/>
  <c r="BC48" i="37"/>
  <c r="BB48" i="37"/>
  <c r="BA48" i="37"/>
  <c r="AZ48" i="37"/>
  <c r="AY48" i="37"/>
  <c r="BH48" i="37" s="1"/>
  <c r="AX48" i="37"/>
  <c r="AV48" i="37"/>
  <c r="BN48" i="37" s="1"/>
  <c r="AD48" i="37"/>
  <c r="AC48" i="37"/>
  <c r="AB48" i="37"/>
  <c r="AA48" i="37"/>
  <c r="Z48" i="37"/>
  <c r="Y48" i="37"/>
  <c r="X48" i="37"/>
  <c r="W48" i="37"/>
  <c r="V48" i="37"/>
  <c r="U48" i="37"/>
  <c r="BG47" i="37"/>
  <c r="BF47" i="37"/>
  <c r="BE47" i="37"/>
  <c r="BD47" i="37"/>
  <c r="BC47" i="37"/>
  <c r="BB47" i="37"/>
  <c r="BA47" i="37"/>
  <c r="AZ47" i="37"/>
  <c r="AY47" i="37"/>
  <c r="AX47" i="37"/>
  <c r="AV47" i="37"/>
  <c r="AD47" i="37"/>
  <c r="AC47" i="37"/>
  <c r="AB47" i="37"/>
  <c r="AA47" i="37"/>
  <c r="Z47" i="37"/>
  <c r="Y47" i="37"/>
  <c r="X47" i="37"/>
  <c r="W47" i="37"/>
  <c r="V47" i="37"/>
  <c r="P47" i="37" s="1"/>
  <c r="U47" i="37"/>
  <c r="BG46" i="37"/>
  <c r="BF46" i="37"/>
  <c r="BE46" i="37"/>
  <c r="BD46" i="37"/>
  <c r="BC46" i="37"/>
  <c r="BB46" i="37"/>
  <c r="BA46" i="37"/>
  <c r="AZ46" i="37"/>
  <c r="AY46" i="37"/>
  <c r="AX46" i="37"/>
  <c r="AV46" i="37"/>
  <c r="AW46" i="37" s="1"/>
  <c r="AD46" i="37"/>
  <c r="AC46" i="37"/>
  <c r="AB46" i="37"/>
  <c r="AA46" i="37"/>
  <c r="Z46" i="37"/>
  <c r="Y46" i="37"/>
  <c r="X46" i="37"/>
  <c r="W46" i="37"/>
  <c r="V46" i="37"/>
  <c r="U46" i="37"/>
  <c r="BG45" i="37"/>
  <c r="BF45" i="37"/>
  <c r="BE45" i="37"/>
  <c r="BD45" i="37"/>
  <c r="BC45" i="37"/>
  <c r="BB45" i="37"/>
  <c r="BA45" i="37"/>
  <c r="AZ45" i="37"/>
  <c r="AY45" i="37"/>
  <c r="AX45" i="37"/>
  <c r="AV45" i="37"/>
  <c r="AW45" i="37" s="1"/>
  <c r="AD45" i="37"/>
  <c r="AC45" i="37"/>
  <c r="AB45" i="37"/>
  <c r="AA45" i="37"/>
  <c r="Z45" i="37"/>
  <c r="Y45" i="37"/>
  <c r="X45" i="37"/>
  <c r="W45" i="37"/>
  <c r="V45" i="37"/>
  <c r="U45" i="37"/>
  <c r="BG44" i="37"/>
  <c r="BF44" i="37"/>
  <c r="BE44" i="37"/>
  <c r="BD44" i="37"/>
  <c r="BC44" i="37"/>
  <c r="BB44" i="37"/>
  <c r="BA44" i="37"/>
  <c r="AZ44" i="37"/>
  <c r="AY44" i="37"/>
  <c r="AX44" i="37"/>
  <c r="AV44" i="37"/>
  <c r="BN44" i="37" s="1"/>
  <c r="AD44" i="37"/>
  <c r="AC44" i="37"/>
  <c r="AB44" i="37"/>
  <c r="AA44" i="37"/>
  <c r="Z44" i="37"/>
  <c r="Y44" i="37"/>
  <c r="X44" i="37"/>
  <c r="W44" i="37"/>
  <c r="V44" i="37"/>
  <c r="U44" i="37"/>
  <c r="BG43" i="37"/>
  <c r="BF43" i="37"/>
  <c r="BE43" i="37"/>
  <c r="BD43" i="37"/>
  <c r="BC43" i="37"/>
  <c r="BB43" i="37"/>
  <c r="BA43" i="37"/>
  <c r="AZ43" i="37"/>
  <c r="AY43" i="37"/>
  <c r="AX43" i="37"/>
  <c r="AV43" i="37"/>
  <c r="AD43" i="37"/>
  <c r="AC43" i="37"/>
  <c r="AB43" i="37"/>
  <c r="AA43" i="37"/>
  <c r="Z43" i="37"/>
  <c r="Y43" i="37"/>
  <c r="X43" i="37"/>
  <c r="W43" i="37"/>
  <c r="V43" i="37"/>
  <c r="U43" i="37"/>
  <c r="BG42" i="37"/>
  <c r="BF42" i="37"/>
  <c r="BE42" i="37"/>
  <c r="BD42" i="37"/>
  <c r="BC42" i="37"/>
  <c r="BB42" i="37"/>
  <c r="BA42" i="37"/>
  <c r="AZ42" i="37"/>
  <c r="AY42" i="37"/>
  <c r="AX42" i="37"/>
  <c r="AV42" i="37"/>
  <c r="AW42" i="37" s="1"/>
  <c r="AD42" i="37"/>
  <c r="AC42" i="37"/>
  <c r="AB42" i="37"/>
  <c r="AA42" i="37"/>
  <c r="Z42" i="37"/>
  <c r="Y42" i="37"/>
  <c r="X42" i="37"/>
  <c r="W42" i="37"/>
  <c r="V42" i="37"/>
  <c r="U42" i="37"/>
  <c r="BG41" i="37"/>
  <c r="BF41" i="37"/>
  <c r="BE41" i="37"/>
  <c r="BD41" i="37"/>
  <c r="BC41" i="37"/>
  <c r="BB41" i="37"/>
  <c r="BA41" i="37"/>
  <c r="AZ41" i="37"/>
  <c r="AY41" i="37"/>
  <c r="AX41" i="37"/>
  <c r="AV41" i="37"/>
  <c r="AW41" i="37" s="1"/>
  <c r="AD41" i="37"/>
  <c r="AC41" i="37"/>
  <c r="AB41" i="37"/>
  <c r="AA41" i="37"/>
  <c r="Z41" i="37"/>
  <c r="Y41" i="37"/>
  <c r="X41" i="37"/>
  <c r="W41" i="37"/>
  <c r="V41" i="37"/>
  <c r="U41" i="37"/>
  <c r="BG40" i="37"/>
  <c r="BF40" i="37"/>
  <c r="BE40" i="37"/>
  <c r="BD40" i="37"/>
  <c r="BC40" i="37"/>
  <c r="BB40" i="37"/>
  <c r="BA40" i="37"/>
  <c r="AZ40" i="37"/>
  <c r="AY40" i="37"/>
  <c r="AX40" i="37"/>
  <c r="AV40" i="37"/>
  <c r="BN40" i="37" s="1"/>
  <c r="AD40" i="37"/>
  <c r="AC40" i="37"/>
  <c r="AB40" i="37"/>
  <c r="AA40" i="37"/>
  <c r="Z40" i="37"/>
  <c r="Y40" i="37"/>
  <c r="X40" i="37"/>
  <c r="W40" i="37"/>
  <c r="V40" i="37"/>
  <c r="U40" i="37"/>
  <c r="BG39" i="37"/>
  <c r="BF39" i="37"/>
  <c r="BE39" i="37"/>
  <c r="BD39" i="37"/>
  <c r="BC39" i="37"/>
  <c r="BB39" i="37"/>
  <c r="BA39" i="37"/>
  <c r="AZ39" i="37"/>
  <c r="AY39" i="37"/>
  <c r="AX39" i="37"/>
  <c r="AV39" i="37"/>
  <c r="AD39" i="37"/>
  <c r="AC39" i="37"/>
  <c r="AB39" i="37"/>
  <c r="AA39" i="37"/>
  <c r="Z39" i="37"/>
  <c r="Y39" i="37"/>
  <c r="X39" i="37"/>
  <c r="W39" i="37"/>
  <c r="V39" i="37"/>
  <c r="U39" i="37"/>
  <c r="BG38" i="37"/>
  <c r="BF38" i="37"/>
  <c r="BE38" i="37"/>
  <c r="BD38" i="37"/>
  <c r="BC38" i="37"/>
  <c r="BB38" i="37"/>
  <c r="BA38" i="37"/>
  <c r="AZ38" i="37"/>
  <c r="AY38" i="37"/>
  <c r="AX38" i="37"/>
  <c r="AV38" i="37"/>
  <c r="BN38" i="37" s="1"/>
  <c r="AD38" i="37"/>
  <c r="AC38" i="37"/>
  <c r="AB38" i="37"/>
  <c r="AA38" i="37"/>
  <c r="Z38" i="37"/>
  <c r="Y38" i="37"/>
  <c r="X38" i="37"/>
  <c r="W38" i="37"/>
  <c r="V38" i="37"/>
  <c r="U38" i="37"/>
  <c r="BG37" i="37"/>
  <c r="BF37" i="37"/>
  <c r="BE37" i="37"/>
  <c r="BD37" i="37"/>
  <c r="BC37" i="37"/>
  <c r="BB37" i="37"/>
  <c r="BA37" i="37"/>
  <c r="AZ37" i="37"/>
  <c r="AY37" i="37"/>
  <c r="AX37" i="37"/>
  <c r="AV37" i="37"/>
  <c r="AW37" i="37" s="1"/>
  <c r="AD37" i="37"/>
  <c r="AC37" i="37"/>
  <c r="AB37" i="37"/>
  <c r="AA37" i="37"/>
  <c r="Z37" i="37"/>
  <c r="Y37" i="37"/>
  <c r="X37" i="37"/>
  <c r="W37" i="37"/>
  <c r="V37" i="37"/>
  <c r="U37" i="37"/>
  <c r="BG36" i="37"/>
  <c r="BF36" i="37"/>
  <c r="BE36" i="37"/>
  <c r="BD36" i="37"/>
  <c r="BC36" i="37"/>
  <c r="BB36" i="37"/>
  <c r="BA36" i="37"/>
  <c r="AZ36" i="37"/>
  <c r="AY36" i="37"/>
  <c r="AX36" i="37"/>
  <c r="AV36" i="37"/>
  <c r="BN36" i="37" s="1"/>
  <c r="AD36" i="37"/>
  <c r="AC36" i="37"/>
  <c r="AB36" i="37"/>
  <c r="AA36" i="37"/>
  <c r="Z36" i="37"/>
  <c r="Y36" i="37"/>
  <c r="X36" i="37"/>
  <c r="W36" i="37"/>
  <c r="V36" i="37"/>
  <c r="U36" i="37"/>
  <c r="BG35" i="37"/>
  <c r="BF35" i="37"/>
  <c r="BE35" i="37"/>
  <c r="BD35" i="37"/>
  <c r="BC35" i="37"/>
  <c r="BB35" i="37"/>
  <c r="BA35" i="37"/>
  <c r="AZ35" i="37"/>
  <c r="AY35" i="37"/>
  <c r="AX35" i="37"/>
  <c r="AV35" i="37"/>
  <c r="AD35" i="37"/>
  <c r="AC35" i="37"/>
  <c r="AB35" i="37"/>
  <c r="AA35" i="37"/>
  <c r="Z35" i="37"/>
  <c r="Y35" i="37"/>
  <c r="X35" i="37"/>
  <c r="W35" i="37"/>
  <c r="V35" i="37"/>
  <c r="U35" i="37"/>
  <c r="BG34" i="37"/>
  <c r="BF34" i="37"/>
  <c r="BE34" i="37"/>
  <c r="BD34" i="37"/>
  <c r="BC34" i="37"/>
  <c r="BB34" i="37"/>
  <c r="BA34" i="37"/>
  <c r="AZ34" i="37"/>
  <c r="AY34" i="37"/>
  <c r="AX34" i="37"/>
  <c r="AV34" i="37"/>
  <c r="AW34" i="37" s="1"/>
  <c r="AD34" i="37"/>
  <c r="AC34" i="37"/>
  <c r="AB34" i="37"/>
  <c r="AA34" i="37"/>
  <c r="Z34" i="37"/>
  <c r="Y34" i="37"/>
  <c r="X34" i="37"/>
  <c r="W34" i="37"/>
  <c r="V34" i="37"/>
  <c r="U34" i="37"/>
  <c r="BG33" i="37"/>
  <c r="BF33" i="37"/>
  <c r="BE33" i="37"/>
  <c r="BD33" i="37"/>
  <c r="BC33" i="37"/>
  <c r="BB33" i="37"/>
  <c r="BA33" i="37"/>
  <c r="AZ33" i="37"/>
  <c r="AY33" i="37"/>
  <c r="AX33" i="37"/>
  <c r="AV33" i="37"/>
  <c r="AW33" i="37" s="1"/>
  <c r="AD33" i="37"/>
  <c r="AC33" i="37"/>
  <c r="AB33" i="37"/>
  <c r="AA33" i="37"/>
  <c r="Z33" i="37"/>
  <c r="Y33" i="37"/>
  <c r="X33" i="37"/>
  <c r="W33" i="37"/>
  <c r="V33" i="37"/>
  <c r="U33" i="37"/>
  <c r="BG32" i="37"/>
  <c r="BF32" i="37"/>
  <c r="BE32" i="37"/>
  <c r="BD32" i="37"/>
  <c r="BC32" i="37"/>
  <c r="BB32" i="37"/>
  <c r="BA32" i="37"/>
  <c r="AZ32" i="37"/>
  <c r="AY32" i="37"/>
  <c r="AX32" i="37"/>
  <c r="AV32" i="37"/>
  <c r="BN32" i="37" s="1"/>
  <c r="AD32" i="37"/>
  <c r="AC32" i="37"/>
  <c r="AB32" i="37"/>
  <c r="AA32" i="37"/>
  <c r="Z32" i="37"/>
  <c r="Y32" i="37"/>
  <c r="X32" i="37"/>
  <c r="W32" i="37"/>
  <c r="V32" i="37"/>
  <c r="U32" i="37"/>
  <c r="BG31" i="37"/>
  <c r="BF31" i="37"/>
  <c r="BE31" i="37"/>
  <c r="BD31" i="37"/>
  <c r="BC31" i="37"/>
  <c r="BB31" i="37"/>
  <c r="BA31" i="37"/>
  <c r="AZ31" i="37"/>
  <c r="AY31" i="37"/>
  <c r="AX31" i="37"/>
  <c r="AV31" i="37"/>
  <c r="AD31" i="37"/>
  <c r="AC31" i="37"/>
  <c r="AB31" i="37"/>
  <c r="AA31" i="37"/>
  <c r="Z31" i="37"/>
  <c r="Y31" i="37"/>
  <c r="X31" i="37"/>
  <c r="W31" i="37"/>
  <c r="V31" i="37"/>
  <c r="U31" i="37"/>
  <c r="BG30" i="37"/>
  <c r="BF30" i="37"/>
  <c r="BE30" i="37"/>
  <c r="BD30" i="37"/>
  <c r="BC30" i="37"/>
  <c r="BB30" i="37"/>
  <c r="BA30" i="37"/>
  <c r="AZ30" i="37"/>
  <c r="AY30" i="37"/>
  <c r="AX30" i="37"/>
  <c r="AV30" i="37"/>
  <c r="BN30" i="37" s="1"/>
  <c r="AD30" i="37"/>
  <c r="AC30" i="37"/>
  <c r="AB30" i="37"/>
  <c r="AA30" i="37"/>
  <c r="Z30" i="37"/>
  <c r="Y30" i="37"/>
  <c r="X30" i="37"/>
  <c r="W30" i="37"/>
  <c r="V30" i="37"/>
  <c r="U30" i="37"/>
  <c r="BG29" i="37"/>
  <c r="BF29" i="37"/>
  <c r="BE29" i="37"/>
  <c r="BD29" i="37"/>
  <c r="BC29" i="37"/>
  <c r="BB29" i="37"/>
  <c r="BA29" i="37"/>
  <c r="AZ29" i="37"/>
  <c r="AY29" i="37"/>
  <c r="AX29" i="37"/>
  <c r="AV29" i="37"/>
  <c r="AW29" i="37" s="1"/>
  <c r="AD29" i="37"/>
  <c r="AC29" i="37"/>
  <c r="AB29" i="37"/>
  <c r="AA29" i="37"/>
  <c r="Z29" i="37"/>
  <c r="Y29" i="37"/>
  <c r="X29" i="37"/>
  <c r="W29" i="37"/>
  <c r="V29" i="37"/>
  <c r="U29" i="37"/>
  <c r="BG28" i="37"/>
  <c r="BF28" i="37"/>
  <c r="BE28" i="37"/>
  <c r="BD28" i="37"/>
  <c r="BC28" i="37"/>
  <c r="BB28" i="37"/>
  <c r="BA28" i="37"/>
  <c r="AZ28" i="37"/>
  <c r="AY28" i="37"/>
  <c r="AX28" i="37"/>
  <c r="AV28" i="37"/>
  <c r="BN28" i="37" s="1"/>
  <c r="AD28" i="37"/>
  <c r="AC28" i="37"/>
  <c r="AB28" i="37"/>
  <c r="AA28" i="37"/>
  <c r="Z28" i="37"/>
  <c r="Y28" i="37"/>
  <c r="X28" i="37"/>
  <c r="W28" i="37"/>
  <c r="V28" i="37"/>
  <c r="U28" i="37"/>
  <c r="BG27" i="37"/>
  <c r="BF27" i="37"/>
  <c r="BE27" i="37"/>
  <c r="BD27" i="37"/>
  <c r="BC27" i="37"/>
  <c r="BB27" i="37"/>
  <c r="BA27" i="37"/>
  <c r="AZ27" i="37"/>
  <c r="AY27" i="37"/>
  <c r="AX27" i="37"/>
  <c r="AV27" i="37"/>
  <c r="AD27" i="37"/>
  <c r="AC27" i="37"/>
  <c r="AB27" i="37"/>
  <c r="AA27" i="37"/>
  <c r="Z27" i="37"/>
  <c r="Y27" i="37"/>
  <c r="X27" i="37"/>
  <c r="W27" i="37"/>
  <c r="V27" i="37"/>
  <c r="U27" i="37"/>
  <c r="BG26" i="37"/>
  <c r="BF26" i="37"/>
  <c r="BE26" i="37"/>
  <c r="BD26" i="37"/>
  <c r="BC26" i="37"/>
  <c r="BB26" i="37"/>
  <c r="BA26" i="37"/>
  <c r="AZ26" i="37"/>
  <c r="AY26" i="37"/>
  <c r="AX26" i="37"/>
  <c r="AV26" i="37"/>
  <c r="BN26" i="37" s="1"/>
  <c r="AD26" i="37"/>
  <c r="AC26" i="37"/>
  <c r="AB26" i="37"/>
  <c r="AA26" i="37"/>
  <c r="Z26" i="37"/>
  <c r="Y26" i="37"/>
  <c r="X26" i="37"/>
  <c r="W26" i="37"/>
  <c r="V26" i="37"/>
  <c r="U26" i="37"/>
  <c r="BG25" i="37"/>
  <c r="BF25" i="37"/>
  <c r="BE25" i="37"/>
  <c r="BD25" i="37"/>
  <c r="BC25" i="37"/>
  <c r="BB25" i="37"/>
  <c r="BA25" i="37"/>
  <c r="AZ25" i="37"/>
  <c r="AY25" i="37"/>
  <c r="AX25" i="37"/>
  <c r="AV25" i="37"/>
  <c r="AW25" i="37" s="1"/>
  <c r="AD25" i="37"/>
  <c r="AC25" i="37"/>
  <c r="AB25" i="37"/>
  <c r="AA25" i="37"/>
  <c r="Z25" i="37"/>
  <c r="Y25" i="37"/>
  <c r="X25" i="37"/>
  <c r="W25" i="37"/>
  <c r="V25" i="37"/>
  <c r="U25" i="37"/>
  <c r="BG24" i="37"/>
  <c r="BF24" i="37"/>
  <c r="BE24" i="37"/>
  <c r="BD24" i="37"/>
  <c r="BC24" i="37"/>
  <c r="BB24" i="37"/>
  <c r="BA24" i="37"/>
  <c r="AZ24" i="37"/>
  <c r="AY24" i="37"/>
  <c r="AX24" i="37"/>
  <c r="AV24" i="37"/>
  <c r="BN24" i="37" s="1"/>
  <c r="AD24" i="37"/>
  <c r="AC24" i="37"/>
  <c r="AB24" i="37"/>
  <c r="AA24" i="37"/>
  <c r="Z24" i="37"/>
  <c r="Y24" i="37"/>
  <c r="X24" i="37"/>
  <c r="W24" i="37"/>
  <c r="V24" i="37"/>
  <c r="U24" i="37"/>
  <c r="BG23" i="37"/>
  <c r="BF23" i="37"/>
  <c r="BE23" i="37"/>
  <c r="BD23" i="37"/>
  <c r="BC23" i="37"/>
  <c r="BB23" i="37"/>
  <c r="BA23" i="37"/>
  <c r="AZ23" i="37"/>
  <c r="AY23" i="37"/>
  <c r="AX23" i="37"/>
  <c r="AV23" i="37"/>
  <c r="AD23" i="37"/>
  <c r="AC23" i="37"/>
  <c r="AB23" i="37"/>
  <c r="AA23" i="37"/>
  <c r="Z23" i="37"/>
  <c r="Y23" i="37"/>
  <c r="X23" i="37"/>
  <c r="W23" i="37"/>
  <c r="V23" i="37"/>
  <c r="U23" i="37"/>
  <c r="BG22" i="37"/>
  <c r="BF22" i="37"/>
  <c r="BE22" i="37"/>
  <c r="BD22" i="37"/>
  <c r="BC22" i="37"/>
  <c r="BB22" i="37"/>
  <c r="BA22" i="37"/>
  <c r="AZ22" i="37"/>
  <c r="AY22" i="37"/>
  <c r="AX22" i="37"/>
  <c r="AV22" i="37"/>
  <c r="BN22" i="37" s="1"/>
  <c r="AD22" i="37"/>
  <c r="AC22" i="37"/>
  <c r="AB22" i="37"/>
  <c r="AA22" i="37"/>
  <c r="Z22" i="37"/>
  <c r="Y22" i="37"/>
  <c r="X22" i="37"/>
  <c r="W22" i="37"/>
  <c r="V22" i="37"/>
  <c r="U22" i="37"/>
  <c r="BG21" i="37"/>
  <c r="BF21" i="37"/>
  <c r="BE21" i="37"/>
  <c r="BD21" i="37"/>
  <c r="BC21" i="37"/>
  <c r="BB21" i="37"/>
  <c r="BA21" i="37"/>
  <c r="AZ21" i="37"/>
  <c r="AY21" i="37"/>
  <c r="AX21" i="37"/>
  <c r="AV21" i="37"/>
  <c r="AW21" i="37" s="1"/>
  <c r="AD21" i="37"/>
  <c r="AC21" i="37"/>
  <c r="AB21" i="37"/>
  <c r="AA21" i="37"/>
  <c r="Z21" i="37"/>
  <c r="Y21" i="37"/>
  <c r="X21" i="37"/>
  <c r="W21" i="37"/>
  <c r="V21" i="37"/>
  <c r="U21" i="37"/>
  <c r="BG20" i="37"/>
  <c r="BF20" i="37"/>
  <c r="BE20" i="37"/>
  <c r="BD20" i="37"/>
  <c r="BC20" i="37"/>
  <c r="BB20" i="37"/>
  <c r="BA20" i="37"/>
  <c r="AZ20" i="37"/>
  <c r="AY20" i="37"/>
  <c r="AX20" i="37"/>
  <c r="AV20" i="37"/>
  <c r="BN20" i="37" s="1"/>
  <c r="AD20" i="37"/>
  <c r="AC20" i="37"/>
  <c r="AB20" i="37"/>
  <c r="AA20" i="37"/>
  <c r="Z20" i="37"/>
  <c r="Y20" i="37"/>
  <c r="X20" i="37"/>
  <c r="W20" i="37"/>
  <c r="V20" i="37"/>
  <c r="U20" i="37"/>
  <c r="BG19" i="37"/>
  <c r="BF19" i="37"/>
  <c r="BE19" i="37"/>
  <c r="BD19" i="37"/>
  <c r="BC19" i="37"/>
  <c r="BB19" i="37"/>
  <c r="BA19" i="37"/>
  <c r="AZ19" i="37"/>
  <c r="AY19" i="37"/>
  <c r="AX19" i="37"/>
  <c r="AV19" i="37"/>
  <c r="AD19" i="37"/>
  <c r="AC19" i="37"/>
  <c r="AB19" i="37"/>
  <c r="AA19" i="37"/>
  <c r="Z19" i="37"/>
  <c r="Y19" i="37"/>
  <c r="X19" i="37"/>
  <c r="W19" i="37"/>
  <c r="V19" i="37"/>
  <c r="U19" i="37"/>
  <c r="BG18" i="37"/>
  <c r="BF18" i="37"/>
  <c r="BE18" i="37"/>
  <c r="BD18" i="37"/>
  <c r="BC18" i="37"/>
  <c r="BB18" i="37"/>
  <c r="BA18" i="37"/>
  <c r="AZ18" i="37"/>
  <c r="AY18" i="37"/>
  <c r="AX18" i="37"/>
  <c r="AV18" i="37"/>
  <c r="AW18" i="37" s="1"/>
  <c r="AD18" i="37"/>
  <c r="AC18" i="37"/>
  <c r="AB18" i="37"/>
  <c r="AA18" i="37"/>
  <c r="Z18" i="37"/>
  <c r="Y18" i="37"/>
  <c r="X18" i="37"/>
  <c r="W18" i="37"/>
  <c r="V18" i="37"/>
  <c r="U18" i="37"/>
  <c r="BG17" i="37"/>
  <c r="BF17" i="37"/>
  <c r="BE17" i="37"/>
  <c r="BD17" i="37"/>
  <c r="BC17" i="37"/>
  <c r="BB17" i="37"/>
  <c r="BA17" i="37"/>
  <c r="AZ17" i="37"/>
  <c r="AY17" i="37"/>
  <c r="AX17" i="37"/>
  <c r="AV17" i="37"/>
  <c r="AW17" i="37" s="1"/>
  <c r="AD17" i="37"/>
  <c r="AC17" i="37"/>
  <c r="AB17" i="37"/>
  <c r="AA17" i="37"/>
  <c r="Z17" i="37"/>
  <c r="Y17" i="37"/>
  <c r="X17" i="37"/>
  <c r="W17" i="37"/>
  <c r="V17" i="37"/>
  <c r="U17" i="37"/>
  <c r="BG16" i="37"/>
  <c r="BF16" i="37"/>
  <c r="BE16" i="37"/>
  <c r="BD16" i="37"/>
  <c r="BC16" i="37"/>
  <c r="BB16" i="37"/>
  <c r="BA16" i="37"/>
  <c r="AZ16" i="37"/>
  <c r="AY16" i="37"/>
  <c r="AX16" i="37"/>
  <c r="AV16" i="37"/>
  <c r="BN16" i="37" s="1"/>
  <c r="AD16" i="37"/>
  <c r="AC16" i="37"/>
  <c r="AB16" i="37"/>
  <c r="AA16" i="37"/>
  <c r="Z16" i="37"/>
  <c r="Y16" i="37"/>
  <c r="X16" i="37"/>
  <c r="W16" i="37"/>
  <c r="V16" i="37"/>
  <c r="U16" i="37"/>
  <c r="BG15" i="37"/>
  <c r="BF15" i="37"/>
  <c r="BE15" i="37"/>
  <c r="BD15" i="37"/>
  <c r="BC15" i="37"/>
  <c r="BB15" i="37"/>
  <c r="BA15" i="37"/>
  <c r="AZ15" i="37"/>
  <c r="AY15" i="37"/>
  <c r="AX15" i="37"/>
  <c r="AV15" i="37"/>
  <c r="AD15" i="37"/>
  <c r="AC15" i="37"/>
  <c r="AB15" i="37"/>
  <c r="AA15" i="37"/>
  <c r="Z15" i="37"/>
  <c r="Y15" i="37"/>
  <c r="X15" i="37"/>
  <c r="W15" i="37"/>
  <c r="V15" i="37"/>
  <c r="U15" i="37"/>
  <c r="BG14" i="37"/>
  <c r="BF14" i="37"/>
  <c r="BE14" i="37"/>
  <c r="BD14" i="37"/>
  <c r="BC14" i="37"/>
  <c r="BB14" i="37"/>
  <c r="BA14" i="37"/>
  <c r="AZ14" i="37"/>
  <c r="AY14" i="37"/>
  <c r="AX14" i="37"/>
  <c r="AV14" i="37"/>
  <c r="AW14" i="37" s="1"/>
  <c r="AD14" i="37"/>
  <c r="AC14" i="37"/>
  <c r="AB14" i="37"/>
  <c r="AA14" i="37"/>
  <c r="Z14" i="37"/>
  <c r="Y14" i="37"/>
  <c r="X14" i="37"/>
  <c r="W14" i="37"/>
  <c r="V14" i="37"/>
  <c r="U14" i="37"/>
  <c r="BG13" i="37"/>
  <c r="BF13" i="37"/>
  <c r="BE13" i="37"/>
  <c r="BD13" i="37"/>
  <c r="BC13" i="37"/>
  <c r="BB13" i="37"/>
  <c r="BA13" i="37"/>
  <c r="AZ13" i="37"/>
  <c r="AY13" i="37"/>
  <c r="AX13" i="37"/>
  <c r="O13" i="37"/>
  <c r="N13" i="37"/>
  <c r="M13" i="37"/>
  <c r="L13" i="37"/>
  <c r="K13" i="37"/>
  <c r="J13" i="37"/>
  <c r="I13" i="37"/>
  <c r="H13" i="37"/>
  <c r="G13" i="37"/>
  <c r="F13" i="37"/>
  <c r="AU12" i="37"/>
  <c r="AT12" i="37"/>
  <c r="AS12" i="37"/>
  <c r="AR12" i="37"/>
  <c r="AQ12" i="37"/>
  <c r="AP12" i="37"/>
  <c r="AO12" i="37"/>
  <c r="AN12" i="37"/>
  <c r="AM12" i="37"/>
  <c r="AL12" i="37"/>
  <c r="AF12" i="37"/>
  <c r="BG63" i="41"/>
  <c r="BF63" i="41"/>
  <c r="BE63" i="41"/>
  <c r="BD63" i="41"/>
  <c r="BC63" i="41"/>
  <c r="BB63" i="41"/>
  <c r="BA63" i="41"/>
  <c r="AZ63" i="41"/>
  <c r="AY63" i="41"/>
  <c r="AX63" i="41"/>
  <c r="AV63" i="41"/>
  <c r="BN63" i="41" s="1"/>
  <c r="AD63" i="41"/>
  <c r="AC63" i="41"/>
  <c r="AB63" i="41"/>
  <c r="AA63" i="41"/>
  <c r="Z63" i="41"/>
  <c r="Y63" i="41"/>
  <c r="X63" i="41"/>
  <c r="W63" i="41"/>
  <c r="V63" i="41"/>
  <c r="U63" i="41"/>
  <c r="BG62" i="41"/>
  <c r="BF62" i="41"/>
  <c r="BE62" i="41"/>
  <c r="BD62" i="41"/>
  <c r="BC62" i="41"/>
  <c r="BB62" i="41"/>
  <c r="BA62" i="41"/>
  <c r="AZ62" i="41"/>
  <c r="AY62" i="41"/>
  <c r="AX62" i="41"/>
  <c r="AV62" i="41"/>
  <c r="AW62" i="41" s="1"/>
  <c r="AD62" i="41"/>
  <c r="AC62" i="41"/>
  <c r="AB62" i="41"/>
  <c r="AA62" i="41"/>
  <c r="Z62" i="41"/>
  <c r="Y62" i="41"/>
  <c r="X62" i="41"/>
  <c r="W62" i="41"/>
  <c r="V62" i="41"/>
  <c r="U62" i="41"/>
  <c r="BG61" i="41"/>
  <c r="BF61" i="41"/>
  <c r="BE61" i="41"/>
  <c r="BD61" i="41"/>
  <c r="BC61" i="41"/>
  <c r="BB61" i="41"/>
  <c r="BA61" i="41"/>
  <c r="AZ61" i="41"/>
  <c r="AY61" i="41"/>
  <c r="AX61" i="41"/>
  <c r="AV61" i="41"/>
  <c r="BN61" i="41" s="1"/>
  <c r="AD61" i="41"/>
  <c r="AC61" i="41"/>
  <c r="AB61" i="41"/>
  <c r="AA61" i="41"/>
  <c r="Z61" i="41"/>
  <c r="Y61" i="41"/>
  <c r="X61" i="41"/>
  <c r="W61" i="41"/>
  <c r="V61" i="41"/>
  <c r="U61" i="41"/>
  <c r="BG60" i="41"/>
  <c r="BF60" i="41"/>
  <c r="BE60" i="41"/>
  <c r="BD60" i="41"/>
  <c r="BC60" i="41"/>
  <c r="BB60" i="41"/>
  <c r="BA60" i="41"/>
  <c r="AZ60" i="41"/>
  <c r="AY60" i="41"/>
  <c r="AX60" i="41"/>
  <c r="AV60" i="41"/>
  <c r="AD60" i="41"/>
  <c r="AC60" i="41"/>
  <c r="AB60" i="41"/>
  <c r="AA60" i="41"/>
  <c r="Z60" i="41"/>
  <c r="Y60" i="41"/>
  <c r="X60" i="41"/>
  <c r="W60" i="41"/>
  <c r="V60" i="41"/>
  <c r="U60" i="41"/>
  <c r="BG59" i="41"/>
  <c r="BF59" i="41"/>
  <c r="BE59" i="41"/>
  <c r="BD59" i="41"/>
  <c r="BC59" i="41"/>
  <c r="BB59" i="41"/>
  <c r="BA59" i="41"/>
  <c r="AZ59" i="41"/>
  <c r="AY59" i="41"/>
  <c r="AX59" i="41"/>
  <c r="AV59" i="41"/>
  <c r="AW59" i="41" s="1"/>
  <c r="AD59" i="41"/>
  <c r="AC59" i="41"/>
  <c r="AB59" i="41"/>
  <c r="AA59" i="41"/>
  <c r="Z59" i="41"/>
  <c r="Y59" i="41"/>
  <c r="X59" i="41"/>
  <c r="W59" i="41"/>
  <c r="V59" i="41"/>
  <c r="U59" i="41"/>
  <c r="BG58" i="41"/>
  <c r="BF58" i="41"/>
  <c r="BE58" i="41"/>
  <c r="BD58" i="41"/>
  <c r="BC58" i="41"/>
  <c r="BB58" i="41"/>
  <c r="BA58" i="41"/>
  <c r="AZ58" i="41"/>
  <c r="AY58" i="41"/>
  <c r="AX58" i="41"/>
  <c r="AV58" i="41"/>
  <c r="AW58" i="41" s="1"/>
  <c r="AD58" i="41"/>
  <c r="AC58" i="41"/>
  <c r="AB58" i="41"/>
  <c r="AA58" i="41"/>
  <c r="Z58" i="41"/>
  <c r="Y58" i="41"/>
  <c r="X58" i="41"/>
  <c r="W58" i="41"/>
  <c r="V58" i="41"/>
  <c r="U58" i="41"/>
  <c r="BG57" i="41"/>
  <c r="BF57" i="41"/>
  <c r="BE57" i="41"/>
  <c r="BD57" i="41"/>
  <c r="BC57" i="41"/>
  <c r="BB57" i="41"/>
  <c r="BA57" i="41"/>
  <c r="AZ57" i="41"/>
  <c r="AY57" i="41"/>
  <c r="AX57" i="41"/>
  <c r="AV57" i="41"/>
  <c r="AD57" i="41"/>
  <c r="AC57" i="41"/>
  <c r="AB57" i="41"/>
  <c r="AA57" i="41"/>
  <c r="Z57" i="41"/>
  <c r="Y57" i="41"/>
  <c r="X57" i="41"/>
  <c r="W57" i="41"/>
  <c r="V57" i="41"/>
  <c r="U57" i="41"/>
  <c r="BG56" i="41"/>
  <c r="BF56" i="41"/>
  <c r="BE56" i="41"/>
  <c r="BD56" i="41"/>
  <c r="BC56" i="41"/>
  <c r="BB56" i="41"/>
  <c r="BA56" i="41"/>
  <c r="AZ56" i="41"/>
  <c r="AY56" i="41"/>
  <c r="AX56" i="41"/>
  <c r="AV56" i="41"/>
  <c r="AD56" i="41"/>
  <c r="AC56" i="41"/>
  <c r="AB56" i="41"/>
  <c r="AA56" i="41"/>
  <c r="Z56" i="41"/>
  <c r="Y56" i="41"/>
  <c r="X56" i="41"/>
  <c r="W56" i="41"/>
  <c r="V56" i="41"/>
  <c r="U56" i="41"/>
  <c r="BG55" i="41"/>
  <c r="BF55" i="41"/>
  <c r="BE55" i="41"/>
  <c r="BD55" i="41"/>
  <c r="BC55" i="41"/>
  <c r="BB55" i="41"/>
  <c r="BA55" i="41"/>
  <c r="AZ55" i="41"/>
  <c r="AY55" i="41"/>
  <c r="AX55" i="41"/>
  <c r="AV55" i="41"/>
  <c r="AW55" i="41" s="1"/>
  <c r="AD55" i="41"/>
  <c r="AC55" i="41"/>
  <c r="AB55" i="41"/>
  <c r="AA55" i="41"/>
  <c r="Z55" i="41"/>
  <c r="Y55" i="41"/>
  <c r="X55" i="41"/>
  <c r="W55" i="41"/>
  <c r="V55" i="41"/>
  <c r="U55" i="41"/>
  <c r="BG54" i="41"/>
  <c r="BF54" i="41"/>
  <c r="BE54" i="41"/>
  <c r="BD54" i="41"/>
  <c r="BC54" i="41"/>
  <c r="BB54" i="41"/>
  <c r="BA54" i="41"/>
  <c r="AZ54" i="41"/>
  <c r="AY54" i="41"/>
  <c r="AX54" i="41"/>
  <c r="AV54" i="41"/>
  <c r="AD54" i="41"/>
  <c r="AC54" i="41"/>
  <c r="AB54" i="41"/>
  <c r="AA54" i="41"/>
  <c r="Z54" i="41"/>
  <c r="Y54" i="41"/>
  <c r="X54" i="41"/>
  <c r="W54" i="41"/>
  <c r="V54" i="41"/>
  <c r="U54" i="41"/>
  <c r="BG53" i="41"/>
  <c r="BF53" i="41"/>
  <c r="BE53" i="41"/>
  <c r="BD53" i="41"/>
  <c r="BC53" i="41"/>
  <c r="BB53" i="41"/>
  <c r="BA53" i="41"/>
  <c r="AZ53" i="41"/>
  <c r="AY53" i="41"/>
  <c r="AX53" i="41"/>
  <c r="AV53" i="41"/>
  <c r="BN53" i="41" s="1"/>
  <c r="AD53" i="41"/>
  <c r="AC53" i="41"/>
  <c r="AB53" i="41"/>
  <c r="AA53" i="41"/>
  <c r="Z53" i="41"/>
  <c r="Y53" i="41"/>
  <c r="X53" i="41"/>
  <c r="W53" i="41"/>
  <c r="V53" i="41"/>
  <c r="U53" i="41"/>
  <c r="BG52" i="41"/>
  <c r="BF52" i="41"/>
  <c r="BE52" i="41"/>
  <c r="BD52" i="41"/>
  <c r="BC52" i="41"/>
  <c r="BB52" i="41"/>
  <c r="BA52" i="41"/>
  <c r="AZ52" i="41"/>
  <c r="AY52" i="41"/>
  <c r="AX52" i="41"/>
  <c r="AV52" i="41"/>
  <c r="AD52" i="41"/>
  <c r="AC52" i="41"/>
  <c r="AB52" i="41"/>
  <c r="AA52" i="41"/>
  <c r="Z52" i="41"/>
  <c r="Y52" i="41"/>
  <c r="X52" i="41"/>
  <c r="W52" i="41"/>
  <c r="V52" i="41"/>
  <c r="U52" i="41"/>
  <c r="BG51" i="41"/>
  <c r="BF51" i="41"/>
  <c r="BE51" i="41"/>
  <c r="BD51" i="41"/>
  <c r="BC51" i="41"/>
  <c r="BB51" i="41"/>
  <c r="BA51" i="41"/>
  <c r="AZ51" i="41"/>
  <c r="AY51" i="41"/>
  <c r="AX51" i="41"/>
  <c r="AV51" i="41"/>
  <c r="AW51" i="41" s="1"/>
  <c r="AD51" i="41"/>
  <c r="AC51" i="41"/>
  <c r="AB51" i="41"/>
  <c r="AA51" i="41"/>
  <c r="Z51" i="41"/>
  <c r="Y51" i="41"/>
  <c r="X51" i="41"/>
  <c r="W51" i="41"/>
  <c r="V51" i="41"/>
  <c r="U51" i="41"/>
  <c r="BG50" i="41"/>
  <c r="BF50" i="41"/>
  <c r="BE50" i="41"/>
  <c r="BD50" i="41"/>
  <c r="BC50" i="41"/>
  <c r="BB50" i="41"/>
  <c r="BA50" i="41"/>
  <c r="AZ50" i="41"/>
  <c r="AY50" i="41"/>
  <c r="AX50" i="41"/>
  <c r="AV50" i="41"/>
  <c r="AW50" i="41" s="1"/>
  <c r="AD50" i="41"/>
  <c r="AC50" i="41"/>
  <c r="AB50" i="41"/>
  <c r="AA50" i="41"/>
  <c r="Z50" i="41"/>
  <c r="Y50" i="41"/>
  <c r="X50" i="41"/>
  <c r="W50" i="41"/>
  <c r="V50" i="41"/>
  <c r="U50" i="41"/>
  <c r="BG49" i="41"/>
  <c r="BF49" i="41"/>
  <c r="BE49" i="41"/>
  <c r="BD49" i="41"/>
  <c r="BC49" i="41"/>
  <c r="BB49" i="41"/>
  <c r="BA49" i="41"/>
  <c r="AZ49" i="41"/>
  <c r="AY49" i="41"/>
  <c r="AX49" i="41"/>
  <c r="AV49" i="41"/>
  <c r="AD49" i="41"/>
  <c r="AC49" i="41"/>
  <c r="AB49" i="41"/>
  <c r="AA49" i="41"/>
  <c r="Z49" i="41"/>
  <c r="Y49" i="41"/>
  <c r="X49" i="41"/>
  <c r="W49" i="41"/>
  <c r="V49" i="41"/>
  <c r="U49" i="41"/>
  <c r="BG48" i="41"/>
  <c r="BF48" i="41"/>
  <c r="BE48" i="41"/>
  <c r="BD48" i="41"/>
  <c r="BC48" i="41"/>
  <c r="BB48" i="41"/>
  <c r="BA48" i="41"/>
  <c r="AZ48" i="41"/>
  <c r="AY48" i="41"/>
  <c r="AX48" i="41"/>
  <c r="AV48" i="41"/>
  <c r="AD48" i="41"/>
  <c r="AC48" i="41"/>
  <c r="AB48" i="41"/>
  <c r="AA48" i="41"/>
  <c r="Z48" i="41"/>
  <c r="Y48" i="41"/>
  <c r="X48" i="41"/>
  <c r="W48" i="41"/>
  <c r="V48" i="41"/>
  <c r="U48" i="41"/>
  <c r="BG47" i="41"/>
  <c r="BF47" i="41"/>
  <c r="BE47" i="41"/>
  <c r="BD47" i="41"/>
  <c r="BC47" i="41"/>
  <c r="BB47" i="41"/>
  <c r="BA47" i="41"/>
  <c r="AZ47" i="41"/>
  <c r="AY47" i="41"/>
  <c r="AX47" i="41"/>
  <c r="AV47" i="41"/>
  <c r="AW47" i="41" s="1"/>
  <c r="AD47" i="41"/>
  <c r="AC47" i="41"/>
  <c r="AB47" i="41"/>
  <c r="AA47" i="41"/>
  <c r="Z47" i="41"/>
  <c r="Y47" i="41"/>
  <c r="X47" i="41"/>
  <c r="W47" i="41"/>
  <c r="V47" i="41"/>
  <c r="U47" i="41"/>
  <c r="BG46" i="41"/>
  <c r="BF46" i="41"/>
  <c r="BE46" i="41"/>
  <c r="BD46" i="41"/>
  <c r="BC46" i="41"/>
  <c r="BB46" i="41"/>
  <c r="BA46" i="41"/>
  <c r="AZ46" i="41"/>
  <c r="AY46" i="41"/>
  <c r="AX46" i="41"/>
  <c r="AV46" i="41"/>
  <c r="AD46" i="41"/>
  <c r="AC46" i="41"/>
  <c r="AB46" i="41"/>
  <c r="AA46" i="41"/>
  <c r="Z46" i="41"/>
  <c r="Y46" i="41"/>
  <c r="X46" i="41"/>
  <c r="W46" i="41"/>
  <c r="V46" i="41"/>
  <c r="U46" i="41"/>
  <c r="BG45" i="41"/>
  <c r="BF45" i="41"/>
  <c r="BE45" i="41"/>
  <c r="BD45" i="41"/>
  <c r="BC45" i="41"/>
  <c r="BB45" i="41"/>
  <c r="BA45" i="41"/>
  <c r="AZ45" i="41"/>
  <c r="AY45" i="41"/>
  <c r="AX45" i="41"/>
  <c r="AV45" i="41"/>
  <c r="BN45" i="41" s="1"/>
  <c r="AD45" i="41"/>
  <c r="AC45" i="41"/>
  <c r="AB45" i="41"/>
  <c r="AA45" i="41"/>
  <c r="Z45" i="41"/>
  <c r="Y45" i="41"/>
  <c r="X45" i="41"/>
  <c r="W45" i="41"/>
  <c r="V45" i="41"/>
  <c r="U45" i="41"/>
  <c r="BG44" i="41"/>
  <c r="BF44" i="41"/>
  <c r="BE44" i="41"/>
  <c r="BD44" i="41"/>
  <c r="BC44" i="41"/>
  <c r="BB44" i="41"/>
  <c r="BA44" i="41"/>
  <c r="AZ44" i="41"/>
  <c r="AY44" i="41"/>
  <c r="AX44" i="41"/>
  <c r="AV44" i="41"/>
  <c r="AD44" i="41"/>
  <c r="AC44" i="41"/>
  <c r="AB44" i="41"/>
  <c r="AA44" i="41"/>
  <c r="Z44" i="41"/>
  <c r="Y44" i="41"/>
  <c r="X44" i="41"/>
  <c r="W44" i="41"/>
  <c r="V44" i="41"/>
  <c r="U44" i="41"/>
  <c r="BG43" i="41"/>
  <c r="BF43" i="41"/>
  <c r="BE43" i="41"/>
  <c r="BD43" i="41"/>
  <c r="BC43" i="41"/>
  <c r="BB43" i="41"/>
  <c r="BA43" i="41"/>
  <c r="AZ43" i="41"/>
  <c r="AY43" i="41"/>
  <c r="AX43" i="41"/>
  <c r="AV43" i="41"/>
  <c r="AW43" i="41" s="1"/>
  <c r="AD43" i="41"/>
  <c r="AC43" i="41"/>
  <c r="AB43" i="41"/>
  <c r="AA43" i="41"/>
  <c r="Z43" i="41"/>
  <c r="Y43" i="41"/>
  <c r="X43" i="41"/>
  <c r="W43" i="41"/>
  <c r="V43" i="41"/>
  <c r="U43" i="41"/>
  <c r="BG42" i="41"/>
  <c r="BF42" i="41"/>
  <c r="BE42" i="41"/>
  <c r="BD42" i="41"/>
  <c r="BC42" i="41"/>
  <c r="BB42" i="41"/>
  <c r="BA42" i="41"/>
  <c r="AZ42" i="41"/>
  <c r="AY42" i="41"/>
  <c r="AX42" i="41"/>
  <c r="AV42" i="41"/>
  <c r="AW42" i="41" s="1"/>
  <c r="AD42" i="41"/>
  <c r="AC42" i="41"/>
  <c r="AB42" i="41"/>
  <c r="AA42" i="41"/>
  <c r="Z42" i="41"/>
  <c r="Y42" i="41"/>
  <c r="X42" i="41"/>
  <c r="W42" i="41"/>
  <c r="V42" i="41"/>
  <c r="U42" i="41"/>
  <c r="BG41" i="41"/>
  <c r="BF41" i="41"/>
  <c r="BE41" i="41"/>
  <c r="BD41" i="41"/>
  <c r="BC41" i="41"/>
  <c r="BB41" i="41"/>
  <c r="BA41" i="41"/>
  <c r="AZ41" i="41"/>
  <c r="AY41" i="41"/>
  <c r="AX41" i="41"/>
  <c r="AV41" i="41"/>
  <c r="BN41" i="41" s="1"/>
  <c r="AD41" i="41"/>
  <c r="AC41" i="41"/>
  <c r="AB41" i="41"/>
  <c r="AA41" i="41"/>
  <c r="Z41" i="41"/>
  <c r="Y41" i="41"/>
  <c r="X41" i="41"/>
  <c r="W41" i="41"/>
  <c r="V41" i="41"/>
  <c r="U41" i="41"/>
  <c r="BG40" i="41"/>
  <c r="BF40" i="41"/>
  <c r="BE40" i="41"/>
  <c r="BD40" i="41"/>
  <c r="BC40" i="41"/>
  <c r="BB40" i="41"/>
  <c r="BA40" i="41"/>
  <c r="AZ40" i="41"/>
  <c r="AY40" i="41"/>
  <c r="AX40" i="41"/>
  <c r="AV40" i="41"/>
  <c r="AW40" i="41" s="1"/>
  <c r="AD40" i="41"/>
  <c r="AC40" i="41"/>
  <c r="AB40" i="41"/>
  <c r="AA40" i="41"/>
  <c r="Z40" i="41"/>
  <c r="Y40" i="41"/>
  <c r="X40" i="41"/>
  <c r="W40" i="41"/>
  <c r="V40" i="41"/>
  <c r="U40" i="41"/>
  <c r="BG39" i="41"/>
  <c r="BF39" i="41"/>
  <c r="BE39" i="41"/>
  <c r="BD39" i="41"/>
  <c r="BC39" i="41"/>
  <c r="BB39" i="41"/>
  <c r="BA39" i="41"/>
  <c r="AZ39" i="41"/>
  <c r="AY39" i="41"/>
  <c r="AX39" i="41"/>
  <c r="AV39" i="41"/>
  <c r="AW39" i="41" s="1"/>
  <c r="AD39" i="41"/>
  <c r="AC39" i="41"/>
  <c r="AB39" i="41"/>
  <c r="AA39" i="41"/>
  <c r="Z39" i="41"/>
  <c r="Y39" i="41"/>
  <c r="X39" i="41"/>
  <c r="W39" i="41"/>
  <c r="V39" i="41"/>
  <c r="U39" i="41"/>
  <c r="BG38" i="41"/>
  <c r="BF38" i="41"/>
  <c r="BE38" i="41"/>
  <c r="BD38" i="41"/>
  <c r="BC38" i="41"/>
  <c r="BB38" i="41"/>
  <c r="BA38" i="41"/>
  <c r="AZ38" i="41"/>
  <c r="AY38" i="41"/>
  <c r="AX38" i="41"/>
  <c r="AV38" i="41"/>
  <c r="AD38" i="41"/>
  <c r="AC38" i="41"/>
  <c r="AB38" i="41"/>
  <c r="AA38" i="41"/>
  <c r="Z38" i="41"/>
  <c r="Y38" i="41"/>
  <c r="X38" i="41"/>
  <c r="W38" i="41"/>
  <c r="V38" i="41"/>
  <c r="U38" i="41"/>
  <c r="BG37" i="41"/>
  <c r="BF37" i="41"/>
  <c r="BE37" i="41"/>
  <c r="BD37" i="41"/>
  <c r="BC37" i="41"/>
  <c r="BB37" i="41"/>
  <c r="BA37" i="41"/>
  <c r="AZ37" i="41"/>
  <c r="AY37" i="41"/>
  <c r="AX37" i="41"/>
  <c r="AV37" i="41"/>
  <c r="BN37" i="41" s="1"/>
  <c r="AD37" i="41"/>
  <c r="AC37" i="41"/>
  <c r="AB37" i="41"/>
  <c r="AA37" i="41"/>
  <c r="Z37" i="41"/>
  <c r="Y37" i="41"/>
  <c r="X37" i="41"/>
  <c r="W37" i="41"/>
  <c r="V37" i="41"/>
  <c r="U37" i="41"/>
  <c r="BG36" i="41"/>
  <c r="BF36" i="41"/>
  <c r="BE36" i="41"/>
  <c r="BD36" i="41"/>
  <c r="BC36" i="41"/>
  <c r="BB36" i="41"/>
  <c r="BA36" i="41"/>
  <c r="AZ36" i="41"/>
  <c r="AY36" i="41"/>
  <c r="AX36" i="41"/>
  <c r="AV36" i="41"/>
  <c r="AD36" i="41"/>
  <c r="AC36" i="41"/>
  <c r="AB36" i="41"/>
  <c r="AA36" i="41"/>
  <c r="Z36" i="41"/>
  <c r="Y36" i="41"/>
  <c r="X36" i="41"/>
  <c r="W36" i="41"/>
  <c r="V36" i="41"/>
  <c r="U36" i="41"/>
  <c r="BG35" i="41"/>
  <c r="BF35" i="41"/>
  <c r="BE35" i="41"/>
  <c r="BD35" i="41"/>
  <c r="BC35" i="41"/>
  <c r="BB35" i="41"/>
  <c r="BA35" i="41"/>
  <c r="AZ35" i="41"/>
  <c r="AY35" i="41"/>
  <c r="AX35" i="41"/>
  <c r="AV35" i="41"/>
  <c r="BN35" i="41" s="1"/>
  <c r="AD35" i="41"/>
  <c r="AC35" i="41"/>
  <c r="AB35" i="41"/>
  <c r="AA35" i="41"/>
  <c r="Z35" i="41"/>
  <c r="Y35" i="41"/>
  <c r="X35" i="41"/>
  <c r="W35" i="41"/>
  <c r="V35" i="41"/>
  <c r="U35" i="41"/>
  <c r="BG34" i="41"/>
  <c r="BF34" i="41"/>
  <c r="BE34" i="41"/>
  <c r="BD34" i="41"/>
  <c r="BC34" i="41"/>
  <c r="BB34" i="41"/>
  <c r="BA34" i="41"/>
  <c r="AZ34" i="41"/>
  <c r="AY34" i="41"/>
  <c r="AX34" i="41"/>
  <c r="AV34" i="41"/>
  <c r="BN34" i="41" s="1"/>
  <c r="AD34" i="41"/>
  <c r="AC34" i="41"/>
  <c r="AB34" i="41"/>
  <c r="AA34" i="41"/>
  <c r="Z34" i="41"/>
  <c r="Y34" i="41"/>
  <c r="X34" i="41"/>
  <c r="W34" i="41"/>
  <c r="V34" i="41"/>
  <c r="U34" i="41"/>
  <c r="BG33" i="41"/>
  <c r="BF33" i="41"/>
  <c r="BE33" i="41"/>
  <c r="BD33" i="41"/>
  <c r="BC33" i="41"/>
  <c r="BB33" i="41"/>
  <c r="BA33" i="41"/>
  <c r="AZ33" i="41"/>
  <c r="AY33" i="41"/>
  <c r="AX33" i="41"/>
  <c r="AV33" i="41"/>
  <c r="BN33" i="41" s="1"/>
  <c r="AD33" i="41"/>
  <c r="AC33" i="41"/>
  <c r="AB33" i="41"/>
  <c r="AA33" i="41"/>
  <c r="Z33" i="41"/>
  <c r="Y33" i="41"/>
  <c r="X33" i="41"/>
  <c r="W33" i="41"/>
  <c r="V33" i="41"/>
  <c r="U33" i="41"/>
  <c r="BG32" i="41"/>
  <c r="BF32" i="41"/>
  <c r="BE32" i="41"/>
  <c r="BD32" i="41"/>
  <c r="BC32" i="41"/>
  <c r="BB32" i="41"/>
  <c r="BA32" i="41"/>
  <c r="AZ32" i="41"/>
  <c r="AY32" i="41"/>
  <c r="AX32" i="41"/>
  <c r="AV32" i="41"/>
  <c r="AD32" i="41"/>
  <c r="AC32" i="41"/>
  <c r="AB32" i="41"/>
  <c r="AA32" i="41"/>
  <c r="Z32" i="41"/>
  <c r="Y32" i="41"/>
  <c r="X32" i="41"/>
  <c r="W32" i="41"/>
  <c r="V32" i="41"/>
  <c r="U32" i="41"/>
  <c r="BG31" i="41"/>
  <c r="BF31" i="41"/>
  <c r="BE31" i="41"/>
  <c r="BD31" i="41"/>
  <c r="BC31" i="41"/>
  <c r="BB31" i="41"/>
  <c r="BA31" i="41"/>
  <c r="AZ31" i="41"/>
  <c r="AY31" i="41"/>
  <c r="AX31" i="41"/>
  <c r="AV31" i="41"/>
  <c r="BN31" i="41" s="1"/>
  <c r="AD31" i="41"/>
  <c r="AC31" i="41"/>
  <c r="AB31" i="41"/>
  <c r="AA31" i="41"/>
  <c r="Z31" i="41"/>
  <c r="Y31" i="41"/>
  <c r="X31" i="41"/>
  <c r="W31" i="41"/>
  <c r="V31" i="41"/>
  <c r="U31" i="41"/>
  <c r="BG30" i="41"/>
  <c r="BF30" i="41"/>
  <c r="BE30" i="41"/>
  <c r="BD30" i="41"/>
  <c r="BC30" i="41"/>
  <c r="BB30" i="41"/>
  <c r="BA30" i="41"/>
  <c r="AZ30" i="41"/>
  <c r="AY30" i="41"/>
  <c r="AX30" i="41"/>
  <c r="AV30" i="41"/>
  <c r="AW30" i="41" s="1"/>
  <c r="AD30" i="41"/>
  <c r="AC30" i="41"/>
  <c r="AB30" i="41"/>
  <c r="AA30" i="41"/>
  <c r="Z30" i="41"/>
  <c r="Y30" i="41"/>
  <c r="X30" i="41"/>
  <c r="W30" i="41"/>
  <c r="V30" i="41"/>
  <c r="U30" i="41"/>
  <c r="BG29" i="41"/>
  <c r="BF29" i="41"/>
  <c r="BE29" i="41"/>
  <c r="BD29" i="41"/>
  <c r="BC29" i="41"/>
  <c r="BB29" i="41"/>
  <c r="BA29" i="41"/>
  <c r="AZ29" i="41"/>
  <c r="AY29" i="41"/>
  <c r="AX29" i="41"/>
  <c r="AV29" i="41"/>
  <c r="AW29" i="41" s="1"/>
  <c r="AD29" i="41"/>
  <c r="AC29" i="41"/>
  <c r="AB29" i="41"/>
  <c r="AA29" i="41"/>
  <c r="Z29" i="41"/>
  <c r="Y29" i="41"/>
  <c r="X29" i="41"/>
  <c r="W29" i="41"/>
  <c r="V29" i="41"/>
  <c r="U29" i="41"/>
  <c r="BG28" i="41"/>
  <c r="BF28" i="41"/>
  <c r="BE28" i="41"/>
  <c r="BD28" i="41"/>
  <c r="BC28" i="41"/>
  <c r="BB28" i="41"/>
  <c r="BA28" i="41"/>
  <c r="AZ28" i="41"/>
  <c r="AY28" i="41"/>
  <c r="AX28" i="41"/>
  <c r="AV28" i="41"/>
  <c r="BN28" i="41" s="1"/>
  <c r="AD28" i="41"/>
  <c r="AC28" i="41"/>
  <c r="AB28" i="41"/>
  <c r="AA28" i="41"/>
  <c r="Z28" i="41"/>
  <c r="Y28" i="41"/>
  <c r="X28" i="41"/>
  <c r="W28" i="41"/>
  <c r="V28" i="41"/>
  <c r="U28" i="41"/>
  <c r="BG27" i="41"/>
  <c r="BF27" i="41"/>
  <c r="BE27" i="41"/>
  <c r="BD27" i="41"/>
  <c r="BC27" i="41"/>
  <c r="BB27" i="41"/>
  <c r="BA27" i="41"/>
  <c r="AZ27" i="41"/>
  <c r="AY27" i="41"/>
  <c r="AX27" i="41"/>
  <c r="AV27" i="41"/>
  <c r="AW27" i="41" s="1"/>
  <c r="AD27" i="41"/>
  <c r="AC27" i="41"/>
  <c r="AB27" i="41"/>
  <c r="AA27" i="41"/>
  <c r="Z27" i="41"/>
  <c r="Y27" i="41"/>
  <c r="X27" i="41"/>
  <c r="W27" i="41"/>
  <c r="V27" i="41"/>
  <c r="U27" i="41"/>
  <c r="BG26" i="41"/>
  <c r="BF26" i="41"/>
  <c r="BE26" i="41"/>
  <c r="BD26" i="41"/>
  <c r="BC26" i="41"/>
  <c r="BB26" i="41"/>
  <c r="BA26" i="41"/>
  <c r="AZ26" i="41"/>
  <c r="AY26" i="41"/>
  <c r="AX26" i="41"/>
  <c r="AV26" i="41"/>
  <c r="AW26" i="41" s="1"/>
  <c r="AD26" i="41"/>
  <c r="AC26" i="41"/>
  <c r="AB26" i="41"/>
  <c r="AA26" i="41"/>
  <c r="Z26" i="41"/>
  <c r="Y26" i="41"/>
  <c r="X26" i="41"/>
  <c r="W26" i="41"/>
  <c r="V26" i="41"/>
  <c r="U26" i="41"/>
  <c r="BG25" i="41"/>
  <c r="BF25" i="41"/>
  <c r="BE25" i="41"/>
  <c r="BD25" i="41"/>
  <c r="BC25" i="41"/>
  <c r="BB25" i="41"/>
  <c r="BA25" i="41"/>
  <c r="AZ25" i="41"/>
  <c r="AY25" i="41"/>
  <c r="AX25" i="41"/>
  <c r="AV25" i="41"/>
  <c r="AW25" i="41" s="1"/>
  <c r="AD25" i="41"/>
  <c r="AC25" i="41"/>
  <c r="AB25" i="41"/>
  <c r="AA25" i="41"/>
  <c r="Z25" i="41"/>
  <c r="Y25" i="41"/>
  <c r="X25" i="41"/>
  <c r="W25" i="41"/>
  <c r="V25" i="41"/>
  <c r="U25" i="41"/>
  <c r="BG24" i="41"/>
  <c r="BF24" i="41"/>
  <c r="BE24" i="41"/>
  <c r="BD24" i="41"/>
  <c r="BC24" i="41"/>
  <c r="BB24" i="41"/>
  <c r="BA24" i="41"/>
  <c r="AZ24" i="41"/>
  <c r="AY24" i="41"/>
  <c r="AX24" i="41"/>
  <c r="AV24" i="41"/>
  <c r="BN24" i="41" s="1"/>
  <c r="AD24" i="41"/>
  <c r="AC24" i="41"/>
  <c r="AB24" i="41"/>
  <c r="AA24" i="41"/>
  <c r="Z24" i="41"/>
  <c r="Y24" i="41"/>
  <c r="X24" i="41"/>
  <c r="W24" i="41"/>
  <c r="V24" i="41"/>
  <c r="U24" i="41"/>
  <c r="BN23" i="41"/>
  <c r="BG23" i="41"/>
  <c r="BF23" i="41"/>
  <c r="BE23" i="41"/>
  <c r="BD23" i="41"/>
  <c r="BC23" i="41"/>
  <c r="BB23" i="41"/>
  <c r="BA23" i="41"/>
  <c r="AZ23" i="41"/>
  <c r="AY23" i="41"/>
  <c r="AX23" i="41"/>
  <c r="AV23" i="41"/>
  <c r="AW23" i="41" s="1"/>
  <c r="AD23" i="41"/>
  <c r="AC23" i="41"/>
  <c r="AB23" i="41"/>
  <c r="AA23" i="41"/>
  <c r="Z23" i="41"/>
  <c r="Y23" i="41"/>
  <c r="X23" i="41"/>
  <c r="W23" i="41"/>
  <c r="V23" i="41"/>
  <c r="U23" i="41"/>
  <c r="BG22" i="41"/>
  <c r="BF22" i="41"/>
  <c r="BE22" i="41"/>
  <c r="BD22" i="41"/>
  <c r="BC22" i="41"/>
  <c r="BB22" i="41"/>
  <c r="BA22" i="41"/>
  <c r="AZ22" i="41"/>
  <c r="AY22" i="41"/>
  <c r="AX22" i="41"/>
  <c r="AV22" i="41"/>
  <c r="AW22" i="41" s="1"/>
  <c r="AD22" i="41"/>
  <c r="AC22" i="41"/>
  <c r="AB22" i="41"/>
  <c r="AA22" i="41"/>
  <c r="Z22" i="41"/>
  <c r="Y22" i="41"/>
  <c r="X22" i="41"/>
  <c r="W22" i="41"/>
  <c r="V22" i="41"/>
  <c r="U22" i="41"/>
  <c r="BG21" i="41"/>
  <c r="BF21" i="41"/>
  <c r="BE21" i="41"/>
  <c r="BD21" i="41"/>
  <c r="BC21" i="41"/>
  <c r="BB21" i="41"/>
  <c r="BA21" i="41"/>
  <c r="AZ21" i="41"/>
  <c r="AY21" i="41"/>
  <c r="AX21" i="41"/>
  <c r="AV21" i="41"/>
  <c r="AW21" i="41" s="1"/>
  <c r="AD21" i="41"/>
  <c r="AC21" i="41"/>
  <c r="AB21" i="41"/>
  <c r="AA21" i="41"/>
  <c r="Z21" i="41"/>
  <c r="Y21" i="41"/>
  <c r="X21" i="41"/>
  <c r="W21" i="41"/>
  <c r="V21" i="41"/>
  <c r="U21" i="41"/>
  <c r="BG20" i="41"/>
  <c r="BF20" i="41"/>
  <c r="BE20" i="41"/>
  <c r="BD20" i="41"/>
  <c r="BC20" i="41"/>
  <c r="BB20" i="41"/>
  <c r="BA20" i="41"/>
  <c r="AZ20" i="41"/>
  <c r="AY20" i="41"/>
  <c r="AX20" i="41"/>
  <c r="AV20" i="41"/>
  <c r="BN20" i="41" s="1"/>
  <c r="AD20" i="41"/>
  <c r="AC20" i="41"/>
  <c r="AB20" i="41"/>
  <c r="AA20" i="41"/>
  <c r="Z20" i="41"/>
  <c r="Y20" i="41"/>
  <c r="X20" i="41"/>
  <c r="W20" i="41"/>
  <c r="V20" i="41"/>
  <c r="U20" i="41"/>
  <c r="BG19" i="41"/>
  <c r="BF19" i="41"/>
  <c r="BE19" i="41"/>
  <c r="BD19" i="41"/>
  <c r="BC19" i="41"/>
  <c r="BB19" i="41"/>
  <c r="BA19" i="41"/>
  <c r="AZ19" i="41"/>
  <c r="AY19" i="41"/>
  <c r="AX19" i="41"/>
  <c r="AV19" i="41"/>
  <c r="AW19" i="41" s="1"/>
  <c r="AD19" i="41"/>
  <c r="AC19" i="41"/>
  <c r="AB19" i="41"/>
  <c r="AA19" i="41"/>
  <c r="Z19" i="41"/>
  <c r="Y19" i="41"/>
  <c r="X19" i="41"/>
  <c r="W19" i="41"/>
  <c r="V19" i="41"/>
  <c r="U19" i="41"/>
  <c r="BG18" i="41"/>
  <c r="BF18" i="41"/>
  <c r="BE18" i="41"/>
  <c r="BD18" i="41"/>
  <c r="BC18" i="41"/>
  <c r="BB18" i="41"/>
  <c r="BA18" i="41"/>
  <c r="AZ18" i="41"/>
  <c r="AY18" i="41"/>
  <c r="AX18" i="41"/>
  <c r="AV18" i="41"/>
  <c r="AW18" i="41" s="1"/>
  <c r="AD18" i="41"/>
  <c r="AC18" i="41"/>
  <c r="AB18" i="41"/>
  <c r="AA18" i="41"/>
  <c r="Z18" i="41"/>
  <c r="Y18" i="41"/>
  <c r="X18" i="41"/>
  <c r="W18" i="41"/>
  <c r="V18" i="41"/>
  <c r="U18" i="41"/>
  <c r="BG17" i="41"/>
  <c r="BF17" i="41"/>
  <c r="BE17" i="41"/>
  <c r="BD17" i="41"/>
  <c r="BC17" i="41"/>
  <c r="BB17" i="41"/>
  <c r="BA17" i="41"/>
  <c r="AZ17" i="41"/>
  <c r="AY17" i="41"/>
  <c r="AX17" i="41"/>
  <c r="AV17" i="41"/>
  <c r="AW17" i="41" s="1"/>
  <c r="AD17" i="41"/>
  <c r="AC17" i="41"/>
  <c r="AB17" i="41"/>
  <c r="AA17" i="41"/>
  <c r="Z17" i="41"/>
  <c r="Y17" i="41"/>
  <c r="X17" i="41"/>
  <c r="W17" i="41"/>
  <c r="V17" i="41"/>
  <c r="U17" i="41"/>
  <c r="BG16" i="41"/>
  <c r="BF16" i="41"/>
  <c r="BE16" i="41"/>
  <c r="BD16" i="41"/>
  <c r="BC16" i="41"/>
  <c r="BB16" i="41"/>
  <c r="BA16" i="41"/>
  <c r="AZ16" i="41"/>
  <c r="AY16" i="41"/>
  <c r="AX16" i="41"/>
  <c r="AV16" i="41"/>
  <c r="BN16" i="41" s="1"/>
  <c r="AD16" i="41"/>
  <c r="AC16" i="41"/>
  <c r="AB16" i="41"/>
  <c r="AA16" i="41"/>
  <c r="Z16" i="41"/>
  <c r="Y16" i="41"/>
  <c r="X16" i="41"/>
  <c r="W16" i="41"/>
  <c r="V16" i="41"/>
  <c r="U16" i="41"/>
  <c r="BG15" i="41"/>
  <c r="BF15" i="41"/>
  <c r="BE15" i="41"/>
  <c r="BD15" i="41"/>
  <c r="BC15" i="41"/>
  <c r="BB15" i="41"/>
  <c r="BA15" i="41"/>
  <c r="AZ15" i="41"/>
  <c r="AY15" i="41"/>
  <c r="AX15" i="41"/>
  <c r="AV15" i="41"/>
  <c r="AW15" i="41" s="1"/>
  <c r="AD15" i="41"/>
  <c r="AC15" i="41"/>
  <c r="AB15" i="41"/>
  <c r="AA15" i="41"/>
  <c r="Z15" i="41"/>
  <c r="Y15" i="41"/>
  <c r="X15" i="41"/>
  <c r="W15" i="41"/>
  <c r="V15" i="41"/>
  <c r="U15" i="41"/>
  <c r="BG14" i="41"/>
  <c r="BF14" i="41"/>
  <c r="BE14" i="41"/>
  <c r="BD14" i="41"/>
  <c r="BC14" i="41"/>
  <c r="BB14" i="41"/>
  <c r="BA14" i="41"/>
  <c r="AZ14" i="41"/>
  <c r="AY14" i="41"/>
  <c r="AX14" i="41"/>
  <c r="AV14" i="41"/>
  <c r="AW14" i="41" s="1"/>
  <c r="AD14" i="41"/>
  <c r="AC14" i="41"/>
  <c r="AB14" i="41"/>
  <c r="AA14" i="41"/>
  <c r="Z14" i="41"/>
  <c r="Y14" i="41"/>
  <c r="X14" i="41"/>
  <c r="W14" i="41"/>
  <c r="V14" i="41"/>
  <c r="U14" i="41"/>
  <c r="BG13" i="41"/>
  <c r="BF13" i="41"/>
  <c r="BE13" i="41"/>
  <c r="BD13" i="41"/>
  <c r="BC13" i="41"/>
  <c r="BB13" i="41"/>
  <c r="BA13" i="41"/>
  <c r="AZ13" i="41"/>
  <c r="AY13" i="41"/>
  <c r="AX13" i="41"/>
  <c r="O13" i="41"/>
  <c r="N13" i="41"/>
  <c r="M13" i="41"/>
  <c r="L13" i="41"/>
  <c r="K13" i="41"/>
  <c r="J13" i="41"/>
  <c r="I13" i="41"/>
  <c r="H13" i="41"/>
  <c r="G13" i="41"/>
  <c r="F13" i="41"/>
  <c r="AU12" i="41"/>
  <c r="AT12" i="41"/>
  <c r="AS12" i="41"/>
  <c r="AR12" i="41"/>
  <c r="AQ12" i="41"/>
  <c r="AP12" i="41"/>
  <c r="AO12" i="41"/>
  <c r="AN12" i="41"/>
  <c r="AM12" i="41"/>
  <c r="AL12" i="41"/>
  <c r="AF12" i="41"/>
  <c r="BG63" i="47"/>
  <c r="BF63" i="47"/>
  <c r="BE63" i="47"/>
  <c r="BD63" i="47"/>
  <c r="BC63" i="47"/>
  <c r="BB63" i="47"/>
  <c r="BA63" i="47"/>
  <c r="AZ63" i="47"/>
  <c r="AY63" i="47"/>
  <c r="AX63" i="47"/>
  <c r="AV63" i="47"/>
  <c r="AW63" i="47" s="1"/>
  <c r="AD63" i="47"/>
  <c r="AC63" i="47"/>
  <c r="AB63" i="47"/>
  <c r="AA63" i="47"/>
  <c r="Z63" i="47"/>
  <c r="Y63" i="47"/>
  <c r="X63" i="47"/>
  <c r="W63" i="47"/>
  <c r="V63" i="47"/>
  <c r="U63" i="47"/>
  <c r="BG62" i="47"/>
  <c r="BF62" i="47"/>
  <c r="BE62" i="47"/>
  <c r="BD62" i="47"/>
  <c r="BC62" i="47"/>
  <c r="BB62" i="47"/>
  <c r="BA62" i="47"/>
  <c r="AZ62" i="47"/>
  <c r="AY62" i="47"/>
  <c r="AX62" i="47"/>
  <c r="AV62" i="47"/>
  <c r="AW62" i="47" s="1"/>
  <c r="AD62" i="47"/>
  <c r="AC62" i="47"/>
  <c r="AB62" i="47"/>
  <c r="AA62" i="47"/>
  <c r="Z62" i="47"/>
  <c r="Y62" i="47"/>
  <c r="X62" i="47"/>
  <c r="W62" i="47"/>
  <c r="V62" i="47"/>
  <c r="U62" i="47"/>
  <c r="BG61" i="47"/>
  <c r="BF61" i="47"/>
  <c r="BE61" i="47"/>
  <c r="BD61" i="47"/>
  <c r="BC61" i="47"/>
  <c r="BB61" i="47"/>
  <c r="BA61" i="47"/>
  <c r="AZ61" i="47"/>
  <c r="AY61" i="47"/>
  <c r="AX61" i="47"/>
  <c r="AV61" i="47"/>
  <c r="BN61" i="47" s="1"/>
  <c r="AD61" i="47"/>
  <c r="AC61" i="47"/>
  <c r="AB61" i="47"/>
  <c r="AA61" i="47"/>
  <c r="Z61" i="47"/>
  <c r="Y61" i="47"/>
  <c r="X61" i="47"/>
  <c r="W61" i="47"/>
  <c r="V61" i="47"/>
  <c r="U61" i="47"/>
  <c r="BG60" i="47"/>
  <c r="BF60" i="47"/>
  <c r="BE60" i="47"/>
  <c r="BD60" i="47"/>
  <c r="BC60" i="47"/>
  <c r="BB60" i="47"/>
  <c r="BA60" i="47"/>
  <c r="AZ60" i="47"/>
  <c r="AY60" i="47"/>
  <c r="AX60" i="47"/>
  <c r="AV60" i="47"/>
  <c r="AW60" i="47" s="1"/>
  <c r="AD60" i="47"/>
  <c r="AC60" i="47"/>
  <c r="AB60" i="47"/>
  <c r="AA60" i="47"/>
  <c r="Z60" i="47"/>
  <c r="Y60" i="47"/>
  <c r="X60" i="47"/>
  <c r="W60" i="47"/>
  <c r="V60" i="47"/>
  <c r="U60" i="47"/>
  <c r="BG59" i="47"/>
  <c r="BF59" i="47"/>
  <c r="BE59" i="47"/>
  <c r="BD59" i="47"/>
  <c r="BC59" i="47"/>
  <c r="BB59" i="47"/>
  <c r="BA59" i="47"/>
  <c r="AZ59" i="47"/>
  <c r="AY59" i="47"/>
  <c r="AX59" i="47"/>
  <c r="AV59" i="47"/>
  <c r="AW59" i="47" s="1"/>
  <c r="AD59" i="47"/>
  <c r="AC59" i="47"/>
  <c r="AB59" i="47"/>
  <c r="AA59" i="47"/>
  <c r="Z59" i="47"/>
  <c r="Y59" i="47"/>
  <c r="X59" i="47"/>
  <c r="W59" i="47"/>
  <c r="V59" i="47"/>
  <c r="U59" i="47"/>
  <c r="BG58" i="47"/>
  <c r="BF58" i="47"/>
  <c r="BE58" i="47"/>
  <c r="BD58" i="47"/>
  <c r="BC58" i="47"/>
  <c r="BB58" i="47"/>
  <c r="BA58" i="47"/>
  <c r="AZ58" i="47"/>
  <c r="AY58" i="47"/>
  <c r="AX58" i="47"/>
  <c r="AV58" i="47"/>
  <c r="AW58" i="47" s="1"/>
  <c r="AD58" i="47"/>
  <c r="AC58" i="47"/>
  <c r="AB58" i="47"/>
  <c r="AA58" i="47"/>
  <c r="Z58" i="47"/>
  <c r="Y58" i="47"/>
  <c r="X58" i="47"/>
  <c r="W58" i="47"/>
  <c r="V58" i="47"/>
  <c r="U58" i="47"/>
  <c r="BG57" i="47"/>
  <c r="BF57" i="47"/>
  <c r="BE57" i="47"/>
  <c r="BD57" i="47"/>
  <c r="BC57" i="47"/>
  <c r="BB57" i="47"/>
  <c r="BA57" i="47"/>
  <c r="AZ57" i="47"/>
  <c r="AY57" i="47"/>
  <c r="AX57" i="47"/>
  <c r="AV57" i="47"/>
  <c r="BN57" i="47" s="1"/>
  <c r="AD57" i="47"/>
  <c r="AC57" i="47"/>
  <c r="AB57" i="47"/>
  <c r="AA57" i="47"/>
  <c r="Z57" i="47"/>
  <c r="Y57" i="47"/>
  <c r="X57" i="47"/>
  <c r="W57" i="47"/>
  <c r="V57" i="47"/>
  <c r="U57" i="47"/>
  <c r="BG56" i="47"/>
  <c r="BF56" i="47"/>
  <c r="BE56" i="47"/>
  <c r="BD56" i="47"/>
  <c r="BC56" i="47"/>
  <c r="BB56" i="47"/>
  <c r="BA56" i="47"/>
  <c r="AZ56" i="47"/>
  <c r="AY56" i="47"/>
  <c r="AX56" i="47"/>
  <c r="AV56" i="47"/>
  <c r="AW56" i="47" s="1"/>
  <c r="AD56" i="47"/>
  <c r="AC56" i="47"/>
  <c r="AB56" i="47"/>
  <c r="AA56" i="47"/>
  <c r="Z56" i="47"/>
  <c r="Y56" i="47"/>
  <c r="X56" i="47"/>
  <c r="W56" i="47"/>
  <c r="V56" i="47"/>
  <c r="U56" i="47"/>
  <c r="BG55" i="47"/>
  <c r="BF55" i="47"/>
  <c r="BE55" i="47"/>
  <c r="BD55" i="47"/>
  <c r="BC55" i="47"/>
  <c r="BB55" i="47"/>
  <c r="BA55" i="47"/>
  <c r="AZ55" i="47"/>
  <c r="AY55" i="47"/>
  <c r="AX55" i="47"/>
  <c r="AV55" i="47"/>
  <c r="AW55" i="47" s="1"/>
  <c r="AD55" i="47"/>
  <c r="AC55" i="47"/>
  <c r="AB55" i="47"/>
  <c r="AA55" i="47"/>
  <c r="Z55" i="47"/>
  <c r="Y55" i="47"/>
  <c r="X55" i="47"/>
  <c r="W55" i="47"/>
  <c r="V55" i="47"/>
  <c r="U55" i="47"/>
  <c r="BG54" i="47"/>
  <c r="BF54" i="47"/>
  <c r="BE54" i="47"/>
  <c r="BD54" i="47"/>
  <c r="BC54" i="47"/>
  <c r="BB54" i="47"/>
  <c r="BA54" i="47"/>
  <c r="AZ54" i="47"/>
  <c r="AY54" i="47"/>
  <c r="AX54" i="47"/>
  <c r="AV54" i="47"/>
  <c r="AD54" i="47"/>
  <c r="AC54" i="47"/>
  <c r="AB54" i="47"/>
  <c r="AA54" i="47"/>
  <c r="Z54" i="47"/>
  <c r="Y54" i="47"/>
  <c r="X54" i="47"/>
  <c r="W54" i="47"/>
  <c r="V54" i="47"/>
  <c r="U54" i="47"/>
  <c r="BG53" i="47"/>
  <c r="BF53" i="47"/>
  <c r="BE53" i="47"/>
  <c r="BD53" i="47"/>
  <c r="BC53" i="47"/>
  <c r="BB53" i="47"/>
  <c r="BA53" i="47"/>
  <c r="AZ53" i="47"/>
  <c r="AY53" i="47"/>
  <c r="AX53" i="47"/>
  <c r="AV53" i="47"/>
  <c r="BN53" i="47" s="1"/>
  <c r="AD53" i="47"/>
  <c r="AC53" i="47"/>
  <c r="AB53" i="47"/>
  <c r="AA53" i="47"/>
  <c r="Z53" i="47"/>
  <c r="Y53" i="47"/>
  <c r="X53" i="47"/>
  <c r="W53" i="47"/>
  <c r="V53" i="47"/>
  <c r="U53" i="47"/>
  <c r="BG52" i="47"/>
  <c r="BF52" i="47"/>
  <c r="BE52" i="47"/>
  <c r="BD52" i="47"/>
  <c r="BC52" i="47"/>
  <c r="BB52" i="47"/>
  <c r="BA52" i="47"/>
  <c r="AZ52" i="47"/>
  <c r="AY52" i="47"/>
  <c r="AX52" i="47"/>
  <c r="AV52" i="47"/>
  <c r="AW52" i="47" s="1"/>
  <c r="AD52" i="47"/>
  <c r="AC52" i="47"/>
  <c r="AB52" i="47"/>
  <c r="AA52" i="47"/>
  <c r="Z52" i="47"/>
  <c r="Y52" i="47"/>
  <c r="X52" i="47"/>
  <c r="W52" i="47"/>
  <c r="V52" i="47"/>
  <c r="U52" i="47"/>
  <c r="BG51" i="47"/>
  <c r="BF51" i="47"/>
  <c r="BE51" i="47"/>
  <c r="BD51" i="47"/>
  <c r="BC51" i="47"/>
  <c r="BB51" i="47"/>
  <c r="BA51" i="47"/>
  <c r="AZ51" i="47"/>
  <c r="AY51" i="47"/>
  <c r="AX51" i="47"/>
  <c r="AV51" i="47"/>
  <c r="BN51" i="47" s="1"/>
  <c r="AD51" i="47"/>
  <c r="AC51" i="47"/>
  <c r="AB51" i="47"/>
  <c r="AA51" i="47"/>
  <c r="Z51" i="47"/>
  <c r="Y51" i="47"/>
  <c r="X51" i="47"/>
  <c r="W51" i="47"/>
  <c r="V51" i="47"/>
  <c r="U51" i="47"/>
  <c r="BG50" i="47"/>
  <c r="BF50" i="47"/>
  <c r="BE50" i="47"/>
  <c r="BD50" i="47"/>
  <c r="BC50" i="47"/>
  <c r="BB50" i="47"/>
  <c r="BA50" i="47"/>
  <c r="AZ50" i="47"/>
  <c r="AY50" i="47"/>
  <c r="AX50" i="47"/>
  <c r="AD50" i="47"/>
  <c r="AC50" i="47"/>
  <c r="AB50" i="47"/>
  <c r="AA50" i="47"/>
  <c r="Z50" i="47"/>
  <c r="Y50" i="47"/>
  <c r="X50" i="47"/>
  <c r="W50" i="47"/>
  <c r="V50" i="47"/>
  <c r="U50" i="47"/>
  <c r="BG49" i="47"/>
  <c r="BF49" i="47"/>
  <c r="BE49" i="47"/>
  <c r="BD49" i="47"/>
  <c r="BC49" i="47"/>
  <c r="BB49" i="47"/>
  <c r="BA49" i="47"/>
  <c r="AZ49" i="47"/>
  <c r="AY49" i="47"/>
  <c r="AX49" i="47"/>
  <c r="AD49" i="47"/>
  <c r="AC49" i="47"/>
  <c r="AB49" i="47"/>
  <c r="AA49" i="47"/>
  <c r="Z49" i="47"/>
  <c r="Y49" i="47"/>
  <c r="X49" i="47"/>
  <c r="W49" i="47"/>
  <c r="V49" i="47"/>
  <c r="U49" i="47"/>
  <c r="BG48" i="47"/>
  <c r="BF48" i="47"/>
  <c r="BE48" i="47"/>
  <c r="BD48" i="47"/>
  <c r="BC48" i="47"/>
  <c r="BB48" i="47"/>
  <c r="BA48" i="47"/>
  <c r="AZ48" i="47"/>
  <c r="AY48" i="47"/>
  <c r="AX48" i="47"/>
  <c r="AD48" i="47"/>
  <c r="AC48" i="47"/>
  <c r="AB48" i="47"/>
  <c r="AA48" i="47"/>
  <c r="Z48" i="47"/>
  <c r="Y48" i="47"/>
  <c r="X48" i="47"/>
  <c r="W48" i="47"/>
  <c r="V48" i="47"/>
  <c r="U48" i="47"/>
  <c r="BG47" i="47"/>
  <c r="BF47" i="47"/>
  <c r="BE47" i="47"/>
  <c r="BD47" i="47"/>
  <c r="BC47" i="47"/>
  <c r="BB47" i="47"/>
  <c r="BA47" i="47"/>
  <c r="AZ47" i="47"/>
  <c r="AY47" i="47"/>
  <c r="AX47" i="47"/>
  <c r="AD47" i="47"/>
  <c r="AC47" i="47"/>
  <c r="AB47" i="47"/>
  <c r="AA47" i="47"/>
  <c r="Z47" i="47"/>
  <c r="Y47" i="47"/>
  <c r="X47" i="47"/>
  <c r="W47" i="47"/>
  <c r="V47" i="47"/>
  <c r="U47" i="47"/>
  <c r="BG46" i="47"/>
  <c r="BF46" i="47"/>
  <c r="BE46" i="47"/>
  <c r="BD46" i="47"/>
  <c r="BC46" i="47"/>
  <c r="BB46" i="47"/>
  <c r="BA46" i="47"/>
  <c r="AZ46" i="47"/>
  <c r="AY46" i="47"/>
  <c r="AX46" i="47"/>
  <c r="AD46" i="47"/>
  <c r="AC46" i="47"/>
  <c r="AB46" i="47"/>
  <c r="AA46" i="47"/>
  <c r="Z46" i="47"/>
  <c r="Y46" i="47"/>
  <c r="X46" i="47"/>
  <c r="W46" i="47"/>
  <c r="V46" i="47"/>
  <c r="U46" i="47"/>
  <c r="BG45" i="47"/>
  <c r="BF45" i="47"/>
  <c r="BE45" i="47"/>
  <c r="BD45" i="47"/>
  <c r="BC45" i="47"/>
  <c r="BB45" i="47"/>
  <c r="BA45" i="47"/>
  <c r="AZ45" i="47"/>
  <c r="AY45" i="47"/>
  <c r="AX45" i="47"/>
  <c r="AD45" i="47"/>
  <c r="AC45" i="47"/>
  <c r="AB45" i="47"/>
  <c r="AA45" i="47"/>
  <c r="Z45" i="47"/>
  <c r="Y45" i="47"/>
  <c r="X45" i="47"/>
  <c r="W45" i="47"/>
  <c r="V45" i="47"/>
  <c r="U45" i="47"/>
  <c r="BG44" i="47"/>
  <c r="BF44" i="47"/>
  <c r="BE44" i="47"/>
  <c r="BD44" i="47"/>
  <c r="BC44" i="47"/>
  <c r="BB44" i="47"/>
  <c r="BA44" i="47"/>
  <c r="AZ44" i="47"/>
  <c r="AY44" i="47"/>
  <c r="AX44" i="47"/>
  <c r="AD44" i="47"/>
  <c r="AC44" i="47"/>
  <c r="AB44" i="47"/>
  <c r="AA44" i="47"/>
  <c r="Z44" i="47"/>
  <c r="Y44" i="47"/>
  <c r="X44" i="47"/>
  <c r="W44" i="47"/>
  <c r="V44" i="47"/>
  <c r="U44" i="47"/>
  <c r="BG43" i="47"/>
  <c r="BF43" i="47"/>
  <c r="BE43" i="47"/>
  <c r="BD43" i="47"/>
  <c r="BC43" i="47"/>
  <c r="BB43" i="47"/>
  <c r="BA43" i="47"/>
  <c r="AZ43" i="47"/>
  <c r="AY43" i="47"/>
  <c r="AX43" i="47"/>
  <c r="AD43" i="47"/>
  <c r="AC43" i="47"/>
  <c r="AB43" i="47"/>
  <c r="AA43" i="47"/>
  <c r="Z43" i="47"/>
  <c r="Y43" i="47"/>
  <c r="X43" i="47"/>
  <c r="W43" i="47"/>
  <c r="V43" i="47"/>
  <c r="U43" i="47"/>
  <c r="BG42" i="47"/>
  <c r="BF42" i="47"/>
  <c r="BE42" i="47"/>
  <c r="BD42" i="47"/>
  <c r="BC42" i="47"/>
  <c r="BB42" i="47"/>
  <c r="BA42" i="47"/>
  <c r="AZ42" i="47"/>
  <c r="AY42" i="47"/>
  <c r="AX42" i="47"/>
  <c r="AD42" i="47"/>
  <c r="AC42" i="47"/>
  <c r="AB42" i="47"/>
  <c r="AA42" i="47"/>
  <c r="Z42" i="47"/>
  <c r="Y42" i="47"/>
  <c r="X42" i="47"/>
  <c r="W42" i="47"/>
  <c r="V42" i="47"/>
  <c r="U42" i="47"/>
  <c r="BG41" i="47"/>
  <c r="BF41" i="47"/>
  <c r="BE41" i="47"/>
  <c r="BD41" i="47"/>
  <c r="BC41" i="47"/>
  <c r="BB41" i="47"/>
  <c r="BA41" i="47"/>
  <c r="AZ41" i="47"/>
  <c r="AY41" i="47"/>
  <c r="AX41" i="47"/>
  <c r="AD41" i="47"/>
  <c r="AC41" i="47"/>
  <c r="AB41" i="47"/>
  <c r="AA41" i="47"/>
  <c r="Z41" i="47"/>
  <c r="Y41" i="47"/>
  <c r="X41" i="47"/>
  <c r="W41" i="47"/>
  <c r="V41" i="47"/>
  <c r="U41" i="47"/>
  <c r="BG40" i="47"/>
  <c r="BF40" i="47"/>
  <c r="BE40" i="47"/>
  <c r="BD40" i="47"/>
  <c r="BC40" i="47"/>
  <c r="BB40" i="47"/>
  <c r="BA40" i="47"/>
  <c r="AZ40" i="47"/>
  <c r="AY40" i="47"/>
  <c r="AX40" i="47"/>
  <c r="AD40" i="47"/>
  <c r="AC40" i="47"/>
  <c r="AB40" i="47"/>
  <c r="AA40" i="47"/>
  <c r="Z40" i="47"/>
  <c r="Y40" i="47"/>
  <c r="X40" i="47"/>
  <c r="W40" i="47"/>
  <c r="V40" i="47"/>
  <c r="U40" i="47"/>
  <c r="BG39" i="47"/>
  <c r="BF39" i="47"/>
  <c r="BE39" i="47"/>
  <c r="BD39" i="47"/>
  <c r="BC39" i="47"/>
  <c r="BB39" i="47"/>
  <c r="BA39" i="47"/>
  <c r="AZ39" i="47"/>
  <c r="AY39" i="47"/>
  <c r="AX39" i="47"/>
  <c r="AD39" i="47"/>
  <c r="AC39" i="47"/>
  <c r="AB39" i="47"/>
  <c r="AA39" i="47"/>
  <c r="Z39" i="47"/>
  <c r="Y39" i="47"/>
  <c r="X39" i="47"/>
  <c r="W39" i="47"/>
  <c r="V39" i="47"/>
  <c r="U39" i="47"/>
  <c r="BG38" i="47"/>
  <c r="BF38" i="47"/>
  <c r="BE38" i="47"/>
  <c r="BD38" i="47"/>
  <c r="BC38" i="47"/>
  <c r="BB38" i="47"/>
  <c r="BA38" i="47"/>
  <c r="AZ38" i="47"/>
  <c r="AY38" i="47"/>
  <c r="AX38" i="47"/>
  <c r="AD38" i="47"/>
  <c r="AC38" i="47"/>
  <c r="AB38" i="47"/>
  <c r="AA38" i="47"/>
  <c r="Z38" i="47"/>
  <c r="Y38" i="47"/>
  <c r="X38" i="47"/>
  <c r="W38" i="47"/>
  <c r="V38" i="47"/>
  <c r="U38" i="47"/>
  <c r="BG37" i="47"/>
  <c r="BF37" i="47"/>
  <c r="BE37" i="47"/>
  <c r="BD37" i="47"/>
  <c r="BC37" i="47"/>
  <c r="BB37" i="47"/>
  <c r="BA37" i="47"/>
  <c r="AZ37" i="47"/>
  <c r="AY37" i="47"/>
  <c r="AX37" i="47"/>
  <c r="AD37" i="47"/>
  <c r="AC37" i="47"/>
  <c r="AB37" i="47"/>
  <c r="AA37" i="47"/>
  <c r="Z37" i="47"/>
  <c r="Y37" i="47"/>
  <c r="X37" i="47"/>
  <c r="W37" i="47"/>
  <c r="V37" i="47"/>
  <c r="U37" i="47"/>
  <c r="BG36" i="47"/>
  <c r="BF36" i="47"/>
  <c r="BE36" i="47"/>
  <c r="BD36" i="47"/>
  <c r="BC36" i="47"/>
  <c r="BB36" i="47"/>
  <c r="BA36" i="47"/>
  <c r="AZ36" i="47"/>
  <c r="AY36" i="47"/>
  <c r="AX36" i="47"/>
  <c r="AD36" i="47"/>
  <c r="AC36" i="47"/>
  <c r="AB36" i="47"/>
  <c r="AA36" i="47"/>
  <c r="Z36" i="47"/>
  <c r="Y36" i="47"/>
  <c r="X36" i="47"/>
  <c r="W36" i="47"/>
  <c r="V36" i="47"/>
  <c r="U36" i="47"/>
  <c r="BG35" i="47"/>
  <c r="BF35" i="47"/>
  <c r="BE35" i="47"/>
  <c r="BD35" i="47"/>
  <c r="BC35" i="47"/>
  <c r="BB35" i="47"/>
  <c r="BA35" i="47"/>
  <c r="AZ35" i="47"/>
  <c r="AY35" i="47"/>
  <c r="AX35" i="47"/>
  <c r="AD35" i="47"/>
  <c r="AC35" i="47"/>
  <c r="AB35" i="47"/>
  <c r="AA35" i="47"/>
  <c r="Z35" i="47"/>
  <c r="Y35" i="47"/>
  <c r="X35" i="47"/>
  <c r="W35" i="47"/>
  <c r="V35" i="47"/>
  <c r="U35" i="47"/>
  <c r="BG34" i="47"/>
  <c r="BF34" i="47"/>
  <c r="BE34" i="47"/>
  <c r="BD34" i="47"/>
  <c r="BC34" i="47"/>
  <c r="BB34" i="47"/>
  <c r="BA34" i="47"/>
  <c r="AZ34" i="47"/>
  <c r="AY34" i="47"/>
  <c r="AX34" i="47"/>
  <c r="AD34" i="47"/>
  <c r="AC34" i="47"/>
  <c r="AB34" i="47"/>
  <c r="AA34" i="47"/>
  <c r="Z34" i="47"/>
  <c r="Y34" i="47"/>
  <c r="X34" i="47"/>
  <c r="W34" i="47"/>
  <c r="V34" i="47"/>
  <c r="U34" i="47"/>
  <c r="BG33" i="47"/>
  <c r="BF33" i="47"/>
  <c r="BE33" i="47"/>
  <c r="BD33" i="47"/>
  <c r="BC33" i="47"/>
  <c r="BB33" i="47"/>
  <c r="BA33" i="47"/>
  <c r="AZ33" i="47"/>
  <c r="AY33" i="47"/>
  <c r="AX33" i="47"/>
  <c r="AD33" i="47"/>
  <c r="AC33" i="47"/>
  <c r="AB33" i="47"/>
  <c r="AA33" i="47"/>
  <c r="Z33" i="47"/>
  <c r="Y33" i="47"/>
  <c r="X33" i="47"/>
  <c r="W33" i="47"/>
  <c r="V33" i="47"/>
  <c r="U33" i="47"/>
  <c r="BG32" i="47"/>
  <c r="BF32" i="47"/>
  <c r="BE32" i="47"/>
  <c r="BD32" i="47"/>
  <c r="BC32" i="47"/>
  <c r="BB32" i="47"/>
  <c r="BA32" i="47"/>
  <c r="AZ32" i="47"/>
  <c r="AY32" i="47"/>
  <c r="AX32" i="47"/>
  <c r="AD32" i="47"/>
  <c r="AC32" i="47"/>
  <c r="AB32" i="47"/>
  <c r="AA32" i="47"/>
  <c r="Z32" i="47"/>
  <c r="Y32" i="47"/>
  <c r="X32" i="47"/>
  <c r="W32" i="47"/>
  <c r="V32" i="47"/>
  <c r="U32" i="47"/>
  <c r="BG31" i="47"/>
  <c r="BF31" i="47"/>
  <c r="BE31" i="47"/>
  <c r="BD31" i="47"/>
  <c r="BC31" i="47"/>
  <c r="BB31" i="47"/>
  <c r="BA31" i="47"/>
  <c r="AZ31" i="47"/>
  <c r="AY31" i="47"/>
  <c r="AX31" i="47"/>
  <c r="AD31" i="47"/>
  <c r="AC31" i="47"/>
  <c r="AB31" i="47"/>
  <c r="AA31" i="47"/>
  <c r="Z31" i="47"/>
  <c r="Y31" i="47"/>
  <c r="X31" i="47"/>
  <c r="W31" i="47"/>
  <c r="V31" i="47"/>
  <c r="U31" i="47"/>
  <c r="BG30" i="47"/>
  <c r="BF30" i="47"/>
  <c r="BE30" i="47"/>
  <c r="BD30" i="47"/>
  <c r="BC30" i="47"/>
  <c r="BB30" i="47"/>
  <c r="BA30" i="47"/>
  <c r="AZ30" i="47"/>
  <c r="AY30" i="47"/>
  <c r="AX30" i="47"/>
  <c r="AD30" i="47"/>
  <c r="AC30" i="47"/>
  <c r="AB30" i="47"/>
  <c r="AA30" i="47"/>
  <c r="Z30" i="47"/>
  <c r="Y30" i="47"/>
  <c r="X30" i="47"/>
  <c r="W30" i="47"/>
  <c r="V30" i="47"/>
  <c r="U30" i="47"/>
  <c r="BG29" i="47"/>
  <c r="BF29" i="47"/>
  <c r="BE29" i="47"/>
  <c r="BD29" i="47"/>
  <c r="BC29" i="47"/>
  <c r="BB29" i="47"/>
  <c r="BA29" i="47"/>
  <c r="AZ29" i="47"/>
  <c r="AY29" i="47"/>
  <c r="AX29" i="47"/>
  <c r="AD29" i="47"/>
  <c r="AC29" i="47"/>
  <c r="AB29" i="47"/>
  <c r="AA29" i="47"/>
  <c r="Z29" i="47"/>
  <c r="Y29" i="47"/>
  <c r="X29" i="47"/>
  <c r="W29" i="47"/>
  <c r="V29" i="47"/>
  <c r="U29" i="47"/>
  <c r="BG28" i="47"/>
  <c r="BF28" i="47"/>
  <c r="BE28" i="47"/>
  <c r="BD28" i="47"/>
  <c r="BC28" i="47"/>
  <c r="BB28" i="47"/>
  <c r="BA28" i="47"/>
  <c r="AZ28" i="47"/>
  <c r="AY28" i="47"/>
  <c r="AX28" i="47"/>
  <c r="AD28" i="47"/>
  <c r="AC28" i="47"/>
  <c r="AB28" i="47"/>
  <c r="AA28" i="47"/>
  <c r="Z28" i="47"/>
  <c r="Y28" i="47"/>
  <c r="X28" i="47"/>
  <c r="W28" i="47"/>
  <c r="V28" i="47"/>
  <c r="U28" i="47"/>
  <c r="BG27" i="47"/>
  <c r="BF27" i="47"/>
  <c r="BE27" i="47"/>
  <c r="BD27" i="47"/>
  <c r="BC27" i="47"/>
  <c r="BB27" i="47"/>
  <c r="BA27" i="47"/>
  <c r="AZ27" i="47"/>
  <c r="AY27" i="47"/>
  <c r="AX27" i="47"/>
  <c r="AD27" i="47"/>
  <c r="AC27" i="47"/>
  <c r="AB27" i="47"/>
  <c r="AA27" i="47"/>
  <c r="Z27" i="47"/>
  <c r="Y27" i="47"/>
  <c r="X27" i="47"/>
  <c r="W27" i="47"/>
  <c r="V27" i="47"/>
  <c r="U27" i="47"/>
  <c r="BG26" i="47"/>
  <c r="BF26" i="47"/>
  <c r="BE26" i="47"/>
  <c r="BD26" i="47"/>
  <c r="BC26" i="47"/>
  <c r="BB26" i="47"/>
  <c r="BA26" i="47"/>
  <c r="AZ26" i="47"/>
  <c r="AY26" i="47"/>
  <c r="AX26" i="47"/>
  <c r="AD26" i="47"/>
  <c r="AC26" i="47"/>
  <c r="AB26" i="47"/>
  <c r="AA26" i="47"/>
  <c r="Z26" i="47"/>
  <c r="Y26" i="47"/>
  <c r="X26" i="47"/>
  <c r="W26" i="47"/>
  <c r="V26" i="47"/>
  <c r="U26" i="47"/>
  <c r="BG25" i="47"/>
  <c r="BF25" i="47"/>
  <c r="BE25" i="47"/>
  <c r="BD25" i="47"/>
  <c r="BC25" i="47"/>
  <c r="BB25" i="47"/>
  <c r="BA25" i="47"/>
  <c r="AZ25" i="47"/>
  <c r="AY25" i="47"/>
  <c r="AX25" i="47"/>
  <c r="AD25" i="47"/>
  <c r="AC25" i="47"/>
  <c r="AB25" i="47"/>
  <c r="AA25" i="47"/>
  <c r="Z25" i="47"/>
  <c r="Y25" i="47"/>
  <c r="X25" i="47"/>
  <c r="W25" i="47"/>
  <c r="V25" i="47"/>
  <c r="U25" i="47"/>
  <c r="BG24" i="47"/>
  <c r="BF24" i="47"/>
  <c r="BE24" i="47"/>
  <c r="BD24" i="47"/>
  <c r="BC24" i="47"/>
  <c r="BB24" i="47"/>
  <c r="BA24" i="47"/>
  <c r="AZ24" i="47"/>
  <c r="AY24" i="47"/>
  <c r="AX24" i="47"/>
  <c r="AD24" i="47"/>
  <c r="AC24" i="47"/>
  <c r="AB24" i="47"/>
  <c r="AA24" i="47"/>
  <c r="Z24" i="47"/>
  <c r="Y24" i="47"/>
  <c r="X24" i="47"/>
  <c r="W24" i="47"/>
  <c r="V24" i="47"/>
  <c r="U24" i="47"/>
  <c r="BG23" i="47"/>
  <c r="BF23" i="47"/>
  <c r="BE23" i="47"/>
  <c r="BD23" i="47"/>
  <c r="BC23" i="47"/>
  <c r="BB23" i="47"/>
  <c r="BA23" i="47"/>
  <c r="AZ23" i="47"/>
  <c r="AY23" i="47"/>
  <c r="AX23" i="47"/>
  <c r="AD23" i="47"/>
  <c r="AC23" i="47"/>
  <c r="AB23" i="47"/>
  <c r="AA23" i="47"/>
  <c r="Z23" i="47"/>
  <c r="Y23" i="47"/>
  <c r="X23" i="47"/>
  <c r="W23" i="47"/>
  <c r="V23" i="47"/>
  <c r="U23" i="47"/>
  <c r="BG22" i="47"/>
  <c r="BF22" i="47"/>
  <c r="BE22" i="47"/>
  <c r="BD22" i="47"/>
  <c r="BC22" i="47"/>
  <c r="BB22" i="47"/>
  <c r="BA22" i="47"/>
  <c r="AZ22" i="47"/>
  <c r="AY22" i="47"/>
  <c r="AX22" i="47"/>
  <c r="AD22" i="47"/>
  <c r="AC22" i="47"/>
  <c r="AB22" i="47"/>
  <c r="AA22" i="47"/>
  <c r="Z22" i="47"/>
  <c r="Y22" i="47"/>
  <c r="X22" i="47"/>
  <c r="W22" i="47"/>
  <c r="V22" i="47"/>
  <c r="U22" i="47"/>
  <c r="BG21" i="47"/>
  <c r="BF21" i="47"/>
  <c r="BE21" i="47"/>
  <c r="BD21" i="47"/>
  <c r="BC21" i="47"/>
  <c r="BB21" i="47"/>
  <c r="BA21" i="47"/>
  <c r="AZ21" i="47"/>
  <c r="AY21" i="47"/>
  <c r="AX21" i="47"/>
  <c r="AD21" i="47"/>
  <c r="AC21" i="47"/>
  <c r="AB21" i="47"/>
  <c r="AA21" i="47"/>
  <c r="Z21" i="47"/>
  <c r="Y21" i="47"/>
  <c r="X21" i="47"/>
  <c r="W21" i="47"/>
  <c r="V21" i="47"/>
  <c r="U21" i="47"/>
  <c r="BG20" i="47"/>
  <c r="BF20" i="47"/>
  <c r="BE20" i="47"/>
  <c r="BD20" i="47"/>
  <c r="BC20" i="47"/>
  <c r="BB20" i="47"/>
  <c r="BA20" i="47"/>
  <c r="AZ20" i="47"/>
  <c r="AY20" i="47"/>
  <c r="AX20" i="47"/>
  <c r="AD20" i="47"/>
  <c r="AC20" i="47"/>
  <c r="AB20" i="47"/>
  <c r="AA20" i="47"/>
  <c r="Z20" i="47"/>
  <c r="Y20" i="47"/>
  <c r="X20" i="47"/>
  <c r="W20" i="47"/>
  <c r="V20" i="47"/>
  <c r="U20" i="47"/>
  <c r="BG19" i="47"/>
  <c r="BF19" i="47"/>
  <c r="BE19" i="47"/>
  <c r="BD19" i="47"/>
  <c r="BC19" i="47"/>
  <c r="BB19" i="47"/>
  <c r="BA19" i="47"/>
  <c r="AZ19" i="47"/>
  <c r="AY19" i="47"/>
  <c r="AX19" i="47"/>
  <c r="AD19" i="47"/>
  <c r="AC19" i="47"/>
  <c r="AB19" i="47"/>
  <c r="AA19" i="47"/>
  <c r="Z19" i="47"/>
  <c r="Y19" i="47"/>
  <c r="X19" i="47"/>
  <c r="W19" i="47"/>
  <c r="V19" i="47"/>
  <c r="U19" i="47"/>
  <c r="BG18" i="47"/>
  <c r="BF18" i="47"/>
  <c r="BE18" i="47"/>
  <c r="BD18" i="47"/>
  <c r="BC18" i="47"/>
  <c r="BB18" i="47"/>
  <c r="BA18" i="47"/>
  <c r="AZ18" i="47"/>
  <c r="AY18" i="47"/>
  <c r="AX18" i="47"/>
  <c r="AD18" i="47"/>
  <c r="AC18" i="47"/>
  <c r="AB18" i="47"/>
  <c r="AA18" i="47"/>
  <c r="Z18" i="47"/>
  <c r="Y18" i="47"/>
  <c r="X18" i="47"/>
  <c r="W18" i="47"/>
  <c r="V18" i="47"/>
  <c r="U18" i="47"/>
  <c r="BG17" i="47"/>
  <c r="BF17" i="47"/>
  <c r="BE17" i="47"/>
  <c r="BD17" i="47"/>
  <c r="BC17" i="47"/>
  <c r="BB17" i="47"/>
  <c r="BA17" i="47"/>
  <c r="AZ17" i="47"/>
  <c r="AY17" i="47"/>
  <c r="AX17" i="47"/>
  <c r="AD17" i="47"/>
  <c r="AC17" i="47"/>
  <c r="AB17" i="47"/>
  <c r="AA17" i="47"/>
  <c r="Z17" i="47"/>
  <c r="Y17" i="47"/>
  <c r="X17" i="47"/>
  <c r="W17" i="47"/>
  <c r="V17" i="47"/>
  <c r="U17" i="47"/>
  <c r="BG16" i="47"/>
  <c r="BF16" i="47"/>
  <c r="BE16" i="47"/>
  <c r="BD16" i="47"/>
  <c r="BC16" i="47"/>
  <c r="BB16" i="47"/>
  <c r="BA16" i="47"/>
  <c r="AZ16" i="47"/>
  <c r="AY16" i="47"/>
  <c r="AX16" i="47"/>
  <c r="AD16" i="47"/>
  <c r="AC16" i="47"/>
  <c r="AB16" i="47"/>
  <c r="AA16" i="47"/>
  <c r="Z16" i="47"/>
  <c r="Y16" i="47"/>
  <c r="X16" i="47"/>
  <c r="W16" i="47"/>
  <c r="V16" i="47"/>
  <c r="U16" i="47"/>
  <c r="BG15" i="47"/>
  <c r="BF15" i="47"/>
  <c r="BE15" i="47"/>
  <c r="BD15" i="47"/>
  <c r="BC15" i="47"/>
  <c r="BB15" i="47"/>
  <c r="BA15" i="47"/>
  <c r="AZ15" i="47"/>
  <c r="AY15" i="47"/>
  <c r="AX15" i="47"/>
  <c r="AD15" i="47"/>
  <c r="AC15" i="47"/>
  <c r="AB15" i="47"/>
  <c r="AA15" i="47"/>
  <c r="Z15" i="47"/>
  <c r="Y15" i="47"/>
  <c r="X15" i="47"/>
  <c r="W15" i="47"/>
  <c r="V15" i="47"/>
  <c r="U15" i="47"/>
  <c r="BG14" i="47"/>
  <c r="BF14" i="47"/>
  <c r="BE14" i="47"/>
  <c r="BD14" i="47"/>
  <c r="BC14" i="47"/>
  <c r="BB14" i="47"/>
  <c r="BA14" i="47"/>
  <c r="AZ14" i="47"/>
  <c r="AY14" i="47"/>
  <c r="AX14" i="47"/>
  <c r="AD14" i="47"/>
  <c r="AC14" i="47"/>
  <c r="AB14" i="47"/>
  <c r="AA14" i="47"/>
  <c r="Z14" i="47"/>
  <c r="Y14" i="47"/>
  <c r="X14" i="47"/>
  <c r="W14" i="47"/>
  <c r="V14" i="47"/>
  <c r="U14" i="47"/>
  <c r="BG13" i="47"/>
  <c r="BF13" i="47"/>
  <c r="BE13" i="47"/>
  <c r="BD13" i="47"/>
  <c r="BC13" i="47"/>
  <c r="BB13" i="47"/>
  <c r="BA13" i="47"/>
  <c r="AZ13" i="47"/>
  <c r="AY13" i="47"/>
  <c r="AX13" i="47"/>
  <c r="O13" i="47"/>
  <c r="N13" i="47"/>
  <c r="M13" i="47"/>
  <c r="L13" i="47"/>
  <c r="K13" i="47"/>
  <c r="J13" i="47"/>
  <c r="I13" i="47"/>
  <c r="H13" i="47"/>
  <c r="G13" i="47"/>
  <c r="F13" i="47"/>
  <c r="AU12" i="47"/>
  <c r="AT12" i="47"/>
  <c r="AS12" i="47"/>
  <c r="AR12" i="47"/>
  <c r="AQ12" i="47"/>
  <c r="AP12" i="47"/>
  <c r="AO12" i="47"/>
  <c r="AN12" i="47"/>
  <c r="AM12" i="47"/>
  <c r="AL12" i="47"/>
  <c r="AF12" i="47"/>
  <c r="BG63" i="40"/>
  <c r="BF63" i="40"/>
  <c r="BE63" i="40"/>
  <c r="BD63" i="40"/>
  <c r="BC63" i="40"/>
  <c r="BB63" i="40"/>
  <c r="BA63" i="40"/>
  <c r="AZ63" i="40"/>
  <c r="AY63" i="40"/>
  <c r="AX63" i="40"/>
  <c r="AV63" i="40"/>
  <c r="AD63" i="40"/>
  <c r="AC63" i="40"/>
  <c r="AB63" i="40"/>
  <c r="AA63" i="40"/>
  <c r="Z63" i="40"/>
  <c r="Y63" i="40"/>
  <c r="X63" i="40"/>
  <c r="W63" i="40"/>
  <c r="V63" i="40"/>
  <c r="U63" i="40"/>
  <c r="BG62" i="40"/>
  <c r="BF62" i="40"/>
  <c r="BE62" i="40"/>
  <c r="BD62" i="40"/>
  <c r="BC62" i="40"/>
  <c r="BB62" i="40"/>
  <c r="BA62" i="40"/>
  <c r="AZ62" i="40"/>
  <c r="AY62" i="40"/>
  <c r="AX62" i="40"/>
  <c r="AV62" i="40"/>
  <c r="BN62" i="40" s="1"/>
  <c r="AD62" i="40"/>
  <c r="AC62" i="40"/>
  <c r="AB62" i="40"/>
  <c r="AA62" i="40"/>
  <c r="Z62" i="40"/>
  <c r="Y62" i="40"/>
  <c r="X62" i="40"/>
  <c r="W62" i="40"/>
  <c r="V62" i="40"/>
  <c r="U62" i="40"/>
  <c r="BG61" i="40"/>
  <c r="BF61" i="40"/>
  <c r="BE61" i="40"/>
  <c r="BD61" i="40"/>
  <c r="BC61" i="40"/>
  <c r="BB61" i="40"/>
  <c r="BA61" i="40"/>
  <c r="AZ61" i="40"/>
  <c r="AY61" i="40"/>
  <c r="AX61" i="40"/>
  <c r="AV61" i="40"/>
  <c r="AW61" i="40" s="1"/>
  <c r="AD61" i="40"/>
  <c r="AC61" i="40"/>
  <c r="AB61" i="40"/>
  <c r="AA61" i="40"/>
  <c r="Z61" i="40"/>
  <c r="Y61" i="40"/>
  <c r="X61" i="40"/>
  <c r="W61" i="40"/>
  <c r="V61" i="40"/>
  <c r="U61" i="40"/>
  <c r="BG60" i="40"/>
  <c r="BF60" i="40"/>
  <c r="BE60" i="40"/>
  <c r="BD60" i="40"/>
  <c r="BC60" i="40"/>
  <c r="BB60" i="40"/>
  <c r="BA60" i="40"/>
  <c r="AZ60" i="40"/>
  <c r="AY60" i="40"/>
  <c r="AX60" i="40"/>
  <c r="AV60" i="40"/>
  <c r="BN60" i="40" s="1"/>
  <c r="AD60" i="40"/>
  <c r="AC60" i="40"/>
  <c r="AB60" i="40"/>
  <c r="AA60" i="40"/>
  <c r="Z60" i="40"/>
  <c r="Y60" i="40"/>
  <c r="X60" i="40"/>
  <c r="W60" i="40"/>
  <c r="V60" i="40"/>
  <c r="U60" i="40"/>
  <c r="BG59" i="40"/>
  <c r="BF59" i="40"/>
  <c r="BE59" i="40"/>
  <c r="BD59" i="40"/>
  <c r="BC59" i="40"/>
  <c r="BB59" i="40"/>
  <c r="BA59" i="40"/>
  <c r="AZ59" i="40"/>
  <c r="AY59" i="40"/>
  <c r="AX59" i="40"/>
  <c r="AV59" i="40"/>
  <c r="AD59" i="40"/>
  <c r="AC59" i="40"/>
  <c r="AB59" i="40"/>
  <c r="AA59" i="40"/>
  <c r="Z59" i="40"/>
  <c r="Y59" i="40"/>
  <c r="X59" i="40"/>
  <c r="W59" i="40"/>
  <c r="V59" i="40"/>
  <c r="U59" i="40"/>
  <c r="BG58" i="40"/>
  <c r="BF58" i="40"/>
  <c r="BE58" i="40"/>
  <c r="BD58" i="40"/>
  <c r="BC58" i="40"/>
  <c r="BB58" i="40"/>
  <c r="BA58" i="40"/>
  <c r="AZ58" i="40"/>
  <c r="AY58" i="40"/>
  <c r="AX58" i="40"/>
  <c r="AV58" i="40"/>
  <c r="BN58" i="40" s="1"/>
  <c r="AD58" i="40"/>
  <c r="AC58" i="40"/>
  <c r="AB58" i="40"/>
  <c r="AA58" i="40"/>
  <c r="Z58" i="40"/>
  <c r="Y58" i="40"/>
  <c r="X58" i="40"/>
  <c r="W58" i="40"/>
  <c r="V58" i="40"/>
  <c r="U58" i="40"/>
  <c r="BG57" i="40"/>
  <c r="BF57" i="40"/>
  <c r="BE57" i="40"/>
  <c r="BD57" i="40"/>
  <c r="BC57" i="40"/>
  <c r="BB57" i="40"/>
  <c r="BA57" i="40"/>
  <c r="AZ57" i="40"/>
  <c r="AY57" i="40"/>
  <c r="AX57" i="40"/>
  <c r="AV57" i="40"/>
  <c r="AW57" i="40" s="1"/>
  <c r="AD57" i="40"/>
  <c r="AC57" i="40"/>
  <c r="AB57" i="40"/>
  <c r="AA57" i="40"/>
  <c r="Z57" i="40"/>
  <c r="Y57" i="40"/>
  <c r="X57" i="40"/>
  <c r="W57" i="40"/>
  <c r="V57" i="40"/>
  <c r="U57" i="40"/>
  <c r="BG56" i="40"/>
  <c r="BF56" i="40"/>
  <c r="BE56" i="40"/>
  <c r="BD56" i="40"/>
  <c r="BC56" i="40"/>
  <c r="BB56" i="40"/>
  <c r="BA56" i="40"/>
  <c r="AZ56" i="40"/>
  <c r="AY56" i="40"/>
  <c r="AX56" i="40"/>
  <c r="AV56" i="40"/>
  <c r="AW56" i="40" s="1"/>
  <c r="AD56" i="40"/>
  <c r="AC56" i="40"/>
  <c r="AB56" i="40"/>
  <c r="AA56" i="40"/>
  <c r="Z56" i="40"/>
  <c r="Y56" i="40"/>
  <c r="X56" i="40"/>
  <c r="W56" i="40"/>
  <c r="V56" i="40"/>
  <c r="U56" i="40"/>
  <c r="BG55" i="40"/>
  <c r="BF55" i="40"/>
  <c r="BE55" i="40"/>
  <c r="BD55" i="40"/>
  <c r="BC55" i="40"/>
  <c r="BB55" i="40"/>
  <c r="BA55" i="40"/>
  <c r="AZ55" i="40"/>
  <c r="AY55" i="40"/>
  <c r="AX55" i="40"/>
  <c r="AV55" i="40"/>
  <c r="AD55" i="40"/>
  <c r="AC55" i="40"/>
  <c r="AB55" i="40"/>
  <c r="AA55" i="40"/>
  <c r="Z55" i="40"/>
  <c r="Y55" i="40"/>
  <c r="X55" i="40"/>
  <c r="W55" i="40"/>
  <c r="V55" i="40"/>
  <c r="U55" i="40"/>
  <c r="BG54" i="40"/>
  <c r="BF54" i="40"/>
  <c r="BE54" i="40"/>
  <c r="BD54" i="40"/>
  <c r="BC54" i="40"/>
  <c r="BB54" i="40"/>
  <c r="BA54" i="40"/>
  <c r="AZ54" i="40"/>
  <c r="AY54" i="40"/>
  <c r="AX54" i="40"/>
  <c r="AV54" i="40"/>
  <c r="BN54" i="40" s="1"/>
  <c r="AD54" i="40"/>
  <c r="AC54" i="40"/>
  <c r="AB54" i="40"/>
  <c r="AA54" i="40"/>
  <c r="Z54" i="40"/>
  <c r="Y54" i="40"/>
  <c r="X54" i="40"/>
  <c r="W54" i="40"/>
  <c r="V54" i="40"/>
  <c r="U54" i="40"/>
  <c r="BG53" i="40"/>
  <c r="BF53" i="40"/>
  <c r="BE53" i="40"/>
  <c r="BD53" i="40"/>
  <c r="BC53" i="40"/>
  <c r="BB53" i="40"/>
  <c r="BA53" i="40"/>
  <c r="AZ53" i="40"/>
  <c r="AY53" i="40"/>
  <c r="AX53" i="40"/>
  <c r="AV53" i="40"/>
  <c r="AW53" i="40" s="1"/>
  <c r="AD53" i="40"/>
  <c r="AC53" i="40"/>
  <c r="AB53" i="40"/>
  <c r="AA53" i="40"/>
  <c r="Z53" i="40"/>
  <c r="Y53" i="40"/>
  <c r="X53" i="40"/>
  <c r="W53" i="40"/>
  <c r="V53" i="40"/>
  <c r="U53" i="40"/>
  <c r="BG52" i="40"/>
  <c r="BF52" i="40"/>
  <c r="BE52" i="40"/>
  <c r="BD52" i="40"/>
  <c r="BC52" i="40"/>
  <c r="BB52" i="40"/>
  <c r="BA52" i="40"/>
  <c r="AZ52" i="40"/>
  <c r="AY52" i="40"/>
  <c r="AX52" i="40"/>
  <c r="AV52" i="40"/>
  <c r="AW52" i="40" s="1"/>
  <c r="AD52" i="40"/>
  <c r="AC52" i="40"/>
  <c r="AB52" i="40"/>
  <c r="AA52" i="40"/>
  <c r="Z52" i="40"/>
  <c r="Y52" i="40"/>
  <c r="X52" i="40"/>
  <c r="W52" i="40"/>
  <c r="V52" i="40"/>
  <c r="U52" i="40"/>
  <c r="BG51" i="40"/>
  <c r="BF51" i="40"/>
  <c r="BE51" i="40"/>
  <c r="BD51" i="40"/>
  <c r="BC51" i="40"/>
  <c r="BB51" i="40"/>
  <c r="BA51" i="40"/>
  <c r="AZ51" i="40"/>
  <c r="AY51" i="40"/>
  <c r="AX51" i="40"/>
  <c r="AV51" i="40"/>
  <c r="AD51" i="40"/>
  <c r="AC51" i="40"/>
  <c r="AB51" i="40"/>
  <c r="AA51" i="40"/>
  <c r="Z51" i="40"/>
  <c r="Y51" i="40"/>
  <c r="X51" i="40"/>
  <c r="W51" i="40"/>
  <c r="V51" i="40"/>
  <c r="U51" i="40"/>
  <c r="BG50" i="40"/>
  <c r="BF50" i="40"/>
  <c r="BE50" i="40"/>
  <c r="BD50" i="40"/>
  <c r="BC50" i="40"/>
  <c r="BB50" i="40"/>
  <c r="BA50" i="40"/>
  <c r="AZ50" i="40"/>
  <c r="AY50" i="40"/>
  <c r="AX50" i="40"/>
  <c r="AD50" i="40"/>
  <c r="AC50" i="40"/>
  <c r="AB50" i="40"/>
  <c r="AA50" i="40"/>
  <c r="Z50" i="40"/>
  <c r="Y50" i="40"/>
  <c r="X50" i="40"/>
  <c r="W50" i="40"/>
  <c r="V50" i="40"/>
  <c r="U50" i="40"/>
  <c r="BG49" i="40"/>
  <c r="BF49" i="40"/>
  <c r="BE49" i="40"/>
  <c r="BD49" i="40"/>
  <c r="BC49" i="40"/>
  <c r="BB49" i="40"/>
  <c r="BA49" i="40"/>
  <c r="AZ49" i="40"/>
  <c r="AY49" i="40"/>
  <c r="AX49" i="40"/>
  <c r="AD49" i="40"/>
  <c r="AC49" i="40"/>
  <c r="AB49" i="40"/>
  <c r="AA49" i="40"/>
  <c r="Z49" i="40"/>
  <c r="Y49" i="40"/>
  <c r="X49" i="40"/>
  <c r="W49" i="40"/>
  <c r="V49" i="40"/>
  <c r="U49" i="40"/>
  <c r="BG48" i="40"/>
  <c r="BF48" i="40"/>
  <c r="BE48" i="40"/>
  <c r="BD48" i="40"/>
  <c r="BC48" i="40"/>
  <c r="BB48" i="40"/>
  <c r="BA48" i="40"/>
  <c r="AZ48" i="40"/>
  <c r="AY48" i="40"/>
  <c r="AX48" i="40"/>
  <c r="AD48" i="40"/>
  <c r="AC48" i="40"/>
  <c r="AB48" i="40"/>
  <c r="AA48" i="40"/>
  <c r="Z48" i="40"/>
  <c r="Y48" i="40"/>
  <c r="X48" i="40"/>
  <c r="W48" i="40"/>
  <c r="V48" i="40"/>
  <c r="U48" i="40"/>
  <c r="BG47" i="40"/>
  <c r="BF47" i="40"/>
  <c r="BE47" i="40"/>
  <c r="BD47" i="40"/>
  <c r="BC47" i="40"/>
  <c r="BB47" i="40"/>
  <c r="BA47" i="40"/>
  <c r="AZ47" i="40"/>
  <c r="AY47" i="40"/>
  <c r="AX47" i="40"/>
  <c r="AD47" i="40"/>
  <c r="AC47" i="40"/>
  <c r="AB47" i="40"/>
  <c r="AA47" i="40"/>
  <c r="Z47" i="40"/>
  <c r="Y47" i="40"/>
  <c r="X47" i="40"/>
  <c r="W47" i="40"/>
  <c r="V47" i="40"/>
  <c r="U47" i="40"/>
  <c r="BG46" i="40"/>
  <c r="BF46" i="40"/>
  <c r="BE46" i="40"/>
  <c r="BD46" i="40"/>
  <c r="BC46" i="40"/>
  <c r="BB46" i="40"/>
  <c r="BA46" i="40"/>
  <c r="AZ46" i="40"/>
  <c r="AY46" i="40"/>
  <c r="AX46" i="40"/>
  <c r="AD46" i="40"/>
  <c r="AC46" i="40"/>
  <c r="AB46" i="40"/>
  <c r="AA46" i="40"/>
  <c r="Z46" i="40"/>
  <c r="Y46" i="40"/>
  <c r="X46" i="40"/>
  <c r="W46" i="40"/>
  <c r="V46" i="40"/>
  <c r="U46" i="40"/>
  <c r="BG45" i="40"/>
  <c r="BF45" i="40"/>
  <c r="BE45" i="40"/>
  <c r="BD45" i="40"/>
  <c r="BC45" i="40"/>
  <c r="BB45" i="40"/>
  <c r="BA45" i="40"/>
  <c r="AZ45" i="40"/>
  <c r="AY45" i="40"/>
  <c r="AX45" i="40"/>
  <c r="AD45" i="40"/>
  <c r="AC45" i="40"/>
  <c r="AB45" i="40"/>
  <c r="AA45" i="40"/>
  <c r="Z45" i="40"/>
  <c r="Y45" i="40"/>
  <c r="X45" i="40"/>
  <c r="W45" i="40"/>
  <c r="V45" i="40"/>
  <c r="U45" i="40"/>
  <c r="BG44" i="40"/>
  <c r="BF44" i="40"/>
  <c r="BE44" i="40"/>
  <c r="BD44" i="40"/>
  <c r="BC44" i="40"/>
  <c r="BB44" i="40"/>
  <c r="BA44" i="40"/>
  <c r="AZ44" i="40"/>
  <c r="AY44" i="40"/>
  <c r="AX44" i="40"/>
  <c r="AD44" i="40"/>
  <c r="AC44" i="40"/>
  <c r="AB44" i="40"/>
  <c r="AA44" i="40"/>
  <c r="Z44" i="40"/>
  <c r="Y44" i="40"/>
  <c r="X44" i="40"/>
  <c r="W44" i="40"/>
  <c r="V44" i="40"/>
  <c r="U44" i="40"/>
  <c r="BG43" i="40"/>
  <c r="BF43" i="40"/>
  <c r="BE43" i="40"/>
  <c r="BD43" i="40"/>
  <c r="BC43" i="40"/>
  <c r="BB43" i="40"/>
  <c r="BA43" i="40"/>
  <c r="AZ43" i="40"/>
  <c r="AY43" i="40"/>
  <c r="AX43" i="40"/>
  <c r="AD43" i="40"/>
  <c r="AC43" i="40"/>
  <c r="AB43" i="40"/>
  <c r="AA43" i="40"/>
  <c r="Z43" i="40"/>
  <c r="Y43" i="40"/>
  <c r="X43" i="40"/>
  <c r="W43" i="40"/>
  <c r="V43" i="40"/>
  <c r="U43" i="40"/>
  <c r="BG42" i="40"/>
  <c r="BF42" i="40"/>
  <c r="BE42" i="40"/>
  <c r="BD42" i="40"/>
  <c r="BC42" i="40"/>
  <c r="BB42" i="40"/>
  <c r="BA42" i="40"/>
  <c r="AZ42" i="40"/>
  <c r="AY42" i="40"/>
  <c r="AX42" i="40"/>
  <c r="AD42" i="40"/>
  <c r="AC42" i="40"/>
  <c r="AB42" i="40"/>
  <c r="AA42" i="40"/>
  <c r="Z42" i="40"/>
  <c r="Y42" i="40"/>
  <c r="X42" i="40"/>
  <c r="W42" i="40"/>
  <c r="V42" i="40"/>
  <c r="U42" i="40"/>
  <c r="BG41" i="40"/>
  <c r="BF41" i="40"/>
  <c r="BE41" i="40"/>
  <c r="BD41" i="40"/>
  <c r="BC41" i="40"/>
  <c r="BB41" i="40"/>
  <c r="BA41" i="40"/>
  <c r="AZ41" i="40"/>
  <c r="AY41" i="40"/>
  <c r="AX41" i="40"/>
  <c r="AD41" i="40"/>
  <c r="AC41" i="40"/>
  <c r="AB41" i="40"/>
  <c r="AA41" i="40"/>
  <c r="Z41" i="40"/>
  <c r="Y41" i="40"/>
  <c r="X41" i="40"/>
  <c r="W41" i="40"/>
  <c r="V41" i="40"/>
  <c r="U41" i="40"/>
  <c r="BG40" i="40"/>
  <c r="BF40" i="40"/>
  <c r="BE40" i="40"/>
  <c r="BD40" i="40"/>
  <c r="BC40" i="40"/>
  <c r="BB40" i="40"/>
  <c r="BA40" i="40"/>
  <c r="AZ40" i="40"/>
  <c r="AY40" i="40"/>
  <c r="AX40" i="40"/>
  <c r="AD40" i="40"/>
  <c r="AC40" i="40"/>
  <c r="AB40" i="40"/>
  <c r="AA40" i="40"/>
  <c r="Z40" i="40"/>
  <c r="Y40" i="40"/>
  <c r="X40" i="40"/>
  <c r="W40" i="40"/>
  <c r="V40" i="40"/>
  <c r="U40" i="40"/>
  <c r="BG39" i="40"/>
  <c r="BF39" i="40"/>
  <c r="BE39" i="40"/>
  <c r="BD39" i="40"/>
  <c r="BC39" i="40"/>
  <c r="BB39" i="40"/>
  <c r="BA39" i="40"/>
  <c r="AZ39" i="40"/>
  <c r="AY39" i="40"/>
  <c r="AX39" i="40"/>
  <c r="AD39" i="40"/>
  <c r="AC39" i="40"/>
  <c r="AB39" i="40"/>
  <c r="AA39" i="40"/>
  <c r="Z39" i="40"/>
  <c r="Y39" i="40"/>
  <c r="X39" i="40"/>
  <c r="W39" i="40"/>
  <c r="V39" i="40"/>
  <c r="U39" i="40"/>
  <c r="BG38" i="40"/>
  <c r="BF38" i="40"/>
  <c r="BE38" i="40"/>
  <c r="BD38" i="40"/>
  <c r="BC38" i="40"/>
  <c r="BB38" i="40"/>
  <c r="BA38" i="40"/>
  <c r="AZ38" i="40"/>
  <c r="AY38" i="40"/>
  <c r="AX38" i="40"/>
  <c r="AD38" i="40"/>
  <c r="AC38" i="40"/>
  <c r="AB38" i="40"/>
  <c r="AA38" i="40"/>
  <c r="Z38" i="40"/>
  <c r="Y38" i="40"/>
  <c r="X38" i="40"/>
  <c r="W38" i="40"/>
  <c r="V38" i="40"/>
  <c r="U38" i="40"/>
  <c r="BG37" i="40"/>
  <c r="BF37" i="40"/>
  <c r="BE37" i="40"/>
  <c r="BD37" i="40"/>
  <c r="BC37" i="40"/>
  <c r="BB37" i="40"/>
  <c r="BA37" i="40"/>
  <c r="AZ37" i="40"/>
  <c r="AY37" i="40"/>
  <c r="AX37" i="40"/>
  <c r="AD37" i="40"/>
  <c r="AC37" i="40"/>
  <c r="AB37" i="40"/>
  <c r="AA37" i="40"/>
  <c r="Z37" i="40"/>
  <c r="Y37" i="40"/>
  <c r="X37" i="40"/>
  <c r="W37" i="40"/>
  <c r="V37" i="40"/>
  <c r="U37" i="40"/>
  <c r="BG36" i="40"/>
  <c r="BF36" i="40"/>
  <c r="BE36" i="40"/>
  <c r="BD36" i="40"/>
  <c r="BC36" i="40"/>
  <c r="BB36" i="40"/>
  <c r="BA36" i="40"/>
  <c r="AZ36" i="40"/>
  <c r="AY36" i="40"/>
  <c r="AX36" i="40"/>
  <c r="AD36" i="40"/>
  <c r="AC36" i="40"/>
  <c r="AB36" i="40"/>
  <c r="AA36" i="40"/>
  <c r="Z36" i="40"/>
  <c r="Y36" i="40"/>
  <c r="X36" i="40"/>
  <c r="W36" i="40"/>
  <c r="V36" i="40"/>
  <c r="U36" i="40"/>
  <c r="BG35" i="40"/>
  <c r="BF35" i="40"/>
  <c r="BE35" i="40"/>
  <c r="BD35" i="40"/>
  <c r="BC35" i="40"/>
  <c r="BB35" i="40"/>
  <c r="BA35" i="40"/>
  <c r="AZ35" i="40"/>
  <c r="AY35" i="40"/>
  <c r="AX35" i="40"/>
  <c r="AD35" i="40"/>
  <c r="AC35" i="40"/>
  <c r="AB35" i="40"/>
  <c r="AA35" i="40"/>
  <c r="Z35" i="40"/>
  <c r="Y35" i="40"/>
  <c r="X35" i="40"/>
  <c r="W35" i="40"/>
  <c r="V35" i="40"/>
  <c r="U35" i="40"/>
  <c r="BG34" i="40"/>
  <c r="BF34" i="40"/>
  <c r="BE34" i="40"/>
  <c r="BD34" i="40"/>
  <c r="BC34" i="40"/>
  <c r="BB34" i="40"/>
  <c r="BA34" i="40"/>
  <c r="AZ34" i="40"/>
  <c r="AY34" i="40"/>
  <c r="AX34" i="40"/>
  <c r="AD34" i="40"/>
  <c r="AC34" i="40"/>
  <c r="AB34" i="40"/>
  <c r="AA34" i="40"/>
  <c r="Z34" i="40"/>
  <c r="Y34" i="40"/>
  <c r="X34" i="40"/>
  <c r="W34" i="40"/>
  <c r="V34" i="40"/>
  <c r="U34" i="40"/>
  <c r="BG33" i="40"/>
  <c r="BF33" i="40"/>
  <c r="BE33" i="40"/>
  <c r="BD33" i="40"/>
  <c r="BC33" i="40"/>
  <c r="BB33" i="40"/>
  <c r="BA33" i="40"/>
  <c r="AZ33" i="40"/>
  <c r="AY33" i="40"/>
  <c r="AX33" i="40"/>
  <c r="AD33" i="40"/>
  <c r="AC33" i="40"/>
  <c r="AB33" i="40"/>
  <c r="AA33" i="40"/>
  <c r="Z33" i="40"/>
  <c r="Y33" i="40"/>
  <c r="X33" i="40"/>
  <c r="W33" i="40"/>
  <c r="V33" i="40"/>
  <c r="U33" i="40"/>
  <c r="BG32" i="40"/>
  <c r="BF32" i="40"/>
  <c r="BE32" i="40"/>
  <c r="BD32" i="40"/>
  <c r="BC32" i="40"/>
  <c r="BB32" i="40"/>
  <c r="BA32" i="40"/>
  <c r="AZ32" i="40"/>
  <c r="AY32" i="40"/>
  <c r="AX32" i="40"/>
  <c r="AD32" i="40"/>
  <c r="AC32" i="40"/>
  <c r="AB32" i="40"/>
  <c r="AA32" i="40"/>
  <c r="Z32" i="40"/>
  <c r="Y32" i="40"/>
  <c r="X32" i="40"/>
  <c r="W32" i="40"/>
  <c r="V32" i="40"/>
  <c r="U32" i="40"/>
  <c r="BG31" i="40"/>
  <c r="BF31" i="40"/>
  <c r="BE31" i="40"/>
  <c r="BD31" i="40"/>
  <c r="BC31" i="40"/>
  <c r="BB31" i="40"/>
  <c r="BA31" i="40"/>
  <c r="AZ31" i="40"/>
  <c r="AY31" i="40"/>
  <c r="AX31" i="40"/>
  <c r="AD31" i="40"/>
  <c r="AC31" i="40"/>
  <c r="AB31" i="40"/>
  <c r="AA31" i="40"/>
  <c r="Z31" i="40"/>
  <c r="Y31" i="40"/>
  <c r="X31" i="40"/>
  <c r="W31" i="40"/>
  <c r="V31" i="40"/>
  <c r="U31" i="40"/>
  <c r="BG30" i="40"/>
  <c r="BF30" i="40"/>
  <c r="BE30" i="40"/>
  <c r="BD30" i="40"/>
  <c r="BC30" i="40"/>
  <c r="BB30" i="40"/>
  <c r="BA30" i="40"/>
  <c r="AZ30" i="40"/>
  <c r="AY30" i="40"/>
  <c r="AX30" i="40"/>
  <c r="AD30" i="40"/>
  <c r="AC30" i="40"/>
  <c r="AB30" i="40"/>
  <c r="AA30" i="40"/>
  <c r="Z30" i="40"/>
  <c r="Y30" i="40"/>
  <c r="X30" i="40"/>
  <c r="W30" i="40"/>
  <c r="V30" i="40"/>
  <c r="U30" i="40"/>
  <c r="BG29" i="40"/>
  <c r="BF29" i="40"/>
  <c r="BE29" i="40"/>
  <c r="BD29" i="40"/>
  <c r="BC29" i="40"/>
  <c r="BB29" i="40"/>
  <c r="BA29" i="40"/>
  <c r="AZ29" i="40"/>
  <c r="AY29" i="40"/>
  <c r="AX29" i="40"/>
  <c r="AD29" i="40"/>
  <c r="AC29" i="40"/>
  <c r="AB29" i="40"/>
  <c r="AA29" i="40"/>
  <c r="Z29" i="40"/>
  <c r="Y29" i="40"/>
  <c r="X29" i="40"/>
  <c r="W29" i="40"/>
  <c r="V29" i="40"/>
  <c r="U29" i="40"/>
  <c r="BG28" i="40"/>
  <c r="BF28" i="40"/>
  <c r="BE28" i="40"/>
  <c r="BD28" i="40"/>
  <c r="BC28" i="40"/>
  <c r="BB28" i="40"/>
  <c r="BA28" i="40"/>
  <c r="AZ28" i="40"/>
  <c r="AY28" i="40"/>
  <c r="AX28" i="40"/>
  <c r="AD28" i="40"/>
  <c r="AC28" i="40"/>
  <c r="AB28" i="40"/>
  <c r="AA28" i="40"/>
  <c r="Z28" i="40"/>
  <c r="Y28" i="40"/>
  <c r="X28" i="40"/>
  <c r="W28" i="40"/>
  <c r="V28" i="40"/>
  <c r="U28" i="40"/>
  <c r="BG27" i="40"/>
  <c r="BF27" i="40"/>
  <c r="BE27" i="40"/>
  <c r="BD27" i="40"/>
  <c r="BC27" i="40"/>
  <c r="BB27" i="40"/>
  <c r="BA27" i="40"/>
  <c r="AZ27" i="40"/>
  <c r="AY27" i="40"/>
  <c r="AX27" i="40"/>
  <c r="AD27" i="40"/>
  <c r="AC27" i="40"/>
  <c r="AB27" i="40"/>
  <c r="AA27" i="40"/>
  <c r="Z27" i="40"/>
  <c r="Y27" i="40"/>
  <c r="X27" i="40"/>
  <c r="W27" i="40"/>
  <c r="V27" i="40"/>
  <c r="U27" i="40"/>
  <c r="BG26" i="40"/>
  <c r="BF26" i="40"/>
  <c r="BE26" i="40"/>
  <c r="BD26" i="40"/>
  <c r="BC26" i="40"/>
  <c r="BB26" i="40"/>
  <c r="BA26" i="40"/>
  <c r="AZ26" i="40"/>
  <c r="AY26" i="40"/>
  <c r="AX26" i="40"/>
  <c r="AD26" i="40"/>
  <c r="AC26" i="40"/>
  <c r="AB26" i="40"/>
  <c r="AA26" i="40"/>
  <c r="Z26" i="40"/>
  <c r="Y26" i="40"/>
  <c r="X26" i="40"/>
  <c r="W26" i="40"/>
  <c r="V26" i="40"/>
  <c r="U26" i="40"/>
  <c r="BG25" i="40"/>
  <c r="BF25" i="40"/>
  <c r="BE25" i="40"/>
  <c r="BD25" i="40"/>
  <c r="BC25" i="40"/>
  <c r="BB25" i="40"/>
  <c r="BA25" i="40"/>
  <c r="AZ25" i="40"/>
  <c r="AY25" i="40"/>
  <c r="AX25" i="40"/>
  <c r="AD25" i="40"/>
  <c r="AC25" i="40"/>
  <c r="AB25" i="40"/>
  <c r="AA25" i="40"/>
  <c r="Z25" i="40"/>
  <c r="Y25" i="40"/>
  <c r="X25" i="40"/>
  <c r="W25" i="40"/>
  <c r="V25" i="40"/>
  <c r="U25" i="40"/>
  <c r="BG24" i="40"/>
  <c r="BF24" i="40"/>
  <c r="BE24" i="40"/>
  <c r="BD24" i="40"/>
  <c r="BC24" i="40"/>
  <c r="BB24" i="40"/>
  <c r="BA24" i="40"/>
  <c r="AZ24" i="40"/>
  <c r="AY24" i="40"/>
  <c r="AX24" i="40"/>
  <c r="AD24" i="40"/>
  <c r="AC24" i="40"/>
  <c r="AB24" i="40"/>
  <c r="AA24" i="40"/>
  <c r="Z24" i="40"/>
  <c r="Y24" i="40"/>
  <c r="X24" i="40"/>
  <c r="W24" i="40"/>
  <c r="V24" i="40"/>
  <c r="U24" i="40"/>
  <c r="BG23" i="40"/>
  <c r="BF23" i="40"/>
  <c r="BE23" i="40"/>
  <c r="BD23" i="40"/>
  <c r="BC23" i="40"/>
  <c r="BB23" i="40"/>
  <c r="BA23" i="40"/>
  <c r="AZ23" i="40"/>
  <c r="AY23" i="40"/>
  <c r="AX23" i="40"/>
  <c r="AD23" i="40"/>
  <c r="AC23" i="40"/>
  <c r="AB23" i="40"/>
  <c r="AA23" i="40"/>
  <c r="Z23" i="40"/>
  <c r="Y23" i="40"/>
  <c r="X23" i="40"/>
  <c r="W23" i="40"/>
  <c r="V23" i="40"/>
  <c r="U23" i="40"/>
  <c r="BG22" i="40"/>
  <c r="BF22" i="40"/>
  <c r="BE22" i="40"/>
  <c r="BD22" i="40"/>
  <c r="BC22" i="40"/>
  <c r="BB22" i="40"/>
  <c r="BA22" i="40"/>
  <c r="AZ22" i="40"/>
  <c r="AY22" i="40"/>
  <c r="AX22" i="40"/>
  <c r="AD22" i="40"/>
  <c r="AC22" i="40"/>
  <c r="AB22" i="40"/>
  <c r="AA22" i="40"/>
  <c r="Z22" i="40"/>
  <c r="Y22" i="40"/>
  <c r="X22" i="40"/>
  <c r="W22" i="40"/>
  <c r="V22" i="40"/>
  <c r="U22" i="40"/>
  <c r="BG21" i="40"/>
  <c r="BF21" i="40"/>
  <c r="BE21" i="40"/>
  <c r="BD21" i="40"/>
  <c r="BC21" i="40"/>
  <c r="BB21" i="40"/>
  <c r="BA21" i="40"/>
  <c r="AZ21" i="40"/>
  <c r="AY21" i="40"/>
  <c r="AX21" i="40"/>
  <c r="AD21" i="40"/>
  <c r="AC21" i="40"/>
  <c r="AB21" i="40"/>
  <c r="AA21" i="40"/>
  <c r="Z21" i="40"/>
  <c r="Y21" i="40"/>
  <c r="X21" i="40"/>
  <c r="W21" i="40"/>
  <c r="V21" i="40"/>
  <c r="U21" i="40"/>
  <c r="BG20" i="40"/>
  <c r="BF20" i="40"/>
  <c r="BE20" i="40"/>
  <c r="BD20" i="40"/>
  <c r="BC20" i="40"/>
  <c r="BB20" i="40"/>
  <c r="BA20" i="40"/>
  <c r="AZ20" i="40"/>
  <c r="AY20" i="40"/>
  <c r="AX20" i="40"/>
  <c r="AD20" i="40"/>
  <c r="AC20" i="40"/>
  <c r="AB20" i="40"/>
  <c r="AA20" i="40"/>
  <c r="Z20" i="40"/>
  <c r="Y20" i="40"/>
  <c r="X20" i="40"/>
  <c r="W20" i="40"/>
  <c r="V20" i="40"/>
  <c r="U20" i="40"/>
  <c r="BG19" i="40"/>
  <c r="BF19" i="40"/>
  <c r="BE19" i="40"/>
  <c r="BD19" i="40"/>
  <c r="BC19" i="40"/>
  <c r="BB19" i="40"/>
  <c r="BA19" i="40"/>
  <c r="AZ19" i="40"/>
  <c r="AY19" i="40"/>
  <c r="AX19" i="40"/>
  <c r="AD19" i="40"/>
  <c r="AC19" i="40"/>
  <c r="AB19" i="40"/>
  <c r="AA19" i="40"/>
  <c r="Z19" i="40"/>
  <c r="Y19" i="40"/>
  <c r="X19" i="40"/>
  <c r="W19" i="40"/>
  <c r="V19" i="40"/>
  <c r="U19" i="40"/>
  <c r="BG18" i="40"/>
  <c r="BF18" i="40"/>
  <c r="BE18" i="40"/>
  <c r="BD18" i="40"/>
  <c r="BC18" i="40"/>
  <c r="BB18" i="40"/>
  <c r="BA18" i="40"/>
  <c r="AZ18" i="40"/>
  <c r="AY18" i="40"/>
  <c r="AX18" i="40"/>
  <c r="AD18" i="40"/>
  <c r="AC18" i="40"/>
  <c r="AB18" i="40"/>
  <c r="AA18" i="40"/>
  <c r="Z18" i="40"/>
  <c r="Y18" i="40"/>
  <c r="X18" i="40"/>
  <c r="W18" i="40"/>
  <c r="V18" i="40"/>
  <c r="U18" i="40"/>
  <c r="BG17" i="40"/>
  <c r="BF17" i="40"/>
  <c r="BE17" i="40"/>
  <c r="BD17" i="40"/>
  <c r="BC17" i="40"/>
  <c r="BB17" i="40"/>
  <c r="BA17" i="40"/>
  <c r="AZ17" i="40"/>
  <c r="AY17" i="40"/>
  <c r="AX17" i="40"/>
  <c r="AD17" i="40"/>
  <c r="AC17" i="40"/>
  <c r="AB17" i="40"/>
  <c r="AA17" i="40"/>
  <c r="Z17" i="40"/>
  <c r="Y17" i="40"/>
  <c r="X17" i="40"/>
  <c r="W17" i="40"/>
  <c r="V17" i="40"/>
  <c r="U17" i="40"/>
  <c r="BG16" i="40"/>
  <c r="BF16" i="40"/>
  <c r="BE16" i="40"/>
  <c r="BD16" i="40"/>
  <c r="BC16" i="40"/>
  <c r="BB16" i="40"/>
  <c r="BA16" i="40"/>
  <c r="AZ16" i="40"/>
  <c r="AY16" i="40"/>
  <c r="AX16" i="40"/>
  <c r="AD16" i="40"/>
  <c r="AC16" i="40"/>
  <c r="AB16" i="40"/>
  <c r="AA16" i="40"/>
  <c r="Z16" i="40"/>
  <c r="Y16" i="40"/>
  <c r="X16" i="40"/>
  <c r="W16" i="40"/>
  <c r="V16" i="40"/>
  <c r="U16" i="40"/>
  <c r="BG15" i="40"/>
  <c r="BF15" i="40"/>
  <c r="BE15" i="40"/>
  <c r="BD15" i="40"/>
  <c r="BC15" i="40"/>
  <c r="BB15" i="40"/>
  <c r="BA15" i="40"/>
  <c r="AZ15" i="40"/>
  <c r="AY15" i="40"/>
  <c r="AX15" i="40"/>
  <c r="AD15" i="40"/>
  <c r="AC15" i="40"/>
  <c r="AB15" i="40"/>
  <c r="AA15" i="40"/>
  <c r="Z15" i="40"/>
  <c r="Y15" i="40"/>
  <c r="X15" i="40"/>
  <c r="W15" i="40"/>
  <c r="V15" i="40"/>
  <c r="U15" i="40"/>
  <c r="BG14" i="40"/>
  <c r="BF14" i="40"/>
  <c r="BE14" i="40"/>
  <c r="BD14" i="40"/>
  <c r="BC14" i="40"/>
  <c r="BB14" i="40"/>
  <c r="BA14" i="40"/>
  <c r="AZ14" i="40"/>
  <c r="AY14" i="40"/>
  <c r="AX14" i="40"/>
  <c r="AD14" i="40"/>
  <c r="AC14" i="40"/>
  <c r="AB14" i="40"/>
  <c r="AA14" i="40"/>
  <c r="Z14" i="40"/>
  <c r="Y14" i="40"/>
  <c r="X14" i="40"/>
  <c r="W14" i="40"/>
  <c r="V14" i="40"/>
  <c r="U14" i="40"/>
  <c r="BG13" i="40"/>
  <c r="BF13" i="40"/>
  <c r="BE13" i="40"/>
  <c r="BD13" i="40"/>
  <c r="BC13" i="40"/>
  <c r="BB13" i="40"/>
  <c r="BA13" i="40"/>
  <c r="AZ13" i="40"/>
  <c r="AY13" i="40"/>
  <c r="AX13" i="40"/>
  <c r="O13" i="40"/>
  <c r="N13" i="40"/>
  <c r="M13" i="40"/>
  <c r="L13" i="40"/>
  <c r="K13" i="40"/>
  <c r="J13" i="40"/>
  <c r="I13" i="40"/>
  <c r="H13" i="40"/>
  <c r="G13" i="40"/>
  <c r="F13" i="40"/>
  <c r="AU12" i="40"/>
  <c r="AT12" i="40"/>
  <c r="AS12" i="40"/>
  <c r="AR12" i="40"/>
  <c r="AQ12" i="40"/>
  <c r="AP12" i="40"/>
  <c r="AO12" i="40"/>
  <c r="AN12" i="40"/>
  <c r="AM12" i="40"/>
  <c r="AL12" i="40"/>
  <c r="AF12" i="40"/>
  <c r="AF44" i="40" l="1"/>
  <c r="AW60" i="12"/>
  <c r="AW63" i="12"/>
  <c r="AW52" i="12"/>
  <c r="AW55" i="12"/>
  <c r="BI27" i="6"/>
  <c r="AF23" i="6"/>
  <c r="W12" i="8"/>
  <c r="AE15" i="8"/>
  <c r="U42" i="50"/>
  <c r="B43" i="50"/>
  <c r="BI23" i="47"/>
  <c r="BN52" i="38"/>
  <c r="AE25" i="39"/>
  <c r="P33" i="49"/>
  <c r="S33" i="49" s="1"/>
  <c r="AF50" i="49"/>
  <c r="P53" i="49"/>
  <c r="BI56" i="49"/>
  <c r="AF39" i="4"/>
  <c r="BI15" i="8"/>
  <c r="BI44" i="8"/>
  <c r="BN56" i="44"/>
  <c r="BN59" i="44"/>
  <c r="AW22" i="11"/>
  <c r="AW33" i="11"/>
  <c r="Z12" i="10"/>
  <c r="AF20" i="10"/>
  <c r="BI52" i="10"/>
  <c r="AE30" i="2"/>
  <c r="P59" i="8"/>
  <c r="AF21" i="40"/>
  <c r="AJ21" i="40" s="1"/>
  <c r="P52" i="41"/>
  <c r="AF62" i="41"/>
  <c r="P27" i="37"/>
  <c r="S27" i="37" s="1"/>
  <c r="P51" i="37"/>
  <c r="S51" i="37" s="1"/>
  <c r="AW51" i="49"/>
  <c r="BN59" i="11"/>
  <c r="BA11" i="15"/>
  <c r="AE34" i="15"/>
  <c r="AE42" i="15"/>
  <c r="AE50" i="15"/>
  <c r="AI50" i="15" s="1"/>
  <c r="AE58" i="15"/>
  <c r="AW52" i="4"/>
  <c r="W12" i="5"/>
  <c r="AW61" i="7"/>
  <c r="BB11" i="8"/>
  <c r="BI42" i="47"/>
  <c r="P25" i="41"/>
  <c r="S25" i="41" s="1"/>
  <c r="P29" i="41"/>
  <c r="S29" i="41" s="1"/>
  <c r="AK29" i="41" s="1"/>
  <c r="P23" i="37"/>
  <c r="BH61" i="12"/>
  <c r="BI23" i="44"/>
  <c r="BH25" i="44"/>
  <c r="AF26" i="44"/>
  <c r="P61" i="49"/>
  <c r="AW63" i="49"/>
  <c r="BN19" i="11"/>
  <c r="BN57" i="39"/>
  <c r="AW57" i="39"/>
  <c r="BI31" i="40"/>
  <c r="BI31" i="47"/>
  <c r="BI47" i="47"/>
  <c r="BD11" i="41"/>
  <c r="AW31" i="41"/>
  <c r="AE33" i="41"/>
  <c r="AI33" i="41" s="1"/>
  <c r="BB11" i="37"/>
  <c r="P19" i="37"/>
  <c r="S19" i="37" s="1"/>
  <c r="AW26" i="37"/>
  <c r="P31" i="37"/>
  <c r="S31" i="37" s="1"/>
  <c r="P35" i="37"/>
  <c r="S35" i="37" s="1"/>
  <c r="AW50" i="37"/>
  <c r="AW56" i="37"/>
  <c r="BN60" i="37"/>
  <c r="AW60" i="37"/>
  <c r="BC11" i="47"/>
  <c r="BG11" i="47"/>
  <c r="BH47" i="41"/>
  <c r="AW63" i="41"/>
  <c r="W12" i="37"/>
  <c r="AA12" i="37"/>
  <c r="P15" i="37"/>
  <c r="S15" i="37" s="1"/>
  <c r="BH16" i="37"/>
  <c r="BI23" i="37"/>
  <c r="AE24" i="37"/>
  <c r="BH26" i="37"/>
  <c r="AW30" i="37"/>
  <c r="AW40" i="37"/>
  <c r="BI42" i="37"/>
  <c r="BM42" i="37" s="1"/>
  <c r="BI52" i="37"/>
  <c r="AW54" i="37"/>
  <c r="P59" i="37"/>
  <c r="AW61" i="37"/>
  <c r="BN61" i="37"/>
  <c r="BH63" i="38"/>
  <c r="BL63" i="38" s="1"/>
  <c r="V12" i="40"/>
  <c r="AF53" i="40"/>
  <c r="P62" i="47"/>
  <c r="BH14" i="41"/>
  <c r="BB11" i="41"/>
  <c r="BF11" i="41"/>
  <c r="P21" i="41"/>
  <c r="S21" i="41" s="1"/>
  <c r="BI20" i="37"/>
  <c r="AW22" i="37"/>
  <c r="BI36" i="37"/>
  <c r="AW38" i="37"/>
  <c r="AF29" i="38"/>
  <c r="AJ29" i="38" s="1"/>
  <c r="BH29" i="38"/>
  <c r="BI41" i="38"/>
  <c r="BI27" i="39"/>
  <c r="AF33" i="39"/>
  <c r="AF41" i="39"/>
  <c r="AF57" i="39"/>
  <c r="AW60" i="39"/>
  <c r="BI60" i="39"/>
  <c r="BD11" i="44"/>
  <c r="P29" i="44"/>
  <c r="S29" i="44" s="1"/>
  <c r="BN18" i="49"/>
  <c r="P21" i="49"/>
  <c r="S21" i="49" s="1"/>
  <c r="BI31" i="49"/>
  <c r="BI41" i="49"/>
  <c r="BA11" i="11"/>
  <c r="P40" i="11"/>
  <c r="P48" i="11"/>
  <c r="BI50" i="11"/>
  <c r="AC12" i="15"/>
  <c r="BN62" i="15"/>
  <c r="BH51" i="10"/>
  <c r="P58" i="10"/>
  <c r="AW60" i="10"/>
  <c r="X12" i="4"/>
  <c r="BA11" i="4"/>
  <c r="AF26" i="4"/>
  <c r="AW54" i="4"/>
  <c r="P56" i="4"/>
  <c r="AW57" i="4"/>
  <c r="AW60" i="4"/>
  <c r="AF20" i="5"/>
  <c r="AW20" i="5"/>
  <c r="AF22" i="5"/>
  <c r="AW23" i="5"/>
  <c r="BI23" i="5"/>
  <c r="AF36" i="5"/>
  <c r="AW36" i="5"/>
  <c r="P38" i="5"/>
  <c r="S38" i="5" s="1"/>
  <c r="AW47" i="5"/>
  <c r="P49" i="5"/>
  <c r="BN52" i="5"/>
  <c r="AF42" i="6"/>
  <c r="AE46" i="6"/>
  <c r="AW58" i="6"/>
  <c r="AF14" i="7"/>
  <c r="Y12" i="7"/>
  <c r="AC12" i="7"/>
  <c r="AY11" i="7"/>
  <c r="BC11" i="7"/>
  <c r="BG11" i="7"/>
  <c r="BB11" i="7"/>
  <c r="BH32" i="8"/>
  <c r="P51" i="8"/>
  <c r="P55" i="8"/>
  <c r="BI59" i="8"/>
  <c r="BI37" i="44"/>
  <c r="AE38" i="44"/>
  <c r="AI38" i="44" s="1"/>
  <c r="BI24" i="49"/>
  <c r="P37" i="49"/>
  <c r="AF32" i="11"/>
  <c r="AJ32" i="11" s="1"/>
  <c r="BI33" i="11"/>
  <c r="BI61" i="15"/>
  <c r="AE48" i="10"/>
  <c r="AI48" i="10" s="1"/>
  <c r="BI34" i="4"/>
  <c r="AF46" i="4"/>
  <c r="AF50" i="4"/>
  <c r="BH17" i="6"/>
  <c r="BI19" i="6"/>
  <c r="BH37" i="6"/>
  <c r="P60" i="6"/>
  <c r="BH60" i="6"/>
  <c r="AF38" i="7"/>
  <c r="AJ38" i="7" s="1"/>
  <c r="AE58" i="7"/>
  <c r="BI28" i="8"/>
  <c r="BC11" i="38"/>
  <c r="AF16" i="39"/>
  <c r="AJ16" i="39" s="1"/>
  <c r="AW56" i="39"/>
  <c r="BH37" i="12"/>
  <c r="AE19" i="44"/>
  <c r="BH30" i="44"/>
  <c r="BN52" i="44"/>
  <c r="AF60" i="44"/>
  <c r="P17" i="49"/>
  <c r="S17" i="49" s="1"/>
  <c r="P58" i="49"/>
  <c r="P36" i="11"/>
  <c r="BN43" i="11"/>
  <c r="AE24" i="15"/>
  <c r="BI24" i="15"/>
  <c r="AE60" i="15"/>
  <c r="BI60" i="15"/>
  <c r="AX11" i="10"/>
  <c r="BB11" i="10"/>
  <c r="BI42" i="10"/>
  <c r="AE43" i="10"/>
  <c r="BH46" i="10"/>
  <c r="AF47" i="10"/>
  <c r="P54" i="10"/>
  <c r="AW55" i="10"/>
  <c r="AW61" i="10"/>
  <c r="X12" i="2"/>
  <c r="AB12" i="2"/>
  <c r="BI14" i="2"/>
  <c r="BE11" i="2"/>
  <c r="AF19" i="2"/>
  <c r="AB12" i="4"/>
  <c r="AF14" i="5"/>
  <c r="Y12" i="5"/>
  <c r="AC12" i="5"/>
  <c r="AY11" i="5"/>
  <c r="BC11" i="5"/>
  <c r="BG11" i="5"/>
  <c r="AW15" i="5"/>
  <c r="BI15" i="5"/>
  <c r="BE11" i="5"/>
  <c r="AF28" i="5"/>
  <c r="AW28" i="5"/>
  <c r="AF30" i="5"/>
  <c r="AW31" i="5"/>
  <c r="BI31" i="5"/>
  <c r="P46" i="5"/>
  <c r="AW55" i="5"/>
  <c r="AF61" i="5"/>
  <c r="AW62" i="5"/>
  <c r="BI62" i="5"/>
  <c r="BD11" i="6"/>
  <c r="AC12" i="6"/>
  <c r="P52" i="6"/>
  <c r="BN55" i="6"/>
  <c r="BI26" i="7"/>
  <c r="P52" i="7"/>
  <c r="AW53" i="7"/>
  <c r="BI53" i="7"/>
  <c r="AD12" i="8"/>
  <c r="BC11" i="8"/>
  <c r="BG11" i="8"/>
  <c r="BI27" i="8"/>
  <c r="AF49" i="8"/>
  <c r="BH50" i="8"/>
  <c r="S63" i="39"/>
  <c r="AK63" i="39" s="1"/>
  <c r="AY11" i="8"/>
  <c r="AW51" i="47"/>
  <c r="BN60" i="47"/>
  <c r="BB11" i="40"/>
  <c r="BI23" i="40"/>
  <c r="AF36" i="40"/>
  <c r="AF45" i="40"/>
  <c r="AJ45" i="40" s="1"/>
  <c r="BN53" i="40"/>
  <c r="AF32" i="47"/>
  <c r="BI50" i="47"/>
  <c r="BI51" i="47"/>
  <c r="BN52" i="47"/>
  <c r="AF14" i="41"/>
  <c r="AA12" i="41"/>
  <c r="BN15" i="41"/>
  <c r="BN18" i="41"/>
  <c r="AF19" i="41"/>
  <c r="AJ19" i="41" s="1"/>
  <c r="BI19" i="41"/>
  <c r="BM19" i="41" s="1"/>
  <c r="AF22" i="41"/>
  <c r="BN27" i="41"/>
  <c r="BI31" i="41"/>
  <c r="AF32" i="41"/>
  <c r="AJ32" i="41" s="1"/>
  <c r="AE34" i="41"/>
  <c r="BI35" i="41"/>
  <c r="BH44" i="41"/>
  <c r="BN18" i="37"/>
  <c r="S23" i="37"/>
  <c r="BN34" i="37"/>
  <c r="S47" i="37"/>
  <c r="S59" i="37"/>
  <c r="BN56" i="40"/>
  <c r="BN55" i="47"/>
  <c r="BH52" i="41"/>
  <c r="BH60" i="41"/>
  <c r="V12" i="37"/>
  <c r="BI19" i="37"/>
  <c r="AE20" i="37"/>
  <c r="BH22" i="37"/>
  <c r="BI32" i="37"/>
  <c r="BI35" i="37"/>
  <c r="AE36" i="37"/>
  <c r="BH38" i="37"/>
  <c r="P43" i="37"/>
  <c r="S43" i="37" s="1"/>
  <c r="AW44" i="37"/>
  <c r="BN45" i="37"/>
  <c r="BI51" i="37"/>
  <c r="AE52" i="37"/>
  <c r="BH54" i="37"/>
  <c r="W12" i="38"/>
  <c r="AE30" i="38"/>
  <c r="BI31" i="38"/>
  <c r="AE32" i="38"/>
  <c r="BH39" i="38"/>
  <c r="BI40" i="38"/>
  <c r="AF42" i="38"/>
  <c r="BH42" i="38"/>
  <c r="BI50" i="38"/>
  <c r="AE51" i="38"/>
  <c r="BC11" i="40"/>
  <c r="AF20" i="40"/>
  <c r="AJ20" i="40" s="1"/>
  <c r="BI20" i="40"/>
  <c r="AF29" i="40"/>
  <c r="AJ29" i="40" s="1"/>
  <c r="BI39" i="40"/>
  <c r="P51" i="40"/>
  <c r="S51" i="40" s="1"/>
  <c r="AK51" i="40" s="1"/>
  <c r="P55" i="40"/>
  <c r="S55" i="40" s="1"/>
  <c r="AK55" i="40" s="1"/>
  <c r="AF57" i="40"/>
  <c r="BI60" i="40"/>
  <c r="AF16" i="47"/>
  <c r="AJ16" i="47" s="1"/>
  <c r="BI19" i="47"/>
  <c r="AF44" i="47"/>
  <c r="AJ44" i="47" s="1"/>
  <c r="AF47" i="47"/>
  <c r="AJ47" i="47" s="1"/>
  <c r="AE58" i="47"/>
  <c r="BI58" i="47"/>
  <c r="P59" i="47"/>
  <c r="AB12" i="41"/>
  <c r="BN19" i="41"/>
  <c r="BN26" i="41"/>
  <c r="AF27" i="41"/>
  <c r="BI27" i="41"/>
  <c r="AE30" i="41"/>
  <c r="AW35" i="41"/>
  <c r="BN40" i="41"/>
  <c r="AW41" i="41"/>
  <c r="AE49" i="41"/>
  <c r="BH55" i="41"/>
  <c r="BH18" i="37"/>
  <c r="BI28" i="37"/>
  <c r="BI31" i="37"/>
  <c r="AE32" i="37"/>
  <c r="BH34" i="37"/>
  <c r="BI40" i="37"/>
  <c r="P41" i="37"/>
  <c r="S41" i="37" s="1"/>
  <c r="AF43" i="37"/>
  <c r="AJ43" i="37" s="1"/>
  <c r="BH43" i="37"/>
  <c r="BL43" i="37" s="1"/>
  <c r="BI44" i="37"/>
  <c r="BN49" i="37"/>
  <c r="BI18" i="38"/>
  <c r="AE19" i="38"/>
  <c r="AA12" i="38"/>
  <c r="BE11" i="39"/>
  <c r="BN53" i="39"/>
  <c r="AW53" i="39"/>
  <c r="AD12" i="40"/>
  <c r="BI15" i="40"/>
  <c r="AF28" i="40"/>
  <c r="AJ28" i="40" s="1"/>
  <c r="AF37" i="40"/>
  <c r="AJ37" i="40" s="1"/>
  <c r="BI47" i="40"/>
  <c r="BI55" i="40"/>
  <c r="BM55" i="40" s="1"/>
  <c r="BH56" i="40"/>
  <c r="AF60" i="40"/>
  <c r="AX11" i="47"/>
  <c r="BB11" i="47"/>
  <c r="BF11" i="47"/>
  <c r="AA12" i="47"/>
  <c r="BI15" i="47"/>
  <c r="BI27" i="47"/>
  <c r="BI34" i="47"/>
  <c r="BM34" i="47" s="1"/>
  <c r="BI39" i="47"/>
  <c r="BN56" i="47"/>
  <c r="BN59" i="47"/>
  <c r="AF60" i="47"/>
  <c r="BI60" i="47"/>
  <c r="AF63" i="47"/>
  <c r="AE17" i="41"/>
  <c r="BI17" i="41"/>
  <c r="P18" i="41"/>
  <c r="S18" i="41" s="1"/>
  <c r="BN22" i="41"/>
  <c r="AF23" i="41"/>
  <c r="AJ23" i="41" s="1"/>
  <c r="BI23" i="41"/>
  <c r="AF26" i="41"/>
  <c r="P32" i="41"/>
  <c r="BN51" i="41"/>
  <c r="AE57" i="41"/>
  <c r="BN62" i="41"/>
  <c r="AD12" i="37"/>
  <c r="BI16" i="37"/>
  <c r="BI24" i="37"/>
  <c r="BI27" i="37"/>
  <c r="AE28" i="37"/>
  <c r="BH30" i="37"/>
  <c r="P39" i="37"/>
  <c r="S39" i="37" s="1"/>
  <c r="BI48" i="37"/>
  <c r="AE55" i="37"/>
  <c r="S37" i="49"/>
  <c r="BI40" i="49"/>
  <c r="BI47" i="49"/>
  <c r="P52" i="49"/>
  <c r="S52" i="49" s="1"/>
  <c r="BH52" i="49"/>
  <c r="BI14" i="11"/>
  <c r="BI18" i="11"/>
  <c r="BI36" i="11"/>
  <c r="P37" i="11"/>
  <c r="AW51" i="11"/>
  <c r="BN51" i="11"/>
  <c r="AW55" i="11"/>
  <c r="BN55" i="11"/>
  <c r="BI58" i="37"/>
  <c r="BM58" i="37" s="1"/>
  <c r="P63" i="37"/>
  <c r="S63" i="37" s="1"/>
  <c r="AE14" i="38"/>
  <c r="AY11" i="38"/>
  <c r="BG11" i="38"/>
  <c r="BA11" i="38"/>
  <c r="BE11" i="38"/>
  <c r="AE16" i="38"/>
  <c r="BI25" i="38"/>
  <c r="AF45" i="38"/>
  <c r="BH45" i="38"/>
  <c r="P54" i="38"/>
  <c r="S54" i="38" s="1"/>
  <c r="BI59" i="38"/>
  <c r="BM59" i="38" s="1"/>
  <c r="AF62" i="38"/>
  <c r="AF63" i="38"/>
  <c r="AB12" i="39"/>
  <c r="BH34" i="39"/>
  <c r="BH42" i="39"/>
  <c r="BH50" i="39"/>
  <c r="BN54" i="39"/>
  <c r="BN62" i="39"/>
  <c r="BC11" i="12"/>
  <c r="AF20" i="12"/>
  <c r="BI23" i="12"/>
  <c r="BH29" i="12"/>
  <c r="AF44" i="12"/>
  <c r="BI47" i="12"/>
  <c r="P61" i="12"/>
  <c r="BI15" i="44"/>
  <c r="BB11" i="44"/>
  <c r="BF11" i="44"/>
  <c r="BH17" i="44"/>
  <c r="AF18" i="44"/>
  <c r="AJ18" i="44" s="1"/>
  <c r="BH22" i="44"/>
  <c r="BI29" i="44"/>
  <c r="AE30" i="44"/>
  <c r="BH46" i="44"/>
  <c r="BI51" i="44"/>
  <c r="AF56" i="44"/>
  <c r="AW63" i="44"/>
  <c r="AF14" i="49"/>
  <c r="AF19" i="49"/>
  <c r="AW19" i="49"/>
  <c r="AF22" i="49"/>
  <c r="AE31" i="49"/>
  <c r="P36" i="49"/>
  <c r="S36" i="49" s="1"/>
  <c r="BH36" i="49"/>
  <c r="AE47" i="49"/>
  <c r="AF51" i="49"/>
  <c r="AF63" i="49"/>
  <c r="P16" i="11"/>
  <c r="AE17" i="11"/>
  <c r="BI17" i="11"/>
  <c r="U12" i="11"/>
  <c r="AC12" i="11"/>
  <c r="P20" i="11"/>
  <c r="BI26" i="11"/>
  <c r="BN45" i="11"/>
  <c r="AW45" i="11"/>
  <c r="P52" i="11"/>
  <c r="AF29" i="39"/>
  <c r="BH58" i="39"/>
  <c r="BI15" i="12"/>
  <c r="AF36" i="12"/>
  <c r="BI39" i="12"/>
  <c r="BH53" i="12"/>
  <c r="AF60" i="12"/>
  <c r="BI63" i="12"/>
  <c r="BI21" i="44"/>
  <c r="AE22" i="44"/>
  <c r="AI22" i="44" s="1"/>
  <c r="AE35" i="44"/>
  <c r="BI39" i="44"/>
  <c r="BH41" i="44"/>
  <c r="BI42" i="44"/>
  <c r="BI50" i="44"/>
  <c r="P51" i="44"/>
  <c r="S51" i="44" s="1"/>
  <c r="AE62" i="44"/>
  <c r="BI62" i="44"/>
  <c r="BH63" i="44"/>
  <c r="AF18" i="49"/>
  <c r="BH26" i="49"/>
  <c r="AW30" i="49"/>
  <c r="BI30" i="49"/>
  <c r="BN34" i="49"/>
  <c r="AF35" i="49"/>
  <c r="AW35" i="49"/>
  <c r="BH42" i="49"/>
  <c r="AW46" i="49"/>
  <c r="BI46" i="49"/>
  <c r="AF57" i="49"/>
  <c r="AW58" i="49"/>
  <c r="BI58" i="49"/>
  <c r="P62" i="49"/>
  <c r="S62" i="49" s="1"/>
  <c r="BD11" i="11"/>
  <c r="BN15" i="11"/>
  <c r="AF19" i="11"/>
  <c r="BI22" i="11"/>
  <c r="P24" i="11"/>
  <c r="BH24" i="11"/>
  <c r="AF26" i="11"/>
  <c r="BH28" i="11"/>
  <c r="AF30" i="11"/>
  <c r="BN31" i="11"/>
  <c r="AW39" i="11"/>
  <c r="BN39" i="11"/>
  <c r="BI48" i="11"/>
  <c r="AE49" i="11"/>
  <c r="BI56" i="37"/>
  <c r="P57" i="37"/>
  <c r="S57" i="37" s="1"/>
  <c r="AF59" i="37"/>
  <c r="AJ59" i="37" s="1"/>
  <c r="BH59" i="37"/>
  <c r="BI60" i="37"/>
  <c r="BM60" i="37" s="1"/>
  <c r="BH23" i="38"/>
  <c r="BI24" i="38"/>
  <c r="AF26" i="38"/>
  <c r="AJ26" i="38" s="1"/>
  <c r="BH26" i="38"/>
  <c r="BI34" i="38"/>
  <c r="BM34" i="38" s="1"/>
  <c r="AE35" i="38"/>
  <c r="AI35" i="38" s="1"/>
  <c r="AE46" i="38"/>
  <c r="BI47" i="38"/>
  <c r="AE48" i="38"/>
  <c r="P57" i="38"/>
  <c r="S57" i="38" s="1"/>
  <c r="T57" i="38" s="1"/>
  <c r="AF61" i="38"/>
  <c r="AJ61" i="38" s="1"/>
  <c r="AZ11" i="39"/>
  <c r="AF18" i="39"/>
  <c r="V12" i="39"/>
  <c r="BH26" i="39"/>
  <c r="BH28" i="39"/>
  <c r="BI36" i="39"/>
  <c r="BI44" i="39"/>
  <c r="AF49" i="39"/>
  <c r="AW52" i="39"/>
  <c r="BI52" i="39"/>
  <c r="P58" i="39"/>
  <c r="BH21" i="12"/>
  <c r="AF28" i="12"/>
  <c r="BI31" i="12"/>
  <c r="BH45" i="12"/>
  <c r="P53" i="12"/>
  <c r="P58" i="12"/>
  <c r="AE14" i="44"/>
  <c r="AE27" i="44"/>
  <c r="BI31" i="44"/>
  <c r="BH33" i="44"/>
  <c r="AF34" i="44"/>
  <c r="BH38" i="44"/>
  <c r="AE52" i="44"/>
  <c r="AE54" i="44"/>
  <c r="BI54" i="44"/>
  <c r="P55" i="44"/>
  <c r="S55" i="44" s="1"/>
  <c r="BN60" i="44"/>
  <c r="BI61" i="44"/>
  <c r="AF15" i="49"/>
  <c r="BI15" i="49"/>
  <c r="BI25" i="49"/>
  <c r="AF34" i="49"/>
  <c r="S49" i="49"/>
  <c r="S53" i="49"/>
  <c r="P38" i="11"/>
  <c r="BI41" i="11"/>
  <c r="AF44" i="11"/>
  <c r="AJ44" i="11" s="1"/>
  <c r="BI45" i="11"/>
  <c r="BH49" i="11"/>
  <c r="AF54" i="11"/>
  <c r="AW54" i="11"/>
  <c r="AE14" i="15"/>
  <c r="Y12" i="15"/>
  <c r="AF18" i="15"/>
  <c r="AJ18" i="15" s="1"/>
  <c r="BE11" i="15"/>
  <c r="BH25" i="15"/>
  <c r="AF28" i="15"/>
  <c r="AJ28" i="15" s="1"/>
  <c r="BI29" i="15"/>
  <c r="BI37" i="15"/>
  <c r="BI45" i="15"/>
  <c r="P52" i="15"/>
  <c r="S52" i="15" s="1"/>
  <c r="AK52" i="15" s="1"/>
  <c r="AW53" i="15"/>
  <c r="BI53" i="15"/>
  <c r="BN54" i="15"/>
  <c r="AW61" i="15"/>
  <c r="AF62" i="15"/>
  <c r="BC11" i="10"/>
  <c r="X12" i="10"/>
  <c r="AB12" i="10"/>
  <c r="BI34" i="10"/>
  <c r="AE35" i="10"/>
  <c r="AI35" i="10" s="1"/>
  <c r="BH38" i="10"/>
  <c r="AF39" i="10"/>
  <c r="AE40" i="10"/>
  <c r="BH43" i="10"/>
  <c r="BI44" i="10"/>
  <c r="AW52" i="10"/>
  <c r="AW57" i="10"/>
  <c r="AA12" i="2"/>
  <c r="AZ11" i="2"/>
  <c r="BB11" i="2"/>
  <c r="BF11" i="2"/>
  <c r="AF20" i="2"/>
  <c r="BI20" i="2"/>
  <c r="BH30" i="2"/>
  <c r="AF40" i="2"/>
  <c r="AW51" i="2"/>
  <c r="BI51" i="2"/>
  <c r="BN55" i="2"/>
  <c r="AF56" i="2"/>
  <c r="AW56" i="2"/>
  <c r="AW59" i="2"/>
  <c r="BN60" i="2"/>
  <c r="BI61" i="2"/>
  <c r="AZ11" i="4"/>
  <c r="BD11" i="4"/>
  <c r="AW60" i="5"/>
  <c r="BN60" i="5"/>
  <c r="BE11" i="6"/>
  <c r="BN40" i="5"/>
  <c r="AW40" i="5"/>
  <c r="BN54" i="5"/>
  <c r="AW54" i="5"/>
  <c r="P56" i="11"/>
  <c r="BH56" i="11"/>
  <c r="AF57" i="11"/>
  <c r="AF60" i="11"/>
  <c r="AW61" i="11"/>
  <c r="BI61" i="11"/>
  <c r="AZ11" i="15"/>
  <c r="BD11" i="15"/>
  <c r="AF17" i="15"/>
  <c r="BI23" i="15"/>
  <c r="AF32" i="15"/>
  <c r="BI33" i="15"/>
  <c r="BI41" i="15"/>
  <c r="BI49" i="15"/>
  <c r="P56" i="15"/>
  <c r="S56" i="15" s="1"/>
  <c r="AW57" i="15"/>
  <c r="BI57" i="15"/>
  <c r="BN58" i="15"/>
  <c r="P63" i="15"/>
  <c r="AA12" i="10"/>
  <c r="BH22" i="10"/>
  <c r="AF23" i="10"/>
  <c r="AE24" i="10"/>
  <c r="BH27" i="10"/>
  <c r="BI28" i="10"/>
  <c r="BI50" i="10"/>
  <c r="AE51" i="10"/>
  <c r="AW53" i="10"/>
  <c r="BH54" i="10"/>
  <c r="AF55" i="10"/>
  <c r="AE56" i="10"/>
  <c r="BH59" i="10"/>
  <c r="BI60" i="10"/>
  <c r="P62" i="10"/>
  <c r="AW63" i="10"/>
  <c r="AF21" i="2"/>
  <c r="BI22" i="2"/>
  <c r="BH29" i="2"/>
  <c r="BI33" i="2"/>
  <c r="BM33" i="2" s="1"/>
  <c r="BI41" i="2"/>
  <c r="BI44" i="2"/>
  <c r="AF47" i="2"/>
  <c r="BI52" i="2"/>
  <c r="BH63" i="2"/>
  <c r="V12" i="4"/>
  <c r="Z12" i="4"/>
  <c r="AD12" i="4"/>
  <c r="BE11" i="4"/>
  <c r="BI23" i="4"/>
  <c r="BB11" i="5"/>
  <c r="AF55" i="11"/>
  <c r="BI59" i="11"/>
  <c r="AX11" i="15"/>
  <c r="BB11" i="15"/>
  <c r="BF11" i="15"/>
  <c r="BH19" i="15"/>
  <c r="AE30" i="15"/>
  <c r="AE38" i="15"/>
  <c r="AE46" i="15"/>
  <c r="AE54" i="15"/>
  <c r="BH14" i="10"/>
  <c r="BH18" i="10"/>
  <c r="AF19" i="10"/>
  <c r="BI19" i="10"/>
  <c r="BI26" i="10"/>
  <c r="AE27" i="10"/>
  <c r="AI27" i="10" s="1"/>
  <c r="BH30" i="10"/>
  <c r="AF31" i="10"/>
  <c r="AE32" i="10"/>
  <c r="BH35" i="10"/>
  <c r="BI36" i="10"/>
  <c r="BI58" i="10"/>
  <c r="AE59" i="10"/>
  <c r="BH62" i="10"/>
  <c r="AF63" i="10"/>
  <c r="AF36" i="2"/>
  <c r="AE52" i="2"/>
  <c r="P57" i="2"/>
  <c r="S57" i="2" s="1"/>
  <c r="BH57" i="2"/>
  <c r="BI62" i="2"/>
  <c r="BI16" i="4"/>
  <c r="BN46" i="5"/>
  <c r="AW46" i="5"/>
  <c r="AE33" i="4"/>
  <c r="BI33" i="4"/>
  <c r="AF37" i="4"/>
  <c r="AJ37" i="4" s="1"/>
  <c r="AF40" i="4"/>
  <c r="BH40" i="4"/>
  <c r="BI41" i="4"/>
  <c r="BI45" i="4"/>
  <c r="AE54" i="4"/>
  <c r="AF62" i="4"/>
  <c r="BH43" i="5"/>
  <c r="BL43" i="5" s="1"/>
  <c r="BH45" i="5"/>
  <c r="P53" i="5"/>
  <c r="BI60" i="5"/>
  <c r="AA12" i="6"/>
  <c r="AZ11" i="6"/>
  <c r="AE17" i="6"/>
  <c r="AE26" i="6"/>
  <c r="AE34" i="6"/>
  <c r="AE37" i="6"/>
  <c r="BH41" i="6"/>
  <c r="BH44" i="6"/>
  <c r="AF48" i="6"/>
  <c r="BI48" i="6"/>
  <c r="BI49" i="6"/>
  <c r="BI54" i="6"/>
  <c r="P56" i="6"/>
  <c r="AW57" i="6"/>
  <c r="AF22" i="7"/>
  <c r="AJ22" i="7" s="1"/>
  <c r="AE32" i="7"/>
  <c r="AF36" i="7"/>
  <c r="AF37" i="7"/>
  <c r="AJ37" i="7" s="1"/>
  <c r="P56" i="7"/>
  <c r="AW57" i="7"/>
  <c r="AE62" i="7"/>
  <c r="AX11" i="8"/>
  <c r="BF11" i="8"/>
  <c r="BA11" i="8"/>
  <c r="BE11" i="8"/>
  <c r="BH18" i="8"/>
  <c r="AF23" i="8"/>
  <c r="BI23" i="8"/>
  <c r="BI24" i="8"/>
  <c r="AE29" i="8"/>
  <c r="BI30" i="8"/>
  <c r="AF31" i="8"/>
  <c r="AJ31" i="8" s="1"/>
  <c r="AE32" i="8"/>
  <c r="AF47" i="8"/>
  <c r="AE53" i="8"/>
  <c r="BH18" i="4"/>
  <c r="AE23" i="4"/>
  <c r="BH28" i="4"/>
  <c r="BI32" i="4"/>
  <c r="P52" i="4"/>
  <c r="S52" i="4" s="1"/>
  <c r="AK52" i="4" s="1"/>
  <c r="AF53" i="4"/>
  <c r="AW53" i="4"/>
  <c r="AE60" i="4"/>
  <c r="AF61" i="4"/>
  <c r="AW61" i="4"/>
  <c r="AF63" i="4"/>
  <c r="BH63" i="4"/>
  <c r="V12" i="5"/>
  <c r="Z12" i="5"/>
  <c r="AD12" i="5"/>
  <c r="AW16" i="5"/>
  <c r="P18" i="5"/>
  <c r="S18" i="5" s="1"/>
  <c r="AW19" i="5"/>
  <c r="BI21" i="5"/>
  <c r="AW24" i="5"/>
  <c r="P26" i="5"/>
  <c r="S26" i="5" s="1"/>
  <c r="AW27" i="5"/>
  <c r="BI29" i="5"/>
  <c r="AW32" i="5"/>
  <c r="P34" i="5"/>
  <c r="S34" i="5" s="1"/>
  <c r="AW35" i="5"/>
  <c r="BI37" i="5"/>
  <c r="AE42" i="5"/>
  <c r="BH42" i="5"/>
  <c r="AW63" i="5"/>
  <c r="BI14" i="6"/>
  <c r="BB11" i="6"/>
  <c r="BF11" i="6"/>
  <c r="BA11" i="6"/>
  <c r="BH24" i="6"/>
  <c r="BI36" i="6"/>
  <c r="BM36" i="6" s="1"/>
  <c r="BI47" i="6"/>
  <c r="BH53" i="6"/>
  <c r="P54" i="6"/>
  <c r="AF59" i="6"/>
  <c r="BI62" i="6"/>
  <c r="BE11" i="7"/>
  <c r="AZ11" i="7"/>
  <c r="BD11" i="7"/>
  <c r="BI16" i="7"/>
  <c r="AF17" i="7"/>
  <c r="AJ17" i="7" s="1"/>
  <c r="AF21" i="7"/>
  <c r="AE25" i="7"/>
  <c r="BH39" i="7"/>
  <c r="AF41" i="7"/>
  <c r="AE50" i="7"/>
  <c r="P60" i="7"/>
  <c r="Y12" i="8"/>
  <c r="AC12" i="8"/>
  <c r="BI20" i="8"/>
  <c r="BI36" i="8"/>
  <c r="AF39" i="8"/>
  <c r="AJ39" i="8" s="1"/>
  <c r="AF41" i="8"/>
  <c r="BI51" i="8"/>
  <c r="AE52" i="8"/>
  <c r="AE57" i="8"/>
  <c r="AE63" i="8"/>
  <c r="BI17" i="4"/>
  <c r="BI22" i="4"/>
  <c r="AF27" i="4"/>
  <c r="BI39" i="4"/>
  <c r="BH44" i="4"/>
  <c r="P55" i="4"/>
  <c r="BH55" i="4"/>
  <c r="BI59" i="4"/>
  <c r="BF11" i="5"/>
  <c r="AA12" i="5"/>
  <c r="AF21" i="5"/>
  <c r="AF29" i="5"/>
  <c r="AF37" i="5"/>
  <c r="BI49" i="5"/>
  <c r="P50" i="5"/>
  <c r="AF55" i="5"/>
  <c r="AE59" i="5"/>
  <c r="Y12" i="6"/>
  <c r="BI20" i="6"/>
  <c r="BI21" i="6"/>
  <c r="BI28" i="6"/>
  <c r="BI29" i="6"/>
  <c r="AF43" i="6"/>
  <c r="AE53" i="6"/>
  <c r="AF57" i="6"/>
  <c r="AF58" i="6"/>
  <c r="AE62" i="6"/>
  <c r="BH23" i="7"/>
  <c r="AF24" i="7"/>
  <c r="AF27" i="7"/>
  <c r="BI27" i="7"/>
  <c r="BI28" i="7"/>
  <c r="BI33" i="7"/>
  <c r="AF46" i="7"/>
  <c r="BH47" i="7"/>
  <c r="BI49" i="7"/>
  <c r="AE54" i="7"/>
  <c r="V12" i="8"/>
  <c r="Z12" i="8"/>
  <c r="BH16" i="8"/>
  <c r="BH52" i="8"/>
  <c r="BI55" i="8"/>
  <c r="AE56" i="8"/>
  <c r="AE61" i="8"/>
  <c r="AW62" i="8"/>
  <c r="BI14" i="40"/>
  <c r="BM14" i="40" s="1"/>
  <c r="BG11" i="40"/>
  <c r="AE15" i="40"/>
  <c r="AA12" i="40"/>
  <c r="BH15" i="40"/>
  <c r="AE20" i="40"/>
  <c r="AI20" i="40" s="1"/>
  <c r="BI22" i="40"/>
  <c r="BM22" i="40" s="1"/>
  <c r="AE23" i="40"/>
  <c r="BH23" i="40"/>
  <c r="AE28" i="40"/>
  <c r="BI30" i="40"/>
  <c r="BM30" i="40" s="1"/>
  <c r="AE31" i="40"/>
  <c r="AI31" i="40" s="1"/>
  <c r="BH31" i="40"/>
  <c r="AE36" i="40"/>
  <c r="BI38" i="40"/>
  <c r="BM38" i="40" s="1"/>
  <c r="AE39" i="40"/>
  <c r="AI39" i="40" s="1"/>
  <c r="BH39" i="40"/>
  <c r="AE44" i="40"/>
  <c r="BI46" i="40"/>
  <c r="BM46" i="40" s="1"/>
  <c r="AE47" i="40"/>
  <c r="BH47" i="40"/>
  <c r="BI51" i="40"/>
  <c r="BM51" i="40" s="1"/>
  <c r="BN61" i="40"/>
  <c r="AF15" i="47"/>
  <c r="BI22" i="47"/>
  <c r="AE28" i="47"/>
  <c r="AI28" i="47" s="1"/>
  <c r="AF31" i="47"/>
  <c r="AJ31" i="47" s="1"/>
  <c r="BI55" i="47"/>
  <c r="S59" i="47"/>
  <c r="BN63" i="47"/>
  <c r="AW38" i="41"/>
  <c r="BN38" i="41"/>
  <c r="AW46" i="41"/>
  <c r="BN46" i="41"/>
  <c r="AE48" i="41"/>
  <c r="P48" i="41"/>
  <c r="X12" i="47"/>
  <c r="S62" i="47"/>
  <c r="AK62" i="47" s="1"/>
  <c r="AW32" i="41"/>
  <c r="BN32" i="41"/>
  <c r="BN57" i="41"/>
  <c r="AW57" i="41"/>
  <c r="W12" i="40"/>
  <c r="AE16" i="40"/>
  <c r="AX11" i="40"/>
  <c r="BF11" i="40"/>
  <c r="BI18" i="40"/>
  <c r="BM18" i="40" s="1"/>
  <c r="AE19" i="40"/>
  <c r="AI19" i="40" s="1"/>
  <c r="BH19" i="40"/>
  <c r="AE24" i="40"/>
  <c r="AI24" i="40" s="1"/>
  <c r="BI26" i="40"/>
  <c r="BM26" i="40" s="1"/>
  <c r="AE27" i="40"/>
  <c r="AI27" i="40" s="1"/>
  <c r="BH27" i="40"/>
  <c r="AE32" i="40"/>
  <c r="BI34" i="40"/>
  <c r="BM34" i="40" s="1"/>
  <c r="AE35" i="40"/>
  <c r="AI35" i="40" s="1"/>
  <c r="BH35" i="40"/>
  <c r="AE40" i="40"/>
  <c r="AI40" i="40" s="1"/>
  <c r="BI42" i="40"/>
  <c r="BM42" i="40" s="1"/>
  <c r="AE43" i="40"/>
  <c r="BH43" i="40"/>
  <c r="AE48" i="40"/>
  <c r="AI48" i="40" s="1"/>
  <c r="AF52" i="40"/>
  <c r="BN52" i="40"/>
  <c r="BI59" i="40"/>
  <c r="AW60" i="40"/>
  <c r="AF61" i="40"/>
  <c r="Z12" i="47"/>
  <c r="BD11" i="47"/>
  <c r="BH15" i="47"/>
  <c r="Y12" i="47"/>
  <c r="AC12" i="47"/>
  <c r="AF19" i="47"/>
  <c r="AJ19" i="47" s="1"/>
  <c r="AF23" i="47"/>
  <c r="AE24" i="47"/>
  <c r="AI24" i="47" s="1"/>
  <c r="BI26" i="47"/>
  <c r="AF28" i="47"/>
  <c r="BI30" i="47"/>
  <c r="BM30" i="47" s="1"/>
  <c r="BH31" i="47"/>
  <c r="BI35" i="47"/>
  <c r="AF40" i="47"/>
  <c r="AF43" i="47"/>
  <c r="AJ43" i="47" s="1"/>
  <c r="BH47" i="47"/>
  <c r="AF56" i="47"/>
  <c r="P58" i="47"/>
  <c r="S58" i="47" s="1"/>
  <c r="AF59" i="47"/>
  <c r="AJ59" i="47" s="1"/>
  <c r="BH63" i="47"/>
  <c r="BL63" i="47" s="1"/>
  <c r="P14" i="41"/>
  <c r="S14" i="41" s="1"/>
  <c r="AW36" i="41"/>
  <c r="BN36" i="41"/>
  <c r="BI41" i="41"/>
  <c r="BM41" i="41" s="1"/>
  <c r="BN43" i="41"/>
  <c r="AW54" i="41"/>
  <c r="BN54" i="41"/>
  <c r="AE56" i="41"/>
  <c r="P56" i="41"/>
  <c r="BN59" i="41"/>
  <c r="Z12" i="40"/>
  <c r="X12" i="40"/>
  <c r="AB12" i="40"/>
  <c r="BI16" i="40"/>
  <c r="AF17" i="40"/>
  <c r="AJ17" i="40" s="1"/>
  <c r="BI19" i="40"/>
  <c r="AF24" i="40"/>
  <c r="AJ24" i="40" s="1"/>
  <c r="BI24" i="40"/>
  <c r="AF25" i="40"/>
  <c r="AJ25" i="40" s="1"/>
  <c r="BI27" i="40"/>
  <c r="AF32" i="40"/>
  <c r="AJ32" i="40" s="1"/>
  <c r="AF33" i="40"/>
  <c r="AJ33" i="40" s="1"/>
  <c r="BI35" i="40"/>
  <c r="AF40" i="40"/>
  <c r="AJ40" i="40" s="1"/>
  <c r="AF41" i="40"/>
  <c r="BI43" i="40"/>
  <c r="AF48" i="40"/>
  <c r="AF49" i="40"/>
  <c r="BI52" i="40"/>
  <c r="AF56" i="40"/>
  <c r="BI56" i="40"/>
  <c r="BN57" i="40"/>
  <c r="P60" i="40"/>
  <c r="S60" i="40" s="1"/>
  <c r="P63" i="40"/>
  <c r="S63" i="40" s="1"/>
  <c r="BI63" i="40"/>
  <c r="BM63" i="40" s="1"/>
  <c r="BA11" i="47"/>
  <c r="BE11" i="47"/>
  <c r="BI18" i="47"/>
  <c r="AF20" i="47"/>
  <c r="AF36" i="47"/>
  <c r="BI46" i="47"/>
  <c r="AF52" i="47"/>
  <c r="BH59" i="47"/>
  <c r="AE62" i="47"/>
  <c r="BI62" i="47"/>
  <c r="P63" i="47"/>
  <c r="S63" i="47" s="1"/>
  <c r="AK63" i="47" s="1"/>
  <c r="AZ11" i="41"/>
  <c r="BN14" i="41"/>
  <c r="AF15" i="41"/>
  <c r="X12" i="41"/>
  <c r="BI15" i="41"/>
  <c r="V12" i="41"/>
  <c r="Z12" i="41"/>
  <c r="AD12" i="41"/>
  <c r="P17" i="41"/>
  <c r="S17" i="41" s="1"/>
  <c r="AF18" i="41"/>
  <c r="BN30" i="41"/>
  <c r="P44" i="41"/>
  <c r="BN49" i="41"/>
  <c r="AW49" i="41"/>
  <c r="P60" i="41"/>
  <c r="BN14" i="37"/>
  <c r="BN46" i="37"/>
  <c r="BN62" i="37"/>
  <c r="BN53" i="38"/>
  <c r="BI14" i="39"/>
  <c r="BM14" i="39" s="1"/>
  <c r="AE59" i="39"/>
  <c r="P59" i="39"/>
  <c r="AE38" i="12"/>
  <c r="S61" i="12"/>
  <c r="AW22" i="49"/>
  <c r="BN22" i="49"/>
  <c r="AF24" i="47"/>
  <c r="AF27" i="47"/>
  <c r="BI38" i="47"/>
  <c r="AE40" i="47"/>
  <c r="AI40" i="47" s="1"/>
  <c r="BI43" i="47"/>
  <c r="AF48" i="47"/>
  <c r="AJ48" i="47" s="1"/>
  <c r="AF51" i="47"/>
  <c r="AF55" i="47"/>
  <c r="AJ55" i="47" s="1"/>
  <c r="P61" i="47"/>
  <c r="S61" i="47" s="1"/>
  <c r="BH61" i="47"/>
  <c r="BA11" i="41"/>
  <c r="BE11" i="41"/>
  <c r="AE15" i="41"/>
  <c r="BI18" i="41"/>
  <c r="AE19" i="41"/>
  <c r="AI19" i="41" s="1"/>
  <c r="BI22" i="41"/>
  <c r="AE23" i="41"/>
  <c r="BI26" i="41"/>
  <c r="AE27" i="41"/>
  <c r="AI27" i="41" s="1"/>
  <c r="AF30" i="41"/>
  <c r="P31" i="41"/>
  <c r="S31" i="41" s="1"/>
  <c r="BH33" i="41"/>
  <c r="BI34" i="41"/>
  <c r="BN42" i="41"/>
  <c r="P46" i="41"/>
  <c r="BI47" i="41"/>
  <c r="BM47" i="41" s="1"/>
  <c r="AF48" i="41"/>
  <c r="BI49" i="41"/>
  <c r="BN50" i="41"/>
  <c r="P54" i="41"/>
  <c r="BI55" i="41"/>
  <c r="BM55" i="41" s="1"/>
  <c r="AF56" i="41"/>
  <c r="BI57" i="41"/>
  <c r="BN58" i="41"/>
  <c r="P62" i="41"/>
  <c r="S62" i="41" s="1"/>
  <c r="BA11" i="37"/>
  <c r="BE11" i="37"/>
  <c r="BI15" i="37"/>
  <c r="AE16" i="37"/>
  <c r="AI16" i="37" s="1"/>
  <c r="AF17" i="37"/>
  <c r="AB12" i="37"/>
  <c r="BF11" i="37"/>
  <c r="BI18" i="37"/>
  <c r="AW20" i="37"/>
  <c r="P21" i="37"/>
  <c r="S21" i="37" s="1"/>
  <c r="BI22" i="37"/>
  <c r="AW24" i="37"/>
  <c r="P25" i="37"/>
  <c r="S25" i="37" s="1"/>
  <c r="BI26" i="37"/>
  <c r="AW28" i="37"/>
  <c r="P29" i="37"/>
  <c r="S29" i="37" s="1"/>
  <c r="BI30" i="37"/>
  <c r="AW32" i="37"/>
  <c r="P33" i="37"/>
  <c r="S33" i="37" s="1"/>
  <c r="BI34" i="37"/>
  <c r="AW36" i="37"/>
  <c r="P37" i="37"/>
  <c r="S37" i="37" s="1"/>
  <c r="BI38" i="37"/>
  <c r="BM38" i="37" s="1"/>
  <c r="AF39" i="37"/>
  <c r="AJ39" i="37" s="1"/>
  <c r="BH39" i="37"/>
  <c r="BL39" i="37" s="1"/>
  <c r="BN42" i="37"/>
  <c r="BH44" i="37"/>
  <c r="BI47" i="37"/>
  <c r="AE48" i="37"/>
  <c r="AI48" i="37" s="1"/>
  <c r="BH50" i="37"/>
  <c r="AE51" i="37"/>
  <c r="AW52" i="37"/>
  <c r="P53" i="37"/>
  <c r="S53" i="37" s="1"/>
  <c r="BI54" i="37"/>
  <c r="BM54" i="37" s="1"/>
  <c r="AF55" i="37"/>
  <c r="AJ55" i="37" s="1"/>
  <c r="BH55" i="37"/>
  <c r="BL55" i="37" s="1"/>
  <c r="BN58" i="37"/>
  <c r="BH60" i="37"/>
  <c r="BI63" i="37"/>
  <c r="V12" i="38"/>
  <c r="Z12" i="38"/>
  <c r="AD12" i="38"/>
  <c r="AZ11" i="38"/>
  <c r="BD11" i="38"/>
  <c r="AF17" i="38"/>
  <c r="Y12" i="38"/>
  <c r="AC12" i="38"/>
  <c r="BH17" i="38"/>
  <c r="AE18" i="38"/>
  <c r="BI19" i="38"/>
  <c r="AE20" i="38"/>
  <c r="AI20" i="38" s="1"/>
  <c r="BI22" i="38"/>
  <c r="AE23" i="38"/>
  <c r="AI23" i="38" s="1"/>
  <c r="BH27" i="38"/>
  <c r="BL27" i="38" s="1"/>
  <c r="BI28" i="38"/>
  <c r="BI29" i="38"/>
  <c r="AF30" i="38"/>
  <c r="BH30" i="38"/>
  <c r="AF33" i="38"/>
  <c r="BH33" i="38"/>
  <c r="BL33" i="38" s="1"/>
  <c r="AE34" i="38"/>
  <c r="BI35" i="38"/>
  <c r="AE36" i="38"/>
  <c r="BI38" i="38"/>
  <c r="AE39" i="38"/>
  <c r="AI39" i="38" s="1"/>
  <c r="BH43" i="38"/>
  <c r="BL43" i="38" s="1"/>
  <c r="BI44" i="38"/>
  <c r="BI45" i="38"/>
  <c r="AF46" i="38"/>
  <c r="AJ46" i="38" s="1"/>
  <c r="BH46" i="38"/>
  <c r="AF49" i="38"/>
  <c r="AJ49" i="38" s="1"/>
  <c r="BH49" i="38"/>
  <c r="BL49" i="38" s="1"/>
  <c r="AE50" i="38"/>
  <c r="AW51" i="38"/>
  <c r="BI51" i="38"/>
  <c r="AE52" i="38"/>
  <c r="AI52" i="38" s="1"/>
  <c r="BI54" i="38"/>
  <c r="AE55" i="38"/>
  <c r="BN55" i="38"/>
  <c r="BI57" i="38"/>
  <c r="P58" i="38"/>
  <c r="S58" i="38" s="1"/>
  <c r="BI58" i="38"/>
  <c r="BH61" i="38"/>
  <c r="X12" i="39"/>
  <c r="AF17" i="39"/>
  <c r="AJ17" i="39" s="1"/>
  <c r="AF25" i="39"/>
  <c r="AA12" i="12"/>
  <c r="W12" i="12"/>
  <c r="AE30" i="12"/>
  <c r="S53" i="12"/>
  <c r="T53" i="12" s="1"/>
  <c r="AE62" i="12"/>
  <c r="P62" i="12"/>
  <c r="S62" i="12" s="1"/>
  <c r="BH14" i="44"/>
  <c r="AZ11" i="44"/>
  <c r="AE46" i="44"/>
  <c r="X12" i="49"/>
  <c r="V12" i="49"/>
  <c r="Z12" i="49"/>
  <c r="AD12" i="49"/>
  <c r="AF29" i="49"/>
  <c r="P29" i="49"/>
  <c r="S29" i="49" s="1"/>
  <c r="AW39" i="49"/>
  <c r="BN39" i="49"/>
  <c r="BH18" i="41"/>
  <c r="AE21" i="41"/>
  <c r="BI21" i="41"/>
  <c r="P22" i="41"/>
  <c r="S22" i="41" s="1"/>
  <c r="BH22" i="41"/>
  <c r="AE25" i="41"/>
  <c r="AI25" i="41" s="1"/>
  <c r="BI25" i="41"/>
  <c r="P26" i="41"/>
  <c r="S26" i="41" s="1"/>
  <c r="BH26" i="41"/>
  <c r="BL26" i="41" s="1"/>
  <c r="AE29" i="41"/>
  <c r="AI29" i="41" s="1"/>
  <c r="BI29" i="41"/>
  <c r="P30" i="41"/>
  <c r="S30" i="41" s="1"/>
  <c r="BI30" i="41"/>
  <c r="BM30" i="41" s="1"/>
  <c r="AE36" i="41"/>
  <c r="AI36" i="41" s="1"/>
  <c r="AE37" i="41"/>
  <c r="AE39" i="41"/>
  <c r="BN39" i="41"/>
  <c r="AF40" i="41"/>
  <c r="AJ40" i="41" s="1"/>
  <c r="BI40" i="41"/>
  <c r="BH41" i="41"/>
  <c r="BH43" i="41"/>
  <c r="BL43" i="41" s="1"/>
  <c r="AE44" i="41"/>
  <c r="AI44" i="41" s="1"/>
  <c r="AE45" i="41"/>
  <c r="BN47" i="41"/>
  <c r="BH48" i="41"/>
  <c r="BH51" i="41"/>
  <c r="BL51" i="41" s="1"/>
  <c r="AE52" i="41"/>
  <c r="AE53" i="41"/>
  <c r="BN55" i="41"/>
  <c r="BH56" i="41"/>
  <c r="BL56" i="41" s="1"/>
  <c r="BH59" i="41"/>
  <c r="AE60" i="41"/>
  <c r="AE61" i="41"/>
  <c r="AI61" i="41" s="1"/>
  <c r="BI63" i="41"/>
  <c r="BM63" i="41" s="1"/>
  <c r="Y12" i="37"/>
  <c r="AC12" i="37"/>
  <c r="BH14" i="37"/>
  <c r="BL14" i="37" s="1"/>
  <c r="AW16" i="37"/>
  <c r="AF19" i="37"/>
  <c r="AJ19" i="37" s="1"/>
  <c r="BH19" i="37"/>
  <c r="AF23" i="37"/>
  <c r="AJ23" i="37" s="1"/>
  <c r="BH23" i="37"/>
  <c r="BL23" i="37" s="1"/>
  <c r="AF27" i="37"/>
  <c r="AJ27" i="37" s="1"/>
  <c r="BH27" i="37"/>
  <c r="AF31" i="37"/>
  <c r="AJ31" i="37" s="1"/>
  <c r="BH31" i="37"/>
  <c r="BL31" i="37" s="1"/>
  <c r="AF35" i="37"/>
  <c r="AJ35" i="37" s="1"/>
  <c r="BH35" i="37"/>
  <c r="BH40" i="37"/>
  <c r="BN41" i="37"/>
  <c r="BI43" i="37"/>
  <c r="AE44" i="37"/>
  <c r="BH46" i="37"/>
  <c r="AE47" i="37"/>
  <c r="AI47" i="37" s="1"/>
  <c r="AW48" i="37"/>
  <c r="P49" i="37"/>
  <c r="S49" i="37" s="1"/>
  <c r="BI50" i="37"/>
  <c r="BM50" i="37" s="1"/>
  <c r="AF51" i="37"/>
  <c r="AJ51" i="37" s="1"/>
  <c r="BH51" i="37"/>
  <c r="BH56" i="37"/>
  <c r="BN57" i="37"/>
  <c r="BI59" i="37"/>
  <c r="BM59" i="37" s="1"/>
  <c r="AE60" i="37"/>
  <c r="BH62" i="37"/>
  <c r="AE63" i="37"/>
  <c r="BH15" i="38"/>
  <c r="BL15" i="38" s="1"/>
  <c r="BI16" i="38"/>
  <c r="BI17" i="38"/>
  <c r="AF18" i="38"/>
  <c r="AJ18" i="38" s="1"/>
  <c r="BH18" i="38"/>
  <c r="AF21" i="38"/>
  <c r="AJ21" i="38" s="1"/>
  <c r="BH21" i="38"/>
  <c r="BL21" i="38" s="1"/>
  <c r="AE22" i="38"/>
  <c r="AI22" i="38" s="1"/>
  <c r="BI23" i="38"/>
  <c r="AE24" i="38"/>
  <c r="AI24" i="38" s="1"/>
  <c r="BI26" i="38"/>
  <c r="AE27" i="38"/>
  <c r="AI27" i="38" s="1"/>
  <c r="BH31" i="38"/>
  <c r="BI32" i="38"/>
  <c r="BI33" i="38"/>
  <c r="AF34" i="38"/>
  <c r="AJ34" i="38" s="1"/>
  <c r="BH34" i="38"/>
  <c r="AF37" i="38"/>
  <c r="BH37" i="38"/>
  <c r="BL37" i="38" s="1"/>
  <c r="AE38" i="38"/>
  <c r="AI38" i="38" s="1"/>
  <c r="BI39" i="38"/>
  <c r="AE40" i="38"/>
  <c r="AI40" i="38" s="1"/>
  <c r="BI42" i="38"/>
  <c r="AE43" i="38"/>
  <c r="BH47" i="38"/>
  <c r="BL47" i="38" s="1"/>
  <c r="BI48" i="38"/>
  <c r="BI49" i="38"/>
  <c r="AF50" i="38"/>
  <c r="AJ50" i="38" s="1"/>
  <c r="BH50" i="38"/>
  <c r="P51" i="38"/>
  <c r="S51" i="38" s="1"/>
  <c r="AF53" i="38"/>
  <c r="AJ53" i="38" s="1"/>
  <c r="BH53" i="38"/>
  <c r="BL53" i="38" s="1"/>
  <c r="AE54" i="38"/>
  <c r="BH56" i="38"/>
  <c r="AE57" i="38"/>
  <c r="AI57" i="38" s="1"/>
  <c r="AW59" i="38"/>
  <c r="BH60" i="38"/>
  <c r="P62" i="38"/>
  <c r="S62" i="38" s="1"/>
  <c r="BI62" i="38"/>
  <c r="BM62" i="38" s="1"/>
  <c r="AE63" i="38"/>
  <c r="BN63" i="38"/>
  <c r="Y12" i="39"/>
  <c r="AC12" i="39"/>
  <c r="BH14" i="39"/>
  <c r="BL14" i="39" s="1"/>
  <c r="BF11" i="39"/>
  <c r="BH15" i="39"/>
  <c r="AE16" i="39"/>
  <c r="BH16" i="39"/>
  <c r="BI17" i="39"/>
  <c r="BH19" i="39"/>
  <c r="BD11" i="39"/>
  <c r="BH23" i="39"/>
  <c r="AF24" i="39"/>
  <c r="AJ24" i="39" s="1"/>
  <c r="BI28" i="39"/>
  <c r="AE31" i="39"/>
  <c r="P55" i="39"/>
  <c r="S55" i="39" s="1"/>
  <c r="AE22" i="12"/>
  <c r="AE54" i="12"/>
  <c r="P54" i="12"/>
  <c r="S54" i="12" s="1"/>
  <c r="S58" i="12"/>
  <c r="AA12" i="44"/>
  <c r="AY11" i="44"/>
  <c r="BC11" i="44"/>
  <c r="BG11" i="44"/>
  <c r="X12" i="44"/>
  <c r="AF58" i="44"/>
  <c r="P58" i="44"/>
  <c r="AF35" i="47"/>
  <c r="AF39" i="47"/>
  <c r="P51" i="47"/>
  <c r="S51" i="47" s="1"/>
  <c r="P54" i="47"/>
  <c r="S54" i="47" s="1"/>
  <c r="AK54" i="47" s="1"/>
  <c r="BI54" i="47"/>
  <c r="P55" i="47"/>
  <c r="S55" i="47" s="1"/>
  <c r="AE56" i="47"/>
  <c r="AI56" i="47" s="1"/>
  <c r="BI59" i="47"/>
  <c r="AE60" i="47"/>
  <c r="BI63" i="47"/>
  <c r="BM63" i="47" s="1"/>
  <c r="AY11" i="41"/>
  <c r="BC11" i="41"/>
  <c r="BG11" i="41"/>
  <c r="P16" i="41"/>
  <c r="S16" i="41" s="1"/>
  <c r="Y12" i="41"/>
  <c r="AC12" i="41"/>
  <c r="BH16" i="41"/>
  <c r="P20" i="41"/>
  <c r="S20" i="41" s="1"/>
  <c r="AK20" i="41" s="1"/>
  <c r="BH20" i="41"/>
  <c r="BL20" i="41" s="1"/>
  <c r="P24" i="41"/>
  <c r="S24" i="41" s="1"/>
  <c r="BH24" i="41"/>
  <c r="P28" i="41"/>
  <c r="S28" i="41" s="1"/>
  <c r="T28" i="41" s="1"/>
  <c r="BH28" i="41"/>
  <c r="BL28" i="41" s="1"/>
  <c r="BH32" i="41"/>
  <c r="AW33" i="41"/>
  <c r="BI33" i="41"/>
  <c r="AF34" i="41"/>
  <c r="AJ34" i="41" s="1"/>
  <c r="AE35" i="41"/>
  <c r="BH35" i="41"/>
  <c r="AF36" i="41"/>
  <c r="BH36" i="41"/>
  <c r="BL36" i="41" s="1"/>
  <c r="AW37" i="41"/>
  <c r="BI37" i="41"/>
  <c r="BH38" i="41"/>
  <c r="BL38" i="41" s="1"/>
  <c r="BI39" i="41"/>
  <c r="AE41" i="41"/>
  <c r="AF42" i="41"/>
  <c r="BI43" i="41"/>
  <c r="BM43" i="41" s="1"/>
  <c r="AF44" i="41"/>
  <c r="AW45" i="41"/>
  <c r="BI45" i="41"/>
  <c r="P50" i="41"/>
  <c r="BI51" i="41"/>
  <c r="BM51" i="41" s="1"/>
  <c r="AF52" i="41"/>
  <c r="AW53" i="41"/>
  <c r="BI53" i="41"/>
  <c r="P58" i="41"/>
  <c r="BI59" i="41"/>
  <c r="BM59" i="41" s="1"/>
  <c r="AF60" i="41"/>
  <c r="AW61" i="41"/>
  <c r="BI61" i="41"/>
  <c r="BM61" i="41" s="1"/>
  <c r="BC11" i="37"/>
  <c r="BG11" i="37"/>
  <c r="AF15" i="37"/>
  <c r="AJ15" i="37" s="1"/>
  <c r="Z12" i="37"/>
  <c r="AZ11" i="37"/>
  <c r="BD11" i="37"/>
  <c r="BN17" i="37"/>
  <c r="BH20" i="37"/>
  <c r="BL20" i="37" s="1"/>
  <c r="BN21" i="37"/>
  <c r="BH24" i="37"/>
  <c r="BN25" i="37"/>
  <c r="BH28" i="37"/>
  <c r="BL28" i="37" s="1"/>
  <c r="BN29" i="37"/>
  <c r="BH32" i="37"/>
  <c r="BN33" i="37"/>
  <c r="BH36" i="37"/>
  <c r="BL36" i="37" s="1"/>
  <c r="BN37" i="37"/>
  <c r="BI39" i="37"/>
  <c r="AE40" i="37"/>
  <c r="AI40" i="37" s="1"/>
  <c r="BH42" i="37"/>
  <c r="AE43" i="37"/>
  <c r="P45" i="37"/>
  <c r="S45" i="37" s="1"/>
  <c r="BI46" i="37"/>
  <c r="BM46" i="37" s="1"/>
  <c r="AF47" i="37"/>
  <c r="AJ47" i="37" s="1"/>
  <c r="BH47" i="37"/>
  <c r="BH52" i="37"/>
  <c r="BN53" i="37"/>
  <c r="P55" i="37"/>
  <c r="S55" i="37" s="1"/>
  <c r="T55" i="37" s="1"/>
  <c r="BI55" i="37"/>
  <c r="AE56" i="37"/>
  <c r="BH58" i="37"/>
  <c r="AE59" i="37"/>
  <c r="AI59" i="37" s="1"/>
  <c r="P61" i="37"/>
  <c r="S61" i="37" s="1"/>
  <c r="BI62" i="37"/>
  <c r="BM62" i="37" s="1"/>
  <c r="AF63" i="37"/>
  <c r="BH63" i="37"/>
  <c r="BL63" i="37" s="1"/>
  <c r="X12" i="38"/>
  <c r="AB12" i="38"/>
  <c r="AX11" i="38"/>
  <c r="BH11" i="38" s="1"/>
  <c r="BB11" i="38"/>
  <c r="BF11" i="38"/>
  <c r="AE15" i="38"/>
  <c r="BH19" i="38"/>
  <c r="BI20" i="38"/>
  <c r="BI21" i="38"/>
  <c r="AF22" i="38"/>
  <c r="AJ22" i="38" s="1"/>
  <c r="BH22" i="38"/>
  <c r="AF25" i="38"/>
  <c r="AJ25" i="38" s="1"/>
  <c r="BH25" i="38"/>
  <c r="AE26" i="38"/>
  <c r="BI27" i="38"/>
  <c r="AE28" i="38"/>
  <c r="AI28" i="38" s="1"/>
  <c r="BI30" i="38"/>
  <c r="AE31" i="38"/>
  <c r="AI31" i="38" s="1"/>
  <c r="BH35" i="38"/>
  <c r="BL35" i="38" s="1"/>
  <c r="BI36" i="38"/>
  <c r="BI37" i="38"/>
  <c r="AF38" i="38"/>
  <c r="AJ38" i="38" s="1"/>
  <c r="BH38" i="38"/>
  <c r="AF41" i="38"/>
  <c r="AJ41" i="38" s="1"/>
  <c r="BH41" i="38"/>
  <c r="AE42" i="38"/>
  <c r="BI43" i="38"/>
  <c r="AE44" i="38"/>
  <c r="AI44" i="38" s="1"/>
  <c r="BI46" i="38"/>
  <c r="AE47" i="38"/>
  <c r="AI47" i="38" s="1"/>
  <c r="BH51" i="38"/>
  <c r="P52" i="38"/>
  <c r="S52" i="38" s="1"/>
  <c r="BI52" i="38"/>
  <c r="BI53" i="38"/>
  <c r="AF54" i="38"/>
  <c r="AJ54" i="38" s="1"/>
  <c r="AF55" i="38"/>
  <c r="BH55" i="38"/>
  <c r="BL55" i="38" s="1"/>
  <c r="AF56" i="38"/>
  <c r="AW57" i="38"/>
  <c r="AE58" i="38"/>
  <c r="BH58" i="38"/>
  <c r="P59" i="38"/>
  <c r="S59" i="38" s="1"/>
  <c r="T59" i="38" s="1"/>
  <c r="BH59" i="38"/>
  <c r="BL59" i="38" s="1"/>
  <c r="AF60" i="38"/>
  <c r="AW61" i="38"/>
  <c r="BI61" i="38"/>
  <c r="Z12" i="39"/>
  <c r="AD12" i="39"/>
  <c r="BI16" i="39"/>
  <c r="BM16" i="39" s="1"/>
  <c r="AE20" i="39"/>
  <c r="BI20" i="39"/>
  <c r="BH21" i="39"/>
  <c r="BL21" i="39" s="1"/>
  <c r="BB11" i="39"/>
  <c r="AE43" i="39"/>
  <c r="AE51" i="39"/>
  <c r="P51" i="39"/>
  <c r="AE14" i="12"/>
  <c r="Y12" i="12"/>
  <c r="AC12" i="12"/>
  <c r="AY11" i="12"/>
  <c r="BG11" i="12"/>
  <c r="BE11" i="12"/>
  <c r="AE46" i="12"/>
  <c r="BN57" i="12"/>
  <c r="AB12" i="44"/>
  <c r="BD11" i="49"/>
  <c r="BH31" i="39"/>
  <c r="BI32" i="39"/>
  <c r="BH35" i="39"/>
  <c r="BL35" i="39" s="1"/>
  <c r="BI40" i="39"/>
  <c r="BH43" i="39"/>
  <c r="AF44" i="39"/>
  <c r="AJ44" i="39" s="1"/>
  <c r="AE45" i="39"/>
  <c r="BI47" i="39"/>
  <c r="AE48" i="39"/>
  <c r="AI48" i="39" s="1"/>
  <c r="BH48" i="39"/>
  <c r="BI49" i="39"/>
  <c r="BH51" i="39"/>
  <c r="AF52" i="39"/>
  <c r="AE53" i="39"/>
  <c r="BI55" i="39"/>
  <c r="AE56" i="39"/>
  <c r="BH56" i="39"/>
  <c r="BI57" i="39"/>
  <c r="BM57" i="39" s="1"/>
  <c r="BH59" i="39"/>
  <c r="AF60" i="39"/>
  <c r="AE61" i="39"/>
  <c r="BN61" i="39"/>
  <c r="BI63" i="39"/>
  <c r="V12" i="12"/>
  <c r="Z12" i="12"/>
  <c r="AD12" i="12"/>
  <c r="AZ11" i="12"/>
  <c r="BD11" i="12"/>
  <c r="AF15" i="12"/>
  <c r="AE16" i="12"/>
  <c r="AI16" i="12" s="1"/>
  <c r="BI18" i="12"/>
  <c r="AE19" i="12"/>
  <c r="BH19" i="12"/>
  <c r="BI20" i="12"/>
  <c r="BH22" i="12"/>
  <c r="AF23" i="12"/>
  <c r="AE24" i="12"/>
  <c r="BI26" i="12"/>
  <c r="AE27" i="12"/>
  <c r="BH27" i="12"/>
  <c r="BI28" i="12"/>
  <c r="BH30" i="12"/>
  <c r="AF31" i="12"/>
  <c r="AE32" i="12"/>
  <c r="BI34" i="12"/>
  <c r="AE35" i="12"/>
  <c r="BH35" i="12"/>
  <c r="BI36" i="12"/>
  <c r="BM36" i="12" s="1"/>
  <c r="BH38" i="12"/>
  <c r="AF39" i="12"/>
  <c r="AE40" i="12"/>
  <c r="BI42" i="12"/>
  <c r="AE43" i="12"/>
  <c r="BH43" i="12"/>
  <c r="BL43" i="12" s="1"/>
  <c r="BI44" i="12"/>
  <c r="BH46" i="12"/>
  <c r="AF47" i="12"/>
  <c r="AE48" i="12"/>
  <c r="AI48" i="12" s="1"/>
  <c r="BI50" i="12"/>
  <c r="AE51" i="12"/>
  <c r="BH51" i="12"/>
  <c r="BI52" i="12"/>
  <c r="BH54" i="12"/>
  <c r="AF55" i="12"/>
  <c r="AE56" i="12"/>
  <c r="BN56" i="12"/>
  <c r="BI58" i="12"/>
  <c r="AE59" i="12"/>
  <c r="BH59" i="12"/>
  <c r="BI60" i="12"/>
  <c r="BH62" i="12"/>
  <c r="AF63" i="12"/>
  <c r="BA11" i="44"/>
  <c r="BE11" i="44"/>
  <c r="AF19" i="44"/>
  <c r="BH20" i="44"/>
  <c r="AE21" i="44"/>
  <c r="BI22" i="44"/>
  <c r="AF27" i="44"/>
  <c r="AJ27" i="44" s="1"/>
  <c r="BH28" i="44"/>
  <c r="AE29" i="44"/>
  <c r="AI29" i="44" s="1"/>
  <c r="BI30" i="44"/>
  <c r="AF35" i="44"/>
  <c r="BH36" i="44"/>
  <c r="AE37" i="44"/>
  <c r="BI38" i="44"/>
  <c r="AE43" i="44"/>
  <c r="AI43" i="44" s="1"/>
  <c r="BH45" i="44"/>
  <c r="BI46" i="44"/>
  <c r="P49" i="44"/>
  <c r="S49" i="44" s="1"/>
  <c r="T49" i="44" s="1"/>
  <c r="AE50" i="44"/>
  <c r="BI57" i="44"/>
  <c r="AA12" i="49"/>
  <c r="AZ11" i="49"/>
  <c r="BN14" i="49"/>
  <c r="AF17" i="49"/>
  <c r="BI18" i="49"/>
  <c r="AE19" i="49"/>
  <c r="BI19" i="49"/>
  <c r="AE25" i="49"/>
  <c r="P25" i="49"/>
  <c r="S25" i="49" s="1"/>
  <c r="AF45" i="49"/>
  <c r="P45" i="49"/>
  <c r="S45" i="49" s="1"/>
  <c r="BH27" i="39"/>
  <c r="AF28" i="39"/>
  <c r="AJ28" i="39" s="1"/>
  <c r="AE33" i="39"/>
  <c r="AF37" i="39"/>
  <c r="AJ37" i="39" s="1"/>
  <c r="BH39" i="39"/>
  <c r="AF40" i="39"/>
  <c r="AE41" i="39"/>
  <c r="AF45" i="39"/>
  <c r="BH46" i="39"/>
  <c r="AE47" i="39"/>
  <c r="BI48" i="39"/>
  <c r="AF53" i="39"/>
  <c r="P54" i="39"/>
  <c r="BH54" i="39"/>
  <c r="AE55" i="39"/>
  <c r="BI56" i="39"/>
  <c r="BN58" i="39"/>
  <c r="AF61" i="39"/>
  <c r="P62" i="39"/>
  <c r="S62" i="39" s="1"/>
  <c r="BH62" i="39"/>
  <c r="AE63" i="39"/>
  <c r="AF16" i="12"/>
  <c r="BH17" i="12"/>
  <c r="AE18" i="12"/>
  <c r="BI19" i="12"/>
  <c r="AF24" i="12"/>
  <c r="BH25" i="12"/>
  <c r="AE26" i="12"/>
  <c r="BI27" i="12"/>
  <c r="AF32" i="12"/>
  <c r="BH33" i="12"/>
  <c r="AE34" i="12"/>
  <c r="BI35" i="12"/>
  <c r="AF40" i="12"/>
  <c r="BH41" i="12"/>
  <c r="AE42" i="12"/>
  <c r="BI43" i="12"/>
  <c r="AF48" i="12"/>
  <c r="BH49" i="12"/>
  <c r="AE50" i="12"/>
  <c r="AW51" i="12"/>
  <c r="BI51" i="12"/>
  <c r="BN53" i="12"/>
  <c r="AF56" i="12"/>
  <c r="P57" i="12"/>
  <c r="S57" i="12" s="1"/>
  <c r="BH57" i="12"/>
  <c r="AE58" i="12"/>
  <c r="AW59" i="12"/>
  <c r="BI59" i="12"/>
  <c r="BN61" i="12"/>
  <c r="AF14" i="44"/>
  <c r="AJ14" i="44" s="1"/>
  <c r="Y12" i="44"/>
  <c r="AC12" i="44"/>
  <c r="AE15" i="44"/>
  <c r="BI17" i="44"/>
  <c r="AE18" i="44"/>
  <c r="BH18" i="44"/>
  <c r="BI19" i="44"/>
  <c r="BH21" i="44"/>
  <c r="AF22" i="44"/>
  <c r="AE23" i="44"/>
  <c r="BI25" i="44"/>
  <c r="AE26" i="44"/>
  <c r="BH26" i="44"/>
  <c r="BI27" i="44"/>
  <c r="BH29" i="44"/>
  <c r="AF30" i="44"/>
  <c r="AE31" i="44"/>
  <c r="BI33" i="44"/>
  <c r="AE34" i="44"/>
  <c r="BH34" i="44"/>
  <c r="BI35" i="44"/>
  <c r="BH37" i="44"/>
  <c r="AF38" i="44"/>
  <c r="AE39" i="44"/>
  <c r="AF43" i="44"/>
  <c r="AE47" i="44"/>
  <c r="BH49" i="44"/>
  <c r="AF51" i="44"/>
  <c r="BH53" i="44"/>
  <c r="AF55" i="44"/>
  <c r="BN55" i="44"/>
  <c r="P61" i="44"/>
  <c r="BH61" i="44"/>
  <c r="AB12" i="49"/>
  <c r="BA11" i="49"/>
  <c r="BE11" i="49"/>
  <c r="AE15" i="49"/>
  <c r="AY11" i="49"/>
  <c r="BC11" i="49"/>
  <c r="BG11" i="49"/>
  <c r="BN23" i="49"/>
  <c r="AE41" i="49"/>
  <c r="P41" i="49"/>
  <c r="S41" i="49" s="1"/>
  <c r="AE23" i="39"/>
  <c r="AI23" i="39" s="1"/>
  <c r="BI24" i="39"/>
  <c r="BI31" i="39"/>
  <c r="BM31" i="39" s="1"/>
  <c r="BI43" i="39"/>
  <c r="AE44" i="39"/>
  <c r="BH44" i="39"/>
  <c r="BI45" i="39"/>
  <c r="BH47" i="39"/>
  <c r="AF48" i="39"/>
  <c r="AE49" i="39"/>
  <c r="BI51" i="39"/>
  <c r="AE52" i="39"/>
  <c r="BH52" i="39"/>
  <c r="BI53" i="39"/>
  <c r="BH55" i="39"/>
  <c r="AF56" i="39"/>
  <c r="AE57" i="39"/>
  <c r="BI59" i="39"/>
  <c r="AE60" i="39"/>
  <c r="BH60" i="39"/>
  <c r="BI61" i="39"/>
  <c r="BH63" i="39"/>
  <c r="X12" i="12"/>
  <c r="AB12" i="12"/>
  <c r="BI14" i="12"/>
  <c r="AE15" i="12"/>
  <c r="BH15" i="12"/>
  <c r="BI16" i="12"/>
  <c r="BB11" i="12"/>
  <c r="BF11" i="12"/>
  <c r="BH18" i="12"/>
  <c r="AF19" i="12"/>
  <c r="AE20" i="12"/>
  <c r="BI22" i="12"/>
  <c r="AE23" i="12"/>
  <c r="BH23" i="12"/>
  <c r="BI24" i="12"/>
  <c r="BH26" i="12"/>
  <c r="AF27" i="12"/>
  <c r="AE28" i="12"/>
  <c r="BI30" i="12"/>
  <c r="AE31" i="12"/>
  <c r="BH31" i="12"/>
  <c r="BI32" i="12"/>
  <c r="BH34" i="12"/>
  <c r="AF35" i="12"/>
  <c r="AE36" i="12"/>
  <c r="BI38" i="12"/>
  <c r="AE39" i="12"/>
  <c r="BH39" i="12"/>
  <c r="BI40" i="12"/>
  <c r="BH42" i="12"/>
  <c r="AF43" i="12"/>
  <c r="AE44" i="12"/>
  <c r="BI46" i="12"/>
  <c r="AE47" i="12"/>
  <c r="BH47" i="12"/>
  <c r="BI48" i="12"/>
  <c r="BH50" i="12"/>
  <c r="AF51" i="12"/>
  <c r="AE52" i="12"/>
  <c r="BI54" i="12"/>
  <c r="AE55" i="12"/>
  <c r="BH55" i="12"/>
  <c r="BI56" i="12"/>
  <c r="BH58" i="12"/>
  <c r="AF59" i="12"/>
  <c r="AE60" i="12"/>
  <c r="BI62" i="12"/>
  <c r="AE63" i="12"/>
  <c r="BH63" i="12"/>
  <c r="V12" i="44"/>
  <c r="Z12" i="44"/>
  <c r="AD12" i="44"/>
  <c r="AF15" i="44"/>
  <c r="BH16" i="44"/>
  <c r="AE17" i="44"/>
  <c r="BI18" i="44"/>
  <c r="AF23" i="44"/>
  <c r="P24" i="44"/>
  <c r="S24" i="44" s="1"/>
  <c r="BH24" i="44"/>
  <c r="AE25" i="44"/>
  <c r="BI26" i="44"/>
  <c r="AF31" i="44"/>
  <c r="BH32" i="44"/>
  <c r="AE33" i="44"/>
  <c r="BI34" i="44"/>
  <c r="AF39" i="44"/>
  <c r="P40" i="44"/>
  <c r="S40" i="44" s="1"/>
  <c r="BH40" i="44"/>
  <c r="AE41" i="44"/>
  <c r="AE42" i="44"/>
  <c r="BH42" i="44"/>
  <c r="BH43" i="44"/>
  <c r="BL43" i="44" s="1"/>
  <c r="AF47" i="44"/>
  <c r="AW51" i="44"/>
  <c r="AF52" i="44"/>
  <c r="BI55" i="44"/>
  <c r="AE56" i="44"/>
  <c r="P62" i="44"/>
  <c r="S62" i="44" s="1"/>
  <c r="P20" i="49"/>
  <c r="S20" i="49" s="1"/>
  <c r="BH20" i="49"/>
  <c r="AF23" i="49"/>
  <c r="P24" i="49"/>
  <c r="S24" i="49" s="1"/>
  <c r="BH24" i="49"/>
  <c r="BH57" i="44"/>
  <c r="AE58" i="44"/>
  <c r="BI59" i="44"/>
  <c r="AF63" i="44"/>
  <c r="P14" i="49"/>
  <c r="S14" i="49" s="1"/>
  <c r="BH14" i="49"/>
  <c r="BB11" i="49"/>
  <c r="BF11" i="49"/>
  <c r="BN15" i="49"/>
  <c r="BI16" i="49"/>
  <c r="AE17" i="49"/>
  <c r="BI17" i="49"/>
  <c r="P18" i="49"/>
  <c r="S18" i="49" s="1"/>
  <c r="BH18" i="49"/>
  <c r="AF21" i="49"/>
  <c r="BI22" i="49"/>
  <c r="AE23" i="49"/>
  <c r="BI23" i="49"/>
  <c r="AF26" i="49"/>
  <c r="BN26" i="49"/>
  <c r="AF27" i="49"/>
  <c r="AW27" i="49"/>
  <c r="P28" i="49"/>
  <c r="S28" i="49" s="1"/>
  <c r="BH28" i="49"/>
  <c r="BN31" i="49"/>
  <c r="BI32" i="49"/>
  <c r="AE33" i="49"/>
  <c r="BI33" i="49"/>
  <c r="BH34" i="49"/>
  <c r="AF37" i="49"/>
  <c r="AW38" i="49"/>
  <c r="BI38" i="49"/>
  <c r="AE39" i="49"/>
  <c r="BI39" i="49"/>
  <c r="AF42" i="49"/>
  <c r="BN42" i="49"/>
  <c r="AF43" i="49"/>
  <c r="AW43" i="49"/>
  <c r="P44" i="49"/>
  <c r="S44" i="49" s="1"/>
  <c r="BH44" i="49"/>
  <c r="BN47" i="49"/>
  <c r="BI48" i="49"/>
  <c r="AE49" i="49"/>
  <c r="BI49" i="49"/>
  <c r="BH50" i="49"/>
  <c r="AF53" i="49"/>
  <c r="AW54" i="49"/>
  <c r="BI54" i="49"/>
  <c r="AE55" i="49"/>
  <c r="BI55" i="49"/>
  <c r="P57" i="49"/>
  <c r="S57" i="49" s="1"/>
  <c r="AF59" i="49"/>
  <c r="AW59" i="49"/>
  <c r="AF60" i="49"/>
  <c r="AW62" i="49"/>
  <c r="BI62" i="49"/>
  <c r="AB12" i="11"/>
  <c r="AW14" i="11"/>
  <c r="BE11" i="11"/>
  <c r="X12" i="11"/>
  <c r="BH16" i="11"/>
  <c r="AF18" i="11"/>
  <c r="BI20" i="11"/>
  <c r="BM20" i="11" s="1"/>
  <c r="BN23" i="11"/>
  <c r="AE25" i="11"/>
  <c r="BI25" i="11"/>
  <c r="AF27" i="11"/>
  <c r="AE29" i="11"/>
  <c r="BI29" i="11"/>
  <c r="AF34" i="11"/>
  <c r="AW34" i="11"/>
  <c r="BH36" i="11"/>
  <c r="BN38" i="11"/>
  <c r="AF40" i="11"/>
  <c r="AJ40" i="11" s="1"/>
  <c r="AW41" i="11"/>
  <c r="P42" i="11"/>
  <c r="AF46" i="11"/>
  <c r="AW46" i="11"/>
  <c r="AF47" i="11"/>
  <c r="BH48" i="11"/>
  <c r="AF49" i="11"/>
  <c r="AE50" i="11"/>
  <c r="BN50" i="11"/>
  <c r="BI51" i="11"/>
  <c r="AF52" i="11"/>
  <c r="AW53" i="11"/>
  <c r="BI53" i="11"/>
  <c r="BI56" i="11"/>
  <c r="AE57" i="11"/>
  <c r="BH57" i="11"/>
  <c r="P58" i="11"/>
  <c r="BI58" i="11"/>
  <c r="AF62" i="11"/>
  <c r="AW62" i="11"/>
  <c r="AF63" i="11"/>
  <c r="U12" i="15"/>
  <c r="BI15" i="15"/>
  <c r="AE16" i="15"/>
  <c r="Z12" i="15"/>
  <c r="AD12" i="15"/>
  <c r="BI16" i="15"/>
  <c r="BH17" i="15"/>
  <c r="AF20" i="15"/>
  <c r="BI21" i="15"/>
  <c r="AE22" i="15"/>
  <c r="BI22" i="15"/>
  <c r="AF25" i="15"/>
  <c r="AF26" i="15"/>
  <c r="BH27" i="15"/>
  <c r="BH31" i="15"/>
  <c r="BH35" i="15"/>
  <c r="BH39" i="15"/>
  <c r="BH43" i="15"/>
  <c r="BH47" i="15"/>
  <c r="P51" i="15"/>
  <c r="S51" i="15" s="1"/>
  <c r="BH51" i="15"/>
  <c r="P55" i="15"/>
  <c r="S55" i="15" s="1"/>
  <c r="BH55" i="15"/>
  <c r="P59" i="15"/>
  <c r="S59" i="15" s="1"/>
  <c r="BH59" i="15"/>
  <c r="AF61" i="15"/>
  <c r="BI63" i="15"/>
  <c r="BM63" i="15" s="1"/>
  <c r="BF11" i="10"/>
  <c r="AE15" i="10"/>
  <c r="W12" i="10"/>
  <c r="S62" i="10"/>
  <c r="BI58" i="44"/>
  <c r="BH59" i="44"/>
  <c r="AF62" i="44"/>
  <c r="BI63" i="44"/>
  <c r="P16" i="49"/>
  <c r="S16" i="49" s="1"/>
  <c r="Y12" i="49"/>
  <c r="AC12" i="49"/>
  <c r="BH16" i="49"/>
  <c r="BI20" i="49"/>
  <c r="AE21" i="49"/>
  <c r="BI21" i="49"/>
  <c r="BH22" i="49"/>
  <c r="AF25" i="49"/>
  <c r="BI26" i="49"/>
  <c r="AE27" i="49"/>
  <c r="BI27" i="49"/>
  <c r="AF30" i="49"/>
  <c r="AF31" i="49"/>
  <c r="P32" i="49"/>
  <c r="S32" i="49" s="1"/>
  <c r="BH32" i="49"/>
  <c r="BI36" i="49"/>
  <c r="AE37" i="49"/>
  <c r="BI37" i="49"/>
  <c r="BH38" i="49"/>
  <c r="AF41" i="49"/>
  <c r="BI42" i="49"/>
  <c r="AE43" i="49"/>
  <c r="BI43" i="49"/>
  <c r="AF46" i="49"/>
  <c r="AF47" i="49"/>
  <c r="P48" i="49"/>
  <c r="S48" i="49" s="1"/>
  <c r="BH48" i="49"/>
  <c r="BI52" i="49"/>
  <c r="AE53" i="49"/>
  <c r="BI53" i="49"/>
  <c r="BH54" i="49"/>
  <c r="BH57" i="49"/>
  <c r="AE58" i="49"/>
  <c r="BH58" i="49"/>
  <c r="BI59" i="49"/>
  <c r="BN60" i="49"/>
  <c r="AF15" i="11"/>
  <c r="Y12" i="11"/>
  <c r="AY11" i="11"/>
  <c r="BC11" i="11"/>
  <c r="BG11" i="11"/>
  <c r="AZ11" i="11"/>
  <c r="AW18" i="11"/>
  <c r="BH20" i="11"/>
  <c r="AF22" i="11"/>
  <c r="BI24" i="11"/>
  <c r="BM24" i="11" s="1"/>
  <c r="BN27" i="11"/>
  <c r="BI28" i="11"/>
  <c r="BM28" i="11" s="1"/>
  <c r="P32" i="11"/>
  <c r="BI32" i="11"/>
  <c r="P33" i="11"/>
  <c r="P34" i="11"/>
  <c r="BN35" i="11"/>
  <c r="AF38" i="11"/>
  <c r="BH40" i="11"/>
  <c r="P44" i="11"/>
  <c r="BI44" i="11"/>
  <c r="AE45" i="11"/>
  <c r="BH45" i="11"/>
  <c r="P46" i="11"/>
  <c r="BI46" i="11"/>
  <c r="BN47" i="11"/>
  <c r="AF50" i="11"/>
  <c r="AF51" i="11"/>
  <c r="BH52" i="11"/>
  <c r="AF53" i="11"/>
  <c r="AE54" i="11"/>
  <c r="BI55" i="11"/>
  <c r="AF56" i="11"/>
  <c r="AW57" i="11"/>
  <c r="BI57" i="11"/>
  <c r="P60" i="11"/>
  <c r="BI60" i="11"/>
  <c r="AE61" i="11"/>
  <c r="BH61" i="11"/>
  <c r="P62" i="11"/>
  <c r="BI62" i="11"/>
  <c r="BN63" i="11"/>
  <c r="AF14" i="15"/>
  <c r="AJ14" i="15" s="1"/>
  <c r="AB12" i="15"/>
  <c r="BH15" i="15"/>
  <c r="W12" i="15"/>
  <c r="AA12" i="15"/>
  <c r="BI19" i="15"/>
  <c r="AE20" i="15"/>
  <c r="BI20" i="15"/>
  <c r="BH21" i="15"/>
  <c r="AF24" i="15"/>
  <c r="BI25" i="15"/>
  <c r="AE26" i="15"/>
  <c r="AI26" i="15" s="1"/>
  <c r="BI26" i="15"/>
  <c r="AF29" i="15"/>
  <c r="AF30" i="15"/>
  <c r="BI30" i="15"/>
  <c r="AF33" i="15"/>
  <c r="AF34" i="15"/>
  <c r="AJ34" i="15" s="1"/>
  <c r="BI34" i="15"/>
  <c r="AF37" i="15"/>
  <c r="AF38" i="15"/>
  <c r="BI38" i="15"/>
  <c r="AF41" i="15"/>
  <c r="AF42" i="15"/>
  <c r="BI42" i="15"/>
  <c r="AF45" i="15"/>
  <c r="AJ45" i="15" s="1"/>
  <c r="AF46" i="15"/>
  <c r="BI46" i="15"/>
  <c r="AF49" i="15"/>
  <c r="AF50" i="15"/>
  <c r="AJ50" i="15" s="1"/>
  <c r="BI50" i="15"/>
  <c r="AF53" i="15"/>
  <c r="AF54" i="15"/>
  <c r="BI54" i="15"/>
  <c r="AF57" i="15"/>
  <c r="AF58" i="15"/>
  <c r="BI58" i="15"/>
  <c r="BH63" i="15"/>
  <c r="Y12" i="10"/>
  <c r="BG11" i="10"/>
  <c r="BI17" i="10"/>
  <c r="BN50" i="49"/>
  <c r="BN55" i="49"/>
  <c r="S58" i="49"/>
  <c r="BN30" i="11"/>
  <c r="BN42" i="11"/>
  <c r="BN58" i="11"/>
  <c r="BI28" i="49"/>
  <c r="AE29" i="49"/>
  <c r="BI29" i="49"/>
  <c r="BH30" i="49"/>
  <c r="AF33" i="49"/>
  <c r="BI34" i="49"/>
  <c r="AE35" i="49"/>
  <c r="BI35" i="49"/>
  <c r="AF38" i="49"/>
  <c r="AF39" i="49"/>
  <c r="P40" i="49"/>
  <c r="S40" i="49" s="1"/>
  <c r="BH40" i="49"/>
  <c r="BL40" i="49" s="1"/>
  <c r="BI44" i="49"/>
  <c r="AE45" i="49"/>
  <c r="BI45" i="49"/>
  <c r="BH46" i="49"/>
  <c r="BL46" i="49" s="1"/>
  <c r="AF49" i="49"/>
  <c r="BI50" i="49"/>
  <c r="AE51" i="49"/>
  <c r="BI51" i="49"/>
  <c r="BM51" i="49" s="1"/>
  <c r="AF54" i="49"/>
  <c r="AF55" i="49"/>
  <c r="P56" i="49"/>
  <c r="S56" i="49" s="1"/>
  <c r="BH56" i="49"/>
  <c r="BL56" i="49" s="1"/>
  <c r="AE59" i="49"/>
  <c r="BH61" i="49"/>
  <c r="AE62" i="49"/>
  <c r="BH62" i="49"/>
  <c r="BL62" i="49" s="1"/>
  <c r="BI63" i="49"/>
  <c r="W12" i="11"/>
  <c r="AA12" i="11"/>
  <c r="BI16" i="11"/>
  <c r="BM16" i="11" s="1"/>
  <c r="AE21" i="11"/>
  <c r="BI21" i="11"/>
  <c r="AF23" i="11"/>
  <c r="AW26" i="11"/>
  <c r="BH32" i="11"/>
  <c r="AF36" i="11"/>
  <c r="AJ36" i="11" s="1"/>
  <c r="AW37" i="11"/>
  <c r="BI37" i="11"/>
  <c r="BI40" i="11"/>
  <c r="P41" i="11"/>
  <c r="S41" i="11" s="1"/>
  <c r="BH41" i="11"/>
  <c r="AF42" i="11"/>
  <c r="AJ42" i="11" s="1"/>
  <c r="BH44" i="11"/>
  <c r="AF45" i="11"/>
  <c r="AE46" i="11"/>
  <c r="BI47" i="11"/>
  <c r="AF48" i="11"/>
  <c r="AW49" i="11"/>
  <c r="BI49" i="11"/>
  <c r="BI52" i="11"/>
  <c r="AE53" i="11"/>
  <c r="BH53" i="11"/>
  <c r="P54" i="11"/>
  <c r="BI54" i="11"/>
  <c r="AF58" i="11"/>
  <c r="AF59" i="11"/>
  <c r="BH60" i="11"/>
  <c r="AF61" i="11"/>
  <c r="AE62" i="11"/>
  <c r="BI63" i="11"/>
  <c r="AY11" i="15"/>
  <c r="BC11" i="15"/>
  <c r="BG11" i="15"/>
  <c r="AF16" i="15"/>
  <c r="BI17" i="15"/>
  <c r="AE18" i="15"/>
  <c r="AI18" i="15" s="1"/>
  <c r="BI18" i="15"/>
  <c r="AF21" i="15"/>
  <c r="AF22" i="15"/>
  <c r="BH23" i="15"/>
  <c r="BI27" i="15"/>
  <c r="AE28" i="15"/>
  <c r="BI28" i="15"/>
  <c r="BH29" i="15"/>
  <c r="BI31" i="15"/>
  <c r="AE32" i="15"/>
  <c r="BI32" i="15"/>
  <c r="BH33" i="15"/>
  <c r="BI35" i="15"/>
  <c r="AE36" i="15"/>
  <c r="AI36" i="15" s="1"/>
  <c r="BI36" i="15"/>
  <c r="BH37" i="15"/>
  <c r="AE40" i="15"/>
  <c r="AI40" i="15" s="1"/>
  <c r="BI40" i="15"/>
  <c r="BH41" i="15"/>
  <c r="AE44" i="15"/>
  <c r="AI44" i="15" s="1"/>
  <c r="BI44" i="15"/>
  <c r="BH45" i="15"/>
  <c r="AE48" i="15"/>
  <c r="BI48" i="15"/>
  <c r="BH49" i="15"/>
  <c r="AE52" i="15"/>
  <c r="AI52" i="15" s="1"/>
  <c r="BI52" i="15"/>
  <c r="P53" i="15"/>
  <c r="S53" i="15" s="1"/>
  <c r="BH53" i="15"/>
  <c r="AE56" i="15"/>
  <c r="AI56" i="15" s="1"/>
  <c r="BI56" i="15"/>
  <c r="P57" i="15"/>
  <c r="S57" i="15" s="1"/>
  <c r="BH57" i="15"/>
  <c r="BH15" i="10"/>
  <c r="BL15" i="10" s="1"/>
  <c r="BI16" i="10"/>
  <c r="S54" i="10"/>
  <c r="V12" i="10"/>
  <c r="AD12" i="10"/>
  <c r="AZ11" i="10"/>
  <c r="BD11" i="10"/>
  <c r="BA11" i="10"/>
  <c r="BE11" i="10"/>
  <c r="AE20" i="10"/>
  <c r="AF24" i="10"/>
  <c r="AF25" i="10"/>
  <c r="BI25" i="10"/>
  <c r="AF26" i="10"/>
  <c r="BI27" i="10"/>
  <c r="AF32" i="10"/>
  <c r="AF33" i="10"/>
  <c r="AJ33" i="10" s="1"/>
  <c r="BI33" i="10"/>
  <c r="AF34" i="10"/>
  <c r="BI35" i="10"/>
  <c r="BM35" i="10" s="1"/>
  <c r="AF40" i="10"/>
  <c r="AJ40" i="10" s="1"/>
  <c r="AF41" i="10"/>
  <c r="BI41" i="10"/>
  <c r="BM41" i="10" s="1"/>
  <c r="AF42" i="10"/>
  <c r="AJ42" i="10" s="1"/>
  <c r="BI43" i="10"/>
  <c r="AF48" i="10"/>
  <c r="AF49" i="10"/>
  <c r="BI49" i="10"/>
  <c r="AF50" i="10"/>
  <c r="AJ50" i="10" s="1"/>
  <c r="AW51" i="10"/>
  <c r="BI51" i="10"/>
  <c r="AF56" i="10"/>
  <c r="AW56" i="10"/>
  <c r="AF57" i="10"/>
  <c r="BI57" i="10"/>
  <c r="AF58" i="10"/>
  <c r="AW59" i="10"/>
  <c r="BI59" i="10"/>
  <c r="AF14" i="2"/>
  <c r="AJ14" i="2" s="1"/>
  <c r="Y12" i="2"/>
  <c r="AC12" i="2"/>
  <c r="AE15" i="2"/>
  <c r="BI17" i="2"/>
  <c r="AE18" i="2"/>
  <c r="AI18" i="2" s="1"/>
  <c r="BH18" i="2"/>
  <c r="BI19" i="2"/>
  <c r="BH21" i="2"/>
  <c r="AF22" i="2"/>
  <c r="AJ22" i="2" s="1"/>
  <c r="AE23" i="2"/>
  <c r="BI25" i="2"/>
  <c r="AE26" i="2"/>
  <c r="BH26" i="2"/>
  <c r="AF28" i="2"/>
  <c r="BH28" i="2"/>
  <c r="BL28" i="2" s="1"/>
  <c r="BI30" i="2"/>
  <c r="BH33" i="2"/>
  <c r="BI39" i="2"/>
  <c r="AE40" i="2"/>
  <c r="BH41" i="2"/>
  <c r="AE44" i="2"/>
  <c r="BH47" i="2"/>
  <c r="AE62" i="2"/>
  <c r="AI62" i="2" s="1"/>
  <c r="P62" i="2"/>
  <c r="U12" i="4"/>
  <c r="AC12" i="4"/>
  <c r="AE17" i="4"/>
  <c r="AI17" i="4" s="1"/>
  <c r="AF21" i="4"/>
  <c r="AJ21" i="4" s="1"/>
  <c r="BH19" i="10"/>
  <c r="BI22" i="10"/>
  <c r="BM22" i="10" s="1"/>
  <c r="AE23" i="10"/>
  <c r="BH23" i="10"/>
  <c r="BI24" i="10"/>
  <c r="BH26" i="10"/>
  <c r="BL26" i="10" s="1"/>
  <c r="AF27" i="10"/>
  <c r="AE28" i="10"/>
  <c r="BI30" i="10"/>
  <c r="AE31" i="10"/>
  <c r="AI31" i="10" s="1"/>
  <c r="BH31" i="10"/>
  <c r="BI32" i="10"/>
  <c r="BH34" i="10"/>
  <c r="AF35" i="10"/>
  <c r="AJ35" i="10" s="1"/>
  <c r="AE36" i="10"/>
  <c r="BI38" i="10"/>
  <c r="AE39" i="10"/>
  <c r="BH39" i="10"/>
  <c r="BL39" i="10" s="1"/>
  <c r="BI40" i="10"/>
  <c r="BH42" i="10"/>
  <c r="AF43" i="10"/>
  <c r="AE44" i="10"/>
  <c r="AI44" i="10" s="1"/>
  <c r="BI46" i="10"/>
  <c r="AE47" i="10"/>
  <c r="BH47" i="10"/>
  <c r="BI48" i="10"/>
  <c r="BH50" i="10"/>
  <c r="AF51" i="10"/>
  <c r="AE52" i="10"/>
  <c r="BI54" i="10"/>
  <c r="BM54" i="10" s="1"/>
  <c r="AE55" i="10"/>
  <c r="BH55" i="10"/>
  <c r="BI56" i="10"/>
  <c r="BH58" i="10"/>
  <c r="BL58" i="10" s="1"/>
  <c r="AF59" i="10"/>
  <c r="AE60" i="10"/>
  <c r="BI62" i="10"/>
  <c r="AE63" i="10"/>
  <c r="BH63" i="10"/>
  <c r="V12" i="2"/>
  <c r="Z12" i="2"/>
  <c r="AD12" i="2"/>
  <c r="AF15" i="2"/>
  <c r="AF16" i="2"/>
  <c r="AJ16" i="2" s="1"/>
  <c r="BI16" i="2"/>
  <c r="AF17" i="2"/>
  <c r="AJ17" i="2" s="1"/>
  <c r="BI18" i="2"/>
  <c r="AF23" i="2"/>
  <c r="AF24" i="2"/>
  <c r="BI24" i="2"/>
  <c r="BM24" i="2" s="1"/>
  <c r="AF25" i="2"/>
  <c r="BI26" i="2"/>
  <c r="BI27" i="2"/>
  <c r="AF32" i="2"/>
  <c r="AJ32" i="2" s="1"/>
  <c r="AE34" i="2"/>
  <c r="BH34" i="2"/>
  <c r="BH35" i="2"/>
  <c r="BL35" i="2" s="1"/>
  <c r="BI35" i="2"/>
  <c r="BM35" i="2" s="1"/>
  <c r="AF42" i="2"/>
  <c r="BI43" i="2"/>
  <c r="BI45" i="2"/>
  <c r="BM45" i="2" s="1"/>
  <c r="AE46" i="2"/>
  <c r="BI46" i="2"/>
  <c r="AF50" i="2"/>
  <c r="P58" i="2"/>
  <c r="AF21" i="10"/>
  <c r="AJ21" i="10" s="1"/>
  <c r="BI21" i="10"/>
  <c r="BM21" i="10" s="1"/>
  <c r="AF22" i="10"/>
  <c r="BI23" i="10"/>
  <c r="AF28" i="10"/>
  <c r="AJ28" i="10" s="1"/>
  <c r="AF29" i="10"/>
  <c r="AJ29" i="10" s="1"/>
  <c r="BI29" i="10"/>
  <c r="AF30" i="10"/>
  <c r="BI31" i="10"/>
  <c r="AF36" i="10"/>
  <c r="AJ36" i="10" s="1"/>
  <c r="AF37" i="10"/>
  <c r="BI37" i="10"/>
  <c r="AF38" i="10"/>
  <c r="AJ38" i="10" s="1"/>
  <c r="BI39" i="10"/>
  <c r="BM39" i="10" s="1"/>
  <c r="AF44" i="10"/>
  <c r="AF45" i="10"/>
  <c r="BI45" i="10"/>
  <c r="AF46" i="10"/>
  <c r="AJ46" i="10" s="1"/>
  <c r="BI47" i="10"/>
  <c r="AF52" i="10"/>
  <c r="AF53" i="10"/>
  <c r="BI53" i="10"/>
  <c r="BM53" i="10" s="1"/>
  <c r="AF54" i="10"/>
  <c r="BI55" i="10"/>
  <c r="AF60" i="10"/>
  <c r="AF61" i="10"/>
  <c r="AJ61" i="10" s="1"/>
  <c r="BI61" i="10"/>
  <c r="AF62" i="10"/>
  <c r="BI63" i="10"/>
  <c r="AE14" i="2"/>
  <c r="AI14" i="2" s="1"/>
  <c r="BH14" i="2"/>
  <c r="BI15" i="2"/>
  <c r="AY11" i="2"/>
  <c r="BC11" i="2"/>
  <c r="BG11" i="2"/>
  <c r="BH17" i="2"/>
  <c r="AF18" i="2"/>
  <c r="AJ18" i="2" s="1"/>
  <c r="AE19" i="2"/>
  <c r="AI19" i="2" s="1"/>
  <c r="BI21" i="2"/>
  <c r="AE22" i="2"/>
  <c r="AI22" i="2" s="1"/>
  <c r="BH22" i="2"/>
  <c r="BL22" i="2" s="1"/>
  <c r="BI23" i="2"/>
  <c r="BH25" i="2"/>
  <c r="AF26" i="2"/>
  <c r="AJ26" i="2" s="1"/>
  <c r="AF27" i="2"/>
  <c r="AJ27" i="2" s="1"/>
  <c r="AE28" i="2"/>
  <c r="AF31" i="2"/>
  <c r="BI31" i="2"/>
  <c r="AE42" i="2"/>
  <c r="BI42" i="2"/>
  <c r="BH43" i="2"/>
  <c r="BL43" i="2" s="1"/>
  <c r="Y12" i="4"/>
  <c r="S58" i="10"/>
  <c r="AF46" i="2"/>
  <c r="BI47" i="2"/>
  <c r="BM47" i="2" s="1"/>
  <c r="AE48" i="2"/>
  <c r="BI48" i="2"/>
  <c r="AF51" i="2"/>
  <c r="AF52" i="2"/>
  <c r="AW52" i="2"/>
  <c r="P53" i="2"/>
  <c r="BH53" i="2"/>
  <c r="BI57" i="2"/>
  <c r="BM57" i="2" s="1"/>
  <c r="AE58" i="2"/>
  <c r="BI58" i="2"/>
  <c r="BH59" i="2"/>
  <c r="AF62" i="2"/>
  <c r="AJ62" i="2" s="1"/>
  <c r="AW63" i="2"/>
  <c r="BI63" i="2"/>
  <c r="BH14" i="4"/>
  <c r="BB11" i="4"/>
  <c r="BF11" i="4"/>
  <c r="AY11" i="4"/>
  <c r="BC11" i="4"/>
  <c r="BG11" i="4"/>
  <c r="AF17" i="4"/>
  <c r="BI18" i="4"/>
  <c r="AE19" i="4"/>
  <c r="BI19" i="4"/>
  <c r="AF22" i="4"/>
  <c r="AJ22" i="4" s="1"/>
  <c r="AF23" i="4"/>
  <c r="BH24" i="4"/>
  <c r="BI28" i="4"/>
  <c r="AE29" i="4"/>
  <c r="AI29" i="4" s="1"/>
  <c r="BI29" i="4"/>
  <c r="BH30" i="4"/>
  <c r="AF33" i="4"/>
  <c r="AF35" i="4"/>
  <c r="BI35" i="4"/>
  <c r="AF38" i="4"/>
  <c r="AJ38" i="4" s="1"/>
  <c r="BI40" i="4"/>
  <c r="AE41" i="4"/>
  <c r="AI41" i="4" s="1"/>
  <c r="BH41" i="4"/>
  <c r="BI42" i="4"/>
  <c r="AF48" i="4"/>
  <c r="BI48" i="4"/>
  <c r="BI55" i="4"/>
  <c r="AE56" i="4"/>
  <c r="AI56" i="4" s="1"/>
  <c r="BI56" i="4"/>
  <c r="BI57" i="4"/>
  <c r="AF60" i="4"/>
  <c r="AE61" i="4"/>
  <c r="AI61" i="4" s="1"/>
  <c r="AW62" i="4"/>
  <c r="P63" i="4"/>
  <c r="BI63" i="4"/>
  <c r="P14" i="5"/>
  <c r="S14" i="5" s="1"/>
  <c r="X12" i="5"/>
  <c r="AB12" i="5"/>
  <c r="BI14" i="5"/>
  <c r="AE15" i="5"/>
  <c r="BH15" i="5"/>
  <c r="BI16" i="5"/>
  <c r="BH18" i="5"/>
  <c r="AF19" i="5"/>
  <c r="AE20" i="5"/>
  <c r="AW21" i="5"/>
  <c r="P22" i="5"/>
  <c r="S22" i="5" s="1"/>
  <c r="BI22" i="5"/>
  <c r="AE23" i="5"/>
  <c r="BH23" i="5"/>
  <c r="BI24" i="5"/>
  <c r="BH26" i="5"/>
  <c r="AF27" i="5"/>
  <c r="AE28" i="5"/>
  <c r="AW29" i="5"/>
  <c r="P30" i="5"/>
  <c r="S30" i="5" s="1"/>
  <c r="BI30" i="5"/>
  <c r="AE31" i="5"/>
  <c r="BH31" i="5"/>
  <c r="BI32" i="5"/>
  <c r="BH34" i="5"/>
  <c r="AF35" i="5"/>
  <c r="AE36" i="5"/>
  <c r="AW37" i="5"/>
  <c r="AW38" i="5"/>
  <c r="BI38" i="5"/>
  <c r="BI41" i="5"/>
  <c r="BM41" i="5" s="1"/>
  <c r="AF46" i="5"/>
  <c r="AJ46" i="5" s="1"/>
  <c r="AF49" i="5"/>
  <c r="AJ49" i="5" s="1"/>
  <c r="AW50" i="5"/>
  <c r="BI50" i="5"/>
  <c r="BI53" i="5"/>
  <c r="P54" i="5"/>
  <c r="S54" i="5" s="1"/>
  <c r="P55" i="5"/>
  <c r="BN56" i="5"/>
  <c r="AF59" i="5"/>
  <c r="AJ59" i="5" s="1"/>
  <c r="AW59" i="5"/>
  <c r="AF60" i="5"/>
  <c r="BH61" i="5"/>
  <c r="AE63" i="5"/>
  <c r="AI63" i="5" s="1"/>
  <c r="AF16" i="6"/>
  <c r="BI16" i="6"/>
  <c r="BM16" i="6" s="1"/>
  <c r="BI17" i="6"/>
  <c r="AF28" i="6"/>
  <c r="BN58" i="4"/>
  <c r="BN17" i="5"/>
  <c r="BN25" i="5"/>
  <c r="BN33" i="5"/>
  <c r="BN39" i="5"/>
  <c r="S41" i="5"/>
  <c r="P43" i="5"/>
  <c r="BI43" i="5"/>
  <c r="BN44" i="5"/>
  <c r="AF47" i="5"/>
  <c r="AJ47" i="5" s="1"/>
  <c r="BH49" i="5"/>
  <c r="BN51" i="5"/>
  <c r="AF53" i="5"/>
  <c r="AJ53" i="5" s="1"/>
  <c r="BI54" i="5"/>
  <c r="BI57" i="5"/>
  <c r="AE58" i="5"/>
  <c r="BH58" i="5"/>
  <c r="P59" i="5"/>
  <c r="BI59" i="5"/>
  <c r="AF62" i="5"/>
  <c r="AF63" i="5"/>
  <c r="U12" i="6"/>
  <c r="AE14" i="6"/>
  <c r="BI15" i="6"/>
  <c r="V12" i="6"/>
  <c r="Z12" i="6"/>
  <c r="AD12" i="6"/>
  <c r="BH16" i="6"/>
  <c r="AE18" i="6"/>
  <c r="AF21" i="6"/>
  <c r="AF22" i="6"/>
  <c r="AE25" i="6"/>
  <c r="AE38" i="2"/>
  <c r="BI38" i="2"/>
  <c r="BH39" i="2"/>
  <c r="BL39" i="2" s="1"/>
  <c r="AF43" i="2"/>
  <c r="AF44" i="2"/>
  <c r="BH45" i="2"/>
  <c r="BL45" i="2" s="1"/>
  <c r="BI49" i="2"/>
  <c r="AE50" i="2"/>
  <c r="BI50" i="2"/>
  <c r="BH51" i="2"/>
  <c r="BL51" i="2" s="1"/>
  <c r="AF54" i="2"/>
  <c r="BI55" i="2"/>
  <c r="AE56" i="2"/>
  <c r="BI56" i="2"/>
  <c r="BM56" i="2" s="1"/>
  <c r="AF59" i="2"/>
  <c r="AF60" i="2"/>
  <c r="P61" i="2"/>
  <c r="S61" i="2" s="1"/>
  <c r="BH61" i="2"/>
  <c r="BL61" i="2" s="1"/>
  <c r="AF14" i="4"/>
  <c r="AJ14" i="4" s="1"/>
  <c r="AA12" i="4"/>
  <c r="AF15" i="4"/>
  <c r="BH16" i="4"/>
  <c r="BI20" i="4"/>
  <c r="AE21" i="4"/>
  <c r="BI21" i="4"/>
  <c r="BM21" i="4" s="1"/>
  <c r="BH22" i="4"/>
  <c r="AF25" i="4"/>
  <c r="BI26" i="4"/>
  <c r="AE27" i="4"/>
  <c r="AI27" i="4" s="1"/>
  <c r="BI27" i="4"/>
  <c r="AF30" i="4"/>
  <c r="AF31" i="4"/>
  <c r="BH32" i="4"/>
  <c r="BI36" i="4"/>
  <c r="AE37" i="4"/>
  <c r="BI37" i="4"/>
  <c r="BI38" i="4"/>
  <c r="AF41" i="4"/>
  <c r="AE42" i="4"/>
  <c r="BI43" i="4"/>
  <c r="BM43" i="4" s="1"/>
  <c r="BH45" i="4"/>
  <c r="BL45" i="4" s="1"/>
  <c r="AE48" i="4"/>
  <c r="AF49" i="4"/>
  <c r="P51" i="4"/>
  <c r="S51" i="4" s="1"/>
  <c r="AK51" i="4" s="1"/>
  <c r="BH51" i="4"/>
  <c r="AE52" i="4"/>
  <c r="BH52" i="4"/>
  <c r="BH53" i="4"/>
  <c r="AF57" i="4"/>
  <c r="P59" i="4"/>
  <c r="BH59" i="4"/>
  <c r="BI60" i="4"/>
  <c r="BI61" i="4"/>
  <c r="AX11" i="5"/>
  <c r="BH14" i="5"/>
  <c r="BL14" i="5" s="1"/>
  <c r="BD11" i="5"/>
  <c r="AF15" i="5"/>
  <c r="AE16" i="5"/>
  <c r="BI18" i="5"/>
  <c r="AE19" i="5"/>
  <c r="BH19" i="5"/>
  <c r="BI20" i="5"/>
  <c r="BH22" i="5"/>
  <c r="AF23" i="5"/>
  <c r="AE24" i="5"/>
  <c r="BI26" i="5"/>
  <c r="AE27" i="5"/>
  <c r="AI27" i="5" s="1"/>
  <c r="BH27" i="5"/>
  <c r="BI28" i="5"/>
  <c r="BH30" i="5"/>
  <c r="AF31" i="5"/>
  <c r="AJ31" i="5" s="1"/>
  <c r="AE32" i="5"/>
  <c r="BI34" i="5"/>
  <c r="AE35" i="5"/>
  <c r="BH35" i="5"/>
  <c r="BI36" i="5"/>
  <c r="AF39" i="5"/>
  <c r="BI39" i="5"/>
  <c r="AF40" i="5"/>
  <c r="BH41" i="5"/>
  <c r="AW43" i="5"/>
  <c r="AF44" i="5"/>
  <c r="P45" i="5"/>
  <c r="S45" i="5" s="1"/>
  <c r="T45" i="5" s="1"/>
  <c r="AE46" i="5"/>
  <c r="BN48" i="5"/>
  <c r="AF51" i="5"/>
  <c r="BH53" i="5"/>
  <c r="BL53" i="5" s="1"/>
  <c r="AF57" i="5"/>
  <c r="AW58" i="5"/>
  <c r="BI58" i="5"/>
  <c r="P61" i="5"/>
  <c r="BI61" i="5"/>
  <c r="AE62" i="5"/>
  <c r="BH62" i="5"/>
  <c r="P63" i="5"/>
  <c r="BI63" i="5"/>
  <c r="AF14" i="6"/>
  <c r="AB12" i="6"/>
  <c r="AF15" i="6"/>
  <c r="AJ15" i="6" s="1"/>
  <c r="AY11" i="6"/>
  <c r="BC11" i="6"/>
  <c r="BG11" i="6"/>
  <c r="BI18" i="6"/>
  <c r="AF48" i="2"/>
  <c r="BH49" i="2"/>
  <c r="BI53" i="2"/>
  <c r="AE54" i="2"/>
  <c r="BI54" i="2"/>
  <c r="BM54" i="2" s="1"/>
  <c r="BH55" i="2"/>
  <c r="AF58" i="2"/>
  <c r="BI59" i="2"/>
  <c r="AE60" i="2"/>
  <c r="AI60" i="2" s="1"/>
  <c r="BI60" i="2"/>
  <c r="AF63" i="2"/>
  <c r="BI14" i="4"/>
  <c r="AE15" i="4"/>
  <c r="AI15" i="4" s="1"/>
  <c r="BI15" i="4"/>
  <c r="AF18" i="4"/>
  <c r="AF19" i="4"/>
  <c r="AJ19" i="4" s="1"/>
  <c r="BH20" i="4"/>
  <c r="BI24" i="4"/>
  <c r="AE25" i="4"/>
  <c r="AI25" i="4" s="1"/>
  <c r="BI25" i="4"/>
  <c r="BM25" i="4" s="1"/>
  <c r="BH26" i="4"/>
  <c r="AF29" i="4"/>
  <c r="BI30" i="4"/>
  <c r="AE31" i="4"/>
  <c r="AI31" i="4" s="1"/>
  <c r="BI31" i="4"/>
  <c r="AF34" i="4"/>
  <c r="AJ34" i="4" s="1"/>
  <c r="BH36" i="4"/>
  <c r="AF42" i="4"/>
  <c r="AE43" i="4"/>
  <c r="AI43" i="4" s="1"/>
  <c r="AE44" i="4"/>
  <c r="AI44" i="4" s="1"/>
  <c r="BH47" i="4"/>
  <c r="BH48" i="4"/>
  <c r="BH49" i="4"/>
  <c r="BL49" i="4" s="1"/>
  <c r="BI52" i="4"/>
  <c r="BM52" i="4" s="1"/>
  <c r="AF54" i="4"/>
  <c r="AF56" i="4"/>
  <c r="AF58" i="4"/>
  <c r="BI58" i="4"/>
  <c r="BM58" i="4" s="1"/>
  <c r="P60" i="4"/>
  <c r="AF16" i="5"/>
  <c r="AF17" i="5"/>
  <c r="BI17" i="5"/>
  <c r="BM17" i="5" s="1"/>
  <c r="AF18" i="5"/>
  <c r="BI19" i="5"/>
  <c r="AF24" i="5"/>
  <c r="AF25" i="5"/>
  <c r="AJ25" i="5" s="1"/>
  <c r="BI25" i="5"/>
  <c r="AF26" i="5"/>
  <c r="BI27" i="5"/>
  <c r="AF32" i="5"/>
  <c r="AJ32" i="5" s="1"/>
  <c r="AF33" i="5"/>
  <c r="BI33" i="5"/>
  <c r="AF34" i="5"/>
  <c r="BI35" i="5"/>
  <c r="BM35" i="5" s="1"/>
  <c r="AE38" i="5"/>
  <c r="BH38" i="5"/>
  <c r="AF20" i="6"/>
  <c r="AE21" i="6"/>
  <c r="BH21" i="6"/>
  <c r="BI22" i="6"/>
  <c r="AF25" i="6"/>
  <c r="AF26" i="6"/>
  <c r="AF27" i="6"/>
  <c r="BH28" i="6"/>
  <c r="AF34" i="6"/>
  <c r="BI34" i="6"/>
  <c r="AF35" i="6"/>
  <c r="BI37" i="6"/>
  <c r="BI40" i="6"/>
  <c r="BI42" i="6"/>
  <c r="AF45" i="6"/>
  <c r="AF46" i="6"/>
  <c r="AF47" i="6"/>
  <c r="BH48" i="6"/>
  <c r="AE50" i="6"/>
  <c r="BI51" i="6"/>
  <c r="BM51" i="6" s="1"/>
  <c r="AF52" i="6"/>
  <c r="BI52" i="6"/>
  <c r="AW53" i="6"/>
  <c r="BI53" i="6"/>
  <c r="AE57" i="6"/>
  <c r="BH57" i="6"/>
  <c r="P58" i="6"/>
  <c r="BI58" i="6"/>
  <c r="BM58" i="6" s="1"/>
  <c r="BN59" i="6"/>
  <c r="AF61" i="6"/>
  <c r="AW62" i="6"/>
  <c r="AF63" i="6"/>
  <c r="AE17" i="7"/>
  <c r="BI19" i="7"/>
  <c r="AE20" i="7"/>
  <c r="BH20" i="7"/>
  <c r="BI21" i="7"/>
  <c r="AF25" i="7"/>
  <c r="AF26" i="7"/>
  <c r="BH27" i="7"/>
  <c r="AE29" i="7"/>
  <c r="AI29" i="7" s="1"/>
  <c r="BI30" i="7"/>
  <c r="AF31" i="7"/>
  <c r="BI31" i="7"/>
  <c r="BI32" i="7"/>
  <c r="AE36" i="7"/>
  <c r="BH36" i="7"/>
  <c r="BI37" i="7"/>
  <c r="AF40" i="7"/>
  <c r="AJ40" i="7" s="1"/>
  <c r="BH40" i="7"/>
  <c r="BL40" i="7" s="1"/>
  <c r="BH41" i="7"/>
  <c r="BL41" i="7" s="1"/>
  <c r="BI43" i="7"/>
  <c r="BH25" i="6"/>
  <c r="BI26" i="6"/>
  <c r="AF29" i="6"/>
  <c r="BI32" i="6"/>
  <c r="BM32" i="6" s="1"/>
  <c r="AE33" i="6"/>
  <c r="BH33" i="6"/>
  <c r="AE38" i="6"/>
  <c r="BH40" i="6"/>
  <c r="AE45" i="6"/>
  <c r="AI45" i="6" s="1"/>
  <c r="BH45" i="6"/>
  <c r="BI46" i="6"/>
  <c r="AF49" i="6"/>
  <c r="AJ49" i="6" s="1"/>
  <c r="AF50" i="6"/>
  <c r="AF51" i="6"/>
  <c r="BH52" i="6"/>
  <c r="AE54" i="6"/>
  <c r="AI54" i="6" s="1"/>
  <c r="BN54" i="6"/>
  <c r="BI55" i="6"/>
  <c r="AF56" i="6"/>
  <c r="BI56" i="6"/>
  <c r="BI57" i="6"/>
  <c r="AE61" i="6"/>
  <c r="BH61" i="6"/>
  <c r="V12" i="7"/>
  <c r="Z12" i="7"/>
  <c r="BI20" i="7"/>
  <c r="BI23" i="7"/>
  <c r="AE24" i="7"/>
  <c r="BH24" i="7"/>
  <c r="BI25" i="7"/>
  <c r="BM25" i="7" s="1"/>
  <c r="AF28" i="7"/>
  <c r="AF29" i="7"/>
  <c r="AF30" i="7"/>
  <c r="AJ30" i="7" s="1"/>
  <c r="BH31" i="7"/>
  <c r="BL31" i="7" s="1"/>
  <c r="AE33" i="7"/>
  <c r="BI34" i="7"/>
  <c r="AF35" i="7"/>
  <c r="BI35" i="7"/>
  <c r="BI36" i="7"/>
  <c r="AE40" i="7"/>
  <c r="AI40" i="7" s="1"/>
  <c r="AF17" i="6"/>
  <c r="AF18" i="6"/>
  <c r="AF19" i="6"/>
  <c r="BH20" i="6"/>
  <c r="AE22" i="6"/>
  <c r="BI23" i="6"/>
  <c r="AF24" i="6"/>
  <c r="BI24" i="6"/>
  <c r="BI25" i="6"/>
  <c r="AE29" i="6"/>
  <c r="BH29" i="6"/>
  <c r="BI30" i="6"/>
  <c r="AF31" i="6"/>
  <c r="BI33" i="6"/>
  <c r="AF38" i="6"/>
  <c r="AF41" i="6"/>
  <c r="BI43" i="6"/>
  <c r="BM43" i="6" s="1"/>
  <c r="AF44" i="6"/>
  <c r="BI44" i="6"/>
  <c r="BI45" i="6"/>
  <c r="BM45" i="6" s="1"/>
  <c r="AE49" i="6"/>
  <c r="BH49" i="6"/>
  <c r="BI50" i="6"/>
  <c r="BN51" i="6"/>
  <c r="AF53" i="6"/>
  <c r="AF54" i="6"/>
  <c r="AF55" i="6"/>
  <c r="BH56" i="6"/>
  <c r="AE58" i="6"/>
  <c r="BI59" i="6"/>
  <c r="AF60" i="6"/>
  <c r="BI60" i="6"/>
  <c r="AW61" i="6"/>
  <c r="BI61" i="6"/>
  <c r="BN63" i="6"/>
  <c r="X12" i="7"/>
  <c r="AB12" i="7"/>
  <c r="AX11" i="7"/>
  <c r="BF11" i="7"/>
  <c r="BH15" i="7"/>
  <c r="W12" i="7"/>
  <c r="AA12" i="7"/>
  <c r="BH19" i="7"/>
  <c r="AF20" i="7"/>
  <c r="AJ20" i="7" s="1"/>
  <c r="AE21" i="7"/>
  <c r="BI22" i="7"/>
  <c r="AF23" i="7"/>
  <c r="BI24" i="7"/>
  <c r="AE28" i="7"/>
  <c r="BH28" i="7"/>
  <c r="BI29" i="7"/>
  <c r="AF32" i="7"/>
  <c r="AF33" i="7"/>
  <c r="AF34" i="7"/>
  <c r="BH35" i="7"/>
  <c r="AE37" i="7"/>
  <c r="AE41" i="7"/>
  <c r="AI41" i="7" s="1"/>
  <c r="BI45" i="7"/>
  <c r="BI41" i="6"/>
  <c r="BI38" i="7"/>
  <c r="AF39" i="7"/>
  <c r="BI39" i="7"/>
  <c r="BI40" i="7"/>
  <c r="AF42" i="7"/>
  <c r="AE45" i="7"/>
  <c r="AF49" i="7"/>
  <c r="AF50" i="7"/>
  <c r="BI50" i="7"/>
  <c r="AF53" i="7"/>
  <c r="AF54" i="7"/>
  <c r="BI54" i="7"/>
  <c r="AF57" i="7"/>
  <c r="AF58" i="7"/>
  <c r="AJ58" i="7" s="1"/>
  <c r="BI58" i="7"/>
  <c r="AF61" i="7"/>
  <c r="AF62" i="7"/>
  <c r="BI62" i="7"/>
  <c r="BM62" i="7" s="1"/>
  <c r="X12" i="8"/>
  <c r="AB12" i="8"/>
  <c r="BI16" i="8"/>
  <c r="AE17" i="8"/>
  <c r="AE19" i="8"/>
  <c r="AI19" i="8" s="1"/>
  <c r="BI21" i="8"/>
  <c r="BM21" i="8" s="1"/>
  <c r="AE22" i="8"/>
  <c r="AE23" i="8"/>
  <c r="BI25" i="8"/>
  <c r="AE26" i="8"/>
  <c r="AI26" i="8" s="1"/>
  <c r="AE27" i="8"/>
  <c r="BI29" i="8"/>
  <c r="AE30" i="8"/>
  <c r="AI30" i="8" s="1"/>
  <c r="BI35" i="8"/>
  <c r="AE36" i="8"/>
  <c r="AI36" i="8" s="1"/>
  <c r="AE40" i="8"/>
  <c r="AI40" i="8" s="1"/>
  <c r="AE41" i="8"/>
  <c r="BH44" i="8"/>
  <c r="BI48" i="8"/>
  <c r="AE51" i="8"/>
  <c r="AW52" i="8"/>
  <c r="BI52" i="8"/>
  <c r="BN53" i="8"/>
  <c r="AW54" i="8"/>
  <c r="AE55" i="8"/>
  <c r="AW56" i="8"/>
  <c r="BI56" i="8"/>
  <c r="BN57" i="8"/>
  <c r="AW58" i="8"/>
  <c r="AE59" i="8"/>
  <c r="AI59" i="8" s="1"/>
  <c r="AW60" i="8"/>
  <c r="AF61" i="8"/>
  <c r="AE62" i="8"/>
  <c r="BH62" i="8"/>
  <c r="AF63" i="8"/>
  <c r="AF19" i="8"/>
  <c r="AE21" i="8"/>
  <c r="AI21" i="8" s="1"/>
  <c r="BI22" i="8"/>
  <c r="AE25" i="8"/>
  <c r="BI26" i="8"/>
  <c r="BI40" i="8"/>
  <c r="BM40" i="8" s="1"/>
  <c r="AF51" i="8"/>
  <c r="BH51" i="8"/>
  <c r="AF52" i="8"/>
  <c r="AE54" i="8"/>
  <c r="BH54" i="8"/>
  <c r="AF55" i="8"/>
  <c r="BH55" i="8"/>
  <c r="AF56" i="8"/>
  <c r="BH56" i="8"/>
  <c r="AE58" i="8"/>
  <c r="BH58" i="8"/>
  <c r="AF59" i="8"/>
  <c r="AF60" i="8"/>
  <c r="BH60" i="8"/>
  <c r="BI62" i="8"/>
  <c r="AF44" i="7"/>
  <c r="AJ44" i="7" s="1"/>
  <c r="BH44" i="7"/>
  <c r="BH45" i="7"/>
  <c r="BL45" i="7" s="1"/>
  <c r="AF48" i="7"/>
  <c r="AJ48" i="7" s="1"/>
  <c r="BH48" i="7"/>
  <c r="BL48" i="7" s="1"/>
  <c r="AE52" i="7"/>
  <c r="BI52" i="7"/>
  <c r="P53" i="7"/>
  <c r="S53" i="7" s="1"/>
  <c r="BH53" i="7"/>
  <c r="BN54" i="7"/>
  <c r="AE56" i="7"/>
  <c r="BI56" i="7"/>
  <c r="P57" i="7"/>
  <c r="BI57" i="7"/>
  <c r="BN58" i="7"/>
  <c r="AE60" i="7"/>
  <c r="BI60" i="7"/>
  <c r="P61" i="7"/>
  <c r="S61" i="7" s="1"/>
  <c r="BI61" i="7"/>
  <c r="BN62" i="7"/>
  <c r="BH14" i="8"/>
  <c r="BH20" i="8"/>
  <c r="AF21" i="8"/>
  <c r="AJ21" i="8" s="1"/>
  <c r="BH21" i="8"/>
  <c r="BH22" i="8"/>
  <c r="AF24" i="8"/>
  <c r="AJ24" i="8" s="1"/>
  <c r="BH24" i="8"/>
  <c r="AF25" i="8"/>
  <c r="AJ25" i="8" s="1"/>
  <c r="BH25" i="8"/>
  <c r="BH26" i="8"/>
  <c r="AF28" i="8"/>
  <c r="AJ28" i="8" s="1"/>
  <c r="BH28" i="8"/>
  <c r="AF29" i="8"/>
  <c r="AJ29" i="8" s="1"/>
  <c r="BH29" i="8"/>
  <c r="BH30" i="8"/>
  <c r="AF33" i="8"/>
  <c r="AJ33" i="8" s="1"/>
  <c r="AF35" i="8"/>
  <c r="AJ35" i="8" s="1"/>
  <c r="BH35" i="8"/>
  <c r="BH36" i="8"/>
  <c r="BH39" i="8"/>
  <c r="BH43" i="8"/>
  <c r="AF44" i="8"/>
  <c r="AE46" i="8"/>
  <c r="BI50" i="8"/>
  <c r="P53" i="8"/>
  <c r="BH53" i="8"/>
  <c r="BI54" i="8"/>
  <c r="P57" i="8"/>
  <c r="BH57" i="8"/>
  <c r="BI58" i="8"/>
  <c r="BI60" i="8"/>
  <c r="P61" i="8"/>
  <c r="BH61" i="8"/>
  <c r="P63" i="8"/>
  <c r="S63" i="8" s="1"/>
  <c r="BI63" i="8"/>
  <c r="P51" i="7"/>
  <c r="BH51" i="7"/>
  <c r="P55" i="7"/>
  <c r="S55" i="7" s="1"/>
  <c r="BH55" i="7"/>
  <c r="BL55" i="7" s="1"/>
  <c r="P59" i="7"/>
  <c r="BH59" i="7"/>
  <c r="P63" i="7"/>
  <c r="S63" i="7" s="1"/>
  <c r="BH63" i="7"/>
  <c r="BL63" i="7" s="1"/>
  <c r="AZ11" i="8"/>
  <c r="BD11" i="8"/>
  <c r="AF16" i="8"/>
  <c r="AJ16" i="8" s="1"/>
  <c r="AF17" i="8"/>
  <c r="AF18" i="8"/>
  <c r="AF27" i="8"/>
  <c r="AJ27" i="8" s="1"/>
  <c r="BI31" i="8"/>
  <c r="BM31" i="8" s="1"/>
  <c r="BI32" i="8"/>
  <c r="BI34" i="8"/>
  <c r="BM34" i="8" s="1"/>
  <c r="BI38" i="8"/>
  <c r="BM38" i="8" s="1"/>
  <c r="AF45" i="8"/>
  <c r="AJ45" i="8" s="1"/>
  <c r="BI46" i="8"/>
  <c r="AE48" i="8"/>
  <c r="AI48" i="8" s="1"/>
  <c r="BM15" i="40"/>
  <c r="BM20" i="40"/>
  <c r="BM23" i="40"/>
  <c r="BM31" i="40"/>
  <c r="AJ36" i="40"/>
  <c r="BM39" i="40"/>
  <c r="AJ44" i="40"/>
  <c r="BM47" i="40"/>
  <c r="BM31" i="47"/>
  <c r="T54" i="47"/>
  <c r="T55" i="47"/>
  <c r="AK55" i="47"/>
  <c r="AI16" i="40"/>
  <c r="BL19" i="40"/>
  <c r="BL27" i="40"/>
  <c r="AI32" i="40"/>
  <c r="BL35" i="40"/>
  <c r="AI43" i="40"/>
  <c r="BL43" i="40"/>
  <c r="AJ61" i="40"/>
  <c r="AJ36" i="47"/>
  <c r="AJ40" i="47"/>
  <c r="BM16" i="40"/>
  <c r="BM19" i="40"/>
  <c r="BM24" i="40"/>
  <c r="BM27" i="40"/>
  <c r="BM35" i="40"/>
  <c r="AJ41" i="40"/>
  <c r="BM43" i="40"/>
  <c r="AJ48" i="40"/>
  <c r="AJ49" i="40"/>
  <c r="BM52" i="40"/>
  <c r="AK63" i="40"/>
  <c r="T63" i="40"/>
  <c r="AJ20" i="47"/>
  <c r="AJ24" i="47"/>
  <c r="BM43" i="47"/>
  <c r="AI15" i="40"/>
  <c r="BL15" i="40"/>
  <c r="AI23" i="40"/>
  <c r="BL23" i="40"/>
  <c r="AI28" i="40"/>
  <c r="BL31" i="40"/>
  <c r="AI36" i="40"/>
  <c r="BL39" i="40"/>
  <c r="AI44" i="40"/>
  <c r="AI47" i="40"/>
  <c r="BL47" i="40"/>
  <c r="BM27" i="47"/>
  <c r="AJ52" i="47"/>
  <c r="AJ56" i="47"/>
  <c r="AF14" i="40"/>
  <c r="U12" i="40"/>
  <c r="AE14" i="40"/>
  <c r="Y12" i="40"/>
  <c r="AC12" i="40"/>
  <c r="AZ11" i="40"/>
  <c r="BD11" i="40"/>
  <c r="BH14" i="40"/>
  <c r="BH16" i="40"/>
  <c r="AF18" i="40"/>
  <c r="AE18" i="40"/>
  <c r="BH18" i="40"/>
  <c r="BH20" i="40"/>
  <c r="AF22" i="40"/>
  <c r="AE22" i="40"/>
  <c r="BH22" i="40"/>
  <c r="BH24" i="40"/>
  <c r="AF26" i="40"/>
  <c r="AE26" i="40"/>
  <c r="BH26" i="40"/>
  <c r="BH28" i="40"/>
  <c r="AF30" i="40"/>
  <c r="AE30" i="40"/>
  <c r="BH30" i="40"/>
  <c r="BH32" i="40"/>
  <c r="AF34" i="40"/>
  <c r="AE34" i="40"/>
  <c r="BH34" i="40"/>
  <c r="BH36" i="40"/>
  <c r="AF38" i="40"/>
  <c r="AE38" i="40"/>
  <c r="BH38" i="40"/>
  <c r="BH40" i="40"/>
  <c r="AF42" i="40"/>
  <c r="AE42" i="40"/>
  <c r="BH42" i="40"/>
  <c r="BH44" i="40"/>
  <c r="AF46" i="40"/>
  <c r="AE46" i="40"/>
  <c r="BH46" i="40"/>
  <c r="BH48" i="40"/>
  <c r="BI49" i="40"/>
  <c r="BH49" i="40"/>
  <c r="AF50" i="40"/>
  <c r="AE50" i="40"/>
  <c r="AW51" i="40"/>
  <c r="BN51" i="40"/>
  <c r="AJ52" i="40"/>
  <c r="AE52" i="40"/>
  <c r="BH52" i="40"/>
  <c r="AJ57" i="40"/>
  <c r="BH58" i="40"/>
  <c r="BI58" i="40"/>
  <c r="AE59" i="40"/>
  <c r="AF59" i="40"/>
  <c r="AE61" i="40"/>
  <c r="BH63" i="40"/>
  <c r="AB12" i="47"/>
  <c r="BH17" i="47"/>
  <c r="BI17" i="47"/>
  <c r="AE18" i="47"/>
  <c r="AF18" i="47"/>
  <c r="AE20" i="47"/>
  <c r="BM22" i="47"/>
  <c r="BH22" i="47"/>
  <c r="BM23" i="47"/>
  <c r="BI24" i="47"/>
  <c r="BH24" i="47"/>
  <c r="AF25" i="47"/>
  <c r="AE25" i="47"/>
  <c r="AJ27" i="47"/>
  <c r="AE27" i="47"/>
  <c r="BH27" i="47"/>
  <c r="AJ32" i="47"/>
  <c r="BH33" i="47"/>
  <c r="BI33" i="47"/>
  <c r="AE34" i="47"/>
  <c r="AF34" i="47"/>
  <c r="AE36" i="47"/>
  <c r="BM38" i="47"/>
  <c r="BH38" i="47"/>
  <c r="BM39" i="47"/>
  <c r="BI40" i="47"/>
  <c r="BH40" i="47"/>
  <c r="AF41" i="47"/>
  <c r="AE41" i="47"/>
  <c r="AE43" i="47"/>
  <c r="BH43" i="47"/>
  <c r="BH49" i="47"/>
  <c r="BI49" i="47"/>
  <c r="AE50" i="47"/>
  <c r="AF50" i="47"/>
  <c r="AE52" i="47"/>
  <c r="BM54" i="47"/>
  <c r="BH54" i="47"/>
  <c r="BM55" i="47"/>
  <c r="BI56" i="47"/>
  <c r="BH56" i="47"/>
  <c r="P57" i="47"/>
  <c r="S57" i="47" s="1"/>
  <c r="AF57" i="47"/>
  <c r="AE57" i="47"/>
  <c r="BM59" i="47"/>
  <c r="AI60" i="47"/>
  <c r="AK16" i="41"/>
  <c r="T16" i="41"/>
  <c r="BL16" i="41"/>
  <c r="T20" i="41"/>
  <c r="AK24" i="41"/>
  <c r="T24" i="41"/>
  <c r="BL24" i="41"/>
  <c r="AK28" i="41"/>
  <c r="BL32" i="41"/>
  <c r="BM33" i="41"/>
  <c r="AI35" i="41"/>
  <c r="AJ36" i="41"/>
  <c r="BM37" i="41"/>
  <c r="BM39" i="41"/>
  <c r="AI41" i="41"/>
  <c r="AJ42" i="41"/>
  <c r="BM45" i="41"/>
  <c r="BM53" i="41"/>
  <c r="BL47" i="37"/>
  <c r="AI56" i="37"/>
  <c r="AY11" i="40"/>
  <c r="BA11" i="40"/>
  <c r="BE11" i="40"/>
  <c r="AJ53" i="40"/>
  <c r="BH54" i="40"/>
  <c r="BI54" i="40"/>
  <c r="AE55" i="40"/>
  <c r="AF55" i="40"/>
  <c r="P56" i="40"/>
  <c r="S56" i="40" s="1"/>
  <c r="AE57" i="40"/>
  <c r="BM59" i="40"/>
  <c r="BH59" i="40"/>
  <c r="BM60" i="40"/>
  <c r="BI61" i="40"/>
  <c r="BH61" i="40"/>
  <c r="P62" i="40"/>
  <c r="S62" i="40" s="1"/>
  <c r="AF62" i="40"/>
  <c r="AE62" i="40"/>
  <c r="AW63" i="40"/>
  <c r="BN63" i="40"/>
  <c r="W12" i="47"/>
  <c r="AE14" i="47"/>
  <c r="V12" i="47"/>
  <c r="AF14" i="47"/>
  <c r="AD12" i="47"/>
  <c r="AE16" i="47"/>
  <c r="BM18" i="47"/>
  <c r="BH18" i="47"/>
  <c r="BM19" i="47"/>
  <c r="BI20" i="47"/>
  <c r="BH20" i="47"/>
  <c r="AF21" i="47"/>
  <c r="AE21" i="47"/>
  <c r="AJ23" i="47"/>
  <c r="AE23" i="47"/>
  <c r="BH23" i="47"/>
  <c r="AJ28" i="47"/>
  <c r="BH29" i="47"/>
  <c r="BI29" i="47"/>
  <c r="AE30" i="47"/>
  <c r="AF30" i="47"/>
  <c r="AE32" i="47"/>
  <c r="BH34" i="47"/>
  <c r="BM35" i="47"/>
  <c r="BI36" i="47"/>
  <c r="BH36" i="47"/>
  <c r="AF37" i="47"/>
  <c r="AE37" i="47"/>
  <c r="AJ39" i="47"/>
  <c r="AE39" i="47"/>
  <c r="BH39" i="47"/>
  <c r="BH45" i="47"/>
  <c r="BI45" i="47"/>
  <c r="AE46" i="47"/>
  <c r="AF46" i="47"/>
  <c r="AE48" i="47"/>
  <c r="BM50" i="47"/>
  <c r="BH50" i="47"/>
  <c r="BM51" i="47"/>
  <c r="BI52" i="47"/>
  <c r="BH52" i="47"/>
  <c r="P53" i="47"/>
  <c r="S53" i="47" s="1"/>
  <c r="AF53" i="47"/>
  <c r="AE53" i="47"/>
  <c r="AW54" i="47"/>
  <c r="BN54" i="47"/>
  <c r="AE55" i="47"/>
  <c r="BH55" i="47"/>
  <c r="AI58" i="47"/>
  <c r="BM58" i="47"/>
  <c r="T59" i="47"/>
  <c r="AK59" i="47"/>
  <c r="BL59" i="47"/>
  <c r="AI62" i="47"/>
  <c r="BM62" i="47"/>
  <c r="T63" i="47"/>
  <c r="AJ14" i="41"/>
  <c r="AJ15" i="41"/>
  <c r="BM15" i="41"/>
  <c r="AK17" i="41"/>
  <c r="T17" i="41"/>
  <c r="AJ18" i="41"/>
  <c r="AK21" i="41"/>
  <c r="T21" i="41"/>
  <c r="AJ22" i="41"/>
  <c r="BM23" i="41"/>
  <c r="AK25" i="41"/>
  <c r="T25" i="41"/>
  <c r="AJ26" i="41"/>
  <c r="AJ27" i="41"/>
  <c r="BM27" i="41"/>
  <c r="T29" i="41"/>
  <c r="AI30" i="41"/>
  <c r="BM31" i="41"/>
  <c r="AI34" i="41"/>
  <c r="BM35" i="41"/>
  <c r="BL44" i="41"/>
  <c r="AI49" i="41"/>
  <c r="BL52" i="41"/>
  <c r="AI57" i="41"/>
  <c r="BL60" i="41"/>
  <c r="AI20" i="37"/>
  <c r="AI24" i="37"/>
  <c r="AI28" i="37"/>
  <c r="AI32" i="37"/>
  <c r="AI36" i="37"/>
  <c r="AI52" i="37"/>
  <c r="BL59" i="37"/>
  <c r="AF15" i="40"/>
  <c r="BI17" i="40"/>
  <c r="BH17" i="40"/>
  <c r="AF19" i="40"/>
  <c r="BI21" i="40"/>
  <c r="BH21" i="40"/>
  <c r="AF23" i="40"/>
  <c r="BI25" i="40"/>
  <c r="BH25" i="40"/>
  <c r="AF27" i="40"/>
  <c r="BI28" i="40"/>
  <c r="BI29" i="40"/>
  <c r="BH29" i="40"/>
  <c r="AF31" i="40"/>
  <c r="BI32" i="40"/>
  <c r="BI33" i="40"/>
  <c r="BH33" i="40"/>
  <c r="AF35" i="40"/>
  <c r="BI36" i="40"/>
  <c r="BI37" i="40"/>
  <c r="BH37" i="40"/>
  <c r="AF39" i="40"/>
  <c r="BI40" i="40"/>
  <c r="BI41" i="40"/>
  <c r="BH41" i="40"/>
  <c r="AF43" i="40"/>
  <c r="BI44" i="40"/>
  <c r="BI45" i="40"/>
  <c r="BH45" i="40"/>
  <c r="AF47" i="40"/>
  <c r="BI48" i="40"/>
  <c r="BH50" i="40"/>
  <c r="BI50" i="40"/>
  <c r="AE51" i="40"/>
  <c r="AF51" i="40"/>
  <c r="P52" i="40"/>
  <c r="S52" i="40" s="1"/>
  <c r="AE53" i="40"/>
  <c r="BH55" i="40"/>
  <c r="BM56" i="40"/>
  <c r="BI57" i="40"/>
  <c r="BH57" i="40"/>
  <c r="P58" i="40"/>
  <c r="S58" i="40" s="1"/>
  <c r="AF58" i="40"/>
  <c r="AE58" i="40"/>
  <c r="P59" i="40"/>
  <c r="S59" i="40" s="1"/>
  <c r="AW59" i="40"/>
  <c r="BN59" i="40"/>
  <c r="AJ60" i="40"/>
  <c r="AE60" i="40"/>
  <c r="BH60" i="40"/>
  <c r="AY11" i="47"/>
  <c r="BI14" i="47"/>
  <c r="AZ11" i="47"/>
  <c r="BH14" i="47"/>
  <c r="BM15" i="47"/>
  <c r="BI16" i="47"/>
  <c r="BH16" i="47"/>
  <c r="AF17" i="47"/>
  <c r="AE17" i="47"/>
  <c r="AE19" i="47"/>
  <c r="BH19" i="47"/>
  <c r="BH25" i="47"/>
  <c r="BI25" i="47"/>
  <c r="AE26" i="47"/>
  <c r="AF26" i="47"/>
  <c r="BH30" i="47"/>
  <c r="BI32" i="47"/>
  <c r="BH32" i="47"/>
  <c r="AF33" i="47"/>
  <c r="AE33" i="47"/>
  <c r="AJ35" i="47"/>
  <c r="AE35" i="47"/>
  <c r="BH35" i="47"/>
  <c r="BH41" i="47"/>
  <c r="BI41" i="47"/>
  <c r="AE42" i="47"/>
  <c r="AF42" i="47"/>
  <c r="AE44" i="47"/>
  <c r="BM46" i="47"/>
  <c r="BH46" i="47"/>
  <c r="BM47" i="47"/>
  <c r="BI48" i="47"/>
  <c r="BH48" i="47"/>
  <c r="AF49" i="47"/>
  <c r="AE49" i="47"/>
  <c r="AJ51" i="47"/>
  <c r="AE51" i="47"/>
  <c r="BH51" i="47"/>
  <c r="BH57" i="47"/>
  <c r="BI57" i="47"/>
  <c r="AK61" i="47"/>
  <c r="T61" i="47"/>
  <c r="BL61" i="47"/>
  <c r="AI15" i="41"/>
  <c r="BM18" i="41"/>
  <c r="BM22" i="41"/>
  <c r="AI23" i="41"/>
  <c r="BM26" i="41"/>
  <c r="AJ30" i="41"/>
  <c r="AK31" i="41"/>
  <c r="T31" i="41"/>
  <c r="BL33" i="41"/>
  <c r="BM34" i="41"/>
  <c r="BM49" i="41"/>
  <c r="BM57" i="41"/>
  <c r="AJ17" i="37"/>
  <c r="AF16" i="40"/>
  <c r="AE17" i="40"/>
  <c r="AE21" i="40"/>
  <c r="AE25" i="40"/>
  <c r="AE29" i="40"/>
  <c r="AE33" i="40"/>
  <c r="AE37" i="40"/>
  <c r="AE41" i="40"/>
  <c r="AE45" i="40"/>
  <c r="AE49" i="40"/>
  <c r="BH51" i="40"/>
  <c r="BI53" i="40"/>
  <c r="BH53" i="40"/>
  <c r="P54" i="40"/>
  <c r="S54" i="40" s="1"/>
  <c r="AF54" i="40"/>
  <c r="AE54" i="40"/>
  <c r="AW55" i="40"/>
  <c r="BN55" i="40"/>
  <c r="AJ56" i="40"/>
  <c r="AE56" i="40"/>
  <c r="BL56" i="40"/>
  <c r="T60" i="40"/>
  <c r="AK60" i="40"/>
  <c r="BH62" i="40"/>
  <c r="BI62" i="40"/>
  <c r="AE63" i="40"/>
  <c r="AF63" i="40"/>
  <c r="AJ15" i="47"/>
  <c r="AE15" i="47"/>
  <c r="BL15" i="47"/>
  <c r="BH21" i="47"/>
  <c r="BI21" i="47"/>
  <c r="AE22" i="47"/>
  <c r="AF22" i="47"/>
  <c r="BM26" i="47"/>
  <c r="BH26" i="47"/>
  <c r="BI28" i="47"/>
  <c r="BH28" i="47"/>
  <c r="AF29" i="47"/>
  <c r="AE29" i="47"/>
  <c r="AE31" i="47"/>
  <c r="BL31" i="47"/>
  <c r="BH37" i="47"/>
  <c r="BI37" i="47"/>
  <c r="AE38" i="47"/>
  <c r="AF38" i="47"/>
  <c r="BM42" i="47"/>
  <c r="BH42" i="47"/>
  <c r="BI44" i="47"/>
  <c r="BH44" i="47"/>
  <c r="AF45" i="47"/>
  <c r="AE45" i="47"/>
  <c r="AE47" i="47"/>
  <c r="BL47" i="47"/>
  <c r="BH53" i="47"/>
  <c r="BI53" i="47"/>
  <c r="AE54" i="47"/>
  <c r="AF54" i="47"/>
  <c r="AK58" i="47"/>
  <c r="T58" i="47"/>
  <c r="AJ60" i="47"/>
  <c r="BM60" i="47"/>
  <c r="AJ63" i="47"/>
  <c r="T14" i="41"/>
  <c r="AK14" i="41"/>
  <c r="BL14" i="41"/>
  <c r="AI17" i="41"/>
  <c r="BM17" i="41"/>
  <c r="T18" i="41"/>
  <c r="AK18" i="41"/>
  <c r="BL18" i="41"/>
  <c r="AI21" i="41"/>
  <c r="BM21" i="41"/>
  <c r="T22" i="41"/>
  <c r="AK22" i="41"/>
  <c r="BL22" i="41"/>
  <c r="BM25" i="41"/>
  <c r="T26" i="41"/>
  <c r="AK26" i="41"/>
  <c r="BM29" i="41"/>
  <c r="T30" i="41"/>
  <c r="AK30" i="41"/>
  <c r="AI37" i="41"/>
  <c r="AI39" i="41"/>
  <c r="AI45" i="41"/>
  <c r="BL48" i="41"/>
  <c r="AI53" i="41"/>
  <c r="BL19" i="37"/>
  <c r="BL27" i="37"/>
  <c r="BL35" i="37"/>
  <c r="AI44" i="37"/>
  <c r="BL51" i="37"/>
  <c r="AI60" i="37"/>
  <c r="P53" i="40"/>
  <c r="S53" i="40" s="1"/>
  <c r="AW54" i="40"/>
  <c r="P57" i="40"/>
  <c r="S57" i="40" s="1"/>
  <c r="AW58" i="40"/>
  <c r="P61" i="40"/>
  <c r="S61" i="40" s="1"/>
  <c r="AW62" i="40"/>
  <c r="U12" i="47"/>
  <c r="P52" i="47"/>
  <c r="S52" i="47" s="1"/>
  <c r="AW53" i="47"/>
  <c r="P56" i="47"/>
  <c r="S56" i="47" s="1"/>
  <c r="AW57" i="47"/>
  <c r="AF58" i="47"/>
  <c r="BN58" i="47"/>
  <c r="P60" i="47"/>
  <c r="S60" i="47" s="1"/>
  <c r="BH60" i="47"/>
  <c r="AE61" i="47"/>
  <c r="AW61" i="47"/>
  <c r="BI61" i="47"/>
  <c r="AF62" i="47"/>
  <c r="BN62" i="47"/>
  <c r="AX11" i="41"/>
  <c r="P15" i="41"/>
  <c r="S15" i="41" s="1"/>
  <c r="BH15" i="41"/>
  <c r="AE16" i="41"/>
  <c r="AW16" i="41"/>
  <c r="BI16" i="41"/>
  <c r="AF17" i="41"/>
  <c r="BN17" i="41"/>
  <c r="P19" i="41"/>
  <c r="S19" i="41" s="1"/>
  <c r="BH19" i="41"/>
  <c r="AE20" i="41"/>
  <c r="AW20" i="41"/>
  <c r="BI20" i="41"/>
  <c r="AF21" i="41"/>
  <c r="BN21" i="41"/>
  <c r="P23" i="41"/>
  <c r="S23" i="41" s="1"/>
  <c r="BH23" i="41"/>
  <c r="AE24" i="41"/>
  <c r="AW24" i="41"/>
  <c r="BI24" i="41"/>
  <c r="AF25" i="41"/>
  <c r="BN25" i="41"/>
  <c r="P27" i="41"/>
  <c r="S27" i="41" s="1"/>
  <c r="BH27" i="41"/>
  <c r="AE28" i="41"/>
  <c r="AW28" i="41"/>
  <c r="BI28" i="41"/>
  <c r="AF29" i="41"/>
  <c r="BN29" i="41"/>
  <c r="AE31" i="41"/>
  <c r="BH31" i="41"/>
  <c r="P33" i="41"/>
  <c r="S33" i="41" s="1"/>
  <c r="BH34" i="41"/>
  <c r="P37" i="41"/>
  <c r="S37" i="41" s="1"/>
  <c r="AF37" i="41"/>
  <c r="AE38" i="41"/>
  <c r="AF39" i="41"/>
  <c r="P39" i="41"/>
  <c r="S39" i="41" s="1"/>
  <c r="BH39" i="41"/>
  <c r="AE40" i="41"/>
  <c r="BH40" i="41"/>
  <c r="BI44" i="41"/>
  <c r="BH45" i="41"/>
  <c r="AI48" i="41"/>
  <c r="BI48" i="41"/>
  <c r="BH49" i="41"/>
  <c r="AI52" i="41"/>
  <c r="BI52" i="41"/>
  <c r="BH53" i="41"/>
  <c r="AI56" i="41"/>
  <c r="BI56" i="41"/>
  <c r="BH57" i="41"/>
  <c r="AI60" i="41"/>
  <c r="BI60" i="41"/>
  <c r="BH61" i="41"/>
  <c r="AF14" i="37"/>
  <c r="U12" i="37"/>
  <c r="AE14" i="37"/>
  <c r="P14" i="37"/>
  <c r="S14" i="37" s="1"/>
  <c r="P16" i="37"/>
  <c r="S16" i="37" s="1"/>
  <c r="AE17" i="37"/>
  <c r="BI17" i="37"/>
  <c r="BH17" i="37"/>
  <c r="AF18" i="37"/>
  <c r="AE18" i="37"/>
  <c r="P18" i="37"/>
  <c r="S18" i="37" s="1"/>
  <c r="P20" i="37"/>
  <c r="S20" i="37" s="1"/>
  <c r="AE21" i="37"/>
  <c r="BI21" i="37"/>
  <c r="BH21" i="37"/>
  <c r="AF22" i="37"/>
  <c r="AE22" i="37"/>
  <c r="P22" i="37"/>
  <c r="S22" i="37" s="1"/>
  <c r="P24" i="37"/>
  <c r="S24" i="37" s="1"/>
  <c r="AE25" i="37"/>
  <c r="BI25" i="37"/>
  <c r="BH25" i="37"/>
  <c r="AF26" i="37"/>
  <c r="AE26" i="37"/>
  <c r="P26" i="37"/>
  <c r="S26" i="37" s="1"/>
  <c r="P28" i="37"/>
  <c r="S28" i="37" s="1"/>
  <c r="AE29" i="37"/>
  <c r="BI29" i="37"/>
  <c r="BH29" i="37"/>
  <c r="AF30" i="37"/>
  <c r="AE30" i="37"/>
  <c r="P30" i="37"/>
  <c r="S30" i="37" s="1"/>
  <c r="P32" i="37"/>
  <c r="S32" i="37" s="1"/>
  <c r="AE33" i="37"/>
  <c r="BI33" i="37"/>
  <c r="BH33" i="37"/>
  <c r="AF34" i="37"/>
  <c r="AE34" i="37"/>
  <c r="P34" i="37"/>
  <c r="S34" i="37" s="1"/>
  <c r="P36" i="37"/>
  <c r="S36" i="37" s="1"/>
  <c r="AE37" i="37"/>
  <c r="BI37" i="37"/>
  <c r="BH37" i="37"/>
  <c r="AF38" i="37"/>
  <c r="AE38" i="37"/>
  <c r="P38" i="37"/>
  <c r="S38" i="37" s="1"/>
  <c r="P40" i="37"/>
  <c r="S40" i="37" s="1"/>
  <c r="AE41" i="37"/>
  <c r="BI41" i="37"/>
  <c r="BH41" i="37"/>
  <c r="AF42" i="37"/>
  <c r="AE42" i="37"/>
  <c r="P42" i="37"/>
  <c r="S42" i="37" s="1"/>
  <c r="P44" i="37"/>
  <c r="S44" i="37" s="1"/>
  <c r="AE45" i="37"/>
  <c r="BI45" i="37"/>
  <c r="BH45" i="37"/>
  <c r="AF46" i="37"/>
  <c r="AE46" i="37"/>
  <c r="P46" i="37"/>
  <c r="S46" i="37" s="1"/>
  <c r="P48" i="37"/>
  <c r="S48" i="37" s="1"/>
  <c r="AE49" i="37"/>
  <c r="BI49" i="37"/>
  <c r="BH49" i="37"/>
  <c r="AF50" i="37"/>
  <c r="AE50" i="37"/>
  <c r="P50" i="37"/>
  <c r="S50" i="37" s="1"/>
  <c r="P52" i="37"/>
  <c r="S52" i="37" s="1"/>
  <c r="AE53" i="37"/>
  <c r="BI53" i="37"/>
  <c r="BH53" i="37"/>
  <c r="AF54" i="37"/>
  <c r="AE54" i="37"/>
  <c r="P54" i="37"/>
  <c r="S54" i="37" s="1"/>
  <c r="P56" i="37"/>
  <c r="S56" i="37" s="1"/>
  <c r="AE57" i="37"/>
  <c r="BI57" i="37"/>
  <c r="BH57" i="37"/>
  <c r="AF58" i="37"/>
  <c r="AE58" i="37"/>
  <c r="P58" i="37"/>
  <c r="S58" i="37" s="1"/>
  <c r="P60" i="37"/>
  <c r="S60" i="37" s="1"/>
  <c r="AE61" i="37"/>
  <c r="BI61" i="37"/>
  <c r="BH61" i="37"/>
  <c r="AF62" i="37"/>
  <c r="AE62" i="37"/>
  <c r="P62" i="37"/>
  <c r="S62" i="37" s="1"/>
  <c r="AJ63" i="37"/>
  <c r="AI15" i="38"/>
  <c r="BL19" i="38"/>
  <c r="BM20" i="38"/>
  <c r="BM21" i="38"/>
  <c r="BL22" i="38"/>
  <c r="BL25" i="38"/>
  <c r="AI26" i="38"/>
  <c r="BM27" i="38"/>
  <c r="BM30" i="38"/>
  <c r="BM36" i="38"/>
  <c r="BM37" i="38"/>
  <c r="BL38" i="38"/>
  <c r="BL41" i="38"/>
  <c r="AI42" i="38"/>
  <c r="BM43" i="38"/>
  <c r="BM46" i="38"/>
  <c r="BL51" i="38"/>
  <c r="AK52" i="38"/>
  <c r="T52" i="38"/>
  <c r="BM52" i="38"/>
  <c r="BM53" i="38"/>
  <c r="AJ55" i="38"/>
  <c r="AJ56" i="38"/>
  <c r="AI58" i="38"/>
  <c r="BL58" i="38"/>
  <c r="AJ60" i="38"/>
  <c r="BM61" i="38"/>
  <c r="AI20" i="39"/>
  <c r="BM20" i="39"/>
  <c r="BL31" i="39"/>
  <c r="BM32" i="39"/>
  <c r="BM40" i="39"/>
  <c r="AF61" i="47"/>
  <c r="W12" i="41"/>
  <c r="AF16" i="41"/>
  <c r="AF20" i="41"/>
  <c r="AF24" i="41"/>
  <c r="AF28" i="41"/>
  <c r="BH30" i="41"/>
  <c r="AF31" i="41"/>
  <c r="AE32" i="41"/>
  <c r="BI32" i="41"/>
  <c r="AW34" i="41"/>
  <c r="P36" i="41"/>
  <c r="S36" i="41" s="1"/>
  <c r="BI36" i="41"/>
  <c r="BH37" i="41"/>
  <c r="P38" i="41"/>
  <c r="S38" i="41" s="1"/>
  <c r="AF38" i="41"/>
  <c r="BI38" i="41"/>
  <c r="P41" i="41"/>
  <c r="S41" i="41" s="1"/>
  <c r="AF41" i="41"/>
  <c r="AE42" i="41"/>
  <c r="BI42" i="41"/>
  <c r="BH42" i="41"/>
  <c r="AF43" i="41"/>
  <c r="AE43" i="41"/>
  <c r="P43" i="41"/>
  <c r="S43" i="41" s="1"/>
  <c r="P45" i="41"/>
  <c r="S45" i="41" s="1"/>
  <c r="AE46" i="41"/>
  <c r="BI46" i="41"/>
  <c r="BH46" i="41"/>
  <c r="AF47" i="41"/>
  <c r="AE47" i="41"/>
  <c r="P47" i="41"/>
  <c r="S47" i="41" s="1"/>
  <c r="P49" i="41"/>
  <c r="S49" i="41" s="1"/>
  <c r="AE50" i="41"/>
  <c r="BI50" i="41"/>
  <c r="BH50" i="41"/>
  <c r="AF51" i="41"/>
  <c r="AE51" i="41"/>
  <c r="P51" i="41"/>
  <c r="S51" i="41" s="1"/>
  <c r="P53" i="41"/>
  <c r="S53" i="41" s="1"/>
  <c r="AE54" i="41"/>
  <c r="BI54" i="41"/>
  <c r="BH54" i="41"/>
  <c r="AF55" i="41"/>
  <c r="AE55" i="41"/>
  <c r="P55" i="41"/>
  <c r="S55" i="41" s="1"/>
  <c r="P57" i="41"/>
  <c r="S57" i="41" s="1"/>
  <c r="AE58" i="41"/>
  <c r="BI58" i="41"/>
  <c r="BH58" i="41"/>
  <c r="AF59" i="41"/>
  <c r="AE59" i="41"/>
  <c r="P59" i="41"/>
  <c r="S59" i="41" s="1"/>
  <c r="P61" i="41"/>
  <c r="S61" i="41" s="1"/>
  <c r="AE62" i="41"/>
  <c r="BI62" i="41"/>
  <c r="BH62" i="41"/>
  <c r="AF63" i="41"/>
  <c r="AE63" i="41"/>
  <c r="P63" i="41"/>
  <c r="S63" i="41" s="1"/>
  <c r="BH15" i="37"/>
  <c r="BM16" i="37"/>
  <c r="BM20" i="37"/>
  <c r="AF21" i="37"/>
  <c r="BM24" i="37"/>
  <c r="AF25" i="37"/>
  <c r="BM28" i="37"/>
  <c r="AF29" i="37"/>
  <c r="BM32" i="37"/>
  <c r="AF33" i="37"/>
  <c r="BM36" i="37"/>
  <c r="AF37" i="37"/>
  <c r="BM40" i="37"/>
  <c r="AF41" i="37"/>
  <c r="BM44" i="37"/>
  <c r="AF45" i="37"/>
  <c r="BM48" i="37"/>
  <c r="AF49" i="37"/>
  <c r="BM52" i="37"/>
  <c r="AF53" i="37"/>
  <c r="BM56" i="37"/>
  <c r="AF57" i="37"/>
  <c r="AF61" i="37"/>
  <c r="AI14" i="38"/>
  <c r="AI16" i="38"/>
  <c r="BM18" i="38"/>
  <c r="AI19" i="38"/>
  <c r="BL23" i="38"/>
  <c r="BM24" i="38"/>
  <c r="BM25" i="38"/>
  <c r="BL26" i="38"/>
  <c r="BL29" i="38"/>
  <c r="AI30" i="38"/>
  <c r="BM31" i="38"/>
  <c r="AI32" i="38"/>
  <c r="BL39" i="38"/>
  <c r="BM40" i="38"/>
  <c r="BM41" i="38"/>
  <c r="AJ42" i="38"/>
  <c r="BL42" i="38"/>
  <c r="AJ45" i="38"/>
  <c r="BL45" i="38"/>
  <c r="AI46" i="38"/>
  <c r="BM47" i="38"/>
  <c r="AI48" i="38"/>
  <c r="BM50" i="38"/>
  <c r="AI51" i="38"/>
  <c r="AJ62" i="38"/>
  <c r="AJ63" i="38"/>
  <c r="BL27" i="39"/>
  <c r="BL39" i="39"/>
  <c r="BH58" i="47"/>
  <c r="AE59" i="47"/>
  <c r="BH62" i="47"/>
  <c r="AE63" i="47"/>
  <c r="AE14" i="41"/>
  <c r="BI14" i="41"/>
  <c r="BH17" i="41"/>
  <c r="AE18" i="41"/>
  <c r="BH21" i="41"/>
  <c r="AE22" i="41"/>
  <c r="BH25" i="41"/>
  <c r="AE26" i="41"/>
  <c r="BH29" i="41"/>
  <c r="AF33" i="41"/>
  <c r="P34" i="41"/>
  <c r="S34" i="41" s="1"/>
  <c r="P40" i="41"/>
  <c r="S40" i="41" s="1"/>
  <c r="BM40" i="41"/>
  <c r="BL41" i="41"/>
  <c r="P42" i="41"/>
  <c r="S42" i="41" s="1"/>
  <c r="AF46" i="41"/>
  <c r="AF50" i="41"/>
  <c r="AF54" i="41"/>
  <c r="AF58" i="41"/>
  <c r="AK15" i="37"/>
  <c r="T15" i="37"/>
  <c r="BN15" i="37"/>
  <c r="AW15" i="37"/>
  <c r="P17" i="37"/>
  <c r="S17" i="37" s="1"/>
  <c r="X12" i="37"/>
  <c r="BL18" i="37"/>
  <c r="AK19" i="37"/>
  <c r="T19" i="37"/>
  <c r="BN19" i="37"/>
  <c r="AW19" i="37"/>
  <c r="BL22" i="37"/>
  <c r="AK23" i="37"/>
  <c r="T23" i="37"/>
  <c r="BN23" i="37"/>
  <c r="AW23" i="37"/>
  <c r="BL26" i="37"/>
  <c r="AK27" i="37"/>
  <c r="T27" i="37"/>
  <c r="BN27" i="37"/>
  <c r="AW27" i="37"/>
  <c r="BL30" i="37"/>
  <c r="AK31" i="37"/>
  <c r="T31" i="37"/>
  <c r="BN31" i="37"/>
  <c r="AW31" i="37"/>
  <c r="BL34" i="37"/>
  <c r="AK35" i="37"/>
  <c r="T35" i="37"/>
  <c r="BN35" i="37"/>
  <c r="AW35" i="37"/>
  <c r="BL38" i="37"/>
  <c r="AK39" i="37"/>
  <c r="T39" i="37"/>
  <c r="BN39" i="37"/>
  <c r="AW39" i="37"/>
  <c r="BL42" i="37"/>
  <c r="AK43" i="37"/>
  <c r="T43" i="37"/>
  <c r="BN43" i="37"/>
  <c r="AW43" i="37"/>
  <c r="BL46" i="37"/>
  <c r="AK47" i="37"/>
  <c r="T47" i="37"/>
  <c r="BN47" i="37"/>
  <c r="AW47" i="37"/>
  <c r="BL50" i="37"/>
  <c r="AK51" i="37"/>
  <c r="T51" i="37"/>
  <c r="BN51" i="37"/>
  <c r="AW51" i="37"/>
  <c r="BL54" i="37"/>
  <c r="AK55" i="37"/>
  <c r="BN55" i="37"/>
  <c r="AW55" i="37"/>
  <c r="BL58" i="37"/>
  <c r="AK59" i="37"/>
  <c r="T59" i="37"/>
  <c r="BN59" i="37"/>
  <c r="AW59" i="37"/>
  <c r="BL62" i="37"/>
  <c r="AK63" i="37"/>
  <c r="T63" i="37"/>
  <c r="BM63" i="37"/>
  <c r="AJ17" i="38"/>
  <c r="BL17" i="38"/>
  <c r="AI18" i="38"/>
  <c r="BM19" i="38"/>
  <c r="BM22" i="38"/>
  <c r="BM28" i="38"/>
  <c r="BM29" i="38"/>
  <c r="AJ30" i="38"/>
  <c r="BL30" i="38"/>
  <c r="AJ33" i="38"/>
  <c r="AI34" i="38"/>
  <c r="BM35" i="38"/>
  <c r="AI36" i="38"/>
  <c r="BM38" i="38"/>
  <c r="BM44" i="38"/>
  <c r="BM45" i="38"/>
  <c r="BL46" i="38"/>
  <c r="AI50" i="38"/>
  <c r="BM51" i="38"/>
  <c r="AK54" i="38"/>
  <c r="T54" i="38"/>
  <c r="BM54" i="38"/>
  <c r="AI55" i="38"/>
  <c r="BM57" i="38"/>
  <c r="AK58" i="38"/>
  <c r="T58" i="38"/>
  <c r="BM58" i="38"/>
  <c r="BL61" i="38"/>
  <c r="BM24" i="39"/>
  <c r="U12" i="41"/>
  <c r="S32" i="41"/>
  <c r="AF35" i="41"/>
  <c r="P35" i="41"/>
  <c r="S35" i="41" s="1"/>
  <c r="BL35" i="41"/>
  <c r="S44" i="41"/>
  <c r="BN44" i="41"/>
  <c r="AW44" i="41"/>
  <c r="S46" i="41"/>
  <c r="BL47" i="41"/>
  <c r="S48" i="41"/>
  <c r="BN48" i="41"/>
  <c r="AW48" i="41"/>
  <c r="S50" i="41"/>
  <c r="S52" i="41"/>
  <c r="BN52" i="41"/>
  <c r="AW52" i="41"/>
  <c r="S54" i="41"/>
  <c r="BL55" i="41"/>
  <c r="S56" i="41"/>
  <c r="BN56" i="41"/>
  <c r="AW56" i="41"/>
  <c r="S58" i="41"/>
  <c r="BL59" i="41"/>
  <c r="S60" i="41"/>
  <c r="BN60" i="41"/>
  <c r="AW60" i="41"/>
  <c r="AJ62" i="41"/>
  <c r="BH63" i="41"/>
  <c r="AX11" i="37"/>
  <c r="BI14" i="37"/>
  <c r="AY11" i="37"/>
  <c r="AE15" i="37"/>
  <c r="BM15" i="37"/>
  <c r="BL16" i="37"/>
  <c r="AE19" i="37"/>
  <c r="BM19" i="37"/>
  <c r="AE23" i="37"/>
  <c r="BM23" i="37"/>
  <c r="BL24" i="37"/>
  <c r="AE27" i="37"/>
  <c r="BM27" i="37"/>
  <c r="AE31" i="37"/>
  <c r="BM31" i="37"/>
  <c r="BL32" i="37"/>
  <c r="AE35" i="37"/>
  <c r="BM35" i="37"/>
  <c r="AE39" i="37"/>
  <c r="BM39" i="37"/>
  <c r="BL40" i="37"/>
  <c r="AI43" i="37"/>
  <c r="BM43" i="37"/>
  <c r="BL44" i="37"/>
  <c r="BM47" i="37"/>
  <c r="BL48" i="37"/>
  <c r="AI51" i="37"/>
  <c r="BM51" i="37"/>
  <c r="BL52" i="37"/>
  <c r="AI55" i="37"/>
  <c r="BM55" i="37"/>
  <c r="BL56" i="37"/>
  <c r="BL60" i="37"/>
  <c r="AI63" i="37"/>
  <c r="BM16" i="38"/>
  <c r="BM17" i="38"/>
  <c r="BL18" i="38"/>
  <c r="BM23" i="38"/>
  <c r="BM26" i="38"/>
  <c r="BL31" i="38"/>
  <c r="BM32" i="38"/>
  <c r="BM33" i="38"/>
  <c r="BL34" i="38"/>
  <c r="AJ37" i="38"/>
  <c r="BM39" i="38"/>
  <c r="BM42" i="38"/>
  <c r="AI43" i="38"/>
  <c r="BM48" i="38"/>
  <c r="BM49" i="38"/>
  <c r="BL50" i="38"/>
  <c r="AK51" i="38"/>
  <c r="T51" i="38"/>
  <c r="AI54" i="38"/>
  <c r="BL56" i="38"/>
  <c r="BL60" i="38"/>
  <c r="AK62" i="38"/>
  <c r="T62" i="38"/>
  <c r="AI63" i="38"/>
  <c r="BL15" i="39"/>
  <c r="AI16" i="39"/>
  <c r="BL16" i="39"/>
  <c r="BM17" i="39"/>
  <c r="BL19" i="39"/>
  <c r="BL23" i="39"/>
  <c r="AJ29" i="39"/>
  <c r="BM36" i="39"/>
  <c r="BH14" i="38"/>
  <c r="BI15" i="38"/>
  <c r="AF16" i="38"/>
  <c r="AF20" i="38"/>
  <c r="AF24" i="38"/>
  <c r="AF28" i="38"/>
  <c r="AF32" i="38"/>
  <c r="AF36" i="38"/>
  <c r="AF40" i="38"/>
  <c r="AF44" i="38"/>
  <c r="AF48" i="38"/>
  <c r="AF52" i="38"/>
  <c r="AF58" i="38"/>
  <c r="AE19" i="39"/>
  <c r="AF19" i="39"/>
  <c r="AI25" i="39"/>
  <c r="BI25" i="39"/>
  <c r="BH25" i="39"/>
  <c r="AF26" i="39"/>
  <c r="AE26" i="39"/>
  <c r="BL28" i="39"/>
  <c r="AI31" i="39"/>
  <c r="BL34" i="39"/>
  <c r="AE36" i="39"/>
  <c r="AI41" i="39"/>
  <c r="BI41" i="39"/>
  <c r="BH41" i="39"/>
  <c r="AF42" i="39"/>
  <c r="AE42" i="39"/>
  <c r="BL43" i="39"/>
  <c r="AI45" i="39"/>
  <c r="BM47" i="39"/>
  <c r="BL48" i="39"/>
  <c r="BM49" i="39"/>
  <c r="BL51" i="39"/>
  <c r="AJ52" i="39"/>
  <c r="AI53" i="39"/>
  <c r="AK55" i="39"/>
  <c r="T55" i="39"/>
  <c r="BM55" i="39"/>
  <c r="AI56" i="39"/>
  <c r="BL56" i="39"/>
  <c r="BL59" i="39"/>
  <c r="AJ60" i="39"/>
  <c r="AI61" i="39"/>
  <c r="T63" i="39"/>
  <c r="BM63" i="39"/>
  <c r="AJ15" i="12"/>
  <c r="BM18" i="12"/>
  <c r="AI19" i="12"/>
  <c r="BL19" i="12"/>
  <c r="BM20" i="12"/>
  <c r="BL22" i="12"/>
  <c r="AJ23" i="12"/>
  <c r="AI24" i="12"/>
  <c r="BM26" i="12"/>
  <c r="AI27" i="12"/>
  <c r="BL27" i="12"/>
  <c r="BM28" i="12"/>
  <c r="BL30" i="12"/>
  <c r="AJ31" i="12"/>
  <c r="AI32" i="12"/>
  <c r="BM34" i="12"/>
  <c r="AI35" i="12"/>
  <c r="BL35" i="12"/>
  <c r="BL38" i="12"/>
  <c r="AJ39" i="12"/>
  <c r="AI40" i="12"/>
  <c r="BM42" i="12"/>
  <c r="AI43" i="12"/>
  <c r="BM44" i="12"/>
  <c r="BL46" i="12"/>
  <c r="AJ47" i="12"/>
  <c r="BM50" i="12"/>
  <c r="AI51" i="12"/>
  <c r="BL51" i="12"/>
  <c r="BM52" i="12"/>
  <c r="BL54" i="12"/>
  <c r="AJ55" i="12"/>
  <c r="AI56" i="12"/>
  <c r="BM58" i="12"/>
  <c r="AI59" i="12"/>
  <c r="BL59" i="12"/>
  <c r="BM60" i="12"/>
  <c r="BL62" i="12"/>
  <c r="AJ63" i="12"/>
  <c r="AJ19" i="44"/>
  <c r="BL20" i="44"/>
  <c r="AI21" i="44"/>
  <c r="BM22" i="44"/>
  <c r="BL28" i="44"/>
  <c r="BM30" i="44"/>
  <c r="AJ35" i="44"/>
  <c r="BL36" i="44"/>
  <c r="AI37" i="44"/>
  <c r="BM38" i="44"/>
  <c r="BL45" i="44"/>
  <c r="BM46" i="44"/>
  <c r="AI50" i="44"/>
  <c r="AF45" i="41"/>
  <c r="AF49" i="41"/>
  <c r="AF53" i="41"/>
  <c r="AF57" i="41"/>
  <c r="AF61" i="41"/>
  <c r="AF16" i="37"/>
  <c r="AF20" i="37"/>
  <c r="AF24" i="37"/>
  <c r="AF28" i="37"/>
  <c r="AF32" i="37"/>
  <c r="AF36" i="37"/>
  <c r="AF40" i="37"/>
  <c r="AF44" i="37"/>
  <c r="AF48" i="37"/>
  <c r="AF52" i="37"/>
  <c r="AF56" i="37"/>
  <c r="AF60" i="37"/>
  <c r="AW63" i="37"/>
  <c r="BI14" i="38"/>
  <c r="AF15" i="38"/>
  <c r="AF19" i="38"/>
  <c r="AF23" i="38"/>
  <c r="AF27" i="38"/>
  <c r="AF31" i="38"/>
  <c r="AF35" i="38"/>
  <c r="AF39" i="38"/>
  <c r="AF43" i="38"/>
  <c r="AF47" i="38"/>
  <c r="AF51" i="38"/>
  <c r="P53" i="38"/>
  <c r="S53" i="38" s="1"/>
  <c r="AE56" i="38"/>
  <c r="BI56" i="38"/>
  <c r="BH57" i="38"/>
  <c r="AW58" i="38"/>
  <c r="P60" i="38"/>
  <c r="S60" i="38" s="1"/>
  <c r="BN60" i="38"/>
  <c r="AE62" i="38"/>
  <c r="BA11" i="39"/>
  <c r="BI15" i="39"/>
  <c r="AE17" i="39"/>
  <c r="AF20" i="39"/>
  <c r="BH22" i="39"/>
  <c r="AE24" i="39"/>
  <c r="AJ25" i="39"/>
  <c r="BM28" i="39"/>
  <c r="AE29" i="39"/>
  <c r="BI29" i="39"/>
  <c r="BH29" i="39"/>
  <c r="AF30" i="39"/>
  <c r="AE30" i="39"/>
  <c r="AF32" i="39"/>
  <c r="BH32" i="39"/>
  <c r="AE35" i="39"/>
  <c r="BI35" i="39"/>
  <c r="BH38" i="39"/>
  <c r="AE40" i="39"/>
  <c r="AJ41" i="39"/>
  <c r="AJ45" i="39"/>
  <c r="BL46" i="39"/>
  <c r="AI47" i="39"/>
  <c r="BM48" i="39"/>
  <c r="AJ53" i="39"/>
  <c r="S54" i="39"/>
  <c r="BL54" i="39"/>
  <c r="AI55" i="39"/>
  <c r="BM56" i="39"/>
  <c r="AJ61" i="39"/>
  <c r="BL62" i="39"/>
  <c r="AI63" i="39"/>
  <c r="AJ16" i="12"/>
  <c r="BL17" i="12"/>
  <c r="AI18" i="12"/>
  <c r="BM19" i="12"/>
  <c r="AJ24" i="12"/>
  <c r="BL25" i="12"/>
  <c r="AI26" i="12"/>
  <c r="BM27" i="12"/>
  <c r="AJ32" i="12"/>
  <c r="BL33" i="12"/>
  <c r="AI34" i="12"/>
  <c r="BM35" i="12"/>
  <c r="AJ40" i="12"/>
  <c r="BL41" i="12"/>
  <c r="AI42" i="12"/>
  <c r="BM43" i="12"/>
  <c r="AJ48" i="12"/>
  <c r="BL49" i="12"/>
  <c r="AI50" i="12"/>
  <c r="BM51" i="12"/>
  <c r="AJ56" i="12"/>
  <c r="AK57" i="12"/>
  <c r="T57" i="12"/>
  <c r="BL57" i="12"/>
  <c r="AI58" i="12"/>
  <c r="BM59" i="12"/>
  <c r="AI15" i="44"/>
  <c r="BM17" i="44"/>
  <c r="AI18" i="44"/>
  <c r="BL18" i="44"/>
  <c r="BM19" i="44"/>
  <c r="BL21" i="44"/>
  <c r="AJ22" i="44"/>
  <c r="AI23" i="44"/>
  <c r="BM25" i="44"/>
  <c r="AI26" i="44"/>
  <c r="BL26" i="44"/>
  <c r="BM27" i="44"/>
  <c r="BL29" i="44"/>
  <c r="AJ30" i="44"/>
  <c r="AI31" i="44"/>
  <c r="BM33" i="44"/>
  <c r="AI34" i="44"/>
  <c r="BL34" i="44"/>
  <c r="BM35" i="44"/>
  <c r="BL37" i="44"/>
  <c r="AJ38" i="44"/>
  <c r="AI39" i="44"/>
  <c r="AJ43" i="44"/>
  <c r="AI47" i="44"/>
  <c r="BL49" i="44"/>
  <c r="BM59" i="44"/>
  <c r="U12" i="38"/>
  <c r="AF14" i="38"/>
  <c r="BH16" i="38"/>
  <c r="AE17" i="38"/>
  <c r="BH20" i="38"/>
  <c r="AE21" i="38"/>
  <c r="BH24" i="38"/>
  <c r="AE25" i="38"/>
  <c r="BH28" i="38"/>
  <c r="AE29" i="38"/>
  <c r="BH32" i="38"/>
  <c r="AE33" i="38"/>
  <c r="BH36" i="38"/>
  <c r="AE37" i="38"/>
  <c r="BH40" i="38"/>
  <c r="AE41" i="38"/>
  <c r="BH44" i="38"/>
  <c r="AE45" i="38"/>
  <c r="BH48" i="38"/>
  <c r="AE49" i="38"/>
  <c r="BH52" i="38"/>
  <c r="AE53" i="38"/>
  <c r="BH54" i="38"/>
  <c r="P55" i="38"/>
  <c r="S55" i="38" s="1"/>
  <c r="BI55" i="38"/>
  <c r="AF57" i="38"/>
  <c r="AE59" i="38"/>
  <c r="P61" i="38"/>
  <c r="S61" i="38" s="1"/>
  <c r="AE61" i="38"/>
  <c r="BH62" i="38"/>
  <c r="P63" i="38"/>
  <c r="S63" i="38" s="1"/>
  <c r="BI63" i="38"/>
  <c r="W12" i="39"/>
  <c r="AA12" i="39"/>
  <c r="AE14" i="39"/>
  <c r="AE18" i="39"/>
  <c r="AJ18" i="39"/>
  <c r="BH18" i="39"/>
  <c r="BI18" i="39"/>
  <c r="BI19" i="39"/>
  <c r="BH20" i="39"/>
  <c r="AE21" i="39"/>
  <c r="BI21" i="39"/>
  <c r="BI23" i="39"/>
  <c r="BL26" i="39"/>
  <c r="AE28" i="39"/>
  <c r="AI33" i="39"/>
  <c r="BI33" i="39"/>
  <c r="BH33" i="39"/>
  <c r="AF34" i="39"/>
  <c r="AE34" i="39"/>
  <c r="AF36" i="39"/>
  <c r="BH36" i="39"/>
  <c r="AE39" i="39"/>
  <c r="BI39" i="39"/>
  <c r="BL42" i="39"/>
  <c r="BM43" i="39"/>
  <c r="AI44" i="39"/>
  <c r="BL44" i="39"/>
  <c r="BM45" i="39"/>
  <c r="BL47" i="39"/>
  <c r="AJ48" i="39"/>
  <c r="AI49" i="39"/>
  <c r="S51" i="39"/>
  <c r="BM51" i="39"/>
  <c r="AI52" i="39"/>
  <c r="BL52" i="39"/>
  <c r="BM53" i="39"/>
  <c r="BL55" i="39"/>
  <c r="AJ56" i="39"/>
  <c r="AI57" i="39"/>
  <c r="S59" i="39"/>
  <c r="BM59" i="39"/>
  <c r="AI60" i="39"/>
  <c r="BL60" i="39"/>
  <c r="BM61" i="39"/>
  <c r="BL63" i="39"/>
  <c r="BM14" i="12"/>
  <c r="AI15" i="12"/>
  <c r="BL15" i="12"/>
  <c r="BM16" i="12"/>
  <c r="BL18" i="12"/>
  <c r="AJ19" i="12"/>
  <c r="AI20" i="12"/>
  <c r="BM22" i="12"/>
  <c r="AI23" i="12"/>
  <c r="BL23" i="12"/>
  <c r="BM24" i="12"/>
  <c r="BL26" i="12"/>
  <c r="AJ27" i="12"/>
  <c r="AI28" i="12"/>
  <c r="BM30" i="12"/>
  <c r="AI31" i="12"/>
  <c r="BL31" i="12"/>
  <c r="BM32" i="12"/>
  <c r="BL34" i="12"/>
  <c r="AJ35" i="12"/>
  <c r="AI36" i="12"/>
  <c r="BM38" i="12"/>
  <c r="AI39" i="12"/>
  <c r="BL39" i="12"/>
  <c r="BM40" i="12"/>
  <c r="BL42" i="12"/>
  <c r="AJ43" i="12"/>
  <c r="AI44" i="12"/>
  <c r="BM46" i="12"/>
  <c r="AI47" i="12"/>
  <c r="BL47" i="12"/>
  <c r="BM48" i="12"/>
  <c r="BL50" i="12"/>
  <c r="AJ51" i="12"/>
  <c r="AI52" i="12"/>
  <c r="AK54" i="12"/>
  <c r="T54" i="12"/>
  <c r="BM54" i="12"/>
  <c r="AI55" i="12"/>
  <c r="BL55" i="12"/>
  <c r="BM56" i="12"/>
  <c r="BL58" i="12"/>
  <c r="AJ59" i="12"/>
  <c r="AI60" i="12"/>
  <c r="AK62" i="12"/>
  <c r="T62" i="12"/>
  <c r="BM62" i="12"/>
  <c r="AI63" i="12"/>
  <c r="BL63" i="12"/>
  <c r="AJ15" i="44"/>
  <c r="BL16" i="44"/>
  <c r="AI17" i="44"/>
  <c r="BM18" i="44"/>
  <c r="AJ23" i="44"/>
  <c r="T24" i="44"/>
  <c r="BL24" i="44"/>
  <c r="AI25" i="44"/>
  <c r="BM26" i="44"/>
  <c r="AJ31" i="44"/>
  <c r="BL32" i="44"/>
  <c r="AI33" i="44"/>
  <c r="BM34" i="44"/>
  <c r="AJ39" i="44"/>
  <c r="T40" i="44"/>
  <c r="BL40" i="44"/>
  <c r="AI41" i="44"/>
  <c r="AI42" i="44"/>
  <c r="BL42" i="44"/>
  <c r="AJ47" i="44"/>
  <c r="AJ52" i="44"/>
  <c r="BM55" i="44"/>
  <c r="AW54" i="38"/>
  <c r="P56" i="38"/>
  <c r="S56" i="38" s="1"/>
  <c r="BN56" i="38"/>
  <c r="AF59" i="38"/>
  <c r="AE60" i="38"/>
  <c r="BI60" i="38"/>
  <c r="AW62" i="38"/>
  <c r="AX11" i="39"/>
  <c r="U12" i="39"/>
  <c r="AE12" i="39" s="1"/>
  <c r="P32" i="39" s="1"/>
  <c r="S32" i="39" s="1"/>
  <c r="AF14" i="39"/>
  <c r="AY11" i="39"/>
  <c r="BC11" i="39"/>
  <c r="BG11" i="39"/>
  <c r="AE15" i="39"/>
  <c r="AF15" i="39"/>
  <c r="BH17" i="39"/>
  <c r="AF21" i="39"/>
  <c r="AF22" i="39"/>
  <c r="AE22" i="39"/>
  <c r="BH24" i="39"/>
  <c r="AE27" i="39"/>
  <c r="BM27" i="39"/>
  <c r="BH30" i="39"/>
  <c r="AE32" i="39"/>
  <c r="AJ33" i="39"/>
  <c r="AE37" i="39"/>
  <c r="BI37" i="39"/>
  <c r="BH37" i="39"/>
  <c r="AF38" i="39"/>
  <c r="AE38" i="39"/>
  <c r="AJ40" i="39"/>
  <c r="BH40" i="39"/>
  <c r="AI43" i="39"/>
  <c r="BM44" i="39"/>
  <c r="AJ49" i="39"/>
  <c r="BL50" i="39"/>
  <c r="AI51" i="39"/>
  <c r="BM52" i="39"/>
  <c r="AJ57" i="39"/>
  <c r="S58" i="39"/>
  <c r="BL58" i="39"/>
  <c r="AI59" i="39"/>
  <c r="BM60" i="39"/>
  <c r="AI14" i="12"/>
  <c r="BM15" i="12"/>
  <c r="AJ20" i="12"/>
  <c r="BL21" i="12"/>
  <c r="AI22" i="12"/>
  <c r="BM23" i="12"/>
  <c r="AJ28" i="12"/>
  <c r="BL29" i="12"/>
  <c r="AI30" i="12"/>
  <c r="BM31" i="12"/>
  <c r="AJ36" i="12"/>
  <c r="BL37" i="12"/>
  <c r="AI38" i="12"/>
  <c r="BM39" i="12"/>
  <c r="AJ44" i="12"/>
  <c r="BL45" i="12"/>
  <c r="AI46" i="12"/>
  <c r="BM47" i="12"/>
  <c r="AJ52" i="12"/>
  <c r="AK53" i="12"/>
  <c r="BL53" i="12"/>
  <c r="AI54" i="12"/>
  <c r="BM55" i="12"/>
  <c r="AJ60" i="12"/>
  <c r="AK61" i="12"/>
  <c r="T61" i="12"/>
  <c r="BL61" i="12"/>
  <c r="AI62" i="12"/>
  <c r="BM63" i="12"/>
  <c r="AI14" i="44"/>
  <c r="BL14" i="44"/>
  <c r="BM15" i="44"/>
  <c r="BL17" i="44"/>
  <c r="AI19" i="44"/>
  <c r="BM21" i="44"/>
  <c r="BL22" i="44"/>
  <c r="BM23" i="44"/>
  <c r="BL25" i="44"/>
  <c r="AJ26" i="44"/>
  <c r="AI27" i="44"/>
  <c r="BM29" i="44"/>
  <c r="AI30" i="44"/>
  <c r="BL30" i="44"/>
  <c r="BM31" i="44"/>
  <c r="BL33" i="44"/>
  <c r="AJ34" i="44"/>
  <c r="AI35" i="44"/>
  <c r="BM37" i="44"/>
  <c r="BL38" i="44"/>
  <c r="BM39" i="44"/>
  <c r="BL41" i="44"/>
  <c r="BM42" i="44"/>
  <c r="AI46" i="44"/>
  <c r="BL46" i="44"/>
  <c r="T51" i="44"/>
  <c r="AK51" i="44"/>
  <c r="T55" i="44"/>
  <c r="AK55" i="44"/>
  <c r="BI22" i="39"/>
  <c r="AF23" i="39"/>
  <c r="P25" i="39"/>
  <c r="S25" i="39" s="1"/>
  <c r="BI26" i="39"/>
  <c r="AF27" i="39"/>
  <c r="BI30" i="39"/>
  <c r="AF31" i="39"/>
  <c r="BI34" i="39"/>
  <c r="AF35" i="39"/>
  <c r="BI38" i="39"/>
  <c r="AF39" i="39"/>
  <c r="P41" i="39"/>
  <c r="S41" i="39" s="1"/>
  <c r="BI42" i="39"/>
  <c r="AF43" i="39"/>
  <c r="P45" i="39"/>
  <c r="S45" i="39" s="1"/>
  <c r="BH45" i="39"/>
  <c r="AE46" i="39"/>
  <c r="BI46" i="39"/>
  <c r="AF47" i="39"/>
  <c r="BH49" i="39"/>
  <c r="AE50" i="39"/>
  <c r="BI50" i="39"/>
  <c r="AF51" i="39"/>
  <c r="BN51" i="39"/>
  <c r="P53" i="39"/>
  <c r="S53" i="39" s="1"/>
  <c r="BH53" i="39"/>
  <c r="AE54" i="39"/>
  <c r="BI54" i="39"/>
  <c r="AF55" i="39"/>
  <c r="BN55" i="39"/>
  <c r="P57" i="39"/>
  <c r="S57" i="39" s="1"/>
  <c r="BH57" i="39"/>
  <c r="AE58" i="39"/>
  <c r="BI58" i="39"/>
  <c r="AF59" i="39"/>
  <c r="BN59" i="39"/>
  <c r="P61" i="39"/>
  <c r="S61" i="39" s="1"/>
  <c r="BH61" i="39"/>
  <c r="AE62" i="39"/>
  <c r="BI62" i="39"/>
  <c r="AF63" i="39"/>
  <c r="BN63" i="39"/>
  <c r="BA11" i="12"/>
  <c r="U12" i="12"/>
  <c r="AE12" i="12" s="1"/>
  <c r="P34" i="12" s="1"/>
  <c r="S34" i="12" s="1"/>
  <c r="AF14" i="12"/>
  <c r="BH16" i="12"/>
  <c r="AE17" i="12"/>
  <c r="BI17" i="12"/>
  <c r="AF18" i="12"/>
  <c r="BH20" i="12"/>
  <c r="AE21" i="12"/>
  <c r="BI21" i="12"/>
  <c r="AF22" i="12"/>
  <c r="BH24" i="12"/>
  <c r="AE25" i="12"/>
  <c r="BI25" i="12"/>
  <c r="AF26" i="12"/>
  <c r="BH28" i="12"/>
  <c r="AE29" i="12"/>
  <c r="BI29" i="12"/>
  <c r="AF30" i="12"/>
  <c r="BH32" i="12"/>
  <c r="AE33" i="12"/>
  <c r="BI33" i="12"/>
  <c r="AF34" i="12"/>
  <c r="BH36" i="12"/>
  <c r="AE37" i="12"/>
  <c r="BI37" i="12"/>
  <c r="AF38" i="12"/>
  <c r="BH40" i="12"/>
  <c r="AE41" i="12"/>
  <c r="BI41" i="12"/>
  <c r="AF42" i="12"/>
  <c r="BH44" i="12"/>
  <c r="AE45" i="12"/>
  <c r="BI45" i="12"/>
  <c r="AF46" i="12"/>
  <c r="BH48" i="12"/>
  <c r="AE49" i="12"/>
  <c r="BI49" i="12"/>
  <c r="AF50" i="12"/>
  <c r="P52" i="12"/>
  <c r="S52" i="12" s="1"/>
  <c r="BH52" i="12"/>
  <c r="AE53" i="12"/>
  <c r="BI53" i="12"/>
  <c r="AF54" i="12"/>
  <c r="BN54" i="12"/>
  <c r="P56" i="12"/>
  <c r="S56" i="12" s="1"/>
  <c r="BH56" i="12"/>
  <c r="AE57" i="12"/>
  <c r="BI57" i="12"/>
  <c r="AF58" i="12"/>
  <c r="BN58" i="12"/>
  <c r="P60" i="12"/>
  <c r="S60" i="12" s="1"/>
  <c r="BH60" i="12"/>
  <c r="AE61" i="12"/>
  <c r="BI61" i="12"/>
  <c r="AF62" i="12"/>
  <c r="BN62" i="12"/>
  <c r="AX11" i="44"/>
  <c r="BH15" i="44"/>
  <c r="AE16" i="44"/>
  <c r="BI16" i="44"/>
  <c r="AF17" i="44"/>
  <c r="BH19" i="44"/>
  <c r="AE20" i="44"/>
  <c r="BI20" i="44"/>
  <c r="AF21" i="44"/>
  <c r="BH23" i="44"/>
  <c r="AE24" i="44"/>
  <c r="BI24" i="44"/>
  <c r="AF25" i="44"/>
  <c r="BH27" i="44"/>
  <c r="AE28" i="44"/>
  <c r="BI28" i="44"/>
  <c r="AF29" i="44"/>
  <c r="BH31" i="44"/>
  <c r="AE32" i="44"/>
  <c r="BI32" i="44"/>
  <c r="AF33" i="44"/>
  <c r="BH35" i="44"/>
  <c r="AE36" i="44"/>
  <c r="BI36" i="44"/>
  <c r="AF37" i="44"/>
  <c r="BH39" i="44"/>
  <c r="AE40" i="44"/>
  <c r="BI40" i="44"/>
  <c r="AF41" i="44"/>
  <c r="BI41" i="44"/>
  <c r="BI43" i="44"/>
  <c r="BI44" i="44"/>
  <c r="BH44" i="44"/>
  <c r="BI45" i="44"/>
  <c r="BI47" i="44"/>
  <c r="BI48" i="44"/>
  <c r="BH48" i="44"/>
  <c r="BI49" i="44"/>
  <c r="AJ51" i="44"/>
  <c r="AE51" i="44"/>
  <c r="BH51" i="44"/>
  <c r="BI53" i="44"/>
  <c r="AF54" i="44"/>
  <c r="AJ56" i="44"/>
  <c r="BL57" i="44"/>
  <c r="AI58" i="44"/>
  <c r="AE60" i="44"/>
  <c r="S61" i="44"/>
  <c r="BL61" i="44"/>
  <c r="AI15" i="49"/>
  <c r="AJ17" i="49"/>
  <c r="BM18" i="49"/>
  <c r="AI19" i="49"/>
  <c r="BM19" i="49"/>
  <c r="AK21" i="49"/>
  <c r="T21" i="49"/>
  <c r="AJ22" i="49"/>
  <c r="AJ23" i="49"/>
  <c r="AK24" i="49"/>
  <c r="T24" i="49"/>
  <c r="BL24" i="49"/>
  <c r="BM28" i="49"/>
  <c r="AI29" i="49"/>
  <c r="BM29" i="49"/>
  <c r="BL30" i="49"/>
  <c r="AJ33" i="49"/>
  <c r="BM34" i="49"/>
  <c r="AI35" i="49"/>
  <c r="BM35" i="49"/>
  <c r="AK37" i="49"/>
  <c r="T37" i="49"/>
  <c r="AJ38" i="49"/>
  <c r="AJ39" i="49"/>
  <c r="AK40" i="49"/>
  <c r="T40" i="49"/>
  <c r="BM44" i="49"/>
  <c r="AI45" i="49"/>
  <c r="BM45" i="49"/>
  <c r="AJ49" i="49"/>
  <c r="BM50" i="49"/>
  <c r="AI51" i="49"/>
  <c r="AK53" i="49"/>
  <c r="T53" i="49"/>
  <c r="AJ54" i="49"/>
  <c r="AJ55" i="49"/>
  <c r="AK56" i="49"/>
  <c r="T56" i="49"/>
  <c r="AI59" i="49"/>
  <c r="BL61" i="49"/>
  <c r="AI62" i="49"/>
  <c r="BM63" i="49"/>
  <c r="AI21" i="11"/>
  <c r="BM21" i="11"/>
  <c r="AJ23" i="11"/>
  <c r="BL32" i="11"/>
  <c r="BM37" i="11"/>
  <c r="AF46" i="39"/>
  <c r="AF50" i="39"/>
  <c r="P52" i="39"/>
  <c r="S52" i="39" s="1"/>
  <c r="AF54" i="39"/>
  <c r="P56" i="39"/>
  <c r="S56" i="39" s="1"/>
  <c r="AF58" i="39"/>
  <c r="P60" i="39"/>
  <c r="S60" i="39" s="1"/>
  <c r="AF62" i="39"/>
  <c r="AX11" i="12"/>
  <c r="BH11" i="12" s="1"/>
  <c r="AF17" i="12"/>
  <c r="P19" i="12"/>
  <c r="S19" i="12" s="1"/>
  <c r="AF21" i="12"/>
  <c r="AF25" i="12"/>
  <c r="P27" i="12"/>
  <c r="S27" i="12" s="1"/>
  <c r="AF29" i="12"/>
  <c r="P31" i="12"/>
  <c r="S31" i="12" s="1"/>
  <c r="AF33" i="12"/>
  <c r="P35" i="12"/>
  <c r="S35" i="12" s="1"/>
  <c r="AF37" i="12"/>
  <c r="P39" i="12"/>
  <c r="S39" i="12" s="1"/>
  <c r="AF41" i="12"/>
  <c r="P43" i="12"/>
  <c r="S43" i="12" s="1"/>
  <c r="AF45" i="12"/>
  <c r="P47" i="12"/>
  <c r="S47" i="12" s="1"/>
  <c r="AF49" i="12"/>
  <c r="P51" i="12"/>
  <c r="S51" i="12" s="1"/>
  <c r="AF53" i="12"/>
  <c r="P55" i="12"/>
  <c r="S55" i="12" s="1"/>
  <c r="AF57" i="12"/>
  <c r="P59" i="12"/>
  <c r="S59" i="12" s="1"/>
  <c r="AF61" i="12"/>
  <c r="P63" i="12"/>
  <c r="S63" i="12" s="1"/>
  <c r="W12" i="44"/>
  <c r="P14" i="44"/>
  <c r="S14" i="44" s="1"/>
  <c r="AF16" i="44"/>
  <c r="AF20" i="44"/>
  <c r="P22" i="44"/>
  <c r="S22" i="44" s="1"/>
  <c r="AF24" i="44"/>
  <c r="AF28" i="44"/>
  <c r="P30" i="44"/>
  <c r="S30" i="44" s="1"/>
  <c r="AF32" i="44"/>
  <c r="AF36" i="44"/>
  <c r="P38" i="44"/>
  <c r="S38" i="44" s="1"/>
  <c r="AF40" i="44"/>
  <c r="AE44" i="44"/>
  <c r="AE48" i="44"/>
  <c r="BL53" i="44"/>
  <c r="AI54" i="44"/>
  <c r="AI56" i="44"/>
  <c r="BM58" i="44"/>
  <c r="BH58" i="44"/>
  <c r="BI60" i="44"/>
  <c r="BH60" i="44"/>
  <c r="AJ63" i="44"/>
  <c r="T14" i="49"/>
  <c r="AK14" i="49"/>
  <c r="BL14" i="49"/>
  <c r="BM16" i="49"/>
  <c r="AI17" i="49"/>
  <c r="BM17" i="49"/>
  <c r="T18" i="49"/>
  <c r="AK18" i="49"/>
  <c r="BL18" i="49"/>
  <c r="AJ21" i="49"/>
  <c r="BM22" i="49"/>
  <c r="AI23" i="49"/>
  <c r="BM23" i="49"/>
  <c r="AK25" i="49"/>
  <c r="T25" i="49"/>
  <c r="AJ26" i="49"/>
  <c r="AJ27" i="49"/>
  <c r="AK28" i="49"/>
  <c r="T28" i="49"/>
  <c r="BL28" i="49"/>
  <c r="BM32" i="49"/>
  <c r="AI33" i="49"/>
  <c r="BM33" i="49"/>
  <c r="BL34" i="49"/>
  <c r="AJ37" i="49"/>
  <c r="BM38" i="49"/>
  <c r="AI39" i="49"/>
  <c r="BM39" i="49"/>
  <c r="AK41" i="49"/>
  <c r="T41" i="49"/>
  <c r="AJ42" i="49"/>
  <c r="AJ43" i="49"/>
  <c r="AK44" i="49"/>
  <c r="T44" i="49"/>
  <c r="BL44" i="49"/>
  <c r="BM48" i="49"/>
  <c r="AI49" i="49"/>
  <c r="BM49" i="49"/>
  <c r="BL50" i="49"/>
  <c r="AJ53" i="49"/>
  <c r="BM54" i="49"/>
  <c r="AI55" i="49"/>
  <c r="BM55" i="49"/>
  <c r="AK57" i="49"/>
  <c r="T57" i="49"/>
  <c r="AJ59" i="49"/>
  <c r="AJ60" i="49"/>
  <c r="AK62" i="49"/>
  <c r="T62" i="49"/>
  <c r="BM62" i="49"/>
  <c r="BL16" i="11"/>
  <c r="AJ18" i="11"/>
  <c r="AI25" i="11"/>
  <c r="BM25" i="11"/>
  <c r="AJ27" i="11"/>
  <c r="AI29" i="11"/>
  <c r="BM29" i="11"/>
  <c r="AJ34" i="11"/>
  <c r="BL36" i="11"/>
  <c r="BH14" i="12"/>
  <c r="BI14" i="44"/>
  <c r="AF45" i="44"/>
  <c r="AE45" i="44"/>
  <c r="AF49" i="44"/>
  <c r="AE49" i="44"/>
  <c r="AI52" i="44"/>
  <c r="BM54" i="44"/>
  <c r="BH54" i="44"/>
  <c r="BI56" i="44"/>
  <c r="BH56" i="44"/>
  <c r="P57" i="44"/>
  <c r="S57" i="44" s="1"/>
  <c r="AF57" i="44"/>
  <c r="AE57" i="44"/>
  <c r="S58" i="44"/>
  <c r="AW58" i="44"/>
  <c r="BN58" i="44"/>
  <c r="AF59" i="44"/>
  <c r="P59" i="44"/>
  <c r="S59" i="44" s="1"/>
  <c r="AE59" i="44"/>
  <c r="BL59" i="44"/>
  <c r="AJ62" i="44"/>
  <c r="BM63" i="44"/>
  <c r="AK16" i="49"/>
  <c r="T16" i="49"/>
  <c r="BL16" i="49"/>
  <c r="BM20" i="49"/>
  <c r="AI21" i="49"/>
  <c r="BM21" i="49"/>
  <c r="BL22" i="49"/>
  <c r="AJ25" i="49"/>
  <c r="BM26" i="49"/>
  <c r="AI27" i="49"/>
  <c r="BM27" i="49"/>
  <c r="AJ30" i="49"/>
  <c r="AJ31" i="49"/>
  <c r="AK32" i="49"/>
  <c r="T32" i="49"/>
  <c r="BL32" i="49"/>
  <c r="BM36" i="49"/>
  <c r="AI37" i="49"/>
  <c r="BM37" i="49"/>
  <c r="BL38" i="49"/>
  <c r="AJ41" i="49"/>
  <c r="BM42" i="49"/>
  <c r="AI43" i="49"/>
  <c r="BM43" i="49"/>
  <c r="AK45" i="49"/>
  <c r="T45" i="49"/>
  <c r="AJ46" i="49"/>
  <c r="AJ47" i="49"/>
  <c r="AK48" i="49"/>
  <c r="T48" i="49"/>
  <c r="BL48" i="49"/>
  <c r="BM52" i="49"/>
  <c r="AI53" i="49"/>
  <c r="BM53" i="49"/>
  <c r="BL54" i="49"/>
  <c r="BL57" i="49"/>
  <c r="AI58" i="49"/>
  <c r="BL58" i="49"/>
  <c r="BM59" i="49"/>
  <c r="AJ15" i="11"/>
  <c r="BL20" i="11"/>
  <c r="AJ22" i="11"/>
  <c r="AJ38" i="11"/>
  <c r="BL40" i="11"/>
  <c r="U12" i="44"/>
  <c r="AE12" i="44" s="1"/>
  <c r="P37" i="44" s="1"/>
  <c r="S37" i="44" s="1"/>
  <c r="AF42" i="44"/>
  <c r="AF44" i="44"/>
  <c r="AF46" i="44"/>
  <c r="AF48" i="44"/>
  <c r="AF50" i="44"/>
  <c r="BM50" i="44"/>
  <c r="BH50" i="44"/>
  <c r="BM51" i="44"/>
  <c r="BI52" i="44"/>
  <c r="BH52" i="44"/>
  <c r="P53" i="44"/>
  <c r="S53" i="44" s="1"/>
  <c r="AF53" i="44"/>
  <c r="AE53" i="44"/>
  <c r="P54" i="44"/>
  <c r="S54" i="44" s="1"/>
  <c r="AW54" i="44"/>
  <c r="BN54" i="44"/>
  <c r="AJ55" i="44"/>
  <c r="AE55" i="44"/>
  <c r="BH55" i="44"/>
  <c r="AJ60" i="44"/>
  <c r="BM61" i="44"/>
  <c r="AI62" i="44"/>
  <c r="BM62" i="44"/>
  <c r="BL63" i="44"/>
  <c r="AJ14" i="49"/>
  <c r="AJ15" i="49"/>
  <c r="BM15" i="49"/>
  <c r="AK17" i="49"/>
  <c r="T17" i="49"/>
  <c r="AJ18" i="49"/>
  <c r="AJ19" i="49"/>
  <c r="AK20" i="49"/>
  <c r="T20" i="49"/>
  <c r="BL20" i="49"/>
  <c r="BM24" i="49"/>
  <c r="AI25" i="49"/>
  <c r="BM25" i="49"/>
  <c r="BL26" i="49"/>
  <c r="AJ29" i="49"/>
  <c r="BM30" i="49"/>
  <c r="AI31" i="49"/>
  <c r="BM31" i="49"/>
  <c r="AK33" i="49"/>
  <c r="T33" i="49"/>
  <c r="AJ34" i="49"/>
  <c r="AJ35" i="49"/>
  <c r="AK36" i="49"/>
  <c r="T36" i="49"/>
  <c r="BL36" i="49"/>
  <c r="BM40" i="49"/>
  <c r="AI41" i="49"/>
  <c r="BM41" i="49"/>
  <c r="BL42" i="49"/>
  <c r="AJ45" i="49"/>
  <c r="BM46" i="49"/>
  <c r="AI47" i="49"/>
  <c r="BM47" i="49"/>
  <c r="AK49" i="49"/>
  <c r="T49" i="49"/>
  <c r="AJ50" i="49"/>
  <c r="AJ51" i="49"/>
  <c r="AK52" i="49"/>
  <c r="T52" i="49"/>
  <c r="BL52" i="49"/>
  <c r="BM56" i="49"/>
  <c r="AJ57" i="49"/>
  <c r="AK58" i="49"/>
  <c r="T58" i="49"/>
  <c r="BM58" i="49"/>
  <c r="AJ63" i="49"/>
  <c r="AI17" i="11"/>
  <c r="BM17" i="11"/>
  <c r="AJ19" i="11"/>
  <c r="BL24" i="11"/>
  <c r="AJ26" i="11"/>
  <c r="BL28" i="11"/>
  <c r="AJ30" i="11"/>
  <c r="BM33" i="11"/>
  <c r="P52" i="44"/>
  <c r="S52" i="44" s="1"/>
  <c r="AW53" i="44"/>
  <c r="P56" i="44"/>
  <c r="S56" i="44" s="1"/>
  <c r="AW57" i="44"/>
  <c r="P60" i="44"/>
  <c r="S60" i="44" s="1"/>
  <c r="AE61" i="44"/>
  <c r="AW61" i="44"/>
  <c r="BN62" i="44"/>
  <c r="AX11" i="49"/>
  <c r="BH11" i="49" s="1"/>
  <c r="P15" i="49"/>
  <c r="S15" i="49" s="1"/>
  <c r="BH15" i="49"/>
  <c r="AE16" i="49"/>
  <c r="AW16" i="49"/>
  <c r="BN17" i="49"/>
  <c r="P19" i="49"/>
  <c r="S19" i="49" s="1"/>
  <c r="BH19" i="49"/>
  <c r="AE20" i="49"/>
  <c r="AW20" i="49"/>
  <c r="BN21" i="49"/>
  <c r="P23" i="49"/>
  <c r="S23" i="49" s="1"/>
  <c r="BH23" i="49"/>
  <c r="AE24" i="49"/>
  <c r="AW24" i="49"/>
  <c r="BN25" i="49"/>
  <c r="P27" i="49"/>
  <c r="S27" i="49" s="1"/>
  <c r="BH27" i="49"/>
  <c r="AE28" i="49"/>
  <c r="AW28" i="49"/>
  <c r="BN29" i="49"/>
  <c r="P31" i="49"/>
  <c r="S31" i="49" s="1"/>
  <c r="BH31" i="49"/>
  <c r="AE32" i="49"/>
  <c r="AW32" i="49"/>
  <c r="BN33" i="49"/>
  <c r="P35" i="49"/>
  <c r="S35" i="49" s="1"/>
  <c r="BH35" i="49"/>
  <c r="AE36" i="49"/>
  <c r="AW36" i="49"/>
  <c r="BN37" i="49"/>
  <c r="P39" i="49"/>
  <c r="S39" i="49" s="1"/>
  <c r="BH39" i="49"/>
  <c r="AE40" i="49"/>
  <c r="AW40" i="49"/>
  <c r="BN41" i="49"/>
  <c r="P43" i="49"/>
  <c r="S43" i="49" s="1"/>
  <c r="BH43" i="49"/>
  <c r="AE44" i="49"/>
  <c r="AW44" i="49"/>
  <c r="BN45" i="49"/>
  <c r="P47" i="49"/>
  <c r="S47" i="49" s="1"/>
  <c r="BH47" i="49"/>
  <c r="AE48" i="49"/>
  <c r="AW48" i="49"/>
  <c r="BN49" i="49"/>
  <c r="P51" i="49"/>
  <c r="S51" i="49" s="1"/>
  <c r="BH51" i="49"/>
  <c r="AE52" i="49"/>
  <c r="AW52" i="49"/>
  <c r="BN53" i="49"/>
  <c r="P55" i="49"/>
  <c r="S55" i="49" s="1"/>
  <c r="BH55" i="49"/>
  <c r="AE56" i="49"/>
  <c r="AW56" i="49"/>
  <c r="BN57" i="49"/>
  <c r="AW57" i="49"/>
  <c r="AF58" i="49"/>
  <c r="BN61" i="49"/>
  <c r="AW61" i="49"/>
  <c r="AF62" i="49"/>
  <c r="P14" i="11"/>
  <c r="S14" i="11" s="1"/>
  <c r="BH14" i="11"/>
  <c r="AX11" i="11"/>
  <c r="BB11" i="11"/>
  <c r="BF11" i="11"/>
  <c r="BM14" i="11"/>
  <c r="AF16" i="11"/>
  <c r="AE16" i="11"/>
  <c r="P18" i="11"/>
  <c r="S18" i="11" s="1"/>
  <c r="BH18" i="11"/>
  <c r="BM18" i="11"/>
  <c r="AF20" i="11"/>
  <c r="AE20" i="11"/>
  <c r="P22" i="11"/>
  <c r="S22" i="11" s="1"/>
  <c r="BH22" i="11"/>
  <c r="BM22" i="11"/>
  <c r="AF24" i="11"/>
  <c r="AE24" i="11"/>
  <c r="P26" i="11"/>
  <c r="S26" i="11" s="1"/>
  <c r="BH26" i="11"/>
  <c r="BM26" i="11"/>
  <c r="AF28" i="11"/>
  <c r="AE28" i="11"/>
  <c r="P30" i="11"/>
  <c r="S30" i="11" s="1"/>
  <c r="BI30" i="11"/>
  <c r="BH30" i="11"/>
  <c r="AF31" i="11"/>
  <c r="AE31" i="11"/>
  <c r="P31" i="11"/>
  <c r="S31" i="11" s="1"/>
  <c r="AE34" i="11"/>
  <c r="BI34" i="11"/>
  <c r="BH34" i="11"/>
  <c r="AF35" i="11"/>
  <c r="AE35" i="11"/>
  <c r="P35" i="11"/>
  <c r="S35" i="11" s="1"/>
  <c r="AE38" i="11"/>
  <c r="BI38" i="11"/>
  <c r="BH38" i="11"/>
  <c r="AF39" i="11"/>
  <c r="AE39" i="11"/>
  <c r="P39" i="11"/>
  <c r="S39" i="11" s="1"/>
  <c r="BM41" i="11"/>
  <c r="AE42" i="11"/>
  <c r="BI42" i="11"/>
  <c r="BH42" i="11"/>
  <c r="AF43" i="11"/>
  <c r="AE43" i="11"/>
  <c r="P43" i="11"/>
  <c r="S43" i="11" s="1"/>
  <c r="BL44" i="11"/>
  <c r="AJ45" i="11"/>
  <c r="AI46" i="11"/>
  <c r="BM47" i="11"/>
  <c r="AJ48" i="11"/>
  <c r="BM49" i="11"/>
  <c r="S52" i="11"/>
  <c r="BM52" i="11"/>
  <c r="AI53" i="11"/>
  <c r="BL53" i="11"/>
  <c r="S54" i="11"/>
  <c r="BM54" i="11"/>
  <c r="AJ58" i="11"/>
  <c r="AJ59" i="11"/>
  <c r="BL60" i="11"/>
  <c r="AJ61" i="11"/>
  <c r="AI62" i="11"/>
  <c r="BM63" i="11"/>
  <c r="AJ16" i="15"/>
  <c r="BM17" i="15"/>
  <c r="BM18" i="15"/>
  <c r="AJ21" i="15"/>
  <c r="AJ22" i="15"/>
  <c r="BL23" i="15"/>
  <c r="BM27" i="15"/>
  <c r="AI28" i="15"/>
  <c r="BM28" i="15"/>
  <c r="BL29" i="15"/>
  <c r="BM31" i="15"/>
  <c r="AI32" i="15"/>
  <c r="BM32" i="15"/>
  <c r="BL33" i="15"/>
  <c r="BM35" i="15"/>
  <c r="BM36" i="15"/>
  <c r="BL37" i="15"/>
  <c r="BM40" i="15"/>
  <c r="BL41" i="15"/>
  <c r="BM44" i="15"/>
  <c r="BL45" i="15"/>
  <c r="AI48" i="15"/>
  <c r="BM48" i="15"/>
  <c r="BL49" i="15"/>
  <c r="BM52" i="15"/>
  <c r="T53" i="15"/>
  <c r="AK53" i="15"/>
  <c r="BL53" i="15"/>
  <c r="BM56" i="15"/>
  <c r="T57" i="15"/>
  <c r="AK57" i="15"/>
  <c r="BL57" i="15"/>
  <c r="BL14" i="10"/>
  <c r="AI15" i="10"/>
  <c r="BM16" i="10"/>
  <c r="BL18" i="10"/>
  <c r="AF61" i="44"/>
  <c r="P63" i="44"/>
  <c r="S63" i="44" s="1"/>
  <c r="W12" i="49"/>
  <c r="AF16" i="49"/>
  <c r="AF20" i="49"/>
  <c r="P22" i="49"/>
  <c r="S22" i="49" s="1"/>
  <c r="AF24" i="49"/>
  <c r="P26" i="49"/>
  <c r="S26" i="49" s="1"/>
  <c r="AF28" i="49"/>
  <c r="P30" i="49"/>
  <c r="S30" i="49" s="1"/>
  <c r="AF32" i="49"/>
  <c r="P34" i="49"/>
  <c r="S34" i="49" s="1"/>
  <c r="AF36" i="49"/>
  <c r="P38" i="49"/>
  <c r="S38" i="49" s="1"/>
  <c r="AF40" i="49"/>
  <c r="P42" i="49"/>
  <c r="S42" i="49" s="1"/>
  <c r="AF44" i="49"/>
  <c r="P46" i="49"/>
  <c r="S46" i="49" s="1"/>
  <c r="AF48" i="49"/>
  <c r="P50" i="49"/>
  <c r="S50" i="49" s="1"/>
  <c r="AF52" i="49"/>
  <c r="P54" i="49"/>
  <c r="S54" i="49" s="1"/>
  <c r="AF56" i="49"/>
  <c r="AE57" i="49"/>
  <c r="BI57" i="49"/>
  <c r="BI60" i="49"/>
  <c r="BH60" i="49"/>
  <c r="BI61" i="49"/>
  <c r="P63" i="49"/>
  <c r="S63" i="49" s="1"/>
  <c r="AE63" i="49"/>
  <c r="V12" i="11"/>
  <c r="Z12" i="11"/>
  <c r="AD12" i="11"/>
  <c r="BN16" i="11"/>
  <c r="AW16" i="11"/>
  <c r="AF17" i="11"/>
  <c r="BN20" i="11"/>
  <c r="AW20" i="11"/>
  <c r="AF21" i="11"/>
  <c r="BN24" i="11"/>
  <c r="AW24" i="11"/>
  <c r="AF25" i="11"/>
  <c r="BN28" i="11"/>
  <c r="AW28" i="11"/>
  <c r="AF29" i="11"/>
  <c r="BI31" i="11"/>
  <c r="S32" i="11"/>
  <c r="BN32" i="11"/>
  <c r="AW32" i="11"/>
  <c r="AE33" i="11"/>
  <c r="BI35" i="11"/>
  <c r="S36" i="11"/>
  <c r="BN36" i="11"/>
  <c r="AW36" i="11"/>
  <c r="AE37" i="11"/>
  <c r="BI39" i="11"/>
  <c r="S40" i="11"/>
  <c r="BN40" i="11"/>
  <c r="AW40" i="11"/>
  <c r="AE41" i="11"/>
  <c r="BI43" i="11"/>
  <c r="S44" i="11"/>
  <c r="BN44" i="11"/>
  <c r="AW44" i="11"/>
  <c r="AJ46" i="11"/>
  <c r="AJ47" i="11"/>
  <c r="BL48" i="11"/>
  <c r="AJ49" i="11"/>
  <c r="AI50" i="11"/>
  <c r="BM51" i="11"/>
  <c r="AJ52" i="11"/>
  <c r="BM53" i="11"/>
  <c r="S56" i="11"/>
  <c r="BM56" i="11"/>
  <c r="AI57" i="11"/>
  <c r="BL57" i="11"/>
  <c r="S58" i="11"/>
  <c r="BM58" i="11"/>
  <c r="AJ62" i="11"/>
  <c r="AJ63" i="11"/>
  <c r="BM15" i="15"/>
  <c r="AI16" i="15"/>
  <c r="BM16" i="15"/>
  <c r="BL17" i="15"/>
  <c r="AJ20" i="15"/>
  <c r="BM21" i="15"/>
  <c r="AI22" i="15"/>
  <c r="BM22" i="15"/>
  <c r="AJ25" i="15"/>
  <c r="AJ26" i="15"/>
  <c r="BL27" i="15"/>
  <c r="BL31" i="15"/>
  <c r="BL35" i="15"/>
  <c r="BL39" i="15"/>
  <c r="BL43" i="15"/>
  <c r="BL47" i="15"/>
  <c r="AK51" i="15"/>
  <c r="T51" i="15"/>
  <c r="BL51" i="15"/>
  <c r="AK55" i="15"/>
  <c r="T55" i="15"/>
  <c r="BL55" i="15"/>
  <c r="AK59" i="15"/>
  <c r="T59" i="15"/>
  <c r="BL59" i="15"/>
  <c r="AJ61" i="15"/>
  <c r="BH62" i="44"/>
  <c r="AE63" i="44"/>
  <c r="AE14" i="49"/>
  <c r="BI14" i="49"/>
  <c r="BH17" i="49"/>
  <c r="AE18" i="49"/>
  <c r="BH21" i="49"/>
  <c r="AE22" i="49"/>
  <c r="BH25" i="49"/>
  <c r="AE26" i="49"/>
  <c r="BH29" i="49"/>
  <c r="AE30" i="49"/>
  <c r="BH33" i="49"/>
  <c r="AE34" i="49"/>
  <c r="BH37" i="49"/>
  <c r="AE38" i="49"/>
  <c r="BH41" i="49"/>
  <c r="AE42" i="49"/>
  <c r="BH45" i="49"/>
  <c r="AE46" i="49"/>
  <c r="BH49" i="49"/>
  <c r="AE50" i="49"/>
  <c r="BH53" i="49"/>
  <c r="AE54" i="49"/>
  <c r="AE60" i="49"/>
  <c r="P60" i="49"/>
  <c r="S60" i="49" s="1"/>
  <c r="S61" i="49"/>
  <c r="AE14" i="11"/>
  <c r="BI15" i="11"/>
  <c r="BH15" i="11"/>
  <c r="BH17" i="11"/>
  <c r="AE18" i="11"/>
  <c r="BI19" i="11"/>
  <c r="BH19" i="11"/>
  <c r="BH21" i="11"/>
  <c r="AE22" i="11"/>
  <c r="BI23" i="11"/>
  <c r="BH23" i="11"/>
  <c r="BH25" i="11"/>
  <c r="AE26" i="11"/>
  <c r="BI27" i="11"/>
  <c r="BH27" i="11"/>
  <c r="BH29" i="11"/>
  <c r="AE30" i="11"/>
  <c r="BM32" i="11"/>
  <c r="S33" i="11"/>
  <c r="S34" i="11"/>
  <c r="BM36" i="11"/>
  <c r="S37" i="11"/>
  <c r="S38" i="11"/>
  <c r="BM40" i="11"/>
  <c r="S42" i="11"/>
  <c r="BM44" i="11"/>
  <c r="AI45" i="11"/>
  <c r="BL45" i="11"/>
  <c r="S46" i="11"/>
  <c r="BM46" i="11"/>
  <c r="AJ50" i="11"/>
  <c r="AJ51" i="11"/>
  <c r="BL52" i="11"/>
  <c r="AJ53" i="11"/>
  <c r="AI54" i="11"/>
  <c r="BM55" i="11"/>
  <c r="AJ56" i="11"/>
  <c r="BM57" i="11"/>
  <c r="S60" i="11"/>
  <c r="BM60" i="11"/>
  <c r="AI61" i="11"/>
  <c r="BL61" i="11"/>
  <c r="S62" i="11"/>
  <c r="BM62" i="11"/>
  <c r="BL15" i="15"/>
  <c r="BM19" i="15"/>
  <c r="AI20" i="15"/>
  <c r="BM20" i="15"/>
  <c r="BL21" i="15"/>
  <c r="AJ24" i="15"/>
  <c r="BM25" i="15"/>
  <c r="BM26" i="15"/>
  <c r="AJ29" i="15"/>
  <c r="AJ30" i="15"/>
  <c r="BM30" i="15"/>
  <c r="AJ33" i="15"/>
  <c r="BM34" i="15"/>
  <c r="AJ37" i="15"/>
  <c r="AJ38" i="15"/>
  <c r="BM38" i="15"/>
  <c r="AJ41" i="15"/>
  <c r="AJ42" i="15"/>
  <c r="BM42" i="15"/>
  <c r="AJ46" i="15"/>
  <c r="BM46" i="15"/>
  <c r="AJ49" i="15"/>
  <c r="BM50" i="15"/>
  <c r="T52" i="15"/>
  <c r="AJ53" i="15"/>
  <c r="AJ54" i="15"/>
  <c r="BM54" i="15"/>
  <c r="AK56" i="15"/>
  <c r="T56" i="15"/>
  <c r="AJ57" i="15"/>
  <c r="AJ58" i="15"/>
  <c r="BM58" i="15"/>
  <c r="BL63" i="15"/>
  <c r="U12" i="49"/>
  <c r="P59" i="49"/>
  <c r="S59" i="49" s="1"/>
  <c r="BH59" i="49"/>
  <c r="AF61" i="49"/>
  <c r="AE61" i="49"/>
  <c r="BH63" i="49"/>
  <c r="AF14" i="11"/>
  <c r="AE15" i="11"/>
  <c r="P15" i="11"/>
  <c r="S15" i="11" s="1"/>
  <c r="S16" i="11"/>
  <c r="P17" i="11"/>
  <c r="S17" i="11" s="1"/>
  <c r="AW17" i="11"/>
  <c r="AE19" i="11"/>
  <c r="P19" i="11"/>
  <c r="S19" i="11" s="1"/>
  <c r="S20" i="11"/>
  <c r="P21" i="11"/>
  <c r="S21" i="11" s="1"/>
  <c r="AW21" i="11"/>
  <c r="AE23" i="11"/>
  <c r="P23" i="11"/>
  <c r="S23" i="11" s="1"/>
  <c r="S24" i="11"/>
  <c r="P25" i="11"/>
  <c r="S25" i="11" s="1"/>
  <c r="AW25" i="11"/>
  <c r="AE27" i="11"/>
  <c r="P27" i="11"/>
  <c r="S27" i="11" s="1"/>
  <c r="P28" i="11"/>
  <c r="S28" i="11" s="1"/>
  <c r="P29" i="11"/>
  <c r="S29" i="11" s="1"/>
  <c r="AW29" i="11"/>
  <c r="AF33" i="11"/>
  <c r="BH33" i="11"/>
  <c r="AF37" i="11"/>
  <c r="BH37" i="11"/>
  <c r="AF41" i="11"/>
  <c r="BL41" i="11"/>
  <c r="BM45" i="11"/>
  <c r="S48" i="11"/>
  <c r="BM48" i="11"/>
  <c r="AI49" i="11"/>
  <c r="BL49" i="11"/>
  <c r="BM50" i="11"/>
  <c r="AJ54" i="11"/>
  <c r="AJ55" i="11"/>
  <c r="BL56" i="11"/>
  <c r="AJ57" i="11"/>
  <c r="AI58" i="11"/>
  <c r="BM59" i="11"/>
  <c r="AJ60" i="11"/>
  <c r="BM61" i="11"/>
  <c r="AI14" i="15"/>
  <c r="AJ17" i="15"/>
  <c r="BL19" i="15"/>
  <c r="BM23" i="15"/>
  <c r="AI24" i="15"/>
  <c r="BM24" i="15"/>
  <c r="BL25" i="15"/>
  <c r="BM29" i="15"/>
  <c r="AI30" i="15"/>
  <c r="AJ32" i="15"/>
  <c r="BM33" i="15"/>
  <c r="AI34" i="15"/>
  <c r="BM37" i="15"/>
  <c r="AI38" i="15"/>
  <c r="BM41" i="15"/>
  <c r="AI42" i="15"/>
  <c r="BM45" i="15"/>
  <c r="AI46" i="15"/>
  <c r="BM49" i="15"/>
  <c r="BM53" i="15"/>
  <c r="AI54" i="15"/>
  <c r="BM57" i="15"/>
  <c r="AI58" i="15"/>
  <c r="AI60" i="15"/>
  <c r="BM60" i="15"/>
  <c r="AJ62" i="15"/>
  <c r="BH31" i="11"/>
  <c r="AE32" i="11"/>
  <c r="BH35" i="11"/>
  <c r="AE36" i="11"/>
  <c r="BH39" i="11"/>
  <c r="AE40" i="11"/>
  <c r="BH43" i="11"/>
  <c r="AE44" i="11"/>
  <c r="P47" i="11"/>
  <c r="S47" i="11" s="1"/>
  <c r="BH47" i="11"/>
  <c r="AE48" i="11"/>
  <c r="AW48" i="11"/>
  <c r="P51" i="11"/>
  <c r="S51" i="11" s="1"/>
  <c r="BH51" i="11"/>
  <c r="AE52" i="11"/>
  <c r="AW52" i="11"/>
  <c r="P55" i="11"/>
  <c r="S55" i="11" s="1"/>
  <c r="BH55" i="11"/>
  <c r="AE56" i="11"/>
  <c r="AW56" i="11"/>
  <c r="P59" i="11"/>
  <c r="S59" i="11" s="1"/>
  <c r="BH59" i="11"/>
  <c r="AE60" i="11"/>
  <c r="AW60" i="11"/>
  <c r="P63" i="11"/>
  <c r="S63" i="11" s="1"/>
  <c r="BH63" i="11"/>
  <c r="BH14" i="15"/>
  <c r="AE15" i="15"/>
  <c r="BH18" i="15"/>
  <c r="AE19" i="15"/>
  <c r="BH22" i="15"/>
  <c r="AE23" i="15"/>
  <c r="BH26" i="15"/>
  <c r="AE27" i="15"/>
  <c r="BH30" i="15"/>
  <c r="AE31" i="15"/>
  <c r="BH34" i="15"/>
  <c r="AE35" i="15"/>
  <c r="AF36" i="15"/>
  <c r="BH38" i="15"/>
  <c r="AE39" i="15"/>
  <c r="BI39" i="15"/>
  <c r="AF40" i="15"/>
  <c r="BH42" i="15"/>
  <c r="AE43" i="15"/>
  <c r="BI43" i="15"/>
  <c r="AF44" i="15"/>
  <c r="BH46" i="15"/>
  <c r="AE47" i="15"/>
  <c r="BI47" i="15"/>
  <c r="AF48" i="15"/>
  <c r="BH50" i="15"/>
  <c r="AE51" i="15"/>
  <c r="AW51" i="15"/>
  <c r="BI51" i="15"/>
  <c r="AF52" i="15"/>
  <c r="BN52" i="15"/>
  <c r="P54" i="15"/>
  <c r="S54" i="15" s="1"/>
  <c r="BH54" i="15"/>
  <c r="AE55" i="15"/>
  <c r="AW55" i="15"/>
  <c r="BI55" i="15"/>
  <c r="AF56" i="15"/>
  <c r="BN56" i="15"/>
  <c r="P58" i="15"/>
  <c r="S58" i="15" s="1"/>
  <c r="BH58" i="15"/>
  <c r="AE59" i="15"/>
  <c r="AW59" i="15"/>
  <c r="P61" i="15"/>
  <c r="S61" i="15" s="1"/>
  <c r="BH61" i="15"/>
  <c r="BM61" i="15"/>
  <c r="AF63" i="15"/>
  <c r="AE63" i="15"/>
  <c r="AY11" i="10"/>
  <c r="AF15" i="10"/>
  <c r="AE19" i="10"/>
  <c r="AJ20" i="10"/>
  <c r="BL22" i="10"/>
  <c r="AJ23" i="10"/>
  <c r="AI24" i="10"/>
  <c r="BM26" i="10"/>
  <c r="BL27" i="10"/>
  <c r="BM28" i="10"/>
  <c r="BL30" i="10"/>
  <c r="AJ31" i="10"/>
  <c r="AI32" i="10"/>
  <c r="BM34" i="10"/>
  <c r="BL35" i="10"/>
  <c r="BM36" i="10"/>
  <c r="BL38" i="10"/>
  <c r="AJ39" i="10"/>
  <c r="AI40" i="10"/>
  <c r="BM42" i="10"/>
  <c r="AI43" i="10"/>
  <c r="BL43" i="10"/>
  <c r="BM44" i="10"/>
  <c r="BL46" i="10"/>
  <c r="AJ47" i="10"/>
  <c r="BM50" i="10"/>
  <c r="AI51" i="10"/>
  <c r="BL51" i="10"/>
  <c r="BM52" i="10"/>
  <c r="BL54" i="10"/>
  <c r="AJ55" i="10"/>
  <c r="AI56" i="10"/>
  <c r="AK58" i="10"/>
  <c r="T58" i="10"/>
  <c r="BM58" i="10"/>
  <c r="AI59" i="10"/>
  <c r="BL59" i="10"/>
  <c r="BM60" i="10"/>
  <c r="BL62" i="10"/>
  <c r="AJ63" i="10"/>
  <c r="BM14" i="2"/>
  <c r="AJ19" i="2"/>
  <c r="AJ20" i="2"/>
  <c r="BM20" i="2"/>
  <c r="AJ21" i="2"/>
  <c r="BM22" i="2"/>
  <c r="AJ31" i="2"/>
  <c r="BM31" i="2"/>
  <c r="BL33" i="2"/>
  <c r="AJ36" i="2"/>
  <c r="BH46" i="11"/>
  <c r="AE47" i="11"/>
  <c r="P50" i="11"/>
  <c r="S50" i="11" s="1"/>
  <c r="BH50" i="11"/>
  <c r="AE51" i="11"/>
  <c r="BH54" i="11"/>
  <c r="AE55" i="11"/>
  <c r="BH58" i="11"/>
  <c r="AE59" i="11"/>
  <c r="BH62" i="11"/>
  <c r="AE63" i="11"/>
  <c r="X12" i="15"/>
  <c r="BI14" i="15"/>
  <c r="AF15" i="15"/>
  <c r="AF19" i="15"/>
  <c r="AF23" i="15"/>
  <c r="AF27" i="15"/>
  <c r="AF31" i="15"/>
  <c r="AF35" i="15"/>
  <c r="AF39" i="15"/>
  <c r="AF43" i="15"/>
  <c r="AF47" i="15"/>
  <c r="AF51" i="15"/>
  <c r="AF55" i="15"/>
  <c r="AF59" i="15"/>
  <c r="BI59" i="15"/>
  <c r="AF60" i="15"/>
  <c r="BN63" i="15"/>
  <c r="AW63" i="15"/>
  <c r="BI14" i="10"/>
  <c r="AE16" i="10"/>
  <c r="AF18" i="10"/>
  <c r="BI18" i="10"/>
  <c r="AJ24" i="10"/>
  <c r="AJ25" i="10"/>
  <c r="BM25" i="10"/>
  <c r="AJ26" i="10"/>
  <c r="BM27" i="10"/>
  <c r="AJ32" i="10"/>
  <c r="BM33" i="10"/>
  <c r="AJ34" i="10"/>
  <c r="AJ41" i="10"/>
  <c r="BM43" i="10"/>
  <c r="AJ48" i="10"/>
  <c r="AJ49" i="10"/>
  <c r="BM49" i="10"/>
  <c r="BM51" i="10"/>
  <c r="AJ56" i="10"/>
  <c r="AJ57" i="10"/>
  <c r="BM57" i="10"/>
  <c r="AJ58" i="10"/>
  <c r="BM59" i="10"/>
  <c r="AI15" i="2"/>
  <c r="BM17" i="2"/>
  <c r="BL18" i="2"/>
  <c r="BM19" i="2"/>
  <c r="BL21" i="2"/>
  <c r="AI23" i="2"/>
  <c r="BM25" i="2"/>
  <c r="AI26" i="2"/>
  <c r="BL26" i="2"/>
  <c r="AJ28" i="2"/>
  <c r="BL29" i="2"/>
  <c r="AI30" i="2"/>
  <c r="BL30" i="2"/>
  <c r="AI34" i="2"/>
  <c r="BL34" i="2"/>
  <c r="P45" i="11"/>
  <c r="S45" i="11" s="1"/>
  <c r="P49" i="11"/>
  <c r="S49" i="11" s="1"/>
  <c r="P53" i="11"/>
  <c r="S53" i="11" s="1"/>
  <c r="P57" i="11"/>
  <c r="S57" i="11" s="1"/>
  <c r="P61" i="11"/>
  <c r="S61" i="11" s="1"/>
  <c r="BH16" i="15"/>
  <c r="AE17" i="15"/>
  <c r="BH20" i="15"/>
  <c r="AE21" i="15"/>
  <c r="BH24" i="15"/>
  <c r="AE25" i="15"/>
  <c r="BH28" i="15"/>
  <c r="AE29" i="15"/>
  <c r="BH32" i="15"/>
  <c r="AE33" i="15"/>
  <c r="BH36" i="15"/>
  <c r="AE37" i="15"/>
  <c r="BH40" i="15"/>
  <c r="AE41" i="15"/>
  <c r="BH44" i="15"/>
  <c r="AE45" i="15"/>
  <c r="BH48" i="15"/>
  <c r="AE49" i="15"/>
  <c r="BH52" i="15"/>
  <c r="AE53" i="15"/>
  <c r="BH56" i="15"/>
  <c r="AE57" i="15"/>
  <c r="BH60" i="15"/>
  <c r="AE61" i="15"/>
  <c r="BI62" i="15"/>
  <c r="BH62" i="15"/>
  <c r="BI15" i="10"/>
  <c r="AF16" i="10"/>
  <c r="AF17" i="10"/>
  <c r="AE17" i="10"/>
  <c r="AJ19" i="10"/>
  <c r="BL19" i="10"/>
  <c r="AI23" i="10"/>
  <c r="BL23" i="10"/>
  <c r="BM24" i="10"/>
  <c r="AJ27" i="10"/>
  <c r="AI28" i="10"/>
  <c r="BM30" i="10"/>
  <c r="BL31" i="10"/>
  <c r="BM32" i="10"/>
  <c r="BL34" i="10"/>
  <c r="AI36" i="10"/>
  <c r="BM38" i="10"/>
  <c r="AI39" i="10"/>
  <c r="BM40" i="10"/>
  <c r="BL42" i="10"/>
  <c r="AJ43" i="10"/>
  <c r="BM46" i="10"/>
  <c r="AI47" i="10"/>
  <c r="BL47" i="10"/>
  <c r="BM48" i="10"/>
  <c r="BL50" i="10"/>
  <c r="AJ51" i="10"/>
  <c r="AI52" i="10"/>
  <c r="AK54" i="10"/>
  <c r="T54" i="10"/>
  <c r="AI55" i="10"/>
  <c r="BL55" i="10"/>
  <c r="BM56" i="10"/>
  <c r="AJ59" i="10"/>
  <c r="AI60" i="10"/>
  <c r="AK62" i="10"/>
  <c r="T62" i="10"/>
  <c r="BM62" i="10"/>
  <c r="AI63" i="10"/>
  <c r="BL63" i="10"/>
  <c r="AJ15" i="2"/>
  <c r="BM16" i="2"/>
  <c r="BM18" i="2"/>
  <c r="AJ23" i="2"/>
  <c r="AJ24" i="2"/>
  <c r="AJ25" i="2"/>
  <c r="BM26" i="2"/>
  <c r="BM27" i="2"/>
  <c r="BM30" i="2"/>
  <c r="BM39" i="2"/>
  <c r="V12" i="15"/>
  <c r="P60" i="15"/>
  <c r="S60" i="15" s="1"/>
  <c r="AW60" i="15"/>
  <c r="AE62" i="15"/>
  <c r="P62" i="15"/>
  <c r="S62" i="15" s="1"/>
  <c r="S63" i="15"/>
  <c r="AF14" i="10"/>
  <c r="U12" i="10"/>
  <c r="AE14" i="10"/>
  <c r="AC12" i="10"/>
  <c r="BH16" i="10"/>
  <c r="BM19" i="10"/>
  <c r="AI20" i="10"/>
  <c r="BI20" i="10"/>
  <c r="BH20" i="10"/>
  <c r="AJ22" i="10"/>
  <c r="BM23" i="10"/>
  <c r="BM29" i="10"/>
  <c r="AJ30" i="10"/>
  <c r="BM31" i="10"/>
  <c r="AJ37" i="10"/>
  <c r="BM37" i="10"/>
  <c r="AJ44" i="10"/>
  <c r="AJ45" i="10"/>
  <c r="BM45" i="10"/>
  <c r="BM47" i="10"/>
  <c r="AJ52" i="10"/>
  <c r="AJ53" i="10"/>
  <c r="AJ54" i="10"/>
  <c r="BM55" i="10"/>
  <c r="AJ60" i="10"/>
  <c r="BM61" i="10"/>
  <c r="AJ62" i="10"/>
  <c r="BM63" i="10"/>
  <c r="BL14" i="2"/>
  <c r="BM15" i="2"/>
  <c r="BL17" i="2"/>
  <c r="BM21" i="2"/>
  <c r="BM23" i="2"/>
  <c r="BL25" i="2"/>
  <c r="AI28" i="2"/>
  <c r="BH17" i="10"/>
  <c r="AE18" i="10"/>
  <c r="BH21" i="10"/>
  <c r="AE22" i="10"/>
  <c r="BH25" i="10"/>
  <c r="AE26" i="10"/>
  <c r="BH29" i="10"/>
  <c r="AE30" i="10"/>
  <c r="BH33" i="10"/>
  <c r="AE34" i="10"/>
  <c r="BH37" i="10"/>
  <c r="AE38" i="10"/>
  <c r="BH41" i="10"/>
  <c r="AE42" i="10"/>
  <c r="BH45" i="10"/>
  <c r="AE46" i="10"/>
  <c r="BH49" i="10"/>
  <c r="AE50" i="10"/>
  <c r="P53" i="10"/>
  <c r="S53" i="10" s="1"/>
  <c r="BH53" i="10"/>
  <c r="AE54" i="10"/>
  <c r="AW54" i="10"/>
  <c r="P57" i="10"/>
  <c r="S57" i="10" s="1"/>
  <c r="BH57" i="10"/>
  <c r="AE58" i="10"/>
  <c r="AW58" i="10"/>
  <c r="P61" i="10"/>
  <c r="S61" i="10" s="1"/>
  <c r="BH61" i="10"/>
  <c r="AE62" i="10"/>
  <c r="AW62" i="10"/>
  <c r="BA11" i="2"/>
  <c r="U12" i="2"/>
  <c r="BH16" i="2"/>
  <c r="AE17" i="2"/>
  <c r="BH20" i="2"/>
  <c r="AE21" i="2"/>
  <c r="BH24" i="2"/>
  <c r="AE25" i="2"/>
  <c r="AE27" i="2"/>
  <c r="AF29" i="2"/>
  <c r="AE29" i="2"/>
  <c r="BH31" i="2"/>
  <c r="BI34" i="2"/>
  <c r="AF35" i="2"/>
  <c r="AE36" i="2"/>
  <c r="BI36" i="2"/>
  <c r="BH36" i="2"/>
  <c r="BI37" i="2"/>
  <c r="AF38" i="2"/>
  <c r="AJ40" i="2"/>
  <c r="AJ42" i="2"/>
  <c r="BM43" i="2"/>
  <c r="AI44" i="2"/>
  <c r="BM44" i="2"/>
  <c r="AJ47" i="2"/>
  <c r="AJ48" i="2"/>
  <c r="BL49" i="2"/>
  <c r="BM53" i="2"/>
  <c r="AI54" i="2"/>
  <c r="BL55" i="2"/>
  <c r="AJ58" i="2"/>
  <c r="BM59" i="2"/>
  <c r="BM60" i="2"/>
  <c r="S62" i="2"/>
  <c r="AJ63" i="2"/>
  <c r="BM14" i="4"/>
  <c r="BM15" i="4"/>
  <c r="AJ18" i="4"/>
  <c r="BL20" i="4"/>
  <c r="BM24" i="4"/>
  <c r="BL26" i="4"/>
  <c r="AJ29" i="4"/>
  <c r="BM30" i="4"/>
  <c r="BM31" i="4"/>
  <c r="BL36" i="4"/>
  <c r="AJ42" i="4"/>
  <c r="BL47" i="4"/>
  <c r="BL48" i="4"/>
  <c r="T52" i="4"/>
  <c r="AE21" i="10"/>
  <c r="BH24" i="10"/>
  <c r="AE25" i="10"/>
  <c r="BH28" i="10"/>
  <c r="AE29" i="10"/>
  <c r="BH32" i="10"/>
  <c r="AE33" i="10"/>
  <c r="BH36" i="10"/>
  <c r="AE37" i="10"/>
  <c r="BH40" i="10"/>
  <c r="AE41" i="10"/>
  <c r="BH44" i="10"/>
  <c r="AE45" i="10"/>
  <c r="BH48" i="10"/>
  <c r="AE49" i="10"/>
  <c r="P52" i="10"/>
  <c r="S52" i="10" s="1"/>
  <c r="BH52" i="10"/>
  <c r="AE53" i="10"/>
  <c r="P56" i="10"/>
  <c r="S56" i="10" s="1"/>
  <c r="BH56" i="10"/>
  <c r="AE57" i="10"/>
  <c r="P60" i="10"/>
  <c r="S60" i="10" s="1"/>
  <c r="BH60" i="10"/>
  <c r="AE61" i="10"/>
  <c r="AX11" i="2"/>
  <c r="BH15" i="2"/>
  <c r="AE16" i="2"/>
  <c r="BH19" i="2"/>
  <c r="AE20" i="2"/>
  <c r="BH23" i="2"/>
  <c r="AE24" i="2"/>
  <c r="BH27" i="2"/>
  <c r="BI28" i="2"/>
  <c r="AF30" i="2"/>
  <c r="AF33" i="2"/>
  <c r="AE33" i="2"/>
  <c r="BH37" i="2"/>
  <c r="AI38" i="2"/>
  <c r="AI40" i="2"/>
  <c r="BM41" i="2"/>
  <c r="AI42" i="2"/>
  <c r="BM42" i="2"/>
  <c r="AJ46" i="2"/>
  <c r="AI48" i="2"/>
  <c r="BM48" i="2"/>
  <c r="AJ51" i="2"/>
  <c r="AJ52" i="2"/>
  <c r="S53" i="2"/>
  <c r="BL53" i="2"/>
  <c r="AI58" i="2"/>
  <c r="BM58" i="2"/>
  <c r="BL59" i="2"/>
  <c r="BM63" i="2"/>
  <c r="BL14" i="4"/>
  <c r="AJ17" i="4"/>
  <c r="BM18" i="4"/>
  <c r="AI19" i="4"/>
  <c r="BM19" i="4"/>
  <c r="AJ23" i="4"/>
  <c r="BL24" i="4"/>
  <c r="BM28" i="4"/>
  <c r="BM29" i="4"/>
  <c r="BL30" i="4"/>
  <c r="AJ33" i="4"/>
  <c r="AJ35" i="4"/>
  <c r="BM35" i="4"/>
  <c r="BM40" i="4"/>
  <c r="BL41" i="4"/>
  <c r="BM42" i="4"/>
  <c r="BM48" i="4"/>
  <c r="P51" i="10"/>
  <c r="S51" i="10" s="1"/>
  <c r="P55" i="10"/>
  <c r="S55" i="10" s="1"/>
  <c r="P59" i="10"/>
  <c r="S59" i="10" s="1"/>
  <c r="P63" i="10"/>
  <c r="S63" i="10" s="1"/>
  <c r="W12" i="2"/>
  <c r="BI29" i="2"/>
  <c r="AE31" i="2"/>
  <c r="AF34" i="2"/>
  <c r="AF37" i="2"/>
  <c r="AE37" i="2"/>
  <c r="BM38" i="2"/>
  <c r="BH38" i="2"/>
  <c r="BL41" i="2"/>
  <c r="AI46" i="2"/>
  <c r="BM46" i="2"/>
  <c r="BL47" i="2"/>
  <c r="AJ50" i="2"/>
  <c r="BM51" i="2"/>
  <c r="AI52" i="2"/>
  <c r="BM52" i="2"/>
  <c r="S54" i="2"/>
  <c r="AJ55" i="2"/>
  <c r="AJ56" i="2"/>
  <c r="BL57" i="2"/>
  <c r="BM61" i="2"/>
  <c r="BM62" i="2"/>
  <c r="BL63" i="2"/>
  <c r="BM16" i="4"/>
  <c r="BM17" i="4"/>
  <c r="BL18" i="4"/>
  <c r="BM22" i="4"/>
  <c r="AI23" i="4"/>
  <c r="BM23" i="4"/>
  <c r="AJ26" i="4"/>
  <c r="AJ27" i="4"/>
  <c r="BL28" i="4"/>
  <c r="BM32" i="4"/>
  <c r="AI33" i="4"/>
  <c r="BM33" i="4"/>
  <c r="BM34" i="4"/>
  <c r="AJ39" i="4"/>
  <c r="BM39" i="4"/>
  <c r="AJ40" i="4"/>
  <c r="BL40" i="4"/>
  <c r="BM41" i="4"/>
  <c r="BL44" i="4"/>
  <c r="AJ53" i="4"/>
  <c r="AE32" i="2"/>
  <c r="BI32" i="2"/>
  <c r="BH32" i="2"/>
  <c r="AE35" i="2"/>
  <c r="AF39" i="2"/>
  <c r="AE39" i="2"/>
  <c r="BI40" i="2"/>
  <c r="BH40" i="2"/>
  <c r="AJ43" i="2"/>
  <c r="AJ44" i="2"/>
  <c r="BM49" i="2"/>
  <c r="AI50" i="2"/>
  <c r="BM50" i="2"/>
  <c r="AJ54" i="2"/>
  <c r="BM55" i="2"/>
  <c r="AI56" i="2"/>
  <c r="S58" i="2"/>
  <c r="AJ59" i="2"/>
  <c r="AJ60" i="2"/>
  <c r="AJ15" i="4"/>
  <c r="BL16" i="4"/>
  <c r="BM20" i="4"/>
  <c r="AI21" i="4"/>
  <c r="BL22" i="4"/>
  <c r="AJ25" i="4"/>
  <c r="BM26" i="4"/>
  <c r="BM27" i="4"/>
  <c r="AJ30" i="4"/>
  <c r="AJ31" i="4"/>
  <c r="BL32" i="4"/>
  <c r="BM36" i="4"/>
  <c r="AI37" i="4"/>
  <c r="BM37" i="4"/>
  <c r="BM38" i="4"/>
  <c r="AJ41" i="4"/>
  <c r="AI42" i="4"/>
  <c r="AI48" i="4"/>
  <c r="AJ49" i="4"/>
  <c r="T51" i="4"/>
  <c r="BL51" i="4"/>
  <c r="AI52" i="4"/>
  <c r="BL52" i="4"/>
  <c r="AE41" i="2"/>
  <c r="BH44" i="2"/>
  <c r="AE45" i="2"/>
  <c r="BH48" i="2"/>
  <c r="AE49" i="2"/>
  <c r="P52" i="2"/>
  <c r="S52" i="2" s="1"/>
  <c r="BH52" i="2"/>
  <c r="AE53" i="2"/>
  <c r="AW53" i="2"/>
  <c r="BN54" i="2"/>
  <c r="P56" i="2"/>
  <c r="S56" i="2" s="1"/>
  <c r="BH56" i="2"/>
  <c r="AE57" i="2"/>
  <c r="AW57" i="2"/>
  <c r="BN58" i="2"/>
  <c r="P60" i="2"/>
  <c r="S60" i="2" s="1"/>
  <c r="BH60" i="2"/>
  <c r="AE61" i="2"/>
  <c r="AW61" i="2"/>
  <c r="BN62" i="2"/>
  <c r="AX11" i="4"/>
  <c r="BH15" i="4"/>
  <c r="AE16" i="4"/>
  <c r="BH19" i="4"/>
  <c r="AE20" i="4"/>
  <c r="BH23" i="4"/>
  <c r="AE24" i="4"/>
  <c r="BH27" i="4"/>
  <c r="AE28" i="4"/>
  <c r="BH31" i="4"/>
  <c r="AE32" i="4"/>
  <c r="BH35" i="4"/>
  <c r="AE36" i="4"/>
  <c r="BH39" i="4"/>
  <c r="AE40" i="4"/>
  <c r="AF44" i="4"/>
  <c r="BI44" i="4"/>
  <c r="AF45" i="4"/>
  <c r="AE46" i="4"/>
  <c r="AJ46" i="4"/>
  <c r="BI46" i="4"/>
  <c r="BH46" i="4"/>
  <c r="BI47" i="4"/>
  <c r="AE49" i="4"/>
  <c r="BI49" i="4"/>
  <c r="BN51" i="4"/>
  <c r="AW51" i="4"/>
  <c r="AF52" i="4"/>
  <c r="AJ54" i="4"/>
  <c r="AJ56" i="4"/>
  <c r="AJ58" i="4"/>
  <c r="S60" i="4"/>
  <c r="AJ16" i="5"/>
  <c r="AJ17" i="5"/>
  <c r="AJ18" i="5"/>
  <c r="BM19" i="5"/>
  <c r="AJ24" i="5"/>
  <c r="BM25" i="5"/>
  <c r="AJ26" i="5"/>
  <c r="BM27" i="5"/>
  <c r="AJ33" i="5"/>
  <c r="BM33" i="5"/>
  <c r="AJ34" i="5"/>
  <c r="AI38" i="5"/>
  <c r="BL38" i="5"/>
  <c r="AI42" i="5"/>
  <c r="BL42" i="5"/>
  <c r="BL45" i="5"/>
  <c r="AJ55" i="5"/>
  <c r="AF41" i="2"/>
  <c r="AF45" i="2"/>
  <c r="AF49" i="2"/>
  <c r="P51" i="2"/>
  <c r="S51" i="2" s="1"/>
  <c r="AF53" i="2"/>
  <c r="P55" i="2"/>
  <c r="S55" i="2" s="1"/>
  <c r="AF57" i="2"/>
  <c r="P59" i="2"/>
  <c r="S59" i="2" s="1"/>
  <c r="AF61" i="2"/>
  <c r="P63" i="2"/>
  <c r="S63" i="2" s="1"/>
  <c r="W12" i="4"/>
  <c r="AF16" i="4"/>
  <c r="AF20" i="4"/>
  <c r="AF24" i="4"/>
  <c r="AF28" i="4"/>
  <c r="AF32" i="4"/>
  <c r="BH34" i="4"/>
  <c r="AE35" i="4"/>
  <c r="AF36" i="4"/>
  <c r="BH38" i="4"/>
  <c r="AE39" i="4"/>
  <c r="BH42" i="4"/>
  <c r="AF43" i="4"/>
  <c r="BH43" i="4"/>
  <c r="BM45" i="4"/>
  <c r="AE50" i="4"/>
  <c r="AJ50" i="4"/>
  <c r="BI50" i="4"/>
  <c r="BH50" i="4"/>
  <c r="BI51" i="4"/>
  <c r="P53" i="4"/>
  <c r="S53" i="4" s="1"/>
  <c r="AE53" i="4"/>
  <c r="BI53" i="4"/>
  <c r="AI54" i="4"/>
  <c r="BM55" i="4"/>
  <c r="BM56" i="4"/>
  <c r="BM57" i="4"/>
  <c r="AJ60" i="4"/>
  <c r="S63" i="4"/>
  <c r="BM63" i="4"/>
  <c r="BM14" i="5"/>
  <c r="AI15" i="5"/>
  <c r="BL15" i="5"/>
  <c r="BM16" i="5"/>
  <c r="BL18" i="5"/>
  <c r="AJ19" i="5"/>
  <c r="AI20" i="5"/>
  <c r="AK22" i="5"/>
  <c r="T22" i="5"/>
  <c r="BM22" i="5"/>
  <c r="AI23" i="5"/>
  <c r="BL23" i="5"/>
  <c r="BM24" i="5"/>
  <c r="BL26" i="5"/>
  <c r="AJ27" i="5"/>
  <c r="AI28" i="5"/>
  <c r="AK30" i="5"/>
  <c r="T30" i="5"/>
  <c r="BM30" i="5"/>
  <c r="AI31" i="5"/>
  <c r="BL31" i="5"/>
  <c r="BM32" i="5"/>
  <c r="BL34" i="5"/>
  <c r="AJ35" i="5"/>
  <c r="AI36" i="5"/>
  <c r="AK38" i="5"/>
  <c r="T38" i="5"/>
  <c r="BM38" i="5"/>
  <c r="BM50" i="5"/>
  <c r="BH42" i="2"/>
  <c r="AE43" i="2"/>
  <c r="BH46" i="2"/>
  <c r="AE47" i="2"/>
  <c r="BH50" i="2"/>
  <c r="AE51" i="2"/>
  <c r="BH54" i="2"/>
  <c r="AE55" i="2"/>
  <c r="BH58" i="2"/>
  <c r="AE59" i="2"/>
  <c r="BH62" i="2"/>
  <c r="AE63" i="2"/>
  <c r="AE14" i="4"/>
  <c r="BH17" i="4"/>
  <c r="AE18" i="4"/>
  <c r="BH21" i="4"/>
  <c r="AE22" i="4"/>
  <c r="BH25" i="4"/>
  <c r="AE26" i="4"/>
  <c r="BH29" i="4"/>
  <c r="AE30" i="4"/>
  <c r="BH33" i="4"/>
  <c r="AE34" i="4"/>
  <c r="BH37" i="4"/>
  <c r="AE38" i="4"/>
  <c r="AF47" i="4"/>
  <c r="AE47" i="4"/>
  <c r="S55" i="4"/>
  <c r="BL55" i="4"/>
  <c r="BM59" i="4"/>
  <c r="AI60" i="4"/>
  <c r="AJ61" i="4"/>
  <c r="AJ62" i="4"/>
  <c r="BM62" i="4"/>
  <c r="AJ63" i="4"/>
  <c r="BL63" i="4"/>
  <c r="AK54" i="5"/>
  <c r="T54" i="5"/>
  <c r="AJ14" i="5"/>
  <c r="BM15" i="5"/>
  <c r="AJ20" i="5"/>
  <c r="AJ21" i="5"/>
  <c r="BM21" i="5"/>
  <c r="AJ22" i="5"/>
  <c r="BM23" i="5"/>
  <c r="AJ28" i="5"/>
  <c r="AJ29" i="5"/>
  <c r="BM29" i="5"/>
  <c r="AJ30" i="5"/>
  <c r="BM31" i="5"/>
  <c r="AJ36" i="5"/>
  <c r="AJ37" i="5"/>
  <c r="BM37" i="5"/>
  <c r="T41" i="5"/>
  <c r="AK41" i="5"/>
  <c r="BL49" i="5"/>
  <c r="BM54" i="5"/>
  <c r="AE45" i="4"/>
  <c r="AF51" i="4"/>
  <c r="AE51" i="4"/>
  <c r="BL53" i="4"/>
  <c r="BI54" i="4"/>
  <c r="BH54" i="4"/>
  <c r="S56" i="4"/>
  <c r="AJ57" i="4"/>
  <c r="S59" i="4"/>
  <c r="BL59" i="4"/>
  <c r="BM60" i="4"/>
  <c r="BM61" i="4"/>
  <c r="AJ15" i="5"/>
  <c r="AI16" i="5"/>
  <c r="AK18" i="5"/>
  <c r="T18" i="5"/>
  <c r="BM18" i="5"/>
  <c r="AI19" i="5"/>
  <c r="BL19" i="5"/>
  <c r="BM20" i="5"/>
  <c r="BL22" i="5"/>
  <c r="AJ23" i="5"/>
  <c r="AI24" i="5"/>
  <c r="AK26" i="5"/>
  <c r="T26" i="5"/>
  <c r="BM26" i="5"/>
  <c r="BL27" i="5"/>
  <c r="BM28" i="5"/>
  <c r="BL30" i="5"/>
  <c r="AI32" i="5"/>
  <c r="AK34" i="5"/>
  <c r="T34" i="5"/>
  <c r="BM34" i="5"/>
  <c r="AI35" i="5"/>
  <c r="BL35" i="5"/>
  <c r="BM36" i="5"/>
  <c r="AJ39" i="5"/>
  <c r="BM39" i="5"/>
  <c r="AJ40" i="5"/>
  <c r="BL41" i="5"/>
  <c r="AJ44" i="5"/>
  <c r="AK45" i="5"/>
  <c r="AI46" i="5"/>
  <c r="AJ51" i="5"/>
  <c r="P54" i="4"/>
  <c r="S54" i="4" s="1"/>
  <c r="AE55" i="4"/>
  <c r="AW55" i="4"/>
  <c r="BN56" i="4"/>
  <c r="P58" i="4"/>
  <c r="S58" i="4" s="1"/>
  <c r="BH58" i="4"/>
  <c r="AE59" i="4"/>
  <c r="AW59" i="4"/>
  <c r="P62" i="4"/>
  <c r="S62" i="4" s="1"/>
  <c r="BH62" i="4"/>
  <c r="AE63" i="4"/>
  <c r="AW63" i="4"/>
  <c r="AZ11" i="5"/>
  <c r="AE14" i="5"/>
  <c r="AW14" i="5"/>
  <c r="P17" i="5"/>
  <c r="S17" i="5" s="1"/>
  <c r="BH17" i="5"/>
  <c r="AE18" i="5"/>
  <c r="AW18" i="5"/>
  <c r="P21" i="5"/>
  <c r="S21" i="5" s="1"/>
  <c r="BH21" i="5"/>
  <c r="AE22" i="5"/>
  <c r="AW22" i="5"/>
  <c r="P25" i="5"/>
  <c r="S25" i="5" s="1"/>
  <c r="BH25" i="5"/>
  <c r="AE26" i="5"/>
  <c r="AW26" i="5"/>
  <c r="P29" i="5"/>
  <c r="S29" i="5" s="1"/>
  <c r="BH29" i="5"/>
  <c r="AE30" i="5"/>
  <c r="AW30" i="5"/>
  <c r="P33" i="5"/>
  <c r="S33" i="5" s="1"/>
  <c r="BH33" i="5"/>
  <c r="AE34" i="5"/>
  <c r="AW34" i="5"/>
  <c r="P37" i="5"/>
  <c r="S37" i="5" s="1"/>
  <c r="BH37" i="5"/>
  <c r="BH39" i="5"/>
  <c r="P42" i="5"/>
  <c r="S42" i="5" s="1"/>
  <c r="AW42" i="5"/>
  <c r="BI42" i="5"/>
  <c r="AF43" i="5"/>
  <c r="AE44" i="5"/>
  <c r="P44" i="5"/>
  <c r="S44" i="5" s="1"/>
  <c r="BI44" i="5"/>
  <c r="BH44" i="5"/>
  <c r="BI45" i="5"/>
  <c r="BH46" i="5"/>
  <c r="BI46" i="5"/>
  <c r="AF50" i="5"/>
  <c r="BH50" i="5"/>
  <c r="AF54" i="5"/>
  <c r="BH54" i="5"/>
  <c r="BL57" i="5"/>
  <c r="AJ58" i="5"/>
  <c r="AI59" i="5"/>
  <c r="BM60" i="5"/>
  <c r="AJ61" i="5"/>
  <c r="BM62" i="5"/>
  <c r="BM14" i="6"/>
  <c r="AJ17" i="6"/>
  <c r="AJ18" i="6"/>
  <c r="AJ19" i="6"/>
  <c r="BL20" i="6"/>
  <c r="AI22" i="6"/>
  <c r="BM23" i="6"/>
  <c r="AJ24" i="6"/>
  <c r="BM24" i="6"/>
  <c r="BM25" i="6"/>
  <c r="AI29" i="6"/>
  <c r="BL29" i="6"/>
  <c r="BM30" i="6"/>
  <c r="AJ31" i="6"/>
  <c r="BM33" i="6"/>
  <c r="AJ38" i="6"/>
  <c r="AF55" i="4"/>
  <c r="P57" i="4"/>
  <c r="S57" i="4" s="1"/>
  <c r="BH57" i="4"/>
  <c r="AE58" i="4"/>
  <c r="AF59" i="4"/>
  <c r="P61" i="4"/>
  <c r="S61" i="4" s="1"/>
  <c r="BH61" i="4"/>
  <c r="AE62" i="4"/>
  <c r="BA11" i="5"/>
  <c r="U12" i="5"/>
  <c r="AE12" i="5" s="1"/>
  <c r="P16" i="5"/>
  <c r="S16" i="5" s="1"/>
  <c r="BH16" i="5"/>
  <c r="AE17" i="5"/>
  <c r="P20" i="5"/>
  <c r="S20" i="5" s="1"/>
  <c r="BH20" i="5"/>
  <c r="AE21" i="5"/>
  <c r="P24" i="5"/>
  <c r="S24" i="5" s="1"/>
  <c r="BH24" i="5"/>
  <c r="AE25" i="5"/>
  <c r="P28" i="5"/>
  <c r="S28" i="5" s="1"/>
  <c r="BH28" i="5"/>
  <c r="AE29" i="5"/>
  <c r="P32" i="5"/>
  <c r="S32" i="5" s="1"/>
  <c r="BH32" i="5"/>
  <c r="AE33" i="5"/>
  <c r="P36" i="5"/>
  <c r="S36" i="5" s="1"/>
  <c r="BH36" i="5"/>
  <c r="AE37" i="5"/>
  <c r="AF38" i="5"/>
  <c r="AF41" i="5"/>
  <c r="AE41" i="5"/>
  <c r="BM43" i="5"/>
  <c r="AE47" i="5"/>
  <c r="BI47" i="5"/>
  <c r="BH47" i="5"/>
  <c r="AF48" i="5"/>
  <c r="AE48" i="5"/>
  <c r="P48" i="5"/>
  <c r="S48" i="5" s="1"/>
  <c r="AE51" i="5"/>
  <c r="BI51" i="5"/>
  <c r="BH51" i="5"/>
  <c r="AF52" i="5"/>
  <c r="AE52" i="5"/>
  <c r="P52" i="5"/>
  <c r="S52" i="5" s="1"/>
  <c r="AE55" i="5"/>
  <c r="BI55" i="5"/>
  <c r="BH55" i="5"/>
  <c r="AF56" i="5"/>
  <c r="AE56" i="5"/>
  <c r="P56" i="5"/>
  <c r="S56" i="5" s="1"/>
  <c r="AJ60" i="5"/>
  <c r="BL61" i="5"/>
  <c r="AI17" i="6"/>
  <c r="BL17" i="6"/>
  <c r="BM18" i="6"/>
  <c r="AJ21" i="6"/>
  <c r="AJ22" i="6"/>
  <c r="AJ23" i="6"/>
  <c r="BL24" i="6"/>
  <c r="AI26" i="6"/>
  <c r="BM27" i="6"/>
  <c r="AJ28" i="6"/>
  <c r="BM28" i="6"/>
  <c r="BM29" i="6"/>
  <c r="AI34" i="6"/>
  <c r="AI37" i="6"/>
  <c r="BL37" i="6"/>
  <c r="BH56" i="4"/>
  <c r="AE57" i="4"/>
  <c r="BH60" i="4"/>
  <c r="P15" i="5"/>
  <c r="S15" i="5" s="1"/>
  <c r="P19" i="5"/>
  <c r="S19" i="5" s="1"/>
  <c r="P23" i="5"/>
  <c r="S23" i="5" s="1"/>
  <c r="P27" i="5"/>
  <c r="S27" i="5" s="1"/>
  <c r="P31" i="5"/>
  <c r="S31" i="5" s="1"/>
  <c r="P35" i="5"/>
  <c r="S35" i="5" s="1"/>
  <c r="P39" i="5"/>
  <c r="S39" i="5" s="1"/>
  <c r="AE39" i="5"/>
  <c r="BN41" i="5"/>
  <c r="AW41" i="5"/>
  <c r="AF42" i="5"/>
  <c r="AF45" i="5"/>
  <c r="AE45" i="5"/>
  <c r="S46" i="5"/>
  <c r="BI48" i="5"/>
  <c r="S49" i="5"/>
  <c r="BN49" i="5"/>
  <c r="AW49" i="5"/>
  <c r="AE50" i="5"/>
  <c r="BI52" i="5"/>
  <c r="S53" i="5"/>
  <c r="BN53" i="5"/>
  <c r="AW53" i="5"/>
  <c r="AE54" i="5"/>
  <c r="BI56" i="5"/>
  <c r="S57" i="5"/>
  <c r="BM57" i="5"/>
  <c r="AI58" i="5"/>
  <c r="BL58" i="5"/>
  <c r="S59" i="5"/>
  <c r="BM59" i="5"/>
  <c r="AJ62" i="5"/>
  <c r="AJ63" i="5"/>
  <c r="AI14" i="6"/>
  <c r="BM15" i="6"/>
  <c r="AJ16" i="6"/>
  <c r="BM17" i="6"/>
  <c r="AI21" i="6"/>
  <c r="BL21" i="6"/>
  <c r="BM22" i="6"/>
  <c r="AJ25" i="6"/>
  <c r="AJ26" i="6"/>
  <c r="AJ27" i="6"/>
  <c r="BL28" i="6"/>
  <c r="AJ34" i="6"/>
  <c r="BM34" i="6"/>
  <c r="AJ35" i="6"/>
  <c r="BM37" i="6"/>
  <c r="AE40" i="5"/>
  <c r="P40" i="5"/>
  <c r="S40" i="5" s="1"/>
  <c r="BI40" i="5"/>
  <c r="BH40" i="5"/>
  <c r="S43" i="5"/>
  <c r="AE43" i="5"/>
  <c r="BN45" i="5"/>
  <c r="AW45" i="5"/>
  <c r="BM49" i="5"/>
  <c r="S50" i="5"/>
  <c r="BM53" i="5"/>
  <c r="S55" i="5"/>
  <c r="AJ57" i="5"/>
  <c r="BM58" i="5"/>
  <c r="S61" i="5"/>
  <c r="BM61" i="5"/>
  <c r="AI62" i="5"/>
  <c r="BL62" i="5"/>
  <c r="S63" i="5"/>
  <c r="BM63" i="5"/>
  <c r="AJ14" i="6"/>
  <c r="BL16" i="6"/>
  <c r="AI18" i="6"/>
  <c r="BM19" i="6"/>
  <c r="AJ20" i="6"/>
  <c r="BM20" i="6"/>
  <c r="BM21" i="6"/>
  <c r="AI25" i="6"/>
  <c r="BL25" i="6"/>
  <c r="BM26" i="6"/>
  <c r="AJ29" i="6"/>
  <c r="AI33" i="6"/>
  <c r="BL33" i="6"/>
  <c r="AI38" i="6"/>
  <c r="BL40" i="6"/>
  <c r="BH48" i="5"/>
  <c r="AE49" i="5"/>
  <c r="BH52" i="5"/>
  <c r="AE53" i="5"/>
  <c r="BH56" i="5"/>
  <c r="AE57" i="5"/>
  <c r="AW57" i="5"/>
  <c r="P60" i="5"/>
  <c r="S60" i="5" s="1"/>
  <c r="BH60" i="5"/>
  <c r="AE61" i="5"/>
  <c r="AW61" i="5"/>
  <c r="AX11" i="6"/>
  <c r="BH11" i="6" s="1"/>
  <c r="BH15" i="6"/>
  <c r="AE16" i="6"/>
  <c r="BH19" i="6"/>
  <c r="AE20" i="6"/>
  <c r="BH23" i="6"/>
  <c r="AE24" i="6"/>
  <c r="BH27" i="6"/>
  <c r="AE28" i="6"/>
  <c r="AE30" i="6"/>
  <c r="BH30" i="6"/>
  <c r="AF32" i="6"/>
  <c r="AE32" i="6"/>
  <c r="BH32" i="6"/>
  <c r="BH34" i="6"/>
  <c r="AF36" i="6"/>
  <c r="AE36" i="6"/>
  <c r="BH36" i="6"/>
  <c r="BI38" i="6"/>
  <c r="BH38" i="6"/>
  <c r="AF39" i="6"/>
  <c r="AE39" i="6"/>
  <c r="AJ41" i="6"/>
  <c r="BM41" i="6"/>
  <c r="AE42" i="6"/>
  <c r="AJ44" i="6"/>
  <c r="BM44" i="6"/>
  <c r="AI49" i="6"/>
  <c r="BL49" i="6"/>
  <c r="BM50" i="6"/>
  <c r="AJ53" i="6"/>
  <c r="AJ54" i="6"/>
  <c r="AJ55" i="6"/>
  <c r="BL56" i="6"/>
  <c r="AI58" i="6"/>
  <c r="BM59" i="6"/>
  <c r="AJ60" i="6"/>
  <c r="BM60" i="6"/>
  <c r="BM61" i="6"/>
  <c r="BL15" i="7"/>
  <c r="P47" i="5"/>
  <c r="S47" i="5" s="1"/>
  <c r="P51" i="5"/>
  <c r="S51" i="5" s="1"/>
  <c r="BH59" i="5"/>
  <c r="AE60" i="5"/>
  <c r="BH63" i="5"/>
  <c r="W12" i="6"/>
  <c r="BH14" i="6"/>
  <c r="AE15" i="6"/>
  <c r="BH18" i="6"/>
  <c r="AE19" i="6"/>
  <c r="BH22" i="6"/>
  <c r="AE23" i="6"/>
  <c r="BH26" i="6"/>
  <c r="AE27" i="6"/>
  <c r="AF30" i="6"/>
  <c r="BI39" i="6"/>
  <c r="AE41" i="6"/>
  <c r="AJ42" i="6"/>
  <c r="AJ43" i="6"/>
  <c r="BL44" i="6"/>
  <c r="AI46" i="6"/>
  <c r="BM47" i="6"/>
  <c r="AJ48" i="6"/>
  <c r="BM48" i="6"/>
  <c r="BM49" i="6"/>
  <c r="S52" i="6"/>
  <c r="AI53" i="6"/>
  <c r="BL53" i="6"/>
  <c r="S54" i="6"/>
  <c r="BM54" i="6"/>
  <c r="AJ57" i="6"/>
  <c r="AJ58" i="6"/>
  <c r="AJ59" i="6"/>
  <c r="BL60" i="6"/>
  <c r="AI62" i="6"/>
  <c r="AJ14" i="7"/>
  <c r="BM16" i="7"/>
  <c r="P58" i="5"/>
  <c r="S58" i="5" s="1"/>
  <c r="P62" i="5"/>
  <c r="S62" i="5" s="1"/>
  <c r="X12" i="6"/>
  <c r="BI31" i="6"/>
  <c r="BH31" i="6"/>
  <c r="AF33" i="6"/>
  <c r="BI35" i="6"/>
  <c r="BH35" i="6"/>
  <c r="AF37" i="6"/>
  <c r="AF40" i="6"/>
  <c r="BM42" i="6"/>
  <c r="AJ45" i="6"/>
  <c r="AJ46" i="6"/>
  <c r="AJ47" i="6"/>
  <c r="BL48" i="6"/>
  <c r="AI50" i="6"/>
  <c r="AJ52" i="6"/>
  <c r="BM52" i="6"/>
  <c r="BM53" i="6"/>
  <c r="S56" i="6"/>
  <c r="AI57" i="6"/>
  <c r="BL57" i="6"/>
  <c r="S58" i="6"/>
  <c r="AJ61" i="6"/>
  <c r="AJ63" i="6"/>
  <c r="AE31" i="6"/>
  <c r="AE35" i="6"/>
  <c r="BM40" i="6"/>
  <c r="BL41" i="6"/>
  <c r="BL45" i="6"/>
  <c r="BM46" i="6"/>
  <c r="AJ50" i="6"/>
  <c r="AJ51" i="6"/>
  <c r="BL52" i="6"/>
  <c r="BM55" i="6"/>
  <c r="AJ56" i="6"/>
  <c r="BM56" i="6"/>
  <c r="BM57" i="6"/>
  <c r="S60" i="6"/>
  <c r="AI61" i="6"/>
  <c r="BL61" i="6"/>
  <c r="BH39" i="6"/>
  <c r="AE40" i="6"/>
  <c r="BH43" i="6"/>
  <c r="AE44" i="6"/>
  <c r="BH47" i="6"/>
  <c r="AE48" i="6"/>
  <c r="P51" i="6"/>
  <c r="S51" i="6" s="1"/>
  <c r="BH51" i="6"/>
  <c r="AE52" i="6"/>
  <c r="AW52" i="6"/>
  <c r="P55" i="6"/>
  <c r="S55" i="6" s="1"/>
  <c r="BH55" i="6"/>
  <c r="AE56" i="6"/>
  <c r="AW56" i="6"/>
  <c r="P59" i="6"/>
  <c r="S59" i="6" s="1"/>
  <c r="BH59" i="6"/>
  <c r="AE60" i="6"/>
  <c r="AW60" i="6"/>
  <c r="AF62" i="6"/>
  <c r="AE63" i="6"/>
  <c r="P63" i="6"/>
  <c r="S63" i="6" s="1"/>
  <c r="AF15" i="7"/>
  <c r="AE15" i="7"/>
  <c r="BL19" i="7"/>
  <c r="AI21" i="7"/>
  <c r="BM22" i="7"/>
  <c r="AJ23" i="7"/>
  <c r="BM24" i="7"/>
  <c r="AI28" i="7"/>
  <c r="BL28" i="7"/>
  <c r="BM29" i="7"/>
  <c r="AJ32" i="7"/>
  <c r="AJ33" i="7"/>
  <c r="AJ34" i="7"/>
  <c r="BL35" i="7"/>
  <c r="AI37" i="7"/>
  <c r="BM38" i="7"/>
  <c r="AJ39" i="7"/>
  <c r="BM39" i="7"/>
  <c r="BM40" i="7"/>
  <c r="AJ42" i="7"/>
  <c r="AI45" i="7"/>
  <c r="BH42" i="6"/>
  <c r="AE43" i="6"/>
  <c r="BH46" i="6"/>
  <c r="AE47" i="6"/>
  <c r="BH50" i="6"/>
  <c r="AE51" i="6"/>
  <c r="BH54" i="6"/>
  <c r="AE55" i="6"/>
  <c r="BH58" i="6"/>
  <c r="AE59" i="6"/>
  <c r="P62" i="6"/>
  <c r="S62" i="6" s="1"/>
  <c r="BH62" i="6"/>
  <c r="BM62" i="6"/>
  <c r="BA11" i="7"/>
  <c r="BH11" i="7" s="1"/>
  <c r="U12" i="7"/>
  <c r="AE12" i="7" s="1"/>
  <c r="P16" i="7" s="1"/>
  <c r="S16" i="7" s="1"/>
  <c r="AF16" i="7"/>
  <c r="BI18" i="7"/>
  <c r="AJ21" i="7"/>
  <c r="BL23" i="7"/>
  <c r="AJ24" i="7"/>
  <c r="AI25" i="7"/>
  <c r="BM26" i="7"/>
  <c r="AJ27" i="7"/>
  <c r="BM27" i="7"/>
  <c r="BM28" i="7"/>
  <c r="AI32" i="7"/>
  <c r="BL32" i="7"/>
  <c r="BM33" i="7"/>
  <c r="AJ36" i="7"/>
  <c r="BL39" i="7"/>
  <c r="AJ46" i="7"/>
  <c r="BL47" i="7"/>
  <c r="BM49" i="7"/>
  <c r="P53" i="6"/>
  <c r="S53" i="6" s="1"/>
  <c r="P57" i="6"/>
  <c r="S57" i="6" s="1"/>
  <c r="P61" i="6"/>
  <c r="S61" i="6" s="1"/>
  <c r="BI14" i="7"/>
  <c r="BH14" i="7"/>
  <c r="BI15" i="7"/>
  <c r="BH16" i="7"/>
  <c r="AF19" i="7"/>
  <c r="BM19" i="7"/>
  <c r="AI20" i="7"/>
  <c r="BL20" i="7"/>
  <c r="BM21" i="7"/>
  <c r="AJ25" i="7"/>
  <c r="AJ26" i="7"/>
  <c r="BL27" i="7"/>
  <c r="BM30" i="7"/>
  <c r="AJ31" i="7"/>
  <c r="BM31" i="7"/>
  <c r="BM32" i="7"/>
  <c r="AI36" i="7"/>
  <c r="BL36" i="7"/>
  <c r="BM37" i="7"/>
  <c r="AJ41" i="7"/>
  <c r="BL44" i="7"/>
  <c r="BI63" i="6"/>
  <c r="BH63" i="6"/>
  <c r="AE14" i="7"/>
  <c r="AE16" i="7"/>
  <c r="AI17" i="7"/>
  <c r="BI17" i="7"/>
  <c r="BH17" i="7"/>
  <c r="AF18" i="7"/>
  <c r="AE18" i="7"/>
  <c r="P18" i="7"/>
  <c r="S18" i="7" s="1"/>
  <c r="BM20" i="7"/>
  <c r="BM23" i="7"/>
  <c r="AI24" i="7"/>
  <c r="BL24" i="7"/>
  <c r="AJ28" i="7"/>
  <c r="AJ29" i="7"/>
  <c r="AI33" i="7"/>
  <c r="BM34" i="7"/>
  <c r="AJ35" i="7"/>
  <c r="BM35" i="7"/>
  <c r="BM36" i="7"/>
  <c r="BH18" i="7"/>
  <c r="AE19" i="7"/>
  <c r="BH22" i="7"/>
  <c r="AE23" i="7"/>
  <c r="BH26" i="7"/>
  <c r="AE27" i="7"/>
  <c r="BH30" i="7"/>
  <c r="AE31" i="7"/>
  <c r="BH34" i="7"/>
  <c r="AE35" i="7"/>
  <c r="BH38" i="7"/>
  <c r="AE39" i="7"/>
  <c r="AE42" i="7"/>
  <c r="AE44" i="7"/>
  <c r="BI44" i="7"/>
  <c r="AF45" i="7"/>
  <c r="AE46" i="7"/>
  <c r="P46" i="7"/>
  <c r="S46" i="7" s="1"/>
  <c r="BI47" i="7"/>
  <c r="AE48" i="7"/>
  <c r="BI48" i="7"/>
  <c r="AJ50" i="7"/>
  <c r="BM50" i="7"/>
  <c r="S52" i="7"/>
  <c r="AJ53" i="7"/>
  <c r="AJ54" i="7"/>
  <c r="BM54" i="7"/>
  <c r="S56" i="7"/>
  <c r="AJ57" i="7"/>
  <c r="BM58" i="7"/>
  <c r="S60" i="7"/>
  <c r="AJ61" i="7"/>
  <c r="AJ62" i="7"/>
  <c r="BH11" i="8"/>
  <c r="BM16" i="8"/>
  <c r="AI17" i="8"/>
  <c r="BH21" i="7"/>
  <c r="AE22" i="7"/>
  <c r="BH25" i="7"/>
  <c r="AE26" i="7"/>
  <c r="BH29" i="7"/>
  <c r="AE30" i="7"/>
  <c r="BH33" i="7"/>
  <c r="AE34" i="7"/>
  <c r="BH37" i="7"/>
  <c r="AE38" i="7"/>
  <c r="BI41" i="7"/>
  <c r="AF43" i="7"/>
  <c r="AE43" i="7"/>
  <c r="BH43" i="7"/>
  <c r="BM45" i="7"/>
  <c r="AF47" i="7"/>
  <c r="AE47" i="7"/>
  <c r="AI50" i="7"/>
  <c r="BM53" i="7"/>
  <c r="AI54" i="7"/>
  <c r="AI58" i="7"/>
  <c r="AI62" i="7"/>
  <c r="AI15" i="8"/>
  <c r="BM15" i="8"/>
  <c r="BL16" i="8"/>
  <c r="AJ19" i="8"/>
  <c r="P24" i="7"/>
  <c r="S24" i="7" s="1"/>
  <c r="P40" i="7"/>
  <c r="S40" i="7" s="1"/>
  <c r="AI52" i="7"/>
  <c r="BM52" i="7"/>
  <c r="BL53" i="7"/>
  <c r="AI56" i="7"/>
  <c r="BM56" i="7"/>
  <c r="S57" i="7"/>
  <c r="BM57" i="7"/>
  <c r="AI60" i="7"/>
  <c r="BM60" i="7"/>
  <c r="BM61" i="7"/>
  <c r="BL14" i="8"/>
  <c r="BI42" i="7"/>
  <c r="BH42" i="7"/>
  <c r="BI46" i="7"/>
  <c r="BH46" i="7"/>
  <c r="AJ49" i="7"/>
  <c r="AE49" i="7"/>
  <c r="BH49" i="7"/>
  <c r="S51" i="7"/>
  <c r="BL51" i="7"/>
  <c r="S59" i="7"/>
  <c r="BL59" i="7"/>
  <c r="AJ17" i="8"/>
  <c r="BM17" i="8"/>
  <c r="AJ18" i="8"/>
  <c r="BH50" i="7"/>
  <c r="AE51" i="7"/>
  <c r="AW51" i="7"/>
  <c r="BI51" i="7"/>
  <c r="AF52" i="7"/>
  <c r="BN52" i="7"/>
  <c r="P54" i="7"/>
  <c r="S54" i="7" s="1"/>
  <c r="BH54" i="7"/>
  <c r="AE55" i="7"/>
  <c r="AW55" i="7"/>
  <c r="BI55" i="7"/>
  <c r="AF56" i="7"/>
  <c r="BN56" i="7"/>
  <c r="P58" i="7"/>
  <c r="S58" i="7" s="1"/>
  <c r="BH58" i="7"/>
  <c r="AE59" i="7"/>
  <c r="AW59" i="7"/>
  <c r="BI59" i="7"/>
  <c r="AF60" i="7"/>
  <c r="BN60" i="7"/>
  <c r="P62" i="7"/>
  <c r="S62" i="7" s="1"/>
  <c r="BH62" i="7"/>
  <c r="AE63" i="7"/>
  <c r="AW63" i="7"/>
  <c r="BI63" i="7"/>
  <c r="AE14" i="8"/>
  <c r="BI14" i="8"/>
  <c r="AF15" i="8"/>
  <c r="BH17" i="8"/>
  <c r="BI18" i="8"/>
  <c r="BI19" i="8"/>
  <c r="BH19" i="8"/>
  <c r="AF20" i="8"/>
  <c r="AE20" i="8"/>
  <c r="AI22" i="8"/>
  <c r="AI23" i="8"/>
  <c r="BM25" i="8"/>
  <c r="AI27" i="8"/>
  <c r="BM29" i="8"/>
  <c r="AF51" i="7"/>
  <c r="AF55" i="7"/>
  <c r="BH57" i="7"/>
  <c r="AF59" i="7"/>
  <c r="BH61" i="7"/>
  <c r="AF63" i="7"/>
  <c r="U12" i="8"/>
  <c r="AE12" i="8" s="1"/>
  <c r="P14" i="8" s="1"/>
  <c r="S14" i="8" s="1"/>
  <c r="AF14" i="8"/>
  <c r="BM22" i="8"/>
  <c r="AI25" i="8"/>
  <c r="BM26" i="8"/>
  <c r="AI29" i="8"/>
  <c r="BM30" i="8"/>
  <c r="AI32" i="8"/>
  <c r="BH52" i="7"/>
  <c r="AE53" i="7"/>
  <c r="BH56" i="7"/>
  <c r="AE57" i="7"/>
  <c r="BH60" i="7"/>
  <c r="AE61" i="7"/>
  <c r="BH15" i="8"/>
  <c r="AE16" i="8"/>
  <c r="AE18" i="8"/>
  <c r="BL18" i="8"/>
  <c r="BL20" i="8"/>
  <c r="BL21" i="8"/>
  <c r="BL22" i="8"/>
  <c r="BL24" i="8"/>
  <c r="BL25" i="8"/>
  <c r="BL26" i="8"/>
  <c r="BL28" i="8"/>
  <c r="BL29" i="8"/>
  <c r="BL30" i="8"/>
  <c r="BL35" i="8"/>
  <c r="BL39" i="8"/>
  <c r="BL43" i="8"/>
  <c r="BM20" i="8"/>
  <c r="AJ23" i="8"/>
  <c r="BM23" i="8"/>
  <c r="BM24" i="8"/>
  <c r="BM27" i="8"/>
  <c r="BM28" i="8"/>
  <c r="AF22" i="8"/>
  <c r="P24" i="8"/>
  <c r="S24" i="8" s="1"/>
  <c r="AF26" i="8"/>
  <c r="AF30" i="8"/>
  <c r="BI33" i="8"/>
  <c r="BH33" i="8"/>
  <c r="AF34" i="8"/>
  <c r="AE34" i="8"/>
  <c r="P34" i="8"/>
  <c r="S34" i="8" s="1"/>
  <c r="BM36" i="8"/>
  <c r="AF37" i="8"/>
  <c r="BH40" i="8"/>
  <c r="AJ41" i="8"/>
  <c r="BI42" i="8"/>
  <c r="AF43" i="8"/>
  <c r="BI43" i="8"/>
  <c r="BI45" i="8"/>
  <c r="BH45" i="8"/>
  <c r="BM48" i="8"/>
  <c r="AJ49" i="8"/>
  <c r="AI51" i="8"/>
  <c r="BM52" i="8"/>
  <c r="AI55" i="8"/>
  <c r="BM56" i="8"/>
  <c r="BH23" i="8"/>
  <c r="AE24" i="8"/>
  <c r="BH27" i="8"/>
  <c r="AE28" i="8"/>
  <c r="BL36" i="8"/>
  <c r="BI39" i="8"/>
  <c r="AI41" i="8"/>
  <c r="AJ44" i="8"/>
  <c r="BL44" i="8"/>
  <c r="BM46" i="8"/>
  <c r="AJ47" i="8"/>
  <c r="AE31" i="8"/>
  <c r="BH31" i="8"/>
  <c r="AE33" i="8"/>
  <c r="BH34" i="8"/>
  <c r="AE35" i="8"/>
  <c r="BM35" i="8"/>
  <c r="AE37" i="8"/>
  <c r="BM44" i="8"/>
  <c r="AF32" i="8"/>
  <c r="BL32" i="8"/>
  <c r="BI37" i="8"/>
  <c r="BH37" i="8"/>
  <c r="AF38" i="8"/>
  <c r="AE38" i="8"/>
  <c r="BI41" i="8"/>
  <c r="BH41" i="8"/>
  <c r="AF42" i="8"/>
  <c r="AE42" i="8"/>
  <c r="P42" i="8"/>
  <c r="S42" i="8" s="1"/>
  <c r="AE44" i="8"/>
  <c r="AI46" i="8"/>
  <c r="BI47" i="8"/>
  <c r="BH47" i="8"/>
  <c r="AJ61" i="8"/>
  <c r="AI62" i="8"/>
  <c r="BL62" i="8"/>
  <c r="AJ63" i="8"/>
  <c r="AF36" i="8"/>
  <c r="BH38" i="8"/>
  <c r="AE39" i="8"/>
  <c r="AF40" i="8"/>
  <c r="BH42" i="8"/>
  <c r="AE43" i="8"/>
  <c r="AE45" i="8"/>
  <c r="BL50" i="8"/>
  <c r="AJ51" i="8"/>
  <c r="BL51" i="8"/>
  <c r="AJ52" i="8"/>
  <c r="BL52" i="8"/>
  <c r="AI54" i="8"/>
  <c r="BL54" i="8"/>
  <c r="AJ55" i="8"/>
  <c r="BL55" i="8"/>
  <c r="AJ56" i="8"/>
  <c r="BL56" i="8"/>
  <c r="AI58" i="8"/>
  <c r="BL58" i="8"/>
  <c r="AJ59" i="8"/>
  <c r="AJ60" i="8"/>
  <c r="BL60" i="8"/>
  <c r="BM62" i="8"/>
  <c r="AE47" i="8"/>
  <c r="AE49" i="8"/>
  <c r="BM50" i="8"/>
  <c r="S53" i="8"/>
  <c r="BL53" i="8"/>
  <c r="BM54" i="8"/>
  <c r="S57" i="8"/>
  <c r="BL57" i="8"/>
  <c r="BM58" i="8"/>
  <c r="BM60" i="8"/>
  <c r="S61" i="8"/>
  <c r="BL61" i="8"/>
  <c r="BM63" i="8"/>
  <c r="P46" i="8"/>
  <c r="S46" i="8" s="1"/>
  <c r="AF46" i="8"/>
  <c r="BH46" i="8"/>
  <c r="AF48" i="8"/>
  <c r="P48" i="8"/>
  <c r="S48" i="8" s="1"/>
  <c r="BH48" i="8"/>
  <c r="BH49" i="8"/>
  <c r="BI49" i="8"/>
  <c r="AE50" i="8"/>
  <c r="AF50" i="8"/>
  <c r="S51" i="8"/>
  <c r="BM51" i="8"/>
  <c r="AI52" i="8"/>
  <c r="AI53" i="8"/>
  <c r="S55" i="8"/>
  <c r="BM55" i="8"/>
  <c r="AI56" i="8"/>
  <c r="AI57" i="8"/>
  <c r="S59" i="8"/>
  <c r="BM59" i="8"/>
  <c r="AI61" i="8"/>
  <c r="AI63" i="8"/>
  <c r="P52" i="8"/>
  <c r="S52" i="8" s="1"/>
  <c r="BI53" i="8"/>
  <c r="AF54" i="8"/>
  <c r="P56" i="8"/>
  <c r="S56" i="8" s="1"/>
  <c r="BI57" i="8"/>
  <c r="AF58" i="8"/>
  <c r="P60" i="8"/>
  <c r="S60" i="8" s="1"/>
  <c r="AW61" i="8"/>
  <c r="BI61" i="8"/>
  <c r="AF62" i="8"/>
  <c r="AF53" i="8"/>
  <c r="AF57" i="8"/>
  <c r="BH59" i="8"/>
  <c r="AE60" i="8"/>
  <c r="BH63" i="8"/>
  <c r="AW51" i="8"/>
  <c r="P54" i="8"/>
  <c r="S54" i="8" s="1"/>
  <c r="AW55" i="8"/>
  <c r="P58" i="8"/>
  <c r="S58" i="8" s="1"/>
  <c r="AW59" i="8"/>
  <c r="P62" i="8"/>
  <c r="S62" i="8" s="1"/>
  <c r="AW63" i="8"/>
  <c r="AV49" i="38" l="1"/>
  <c r="AV42" i="38"/>
  <c r="AV38" i="38"/>
  <c r="AV34" i="38"/>
  <c r="AV30" i="38"/>
  <c r="AV27" i="38"/>
  <c r="AV23" i="38"/>
  <c r="AV19" i="38"/>
  <c r="AV15" i="38"/>
  <c r="AV50" i="38"/>
  <c r="AV46" i="38"/>
  <c r="AV43" i="38"/>
  <c r="AV48" i="38"/>
  <c r="AV45" i="38"/>
  <c r="AV41" i="38"/>
  <c r="AV37" i="38"/>
  <c r="AV33" i="38"/>
  <c r="AV29" i="38"/>
  <c r="AV26" i="38"/>
  <c r="AV22" i="38"/>
  <c r="AV18" i="38"/>
  <c r="AV14" i="38"/>
  <c r="AV24" i="38"/>
  <c r="AV47" i="38"/>
  <c r="AV44" i="38"/>
  <c r="AV40" i="38"/>
  <c r="AV36" i="38"/>
  <c r="AV32" i="38"/>
  <c r="AV28" i="38"/>
  <c r="AV25" i="38"/>
  <c r="AV21" i="38"/>
  <c r="AV17" i="38"/>
  <c r="AV39" i="38"/>
  <c r="AV35" i="38"/>
  <c r="AV31" i="38"/>
  <c r="AV20" i="38"/>
  <c r="AV16" i="38"/>
  <c r="AE12" i="38"/>
  <c r="AK57" i="38"/>
  <c r="AK59" i="38"/>
  <c r="T32" i="39"/>
  <c r="P19" i="39"/>
  <c r="S19" i="39" s="1"/>
  <c r="P23" i="39"/>
  <c r="S23" i="39" s="1"/>
  <c r="P40" i="39"/>
  <c r="S40" i="39" s="1"/>
  <c r="P28" i="39"/>
  <c r="S28" i="39" s="1"/>
  <c r="P14" i="39"/>
  <c r="S14" i="39" s="1"/>
  <c r="P44" i="39"/>
  <c r="S44" i="39" s="1"/>
  <c r="P29" i="39"/>
  <c r="S29" i="39" s="1"/>
  <c r="P38" i="39"/>
  <c r="S38" i="39" s="1"/>
  <c r="P34" i="39"/>
  <c r="S34" i="39" s="1"/>
  <c r="P18" i="39"/>
  <c r="S18" i="39" s="1"/>
  <c r="P42" i="39"/>
  <c r="S42" i="39" s="1"/>
  <c r="P26" i="39"/>
  <c r="S26" i="39" s="1"/>
  <c r="P36" i="39"/>
  <c r="S36" i="39" s="1"/>
  <c r="P46" i="39"/>
  <c r="S46" i="39" s="1"/>
  <c r="P43" i="39"/>
  <c r="S43" i="39" s="1"/>
  <c r="P50" i="39"/>
  <c r="S50" i="39" s="1"/>
  <c r="P49" i="39"/>
  <c r="S49" i="39" s="1"/>
  <c r="P33" i="39"/>
  <c r="S33" i="39" s="1"/>
  <c r="P30" i="39"/>
  <c r="S30" i="39" s="1"/>
  <c r="P47" i="39"/>
  <c r="S47" i="39" s="1"/>
  <c r="P22" i="39"/>
  <c r="S22" i="39" s="1"/>
  <c r="P17" i="39"/>
  <c r="S17" i="39" s="1"/>
  <c r="P16" i="39"/>
  <c r="S16" i="39" s="1"/>
  <c r="P48" i="39"/>
  <c r="S48" i="39" s="1"/>
  <c r="P37" i="39"/>
  <c r="S37" i="39" s="1"/>
  <c r="P20" i="39"/>
  <c r="S20" i="39" s="1"/>
  <c r="P39" i="39"/>
  <c r="S39" i="39" s="1"/>
  <c r="P31" i="39"/>
  <c r="S31" i="39" s="1"/>
  <c r="P15" i="39"/>
  <c r="S15" i="39" s="1"/>
  <c r="P21" i="39"/>
  <c r="S21" i="39" s="1"/>
  <c r="P35" i="39"/>
  <c r="S35" i="39" s="1"/>
  <c r="P24" i="39"/>
  <c r="S24" i="39" s="1"/>
  <c r="P27" i="39"/>
  <c r="S27" i="39" s="1"/>
  <c r="AV49" i="12"/>
  <c r="AV45" i="12"/>
  <c r="AV41" i="12"/>
  <c r="AV37" i="12"/>
  <c r="AV33" i="12"/>
  <c r="AV29" i="12"/>
  <c r="AV25" i="12"/>
  <c r="AV21" i="12"/>
  <c r="AV17" i="12"/>
  <c r="AV34" i="12"/>
  <c r="AV18" i="12"/>
  <c r="AV48" i="12"/>
  <c r="AV44" i="12"/>
  <c r="AV40" i="12"/>
  <c r="AV36" i="12"/>
  <c r="AV32" i="12"/>
  <c r="AV28" i="12"/>
  <c r="AV24" i="12"/>
  <c r="AV20" i="12"/>
  <c r="AV16" i="12"/>
  <c r="AV46" i="12"/>
  <c r="AV22" i="12"/>
  <c r="AV47" i="12"/>
  <c r="AV43" i="12"/>
  <c r="AV39" i="12"/>
  <c r="AV35" i="12"/>
  <c r="AV31" i="12"/>
  <c r="AV27" i="12"/>
  <c r="AV23" i="12"/>
  <c r="AV19" i="12"/>
  <c r="AV15" i="12"/>
  <c r="AV50" i="12"/>
  <c r="AV42" i="12"/>
  <c r="AV38" i="12"/>
  <c r="AV30" i="12"/>
  <c r="AV26" i="12"/>
  <c r="AV14" i="12"/>
  <c r="T34" i="12"/>
  <c r="P33" i="12"/>
  <c r="S33" i="12" s="1"/>
  <c r="P29" i="12"/>
  <c r="S29" i="12" s="1"/>
  <c r="P50" i="12"/>
  <c r="S50" i="12" s="1"/>
  <c r="P26" i="12"/>
  <c r="S26" i="12" s="1"/>
  <c r="P48" i="12"/>
  <c r="S48" i="12" s="1"/>
  <c r="P40" i="12"/>
  <c r="S40" i="12" s="1"/>
  <c r="P32" i="12"/>
  <c r="S32" i="12" s="1"/>
  <c r="P24" i="12"/>
  <c r="S24" i="12" s="1"/>
  <c r="P16" i="12"/>
  <c r="S16" i="12" s="1"/>
  <c r="P41" i="12"/>
  <c r="S41" i="12" s="1"/>
  <c r="P14" i="12"/>
  <c r="S14" i="12" s="1"/>
  <c r="P42" i="12"/>
  <c r="S42" i="12" s="1"/>
  <c r="P18" i="12"/>
  <c r="S18" i="12" s="1"/>
  <c r="P37" i="12"/>
  <c r="S37" i="12" s="1"/>
  <c r="P21" i="12"/>
  <c r="S21" i="12" s="1"/>
  <c r="P45" i="12"/>
  <c r="S45" i="12" s="1"/>
  <c r="P23" i="12"/>
  <c r="S23" i="12" s="1"/>
  <c r="P15" i="12"/>
  <c r="S15" i="12" s="1"/>
  <c r="P49" i="12"/>
  <c r="S49" i="12" s="1"/>
  <c r="P17" i="12"/>
  <c r="S17" i="12" s="1"/>
  <c r="P22" i="12"/>
  <c r="S22" i="12" s="1"/>
  <c r="P30" i="12"/>
  <c r="S30" i="12" s="1"/>
  <c r="P44" i="12"/>
  <c r="S44" i="12" s="1"/>
  <c r="P36" i="12"/>
  <c r="S36" i="12" s="1"/>
  <c r="P28" i="12"/>
  <c r="S28" i="12" s="1"/>
  <c r="P20" i="12"/>
  <c r="S20" i="12" s="1"/>
  <c r="P25" i="12"/>
  <c r="S25" i="12" s="1"/>
  <c r="P46" i="12"/>
  <c r="S46" i="12" s="1"/>
  <c r="P38" i="12"/>
  <c r="S38" i="12" s="1"/>
  <c r="T37" i="44"/>
  <c r="P44" i="44"/>
  <c r="S44" i="44" s="1"/>
  <c r="P35" i="44"/>
  <c r="S35" i="44" s="1"/>
  <c r="P27" i="44"/>
  <c r="S27" i="44" s="1"/>
  <c r="T27" i="44" s="1"/>
  <c r="P19" i="44"/>
  <c r="S19" i="44" s="1"/>
  <c r="P36" i="44"/>
  <c r="S36" i="44" s="1"/>
  <c r="P20" i="44"/>
  <c r="S20" i="44" s="1"/>
  <c r="P50" i="44"/>
  <c r="S50" i="44" s="1"/>
  <c r="P41" i="44"/>
  <c r="S41" i="44" s="1"/>
  <c r="P21" i="44"/>
  <c r="S21" i="44" s="1"/>
  <c r="P34" i="44"/>
  <c r="S34" i="44" s="1"/>
  <c r="T34" i="44" s="1"/>
  <c r="P26" i="44"/>
  <c r="S26" i="44" s="1"/>
  <c r="P18" i="44"/>
  <c r="S18" i="44" s="1"/>
  <c r="T29" i="44"/>
  <c r="P32" i="44"/>
  <c r="S32" i="44" s="1"/>
  <c r="P16" i="44"/>
  <c r="S16" i="44" s="1"/>
  <c r="P46" i="44"/>
  <c r="S46" i="44" s="1"/>
  <c r="P45" i="44"/>
  <c r="S45" i="44" s="1"/>
  <c r="P33" i="44"/>
  <c r="S33" i="44" s="1"/>
  <c r="P47" i="44"/>
  <c r="S47" i="44" s="1"/>
  <c r="P17" i="44"/>
  <c r="S17" i="44" s="1"/>
  <c r="P42" i="44"/>
  <c r="S42" i="44" s="1"/>
  <c r="P48" i="44"/>
  <c r="S48" i="44" s="1"/>
  <c r="P39" i="44"/>
  <c r="S39" i="44" s="1"/>
  <c r="P31" i="44"/>
  <c r="S31" i="44" s="1"/>
  <c r="P23" i="44"/>
  <c r="S23" i="44" s="1"/>
  <c r="P15" i="44"/>
  <c r="S15" i="44" s="1"/>
  <c r="P43" i="44"/>
  <c r="S43" i="44" s="1"/>
  <c r="P28" i="44"/>
  <c r="S28" i="44" s="1"/>
  <c r="P25" i="44"/>
  <c r="S25" i="44" s="1"/>
  <c r="AE12" i="15"/>
  <c r="BH11" i="10"/>
  <c r="AE12" i="4"/>
  <c r="AV49" i="6"/>
  <c r="AV45" i="6"/>
  <c r="AV41" i="6"/>
  <c r="AV37" i="6"/>
  <c r="AV33" i="6"/>
  <c r="AV26" i="6"/>
  <c r="AV22" i="6"/>
  <c r="AV19" i="6"/>
  <c r="AV15" i="6"/>
  <c r="AV38" i="6"/>
  <c r="AV34" i="6"/>
  <c r="AV27" i="6"/>
  <c r="AV48" i="6"/>
  <c r="AV44" i="6"/>
  <c r="AV40" i="6"/>
  <c r="AV36" i="6"/>
  <c r="AV32" i="6"/>
  <c r="AV29" i="6"/>
  <c r="AV25" i="6"/>
  <c r="AV18" i="6"/>
  <c r="AV14" i="6"/>
  <c r="AV50" i="6"/>
  <c r="AV30" i="6"/>
  <c r="AV20" i="6"/>
  <c r="AV47" i="6"/>
  <c r="AV43" i="6"/>
  <c r="AV39" i="6"/>
  <c r="AV35" i="6"/>
  <c r="AV31" i="6"/>
  <c r="AV28" i="6"/>
  <c r="AV24" i="6"/>
  <c r="AV21" i="6"/>
  <c r="AV17" i="6"/>
  <c r="AV46" i="6"/>
  <c r="AV42" i="6"/>
  <c r="AV23" i="6"/>
  <c r="AV16" i="6"/>
  <c r="AV49" i="7"/>
  <c r="AV45" i="7"/>
  <c r="AV41" i="7"/>
  <c r="AV37" i="7"/>
  <c r="AV34" i="7"/>
  <c r="AV30" i="7"/>
  <c r="AV26" i="7"/>
  <c r="AV22" i="7"/>
  <c r="AV18" i="7"/>
  <c r="AV14" i="7"/>
  <c r="AV46" i="7"/>
  <c r="AV35" i="7"/>
  <c r="AV31" i="7"/>
  <c r="AV23" i="7"/>
  <c r="AV48" i="7"/>
  <c r="AV44" i="7"/>
  <c r="AV40" i="7"/>
  <c r="AV33" i="7"/>
  <c r="AV29" i="7"/>
  <c r="AV25" i="7"/>
  <c r="AV21" i="7"/>
  <c r="AV17" i="7"/>
  <c r="AV50" i="7"/>
  <c r="AV42" i="7"/>
  <c r="AV15" i="7"/>
  <c r="AV47" i="7"/>
  <c r="AV43" i="7"/>
  <c r="AV39" i="7"/>
  <c r="AV36" i="7"/>
  <c r="AV32" i="7"/>
  <c r="AV28" i="7"/>
  <c r="AV24" i="7"/>
  <c r="AV20" i="7"/>
  <c r="AV16" i="7"/>
  <c r="AV38" i="7"/>
  <c r="AV27" i="7"/>
  <c r="AV19" i="7"/>
  <c r="T16" i="7"/>
  <c r="P25" i="7"/>
  <c r="S25" i="7" s="1"/>
  <c r="P36" i="7"/>
  <c r="S36" i="7" s="1"/>
  <c r="P20" i="7"/>
  <c r="S20" i="7" s="1"/>
  <c r="P43" i="7"/>
  <c r="S43" i="7" s="1"/>
  <c r="P35" i="7"/>
  <c r="S35" i="7" s="1"/>
  <c r="P31" i="7"/>
  <c r="S31" i="7" s="1"/>
  <c r="P23" i="7"/>
  <c r="S23" i="7" s="1"/>
  <c r="P15" i="7"/>
  <c r="S15" i="7" s="1"/>
  <c r="P33" i="7"/>
  <c r="S33" i="7" s="1"/>
  <c r="P50" i="7"/>
  <c r="S50" i="7" s="1"/>
  <c r="P32" i="7"/>
  <c r="S32" i="7" s="1"/>
  <c r="P21" i="7"/>
  <c r="S21" i="7" s="1"/>
  <c r="P48" i="7"/>
  <c r="S48" i="7" s="1"/>
  <c r="P44" i="7"/>
  <c r="S44" i="7" s="1"/>
  <c r="P27" i="7"/>
  <c r="S27" i="7" s="1"/>
  <c r="P19" i="7"/>
  <c r="S19" i="7" s="1"/>
  <c r="P41" i="7"/>
  <c r="S41" i="7" s="1"/>
  <c r="P42" i="7"/>
  <c r="S42" i="7" s="1"/>
  <c r="T42" i="7" s="1"/>
  <c r="P28" i="7"/>
  <c r="S28" i="7" s="1"/>
  <c r="P49" i="7"/>
  <c r="S49" i="7" s="1"/>
  <c r="P45" i="7"/>
  <c r="S45" i="7" s="1"/>
  <c r="P17" i="7"/>
  <c r="S17" i="7" s="1"/>
  <c r="T17" i="7" s="1"/>
  <c r="P38" i="7"/>
  <c r="S38" i="7" s="1"/>
  <c r="P34" i="7"/>
  <c r="S34" i="7" s="1"/>
  <c r="P30" i="7"/>
  <c r="S30" i="7" s="1"/>
  <c r="P26" i="7"/>
  <c r="S26" i="7" s="1"/>
  <c r="P22" i="7"/>
  <c r="S22" i="7" s="1"/>
  <c r="P14" i="7"/>
  <c r="S14" i="7" s="1"/>
  <c r="P47" i="7"/>
  <c r="S47" i="7" s="1"/>
  <c r="P29" i="7"/>
  <c r="S29" i="7" s="1"/>
  <c r="P37" i="7"/>
  <c r="S37" i="7" s="1"/>
  <c r="P39" i="7"/>
  <c r="S39" i="7" s="1"/>
  <c r="AV49" i="8"/>
  <c r="AV46" i="8"/>
  <c r="AV42" i="8"/>
  <c r="AV39" i="8"/>
  <c r="AV35" i="8"/>
  <c r="AV31" i="8"/>
  <c r="AV28" i="8"/>
  <c r="AV24" i="8"/>
  <c r="AV20" i="8"/>
  <c r="AV16" i="8"/>
  <c r="AV50" i="8"/>
  <c r="AV43" i="8"/>
  <c r="AV25" i="8"/>
  <c r="AV21" i="8"/>
  <c r="AV48" i="8"/>
  <c r="AV45" i="8"/>
  <c r="AV41" i="8"/>
  <c r="AV38" i="8"/>
  <c r="AV34" i="8"/>
  <c r="AV30" i="8"/>
  <c r="AV27" i="8"/>
  <c r="AV23" i="8"/>
  <c r="AV19" i="8"/>
  <c r="AV15" i="8"/>
  <c r="AV36" i="8"/>
  <c r="AV47" i="8"/>
  <c r="AV44" i="8"/>
  <c r="AV37" i="8"/>
  <c r="AV33" i="8"/>
  <c r="AV29" i="8"/>
  <c r="AV26" i="8"/>
  <c r="AV22" i="8"/>
  <c r="AV18" i="8"/>
  <c r="AV14" i="8"/>
  <c r="AV40" i="8"/>
  <c r="AV32" i="8"/>
  <c r="AV17" i="8"/>
  <c r="P20" i="8"/>
  <c r="S20" i="8" s="1"/>
  <c r="P40" i="8"/>
  <c r="S40" i="8" s="1"/>
  <c r="P38" i="8"/>
  <c r="S38" i="8" s="1"/>
  <c r="P33" i="8"/>
  <c r="S33" i="8" s="1"/>
  <c r="P28" i="8"/>
  <c r="S28" i="8" s="1"/>
  <c r="P15" i="8"/>
  <c r="S15" i="8" s="1"/>
  <c r="P45" i="8"/>
  <c r="S45" i="8" s="1"/>
  <c r="P36" i="8"/>
  <c r="S36" i="8" s="1"/>
  <c r="T36" i="8" s="1"/>
  <c r="P32" i="8"/>
  <c r="S32" i="8" s="1"/>
  <c r="P23" i="8"/>
  <c r="S23" i="8" s="1"/>
  <c r="P31" i="8"/>
  <c r="S31" i="8" s="1"/>
  <c r="P26" i="8"/>
  <c r="S26" i="8" s="1"/>
  <c r="T26" i="8" s="1"/>
  <c r="P50" i="8"/>
  <c r="S50" i="8" s="1"/>
  <c r="P27" i="8"/>
  <c r="S27" i="8" s="1"/>
  <c r="P21" i="8"/>
  <c r="S21" i="8" s="1"/>
  <c r="T21" i="8" s="1"/>
  <c r="P19" i="8"/>
  <c r="S19" i="8" s="1"/>
  <c r="T19" i="8" s="1"/>
  <c r="P17" i="8"/>
  <c r="S17" i="8" s="1"/>
  <c r="P47" i="8"/>
  <c r="S47" i="8" s="1"/>
  <c r="T47" i="8" s="1"/>
  <c r="P29" i="8"/>
  <c r="S29" i="8" s="1"/>
  <c r="T29" i="8" s="1"/>
  <c r="P35" i="8"/>
  <c r="S35" i="8" s="1"/>
  <c r="T35" i="8" s="1"/>
  <c r="T15" i="8"/>
  <c r="P39" i="8"/>
  <c r="S39" i="8" s="1"/>
  <c r="T39" i="8" s="1"/>
  <c r="P30" i="8"/>
  <c r="S30" i="8" s="1"/>
  <c r="T30" i="8" s="1"/>
  <c r="P22" i="8"/>
  <c r="S22" i="8" s="1"/>
  <c r="T22" i="8" s="1"/>
  <c r="P49" i="8"/>
  <c r="S49" i="8" s="1"/>
  <c r="P18" i="8"/>
  <c r="S18" i="8" s="1"/>
  <c r="T18" i="8" s="1"/>
  <c r="P41" i="8"/>
  <c r="S41" i="8" s="1"/>
  <c r="T41" i="8" s="1"/>
  <c r="P43" i="8"/>
  <c r="S43" i="8" s="1"/>
  <c r="T43" i="8" s="1"/>
  <c r="P44" i="8"/>
  <c r="S44" i="8" s="1"/>
  <c r="P37" i="8"/>
  <c r="S37" i="8" s="1"/>
  <c r="P25" i="8"/>
  <c r="S25" i="8" s="1"/>
  <c r="T25" i="8" s="1"/>
  <c r="P16" i="8"/>
  <c r="S16" i="8" s="1"/>
  <c r="T16" i="8" s="1"/>
  <c r="U43" i="50"/>
  <c r="B44" i="50"/>
  <c r="AK14" i="5"/>
  <c r="T14" i="5"/>
  <c r="T40" i="39"/>
  <c r="T51" i="47"/>
  <c r="AK51" i="47"/>
  <c r="AK58" i="12"/>
  <c r="T58" i="12"/>
  <c r="T47" i="39"/>
  <c r="AK29" i="49"/>
  <c r="T29" i="49"/>
  <c r="BH11" i="4"/>
  <c r="AE12" i="49"/>
  <c r="BH11" i="41"/>
  <c r="AE12" i="11"/>
  <c r="BH11" i="44"/>
  <c r="T62" i="47"/>
  <c r="T55" i="40"/>
  <c r="T51" i="40"/>
  <c r="T14" i="8"/>
  <c r="T41" i="11"/>
  <c r="AK41" i="11"/>
  <c r="AK57" i="37"/>
  <c r="T57" i="37"/>
  <c r="AE12" i="47"/>
  <c r="AK41" i="37"/>
  <c r="T41" i="37"/>
  <c r="BH11" i="15"/>
  <c r="AE12" i="6"/>
  <c r="BH11" i="5"/>
  <c r="AE12" i="41"/>
  <c r="BH11" i="40"/>
  <c r="BM57" i="44"/>
  <c r="BM34" i="37"/>
  <c r="AK29" i="37"/>
  <c r="T29" i="37"/>
  <c r="BM18" i="37"/>
  <c r="AJ48" i="41"/>
  <c r="BH11" i="47"/>
  <c r="BM43" i="7"/>
  <c r="BM17" i="10"/>
  <c r="AK45" i="37"/>
  <c r="T45" i="37"/>
  <c r="AJ60" i="41"/>
  <c r="AK49" i="37"/>
  <c r="T49" i="37"/>
  <c r="AK33" i="37"/>
  <c r="T33" i="37"/>
  <c r="BM22" i="37"/>
  <c r="AK61" i="37"/>
  <c r="T61" i="37"/>
  <c r="AJ52" i="41"/>
  <c r="AK37" i="37"/>
  <c r="T37" i="37"/>
  <c r="BM26" i="37"/>
  <c r="AK21" i="37"/>
  <c r="T21" i="37"/>
  <c r="BM32" i="8"/>
  <c r="AJ48" i="4"/>
  <c r="AJ44" i="41"/>
  <c r="AJ58" i="44"/>
  <c r="AK53" i="37"/>
  <c r="T53" i="37"/>
  <c r="BM30" i="37"/>
  <c r="AK25" i="37"/>
  <c r="T25" i="37"/>
  <c r="AJ56" i="41"/>
  <c r="AJ57" i="8"/>
  <c r="BM49" i="8"/>
  <c r="AI49" i="8"/>
  <c r="AK58" i="8"/>
  <c r="T58" i="8"/>
  <c r="AJ53" i="8"/>
  <c r="T55" i="8"/>
  <c r="AK55" i="8"/>
  <c r="AK61" i="8"/>
  <c r="T61" i="8"/>
  <c r="AI43" i="8"/>
  <c r="AI44" i="8"/>
  <c r="AJ38" i="8"/>
  <c r="T27" i="8"/>
  <c r="AJ34" i="8"/>
  <c r="T24" i="8"/>
  <c r="BL15" i="8"/>
  <c r="BL56" i="7"/>
  <c r="AJ63" i="7"/>
  <c r="AJ55" i="7"/>
  <c r="BL19" i="8"/>
  <c r="AJ15" i="8"/>
  <c r="T44" i="8"/>
  <c r="AI63" i="7"/>
  <c r="AJ60" i="7"/>
  <c r="BL58" i="7"/>
  <c r="BM55" i="7"/>
  <c r="AK54" i="7"/>
  <c r="T54" i="7"/>
  <c r="AK63" i="7"/>
  <c r="T63" i="7"/>
  <c r="BL42" i="7"/>
  <c r="T61" i="7"/>
  <c r="AK61" i="7"/>
  <c r="T28" i="7"/>
  <c r="T45" i="7"/>
  <c r="AJ43" i="7"/>
  <c r="AI34" i="7"/>
  <c r="AI26" i="7"/>
  <c r="T21" i="7"/>
  <c r="AK56" i="7"/>
  <c r="T56" i="7"/>
  <c r="BM48" i="7"/>
  <c r="BM47" i="7"/>
  <c r="AJ45" i="7"/>
  <c r="BL38" i="7"/>
  <c r="BL34" i="7"/>
  <c r="BL30" i="7"/>
  <c r="BL26" i="7"/>
  <c r="BL22" i="7"/>
  <c r="BL18" i="7"/>
  <c r="BL17" i="7"/>
  <c r="AI16" i="7"/>
  <c r="BM63" i="6"/>
  <c r="BL16" i="7"/>
  <c r="AK61" i="6"/>
  <c r="T61" i="6"/>
  <c r="BL62" i="6"/>
  <c r="AI55" i="6"/>
  <c r="AI47" i="6"/>
  <c r="T63" i="6"/>
  <c r="AK63" i="6"/>
  <c r="AI60" i="6"/>
  <c r="AI56" i="6"/>
  <c r="AI52" i="6"/>
  <c r="AI48" i="6"/>
  <c r="AI44" i="6"/>
  <c r="BL39" i="6"/>
  <c r="T58" i="6"/>
  <c r="AK58" i="6"/>
  <c r="AJ37" i="6"/>
  <c r="BL31" i="6"/>
  <c r="AK58" i="5"/>
  <c r="T58" i="5"/>
  <c r="AK52" i="6"/>
  <c r="T52" i="6"/>
  <c r="BM39" i="6"/>
  <c r="AI27" i="6"/>
  <c r="AI19" i="6"/>
  <c r="AK51" i="5"/>
  <c r="T51" i="5"/>
  <c r="BL38" i="6"/>
  <c r="AI36" i="6"/>
  <c r="BL32" i="6"/>
  <c r="AI30" i="6"/>
  <c r="BL60" i="5"/>
  <c r="BL56" i="5"/>
  <c r="BL48" i="5"/>
  <c r="AK61" i="5"/>
  <c r="T61" i="5"/>
  <c r="AK50" i="5"/>
  <c r="T50" i="5"/>
  <c r="BM40" i="5"/>
  <c r="T59" i="5"/>
  <c r="AK59" i="5"/>
  <c r="BM56" i="5"/>
  <c r="AK53" i="5"/>
  <c r="T53" i="5"/>
  <c r="AK46" i="5"/>
  <c r="T46" i="5"/>
  <c r="AK39" i="5"/>
  <c r="T39" i="5"/>
  <c r="AK23" i="5"/>
  <c r="T23" i="5"/>
  <c r="AI57" i="4"/>
  <c r="T56" i="5"/>
  <c r="AK56" i="5"/>
  <c r="BM55" i="5"/>
  <c r="AI52" i="5"/>
  <c r="AI51" i="5"/>
  <c r="AJ48" i="5"/>
  <c r="AI37" i="5"/>
  <c r="BL32" i="5"/>
  <c r="T28" i="5"/>
  <c r="AK28" i="5"/>
  <c r="AI21" i="5"/>
  <c r="BL16" i="5"/>
  <c r="AI62" i="4"/>
  <c r="AI58" i="4"/>
  <c r="BL50" i="5"/>
  <c r="BM45" i="5"/>
  <c r="AI44" i="5"/>
  <c r="AK37" i="5"/>
  <c r="T37" i="5"/>
  <c r="AK33" i="5"/>
  <c r="T33" i="5"/>
  <c r="AK29" i="5"/>
  <c r="T29" i="5"/>
  <c r="AK25" i="5"/>
  <c r="T25" i="5"/>
  <c r="AK21" i="5"/>
  <c r="T21" i="5"/>
  <c r="AK17" i="5"/>
  <c r="T17" i="5"/>
  <c r="AK56" i="4"/>
  <c r="T56" i="4"/>
  <c r="BL33" i="4"/>
  <c r="BL25" i="4"/>
  <c r="BL17" i="4"/>
  <c r="AI59" i="2"/>
  <c r="AI51" i="2"/>
  <c r="AI43" i="2"/>
  <c r="BM51" i="4"/>
  <c r="AJ36" i="4"/>
  <c r="AJ32" i="4"/>
  <c r="AJ24" i="4"/>
  <c r="AJ16" i="4"/>
  <c r="AJ61" i="2"/>
  <c r="AJ53" i="2"/>
  <c r="AJ45" i="2"/>
  <c r="BM49" i="4"/>
  <c r="BL46" i="4"/>
  <c r="AI46" i="4"/>
  <c r="AI40" i="4"/>
  <c r="BL27" i="4"/>
  <c r="AI24" i="4"/>
  <c r="AI61" i="2"/>
  <c r="AK52" i="2"/>
  <c r="T52" i="2"/>
  <c r="BL48" i="2"/>
  <c r="AI45" i="2"/>
  <c r="BM40" i="2"/>
  <c r="BL32" i="2"/>
  <c r="AJ34" i="2"/>
  <c r="AI31" i="2"/>
  <c r="AK55" i="10"/>
  <c r="T55" i="10"/>
  <c r="AK53" i="2"/>
  <c r="T53" i="2"/>
  <c r="AI33" i="2"/>
  <c r="AI24" i="2"/>
  <c r="BL19" i="2"/>
  <c r="T60" i="10"/>
  <c r="AK60" i="10"/>
  <c r="AI53" i="10"/>
  <c r="BL48" i="10"/>
  <c r="AI37" i="10"/>
  <c r="BL32" i="10"/>
  <c r="AI21" i="10"/>
  <c r="AK62" i="2"/>
  <c r="T62" i="2"/>
  <c r="BL36" i="2"/>
  <c r="AI27" i="2"/>
  <c r="AI62" i="10"/>
  <c r="AI58" i="10"/>
  <c r="AI54" i="10"/>
  <c r="AI50" i="10"/>
  <c r="AI46" i="10"/>
  <c r="AI42" i="10"/>
  <c r="AI38" i="10"/>
  <c r="AI34" i="10"/>
  <c r="AI30" i="10"/>
  <c r="AI26" i="10"/>
  <c r="AI22" i="10"/>
  <c r="BL17" i="10"/>
  <c r="BM20" i="10"/>
  <c r="BL16" i="10"/>
  <c r="AE12" i="10"/>
  <c r="T62" i="15"/>
  <c r="AK62" i="15"/>
  <c r="AI17" i="10"/>
  <c r="BL62" i="15"/>
  <c r="AI57" i="15"/>
  <c r="AI49" i="15"/>
  <c r="AI41" i="15"/>
  <c r="AI33" i="15"/>
  <c r="AI25" i="15"/>
  <c r="AI17" i="15"/>
  <c r="AK53" i="11"/>
  <c r="T53" i="11"/>
  <c r="AJ18" i="10"/>
  <c r="BM59" i="15"/>
  <c r="AJ47" i="15"/>
  <c r="AJ31" i="15"/>
  <c r="AJ23" i="15"/>
  <c r="AJ15" i="15"/>
  <c r="BL62" i="11"/>
  <c r="BL54" i="11"/>
  <c r="AI47" i="11"/>
  <c r="AI59" i="15"/>
  <c r="AJ56" i="15"/>
  <c r="BL54" i="15"/>
  <c r="BM51" i="15"/>
  <c r="AI43" i="15"/>
  <c r="AJ40" i="15"/>
  <c r="BL38" i="15"/>
  <c r="BL26" i="15"/>
  <c r="AI23" i="15"/>
  <c r="AI60" i="11"/>
  <c r="AI56" i="11"/>
  <c r="AI52" i="11"/>
  <c r="AI48" i="11"/>
  <c r="BL43" i="11"/>
  <c r="BL35" i="11"/>
  <c r="AJ37" i="11"/>
  <c r="AK29" i="11"/>
  <c r="T29" i="11"/>
  <c r="AI23" i="11"/>
  <c r="T19" i="11"/>
  <c r="AK19" i="11"/>
  <c r="T16" i="11"/>
  <c r="AK16" i="11"/>
  <c r="BL63" i="49"/>
  <c r="AK59" i="49"/>
  <c r="T59" i="49"/>
  <c r="T46" i="11"/>
  <c r="AK46" i="11"/>
  <c r="BL27" i="11"/>
  <c r="BL23" i="11"/>
  <c r="BL19" i="11"/>
  <c r="BL15" i="11"/>
  <c r="T61" i="49"/>
  <c r="AK61" i="49"/>
  <c r="BL53" i="49"/>
  <c r="BL45" i="49"/>
  <c r="BL37" i="49"/>
  <c r="BL29" i="49"/>
  <c r="BL21" i="49"/>
  <c r="AI14" i="49"/>
  <c r="T58" i="11"/>
  <c r="AK58" i="11"/>
  <c r="AI41" i="11"/>
  <c r="BM39" i="11"/>
  <c r="AK36" i="11"/>
  <c r="T36" i="11"/>
  <c r="BM61" i="49"/>
  <c r="AI57" i="49"/>
  <c r="T50" i="49"/>
  <c r="AK50" i="49"/>
  <c r="T42" i="49"/>
  <c r="AK42" i="49"/>
  <c r="T34" i="49"/>
  <c r="AK34" i="49"/>
  <c r="T26" i="49"/>
  <c r="AK26" i="49"/>
  <c r="AJ16" i="49"/>
  <c r="T54" i="11"/>
  <c r="AK54" i="11"/>
  <c r="BL42" i="11"/>
  <c r="BL38" i="11"/>
  <c r="T35" i="11"/>
  <c r="AK35" i="11"/>
  <c r="BM34" i="11"/>
  <c r="AI31" i="11"/>
  <c r="AK30" i="11"/>
  <c r="T30" i="11"/>
  <c r="BL26" i="11"/>
  <c r="AJ20" i="11"/>
  <c r="AI16" i="11"/>
  <c r="AJ62" i="49"/>
  <c r="BL55" i="49"/>
  <c r="AI52" i="49"/>
  <c r="AK43" i="49"/>
  <c r="T43" i="49"/>
  <c r="BL39" i="49"/>
  <c r="AI36" i="49"/>
  <c r="AK27" i="49"/>
  <c r="T27" i="49"/>
  <c r="BL23" i="49"/>
  <c r="AI20" i="49"/>
  <c r="AK60" i="44"/>
  <c r="T60" i="44"/>
  <c r="AK52" i="44"/>
  <c r="T52" i="44"/>
  <c r="AK54" i="44"/>
  <c r="T54" i="44"/>
  <c r="BL52" i="44"/>
  <c r="AJ57" i="44"/>
  <c r="BL54" i="44"/>
  <c r="AI45" i="44"/>
  <c r="BL14" i="12"/>
  <c r="BL58" i="44"/>
  <c r="T44" i="44"/>
  <c r="T38" i="44"/>
  <c r="T30" i="44"/>
  <c r="T22" i="44"/>
  <c r="T14" i="44"/>
  <c r="T59" i="12"/>
  <c r="AK59" i="12"/>
  <c r="T51" i="12"/>
  <c r="AK51" i="12"/>
  <c r="T43" i="12"/>
  <c r="T35" i="12"/>
  <c r="T27" i="12"/>
  <c r="T19" i="12"/>
  <c r="AJ62" i="39"/>
  <c r="AJ54" i="39"/>
  <c r="AJ46" i="39"/>
  <c r="AI51" i="44"/>
  <c r="BM47" i="44"/>
  <c r="BM43" i="44"/>
  <c r="AI40" i="44"/>
  <c r="AJ37" i="44"/>
  <c r="T35" i="44"/>
  <c r="AI32" i="44"/>
  <c r="AJ29" i="44"/>
  <c r="AI24" i="44"/>
  <c r="AJ21" i="44"/>
  <c r="T19" i="44"/>
  <c r="AI16" i="44"/>
  <c r="BL60" i="12"/>
  <c r="BM57" i="12"/>
  <c r="BL52" i="12"/>
  <c r="BM49" i="12"/>
  <c r="BL44" i="12"/>
  <c r="BM41" i="12"/>
  <c r="BL36" i="12"/>
  <c r="BM33" i="12"/>
  <c r="BL28" i="12"/>
  <c r="BM25" i="12"/>
  <c r="BL20" i="12"/>
  <c r="BM17" i="12"/>
  <c r="BL61" i="39"/>
  <c r="BM58" i="39"/>
  <c r="BL53" i="39"/>
  <c r="BM50" i="39"/>
  <c r="BL45" i="39"/>
  <c r="BM42" i="39"/>
  <c r="T37" i="39"/>
  <c r="AJ31" i="39"/>
  <c r="BM26" i="39"/>
  <c r="AK58" i="39"/>
  <c r="T58" i="39"/>
  <c r="BL40" i="39"/>
  <c r="AJ38" i="39"/>
  <c r="AI37" i="39"/>
  <c r="T19" i="39"/>
  <c r="AI15" i="39"/>
  <c r="AJ14" i="39"/>
  <c r="T43" i="39"/>
  <c r="AI39" i="39"/>
  <c r="AJ34" i="39"/>
  <c r="BM23" i="39"/>
  <c r="AI21" i="39"/>
  <c r="BM18" i="39"/>
  <c r="T18" i="39"/>
  <c r="AI61" i="38"/>
  <c r="AJ57" i="38"/>
  <c r="AI53" i="38"/>
  <c r="AI45" i="38"/>
  <c r="AI37" i="38"/>
  <c r="AI29" i="38"/>
  <c r="AI21" i="38"/>
  <c r="AJ14" i="38"/>
  <c r="AK62" i="39"/>
  <c r="T62" i="39"/>
  <c r="BL32" i="39"/>
  <c r="T30" i="39"/>
  <c r="T60" i="38"/>
  <c r="AK60" i="38"/>
  <c r="BM56" i="38"/>
  <c r="AJ39" i="38"/>
  <c r="AJ23" i="38"/>
  <c r="AJ52" i="37"/>
  <c r="AJ36" i="37"/>
  <c r="AJ20" i="37"/>
  <c r="AJ53" i="41"/>
  <c r="AJ42" i="39"/>
  <c r="AJ26" i="39"/>
  <c r="AJ52" i="38"/>
  <c r="AJ36" i="38"/>
  <c r="AJ20" i="38"/>
  <c r="AI39" i="37"/>
  <c r="AI23" i="37"/>
  <c r="BM14" i="37"/>
  <c r="AK62" i="41"/>
  <c r="T62" i="41"/>
  <c r="AK54" i="41"/>
  <c r="T54" i="41"/>
  <c r="AK46" i="41"/>
  <c r="T46" i="41"/>
  <c r="AK32" i="41"/>
  <c r="T32" i="41"/>
  <c r="AJ50" i="41"/>
  <c r="AK34" i="41"/>
  <c r="T34" i="41"/>
  <c r="BL25" i="41"/>
  <c r="BL17" i="41"/>
  <c r="BL62" i="47"/>
  <c r="AJ49" i="37"/>
  <c r="AJ33" i="37"/>
  <c r="T63" i="41"/>
  <c r="AK63" i="41"/>
  <c r="BM62" i="41"/>
  <c r="T59" i="41"/>
  <c r="AK59" i="41"/>
  <c r="BM58" i="41"/>
  <c r="T55" i="41"/>
  <c r="AK55" i="41"/>
  <c r="BM54" i="41"/>
  <c r="T51" i="41"/>
  <c r="AK51" i="41"/>
  <c r="BM50" i="41"/>
  <c r="T47" i="41"/>
  <c r="AK47" i="41"/>
  <c r="BM46" i="41"/>
  <c r="T43" i="41"/>
  <c r="AK43" i="41"/>
  <c r="BM42" i="41"/>
  <c r="BM38" i="41"/>
  <c r="BM36" i="41"/>
  <c r="AJ28" i="41"/>
  <c r="T62" i="37"/>
  <c r="AK62" i="37"/>
  <c r="BM61" i="37"/>
  <c r="T58" i="37"/>
  <c r="AK58" i="37"/>
  <c r="BM57" i="37"/>
  <c r="T54" i="37"/>
  <c r="AK54" i="37"/>
  <c r="BM53" i="37"/>
  <c r="T50" i="37"/>
  <c r="AK50" i="37"/>
  <c r="BM49" i="37"/>
  <c r="T46" i="37"/>
  <c r="AK46" i="37"/>
  <c r="BM45" i="37"/>
  <c r="T42" i="37"/>
  <c r="AK42" i="37"/>
  <c r="BM41" i="37"/>
  <c r="T38" i="37"/>
  <c r="AK38" i="37"/>
  <c r="BM37" i="37"/>
  <c r="AI34" i="37"/>
  <c r="AI33" i="37"/>
  <c r="AJ30" i="37"/>
  <c r="AK28" i="37"/>
  <c r="T28" i="37"/>
  <c r="BL25" i="37"/>
  <c r="T22" i="37"/>
  <c r="AK22" i="37"/>
  <c r="BM21" i="37"/>
  <c r="AI18" i="37"/>
  <c r="AI17" i="37"/>
  <c r="AE12" i="37"/>
  <c r="AI40" i="41"/>
  <c r="AI38" i="41"/>
  <c r="T33" i="41"/>
  <c r="AK33" i="41"/>
  <c r="AJ29" i="41"/>
  <c r="BL27" i="41"/>
  <c r="BM24" i="41"/>
  <c r="AK23" i="41"/>
  <c r="T23" i="41"/>
  <c r="AI16" i="41"/>
  <c r="AI61" i="47"/>
  <c r="AJ58" i="47"/>
  <c r="AK52" i="47"/>
  <c r="T52" i="47"/>
  <c r="BL53" i="47"/>
  <c r="AI45" i="47"/>
  <c r="BM44" i="47"/>
  <c r="BM37" i="47"/>
  <c r="BL28" i="47"/>
  <c r="AI22" i="47"/>
  <c r="BM62" i="40"/>
  <c r="BL53" i="40"/>
  <c r="AI45" i="40"/>
  <c r="AI37" i="40"/>
  <c r="AI29" i="40"/>
  <c r="AI21" i="40"/>
  <c r="BM57" i="47"/>
  <c r="BL48" i="47"/>
  <c r="AJ42" i="47"/>
  <c r="BL35" i="47"/>
  <c r="AJ33" i="47"/>
  <c r="BL30" i="47"/>
  <c r="BM25" i="47"/>
  <c r="BL16" i="47"/>
  <c r="AI60" i="40"/>
  <c r="T58" i="40"/>
  <c r="AK58" i="40"/>
  <c r="BL55" i="40"/>
  <c r="T52" i="40"/>
  <c r="AK52" i="40"/>
  <c r="BL50" i="40"/>
  <c r="BM45" i="40"/>
  <c r="BM41" i="40"/>
  <c r="BM37" i="40"/>
  <c r="BM33" i="40"/>
  <c r="BM29" i="40"/>
  <c r="BM25" i="40"/>
  <c r="AJ19" i="40"/>
  <c r="AJ53" i="47"/>
  <c r="AI48" i="47"/>
  <c r="BM45" i="47"/>
  <c r="AI37" i="47"/>
  <c r="BM36" i="47"/>
  <c r="AI30" i="47"/>
  <c r="BL23" i="47"/>
  <c r="BL18" i="47"/>
  <c r="AI14" i="47"/>
  <c r="AI62" i="40"/>
  <c r="BM61" i="40"/>
  <c r="AI55" i="40"/>
  <c r="BL56" i="47"/>
  <c r="AI50" i="47"/>
  <c r="AI43" i="47"/>
  <c r="AJ41" i="47"/>
  <c r="AI36" i="47"/>
  <c r="BL33" i="47"/>
  <c r="BL22" i="47"/>
  <c r="AJ18" i="47"/>
  <c r="AI59" i="40"/>
  <c r="BL52" i="40"/>
  <c r="AI50" i="40"/>
  <c r="BM49" i="40"/>
  <c r="AJ42" i="40"/>
  <c r="AJ34" i="40"/>
  <c r="AJ26" i="40"/>
  <c r="AJ18" i="40"/>
  <c r="T51" i="8"/>
  <c r="AK51" i="8"/>
  <c r="AJ48" i="8"/>
  <c r="AK60" i="8"/>
  <c r="T60" i="8"/>
  <c r="AJ54" i="8"/>
  <c r="AJ50" i="8"/>
  <c r="BL46" i="8"/>
  <c r="AK53" i="8"/>
  <c r="T53" i="8"/>
  <c r="BL38" i="8"/>
  <c r="BL47" i="8"/>
  <c r="AI42" i="8"/>
  <c r="T32" i="8"/>
  <c r="AI33" i="8"/>
  <c r="BL45" i="8"/>
  <c r="BM42" i="8"/>
  <c r="AI60" i="8"/>
  <c r="AJ62" i="8"/>
  <c r="AJ58" i="8"/>
  <c r="BM53" i="8"/>
  <c r="T59" i="8"/>
  <c r="AK59" i="8"/>
  <c r="T50" i="8"/>
  <c r="BL48" i="8"/>
  <c r="AJ46" i="8"/>
  <c r="T63" i="8"/>
  <c r="AK63" i="8"/>
  <c r="T45" i="8"/>
  <c r="BL42" i="8"/>
  <c r="AJ36" i="8"/>
  <c r="BM47" i="8"/>
  <c r="AJ42" i="8"/>
  <c r="BL37" i="8"/>
  <c r="BL31" i="8"/>
  <c r="AI24" i="8"/>
  <c r="BM45" i="8"/>
  <c r="BL33" i="8"/>
  <c r="T28" i="8"/>
  <c r="AJ22" i="8"/>
  <c r="AI61" i="7"/>
  <c r="AI53" i="7"/>
  <c r="BL61" i="7"/>
  <c r="AJ51" i="7"/>
  <c r="T20" i="8"/>
  <c r="BM19" i="8"/>
  <c r="BL17" i="8"/>
  <c r="BM14" i="8"/>
  <c r="T40" i="8"/>
  <c r="BL62" i="7"/>
  <c r="BM59" i="7"/>
  <c r="AK58" i="7"/>
  <c r="T58" i="7"/>
  <c r="AI51" i="7"/>
  <c r="AK51" i="7"/>
  <c r="T51" i="7"/>
  <c r="BM42" i="7"/>
  <c r="T40" i="7"/>
  <c r="T24" i="7"/>
  <c r="AI47" i="7"/>
  <c r="BM41" i="7"/>
  <c r="BL33" i="7"/>
  <c r="BL25" i="7"/>
  <c r="AK60" i="7"/>
  <c r="T60" i="7"/>
  <c r="T46" i="7"/>
  <c r="BM44" i="7"/>
  <c r="AI42" i="7"/>
  <c r="T38" i="7"/>
  <c r="T34" i="7"/>
  <c r="T30" i="7"/>
  <c r="T22" i="7"/>
  <c r="T18" i="7"/>
  <c r="BM17" i="7"/>
  <c r="T14" i="7"/>
  <c r="BM15" i="7"/>
  <c r="AK57" i="6"/>
  <c r="T57" i="6"/>
  <c r="BM18" i="7"/>
  <c r="AK62" i="6"/>
  <c r="T62" i="6"/>
  <c r="BL54" i="6"/>
  <c r="BL46" i="6"/>
  <c r="AI63" i="6"/>
  <c r="BL59" i="6"/>
  <c r="BL55" i="6"/>
  <c r="BL51" i="6"/>
  <c r="BL47" i="6"/>
  <c r="BL43" i="6"/>
  <c r="AK60" i="6"/>
  <c r="T60" i="6"/>
  <c r="AI31" i="6"/>
  <c r="AK56" i="6"/>
  <c r="T56" i="6"/>
  <c r="BL35" i="6"/>
  <c r="BM31" i="6"/>
  <c r="AI41" i="6"/>
  <c r="BL26" i="6"/>
  <c r="BL18" i="6"/>
  <c r="BL63" i="5"/>
  <c r="AK47" i="5"/>
  <c r="T47" i="5"/>
  <c r="AI42" i="6"/>
  <c r="BM38" i="6"/>
  <c r="AJ36" i="6"/>
  <c r="AI32" i="6"/>
  <c r="AK60" i="5"/>
  <c r="T60" i="5"/>
  <c r="AI53" i="5"/>
  <c r="T63" i="5"/>
  <c r="AK63" i="5"/>
  <c r="AK55" i="5"/>
  <c r="T55" i="5"/>
  <c r="AI43" i="5"/>
  <c r="T40" i="5"/>
  <c r="AK40" i="5"/>
  <c r="AI54" i="5"/>
  <c r="BM52" i="5"/>
  <c r="AK49" i="5"/>
  <c r="T49" i="5"/>
  <c r="AI45" i="5"/>
  <c r="AK35" i="5"/>
  <c r="T35" i="5"/>
  <c r="AK19" i="5"/>
  <c r="T19" i="5"/>
  <c r="BL56" i="4"/>
  <c r="AI56" i="5"/>
  <c r="AI55" i="5"/>
  <c r="AJ52" i="5"/>
  <c r="BL47" i="5"/>
  <c r="AI41" i="5"/>
  <c r="BL36" i="5"/>
  <c r="T32" i="5"/>
  <c r="AK32" i="5"/>
  <c r="AI25" i="5"/>
  <c r="BL20" i="5"/>
  <c r="T16" i="5"/>
  <c r="AK16" i="5"/>
  <c r="BL61" i="4"/>
  <c r="BL57" i="4"/>
  <c r="AJ50" i="5"/>
  <c r="BL44" i="5"/>
  <c r="AK42" i="5"/>
  <c r="T42" i="5"/>
  <c r="AI63" i="4"/>
  <c r="AI59" i="4"/>
  <c r="AK59" i="4"/>
  <c r="T59" i="4"/>
  <c r="BL54" i="4"/>
  <c r="AI51" i="4"/>
  <c r="AI45" i="4"/>
  <c r="AI47" i="4"/>
  <c r="AI38" i="4"/>
  <c r="AI30" i="4"/>
  <c r="AI22" i="4"/>
  <c r="AI14" i="4"/>
  <c r="BL58" i="2"/>
  <c r="BL50" i="2"/>
  <c r="BL42" i="2"/>
  <c r="BM53" i="4"/>
  <c r="BL50" i="4"/>
  <c r="AI50" i="4"/>
  <c r="BL43" i="4"/>
  <c r="AI39" i="4"/>
  <c r="AI35" i="4"/>
  <c r="T59" i="2"/>
  <c r="AK59" i="2"/>
  <c r="T51" i="2"/>
  <c r="AK51" i="2"/>
  <c r="AK60" i="4"/>
  <c r="T60" i="4"/>
  <c r="AJ52" i="4"/>
  <c r="AI49" i="4"/>
  <c r="BM46" i="4"/>
  <c r="AJ44" i="4"/>
  <c r="BL39" i="4"/>
  <c r="AI36" i="4"/>
  <c r="BL23" i="4"/>
  <c r="AI20" i="4"/>
  <c r="BL60" i="2"/>
  <c r="AI57" i="2"/>
  <c r="BL44" i="2"/>
  <c r="AI41" i="2"/>
  <c r="AK61" i="2"/>
  <c r="T61" i="2"/>
  <c r="AJ39" i="2"/>
  <c r="BM32" i="2"/>
  <c r="AK51" i="10"/>
  <c r="T51" i="10"/>
  <c r="AJ33" i="2"/>
  <c r="BM28" i="2"/>
  <c r="BL23" i="2"/>
  <c r="BH11" i="2"/>
  <c r="AI57" i="10"/>
  <c r="BL52" i="10"/>
  <c r="AI41" i="10"/>
  <c r="BL36" i="10"/>
  <c r="AI25" i="10"/>
  <c r="BM36" i="2"/>
  <c r="AJ35" i="2"/>
  <c r="BL31" i="2"/>
  <c r="AE12" i="2"/>
  <c r="BL61" i="10"/>
  <c r="BL57" i="10"/>
  <c r="BL53" i="10"/>
  <c r="BL49" i="10"/>
  <c r="BL45" i="10"/>
  <c r="BL41" i="10"/>
  <c r="BL37" i="10"/>
  <c r="BL33" i="10"/>
  <c r="BL29" i="10"/>
  <c r="BL25" i="10"/>
  <c r="BL21" i="10"/>
  <c r="AJ14" i="10"/>
  <c r="AI62" i="15"/>
  <c r="AJ17" i="10"/>
  <c r="BM62" i="15"/>
  <c r="BL56" i="15"/>
  <c r="BL48" i="15"/>
  <c r="BL40" i="15"/>
  <c r="BL32" i="15"/>
  <c r="BL24" i="15"/>
  <c r="BL16" i="15"/>
  <c r="AK49" i="11"/>
  <c r="T49" i="11"/>
  <c r="AI16" i="10"/>
  <c r="AJ59" i="15"/>
  <c r="AJ43" i="15"/>
  <c r="BM14" i="15"/>
  <c r="AI59" i="11"/>
  <c r="AI51" i="11"/>
  <c r="BL46" i="11"/>
  <c r="BL61" i="15"/>
  <c r="BL58" i="15"/>
  <c r="BM55" i="15"/>
  <c r="AK54" i="15"/>
  <c r="T54" i="15"/>
  <c r="AI47" i="15"/>
  <c r="AJ44" i="15"/>
  <c r="BL42" i="15"/>
  <c r="BM39" i="15"/>
  <c r="AI35" i="15"/>
  <c r="BL22" i="15"/>
  <c r="AI19" i="15"/>
  <c r="BL63" i="11"/>
  <c r="BL59" i="11"/>
  <c r="BL55" i="11"/>
  <c r="BL51" i="11"/>
  <c r="BL47" i="11"/>
  <c r="AI40" i="11"/>
  <c r="AI32" i="11"/>
  <c r="AK48" i="11"/>
  <c r="T48" i="11"/>
  <c r="BL33" i="11"/>
  <c r="T28" i="11"/>
  <c r="AK28" i="11"/>
  <c r="AK25" i="11"/>
  <c r="T25" i="11"/>
  <c r="AI19" i="11"/>
  <c r="T15" i="11"/>
  <c r="AK15" i="11"/>
  <c r="AI61" i="49"/>
  <c r="AK60" i="11"/>
  <c r="T60" i="11"/>
  <c r="BM27" i="11"/>
  <c r="BM23" i="11"/>
  <c r="BM19" i="11"/>
  <c r="BM15" i="11"/>
  <c r="AK60" i="49"/>
  <c r="T60" i="49"/>
  <c r="AI50" i="49"/>
  <c r="AI42" i="49"/>
  <c r="AI34" i="49"/>
  <c r="AI26" i="49"/>
  <c r="AI18" i="49"/>
  <c r="AI63" i="44"/>
  <c r="AI37" i="11"/>
  <c r="BM35" i="11"/>
  <c r="AK32" i="11"/>
  <c r="T32" i="11"/>
  <c r="BL60" i="49"/>
  <c r="AJ56" i="49"/>
  <c r="AJ48" i="49"/>
  <c r="AJ40" i="49"/>
  <c r="AJ32" i="49"/>
  <c r="AJ24" i="49"/>
  <c r="T43" i="11"/>
  <c r="AK43" i="11"/>
  <c r="BM42" i="11"/>
  <c r="T39" i="11"/>
  <c r="AK39" i="11"/>
  <c r="BM38" i="11"/>
  <c r="AI35" i="11"/>
  <c r="AI34" i="11"/>
  <c r="AJ31" i="11"/>
  <c r="AI28" i="11"/>
  <c r="AK26" i="11"/>
  <c r="T26" i="11"/>
  <c r="BL22" i="11"/>
  <c r="AJ16" i="11"/>
  <c r="BH11" i="11"/>
  <c r="AK55" i="49"/>
  <c r="T55" i="49"/>
  <c r="BL51" i="49"/>
  <c r="AI48" i="49"/>
  <c r="AK39" i="49"/>
  <c r="T39" i="49"/>
  <c r="BL35" i="49"/>
  <c r="AI32" i="49"/>
  <c r="AK23" i="49"/>
  <c r="T23" i="49"/>
  <c r="BL19" i="49"/>
  <c r="AI16" i="49"/>
  <c r="AI53" i="44"/>
  <c r="BM52" i="44"/>
  <c r="AJ48" i="44"/>
  <c r="AJ44" i="44"/>
  <c r="AI59" i="44"/>
  <c r="T57" i="44"/>
  <c r="AK57" i="44"/>
  <c r="AI49" i="44"/>
  <c r="AJ45" i="44"/>
  <c r="AK62" i="44"/>
  <c r="T62" i="44"/>
  <c r="AI44" i="44"/>
  <c r="AJ36" i="44"/>
  <c r="AJ28" i="44"/>
  <c r="AJ20" i="44"/>
  <c r="AJ57" i="12"/>
  <c r="AJ49" i="12"/>
  <c r="AJ41" i="12"/>
  <c r="AJ33" i="12"/>
  <c r="AJ25" i="12"/>
  <c r="AJ17" i="12"/>
  <c r="T60" i="39"/>
  <c r="AK60" i="39"/>
  <c r="T52" i="39"/>
  <c r="AK52" i="39"/>
  <c r="T44" i="39"/>
  <c r="AJ54" i="44"/>
  <c r="BM49" i="44"/>
  <c r="BM45" i="44"/>
  <c r="BM41" i="44"/>
  <c r="BL39" i="44"/>
  <c r="BM36" i="44"/>
  <c r="BL31" i="44"/>
  <c r="BM28" i="44"/>
  <c r="BL23" i="44"/>
  <c r="BM20" i="44"/>
  <c r="BL15" i="44"/>
  <c r="AJ62" i="12"/>
  <c r="AK60" i="12"/>
  <c r="T60" i="12"/>
  <c r="AI57" i="12"/>
  <c r="AJ54" i="12"/>
  <c r="AK52" i="12"/>
  <c r="T52" i="12"/>
  <c r="AI49" i="12"/>
  <c r="AJ46" i="12"/>
  <c r="T44" i="12"/>
  <c r="AI41" i="12"/>
  <c r="AJ38" i="12"/>
  <c r="T36" i="12"/>
  <c r="AI33" i="12"/>
  <c r="AJ30" i="12"/>
  <c r="T28" i="12"/>
  <c r="AI25" i="12"/>
  <c r="AJ22" i="12"/>
  <c r="T20" i="12"/>
  <c r="AI17" i="12"/>
  <c r="AJ14" i="12"/>
  <c r="AJ63" i="39"/>
  <c r="AK61" i="39"/>
  <c r="T61" i="39"/>
  <c r="AI58" i="39"/>
  <c r="AJ55" i="39"/>
  <c r="AK53" i="39"/>
  <c r="T53" i="39"/>
  <c r="AI50" i="39"/>
  <c r="AJ47" i="39"/>
  <c r="T45" i="39"/>
  <c r="T41" i="39"/>
  <c r="AJ35" i="39"/>
  <c r="BM30" i="39"/>
  <c r="T25" i="39"/>
  <c r="T50" i="39"/>
  <c r="T38" i="39"/>
  <c r="T31" i="39"/>
  <c r="AI27" i="39"/>
  <c r="AI22" i="39"/>
  <c r="AJ21" i="39"/>
  <c r="BL17" i="39"/>
  <c r="BM60" i="38"/>
  <c r="AK56" i="38"/>
  <c r="T56" i="38"/>
  <c r="AK51" i="39"/>
  <c r="T51" i="39"/>
  <c r="BL36" i="39"/>
  <c r="T34" i="39"/>
  <c r="T21" i="39"/>
  <c r="BL18" i="39"/>
  <c r="BM63" i="38"/>
  <c r="T61" i="38"/>
  <c r="AK61" i="38"/>
  <c r="BM55" i="38"/>
  <c r="BL52" i="38"/>
  <c r="BL44" i="38"/>
  <c r="BL36" i="38"/>
  <c r="BL28" i="38"/>
  <c r="BL20" i="38"/>
  <c r="AK54" i="39"/>
  <c r="T54" i="39"/>
  <c r="BL38" i="39"/>
  <c r="AJ32" i="39"/>
  <c r="BL29" i="39"/>
  <c r="BL22" i="39"/>
  <c r="AI17" i="39"/>
  <c r="AI56" i="38"/>
  <c r="AJ43" i="38"/>
  <c r="AJ27" i="38"/>
  <c r="AJ48" i="37"/>
  <c r="AJ32" i="37"/>
  <c r="AJ16" i="37"/>
  <c r="AJ49" i="41"/>
  <c r="T42" i="39"/>
  <c r="T26" i="39"/>
  <c r="AJ48" i="38"/>
  <c r="AJ32" i="38"/>
  <c r="AJ16" i="38"/>
  <c r="AI35" i="37"/>
  <c r="AI19" i="37"/>
  <c r="BH11" i="37"/>
  <c r="AK56" i="41"/>
  <c r="T56" i="41"/>
  <c r="AK48" i="41"/>
  <c r="T48" i="41"/>
  <c r="AJ46" i="41"/>
  <c r="AJ33" i="41"/>
  <c r="AI22" i="41"/>
  <c r="BM14" i="41"/>
  <c r="AI59" i="47"/>
  <c r="AJ53" i="37"/>
  <c r="AJ37" i="37"/>
  <c r="AJ21" i="37"/>
  <c r="BL15" i="37"/>
  <c r="AI63" i="41"/>
  <c r="AI62" i="41"/>
  <c r="AI59" i="41"/>
  <c r="AI58" i="41"/>
  <c r="AI55" i="41"/>
  <c r="AI54" i="41"/>
  <c r="AI51" i="41"/>
  <c r="AI50" i="41"/>
  <c r="AI47" i="41"/>
  <c r="AI46" i="41"/>
  <c r="AI43" i="41"/>
  <c r="AI42" i="41"/>
  <c r="AJ38" i="41"/>
  <c r="AK36" i="41"/>
  <c r="T36" i="41"/>
  <c r="AI32" i="41"/>
  <c r="AJ24" i="41"/>
  <c r="AJ61" i="47"/>
  <c r="AI62" i="37"/>
  <c r="AI61" i="37"/>
  <c r="AI58" i="37"/>
  <c r="AI57" i="37"/>
  <c r="AI54" i="37"/>
  <c r="AI53" i="37"/>
  <c r="AI50" i="37"/>
  <c r="AI49" i="37"/>
  <c r="AI46" i="37"/>
  <c r="AI45" i="37"/>
  <c r="AI42" i="37"/>
  <c r="AI41" i="37"/>
  <c r="AI38" i="37"/>
  <c r="AI37" i="37"/>
  <c r="AJ34" i="37"/>
  <c r="AK32" i="37"/>
  <c r="T32" i="37"/>
  <c r="BL29" i="37"/>
  <c r="T26" i="37"/>
  <c r="AK26" i="37"/>
  <c r="BM25" i="37"/>
  <c r="AI22" i="37"/>
  <c r="AI21" i="37"/>
  <c r="AJ18" i="37"/>
  <c r="AK16" i="37"/>
  <c r="T16" i="37"/>
  <c r="AJ14" i="37"/>
  <c r="BL39" i="41"/>
  <c r="AJ37" i="41"/>
  <c r="BL31" i="41"/>
  <c r="BM28" i="41"/>
  <c r="AK27" i="41"/>
  <c r="T27" i="41"/>
  <c r="AI20" i="41"/>
  <c r="AJ17" i="41"/>
  <c r="BL15" i="41"/>
  <c r="AJ62" i="47"/>
  <c r="BL60" i="47"/>
  <c r="AK61" i="40"/>
  <c r="T61" i="40"/>
  <c r="AK53" i="40"/>
  <c r="T53" i="40"/>
  <c r="AJ54" i="47"/>
  <c r="AI47" i="47"/>
  <c r="AJ45" i="47"/>
  <c r="BL42" i="47"/>
  <c r="BL37" i="47"/>
  <c r="AI29" i="47"/>
  <c r="BM28" i="47"/>
  <c r="BM21" i="47"/>
  <c r="BL62" i="40"/>
  <c r="AI54" i="40"/>
  <c r="BM53" i="40"/>
  <c r="BL57" i="47"/>
  <c r="AI49" i="47"/>
  <c r="BM48" i="47"/>
  <c r="AI42" i="47"/>
  <c r="AI35" i="47"/>
  <c r="BL25" i="47"/>
  <c r="AI17" i="47"/>
  <c r="BM16" i="47"/>
  <c r="BM14" i="47"/>
  <c r="AK59" i="40"/>
  <c r="T59" i="40"/>
  <c r="BL57" i="40"/>
  <c r="AJ51" i="40"/>
  <c r="BM48" i="40"/>
  <c r="BM44" i="40"/>
  <c r="BM40" i="40"/>
  <c r="BM36" i="40"/>
  <c r="BM32" i="40"/>
  <c r="BM28" i="40"/>
  <c r="AJ23" i="40"/>
  <c r="BL17" i="40"/>
  <c r="BL55" i="47"/>
  <c r="T53" i="47"/>
  <c r="AK53" i="47"/>
  <c r="BL50" i="47"/>
  <c r="BL45" i="47"/>
  <c r="AJ37" i="47"/>
  <c r="AI32" i="47"/>
  <c r="BM29" i="47"/>
  <c r="AI23" i="47"/>
  <c r="BL20" i="47"/>
  <c r="AJ62" i="40"/>
  <c r="AI57" i="40"/>
  <c r="BM54" i="40"/>
  <c r="AI57" i="47"/>
  <c r="BM56" i="47"/>
  <c r="BM49" i="47"/>
  <c r="BL38" i="47"/>
  <c r="AJ34" i="47"/>
  <c r="BL24" i="47"/>
  <c r="AI18" i="47"/>
  <c r="BM58" i="40"/>
  <c r="AI52" i="40"/>
  <c r="AJ50" i="40"/>
  <c r="BL48" i="40"/>
  <c r="AI46" i="40"/>
  <c r="BL42" i="40"/>
  <c r="BL40" i="40"/>
  <c r="AI38" i="40"/>
  <c r="BL34" i="40"/>
  <c r="BL32" i="40"/>
  <c r="AI30" i="40"/>
  <c r="BL26" i="40"/>
  <c r="BL24" i="40"/>
  <c r="AI22" i="40"/>
  <c r="BL18" i="40"/>
  <c r="BL16" i="40"/>
  <c r="AI14" i="40"/>
  <c r="AK56" i="8"/>
  <c r="T56" i="8"/>
  <c r="AK57" i="8"/>
  <c r="T57" i="8"/>
  <c r="BL63" i="8"/>
  <c r="BL49" i="8"/>
  <c r="AI47" i="8"/>
  <c r="AK62" i="8"/>
  <c r="T62" i="8"/>
  <c r="AK54" i="8"/>
  <c r="T54" i="8"/>
  <c r="BL59" i="8"/>
  <c r="BM61" i="8"/>
  <c r="BM57" i="8"/>
  <c r="AK52" i="8"/>
  <c r="T52" i="8"/>
  <c r="AI50" i="8"/>
  <c r="T48" i="8"/>
  <c r="T46" i="8"/>
  <c r="AJ40" i="8"/>
  <c r="BL41" i="8"/>
  <c r="T38" i="8"/>
  <c r="BM37" i="8"/>
  <c r="AI35" i="8"/>
  <c r="AI31" i="8"/>
  <c r="BM39" i="8"/>
  <c r="AI28" i="8"/>
  <c r="BL23" i="8"/>
  <c r="BM43" i="8"/>
  <c r="AJ37" i="8"/>
  <c r="T34" i="8"/>
  <c r="BM33" i="8"/>
  <c r="T31" i="8"/>
  <c r="AJ26" i="8"/>
  <c r="AI18" i="8"/>
  <c r="BL60" i="7"/>
  <c r="BL52" i="7"/>
  <c r="AJ14" i="8"/>
  <c r="AJ59" i="7"/>
  <c r="AI20" i="8"/>
  <c r="T17" i="8"/>
  <c r="BM63" i="7"/>
  <c r="AK62" i="7"/>
  <c r="T62" i="7"/>
  <c r="AI55" i="7"/>
  <c r="AJ52" i="7"/>
  <c r="BL50" i="7"/>
  <c r="AK55" i="7"/>
  <c r="T55" i="7"/>
  <c r="BL49" i="7"/>
  <c r="BL46" i="7"/>
  <c r="T53" i="7"/>
  <c r="AK53" i="7"/>
  <c r="T36" i="7"/>
  <c r="T20" i="7"/>
  <c r="AJ47" i="7"/>
  <c r="BL43" i="7"/>
  <c r="AI38" i="7"/>
  <c r="AI30" i="7"/>
  <c r="AI22" i="7"/>
  <c r="AI48" i="7"/>
  <c r="AI46" i="7"/>
  <c r="AI18" i="7"/>
  <c r="AI14" i="7"/>
  <c r="BL14" i="7"/>
  <c r="AK53" i="6"/>
  <c r="T53" i="6"/>
  <c r="AJ16" i="7"/>
  <c r="AI59" i="6"/>
  <c r="AI51" i="6"/>
  <c r="AI43" i="6"/>
  <c r="AI15" i="7"/>
  <c r="AJ62" i="6"/>
  <c r="AK59" i="6"/>
  <c r="T59" i="6"/>
  <c r="AK55" i="6"/>
  <c r="T55" i="6"/>
  <c r="AK51" i="6"/>
  <c r="T51" i="6"/>
  <c r="AI35" i="6"/>
  <c r="BM35" i="6"/>
  <c r="AI23" i="6"/>
  <c r="AI15" i="6"/>
  <c r="AI60" i="5"/>
  <c r="AI39" i="6"/>
  <c r="BL34" i="6"/>
  <c r="AJ32" i="6"/>
  <c r="AI28" i="6"/>
  <c r="AI24" i="6"/>
  <c r="AI20" i="6"/>
  <c r="AI16" i="6"/>
  <c r="BL52" i="5"/>
  <c r="AK43" i="5"/>
  <c r="T43" i="5"/>
  <c r="AI40" i="5"/>
  <c r="AI50" i="5"/>
  <c r="BM48" i="5"/>
  <c r="AJ45" i="5"/>
  <c r="AK31" i="5"/>
  <c r="T31" i="5"/>
  <c r="AK15" i="5"/>
  <c r="T15" i="5"/>
  <c r="AJ56" i="5"/>
  <c r="BL51" i="5"/>
  <c r="T48" i="5"/>
  <c r="AK48" i="5"/>
  <c r="BM47" i="5"/>
  <c r="AJ41" i="5"/>
  <c r="T36" i="5"/>
  <c r="AK36" i="5"/>
  <c r="AI29" i="5"/>
  <c r="BL24" i="5"/>
  <c r="T20" i="5"/>
  <c r="AK20" i="5"/>
  <c r="T61" i="4"/>
  <c r="AK61" i="4"/>
  <c r="T57" i="4"/>
  <c r="AK57" i="4"/>
  <c r="BL54" i="5"/>
  <c r="BM46" i="5"/>
  <c r="BM44" i="5"/>
  <c r="AJ43" i="5"/>
  <c r="BL39" i="5"/>
  <c r="AI34" i="5"/>
  <c r="AI30" i="5"/>
  <c r="AI26" i="5"/>
  <c r="AI22" i="5"/>
  <c r="AI18" i="5"/>
  <c r="AI14" i="5"/>
  <c r="BL62" i="4"/>
  <c r="BL58" i="4"/>
  <c r="AI55" i="4"/>
  <c r="BM54" i="4"/>
  <c r="AJ51" i="4"/>
  <c r="AJ47" i="4"/>
  <c r="BL37" i="4"/>
  <c r="BL29" i="4"/>
  <c r="BL21" i="4"/>
  <c r="AI63" i="2"/>
  <c r="AI55" i="2"/>
  <c r="AI47" i="2"/>
  <c r="AK63" i="4"/>
  <c r="T63" i="4"/>
  <c r="AI53" i="4"/>
  <c r="BM50" i="4"/>
  <c r="AJ43" i="4"/>
  <c r="BL38" i="4"/>
  <c r="BL34" i="4"/>
  <c r="AJ28" i="4"/>
  <c r="AJ20" i="4"/>
  <c r="AJ57" i="2"/>
  <c r="AJ49" i="2"/>
  <c r="AJ41" i="2"/>
  <c r="AJ45" i="4"/>
  <c r="BL35" i="4"/>
  <c r="AI32" i="4"/>
  <c r="BL19" i="4"/>
  <c r="AI16" i="4"/>
  <c r="AK60" i="2"/>
  <c r="T60" i="2"/>
  <c r="BL56" i="2"/>
  <c r="AI53" i="2"/>
  <c r="AK58" i="2"/>
  <c r="T58" i="2"/>
  <c r="AK57" i="2"/>
  <c r="T57" i="2"/>
  <c r="AI37" i="2"/>
  <c r="BM29" i="2"/>
  <c r="AK63" i="10"/>
  <c r="T63" i="10"/>
  <c r="BL37" i="2"/>
  <c r="AJ30" i="2"/>
  <c r="AI16" i="2"/>
  <c r="AI61" i="10"/>
  <c r="BL56" i="10"/>
  <c r="T52" i="10"/>
  <c r="AK52" i="10"/>
  <c r="AI45" i="10"/>
  <c r="BL40" i="10"/>
  <c r="AI29" i="10"/>
  <c r="BL24" i="10"/>
  <c r="AJ38" i="2"/>
  <c r="BM34" i="2"/>
  <c r="AI29" i="2"/>
  <c r="AI25" i="2"/>
  <c r="AI21" i="2"/>
  <c r="AI17" i="2"/>
  <c r="AK61" i="10"/>
  <c r="T61" i="10"/>
  <c r="AK57" i="10"/>
  <c r="T57" i="10"/>
  <c r="AK53" i="10"/>
  <c r="T53" i="10"/>
  <c r="AJ16" i="10"/>
  <c r="AI61" i="15"/>
  <c r="AI53" i="15"/>
  <c r="AI45" i="15"/>
  <c r="AI37" i="15"/>
  <c r="AI29" i="15"/>
  <c r="AI21" i="15"/>
  <c r="AK61" i="11"/>
  <c r="T61" i="11"/>
  <c r="AK45" i="11"/>
  <c r="T45" i="11"/>
  <c r="AJ55" i="15"/>
  <c r="AJ39" i="15"/>
  <c r="AJ27" i="15"/>
  <c r="AJ19" i="15"/>
  <c r="BL58" i="11"/>
  <c r="BL50" i="11"/>
  <c r="AJ15" i="10"/>
  <c r="AI63" i="15"/>
  <c r="AK61" i="15"/>
  <c r="T61" i="15"/>
  <c r="AK58" i="15"/>
  <c r="T58" i="15"/>
  <c r="AI51" i="15"/>
  <c r="AJ48" i="15"/>
  <c r="BL46" i="15"/>
  <c r="BM43" i="15"/>
  <c r="BL34" i="15"/>
  <c r="AI31" i="15"/>
  <c r="BL18" i="15"/>
  <c r="AI15" i="15"/>
  <c r="AK63" i="11"/>
  <c r="T63" i="11"/>
  <c r="AK59" i="11"/>
  <c r="T59" i="11"/>
  <c r="AK55" i="11"/>
  <c r="T55" i="11"/>
  <c r="AK51" i="11"/>
  <c r="T51" i="11"/>
  <c r="AK47" i="11"/>
  <c r="T47" i="11"/>
  <c r="BL39" i="11"/>
  <c r="BL31" i="11"/>
  <c r="AJ41" i="11"/>
  <c r="AJ33" i="11"/>
  <c r="T27" i="11"/>
  <c r="AK27" i="11"/>
  <c r="T24" i="11"/>
  <c r="AK24" i="11"/>
  <c r="AK21" i="11"/>
  <c r="T21" i="11"/>
  <c r="AI15" i="11"/>
  <c r="AJ61" i="49"/>
  <c r="T62" i="11"/>
  <c r="AK62" i="11"/>
  <c r="AK38" i="11"/>
  <c r="T38" i="11"/>
  <c r="AK34" i="11"/>
  <c r="T34" i="11"/>
  <c r="AI30" i="11"/>
  <c r="AI26" i="11"/>
  <c r="AI22" i="11"/>
  <c r="AI18" i="11"/>
  <c r="AI14" i="11"/>
  <c r="AI60" i="49"/>
  <c r="BL49" i="49"/>
  <c r="BL41" i="49"/>
  <c r="BL33" i="49"/>
  <c r="BL25" i="49"/>
  <c r="BL17" i="49"/>
  <c r="BL62" i="44"/>
  <c r="AK44" i="11"/>
  <c r="T44" i="11"/>
  <c r="AI33" i="11"/>
  <c r="BM31" i="11"/>
  <c r="AI63" i="49"/>
  <c r="BM60" i="49"/>
  <c r="T54" i="49"/>
  <c r="AK54" i="49"/>
  <c r="T46" i="49"/>
  <c r="AK46" i="49"/>
  <c r="T38" i="49"/>
  <c r="AK38" i="49"/>
  <c r="T30" i="49"/>
  <c r="AK30" i="49"/>
  <c r="T22" i="49"/>
  <c r="AK22" i="49"/>
  <c r="T63" i="44"/>
  <c r="AK63" i="44"/>
  <c r="AI43" i="11"/>
  <c r="AI42" i="11"/>
  <c r="AI39" i="11"/>
  <c r="AI38" i="11"/>
  <c r="AJ35" i="11"/>
  <c r="BL30" i="11"/>
  <c r="AJ28" i="11"/>
  <c r="AI24" i="11"/>
  <c r="AK22" i="11"/>
  <c r="T22" i="11"/>
  <c r="BL18" i="11"/>
  <c r="BL14" i="11"/>
  <c r="AK51" i="49"/>
  <c r="T51" i="49"/>
  <c r="BL47" i="49"/>
  <c r="AI44" i="49"/>
  <c r="AK35" i="49"/>
  <c r="T35" i="49"/>
  <c r="BL31" i="49"/>
  <c r="AI28" i="49"/>
  <c r="AK19" i="49"/>
  <c r="T19" i="49"/>
  <c r="BL15" i="49"/>
  <c r="AK56" i="44"/>
  <c r="T56" i="44"/>
  <c r="BL55" i="44"/>
  <c r="AJ53" i="44"/>
  <c r="AJ50" i="44"/>
  <c r="AJ46" i="44"/>
  <c r="AJ42" i="44"/>
  <c r="T59" i="44"/>
  <c r="AK59" i="44"/>
  <c r="AK58" i="44"/>
  <c r="T58" i="44"/>
  <c r="BL56" i="44"/>
  <c r="AJ49" i="44"/>
  <c r="T42" i="44"/>
  <c r="BL60" i="44"/>
  <c r="AI48" i="44"/>
  <c r="T26" i="44"/>
  <c r="T18" i="44"/>
  <c r="T63" i="12"/>
  <c r="AK63" i="12"/>
  <c r="T55" i="12"/>
  <c r="AK55" i="12"/>
  <c r="T47" i="12"/>
  <c r="T39" i="12"/>
  <c r="T31" i="12"/>
  <c r="T23" i="12"/>
  <c r="T15" i="12"/>
  <c r="AJ58" i="39"/>
  <c r="AJ50" i="39"/>
  <c r="AK61" i="44"/>
  <c r="T61" i="44"/>
  <c r="BM53" i="44"/>
  <c r="BL48" i="44"/>
  <c r="BL44" i="44"/>
  <c r="AJ41" i="44"/>
  <c r="T39" i="44"/>
  <c r="AI36" i="44"/>
  <c r="AJ33" i="44"/>
  <c r="T31" i="44"/>
  <c r="AI28" i="44"/>
  <c r="AJ25" i="44"/>
  <c r="T23" i="44"/>
  <c r="AI20" i="44"/>
  <c r="AJ17" i="44"/>
  <c r="BM61" i="12"/>
  <c r="BL56" i="12"/>
  <c r="BM53" i="12"/>
  <c r="BL48" i="12"/>
  <c r="BM45" i="12"/>
  <c r="BL40" i="12"/>
  <c r="BM37" i="12"/>
  <c r="BL32" i="12"/>
  <c r="BM29" i="12"/>
  <c r="BL24" i="12"/>
  <c r="BM21" i="12"/>
  <c r="BL16" i="12"/>
  <c r="BM62" i="39"/>
  <c r="BL57" i="39"/>
  <c r="BM54" i="39"/>
  <c r="BL49" i="39"/>
  <c r="BM46" i="39"/>
  <c r="AJ39" i="39"/>
  <c r="BM34" i="39"/>
  <c r="T29" i="39"/>
  <c r="AJ23" i="39"/>
  <c r="BL37" i="39"/>
  <c r="AI32" i="39"/>
  <c r="BL30" i="39"/>
  <c r="BL24" i="39"/>
  <c r="AJ22" i="39"/>
  <c r="BH11" i="39"/>
  <c r="AI60" i="38"/>
  <c r="AK59" i="39"/>
  <c r="T59" i="39"/>
  <c r="AJ36" i="39"/>
  <c r="BL33" i="39"/>
  <c r="AI28" i="39"/>
  <c r="BL20" i="39"/>
  <c r="AI14" i="39"/>
  <c r="AK63" i="38"/>
  <c r="T63" i="38"/>
  <c r="AK55" i="38"/>
  <c r="T55" i="38"/>
  <c r="AI49" i="38"/>
  <c r="AI41" i="38"/>
  <c r="AI33" i="38"/>
  <c r="AI25" i="38"/>
  <c r="AI17" i="38"/>
  <c r="T46" i="39"/>
  <c r="AI40" i="39"/>
  <c r="BM35" i="39"/>
  <c r="AI30" i="39"/>
  <c r="BM29" i="39"/>
  <c r="AI24" i="39"/>
  <c r="AJ20" i="39"/>
  <c r="T17" i="39"/>
  <c r="AI62" i="38"/>
  <c r="T53" i="38"/>
  <c r="AK53" i="38"/>
  <c r="AJ47" i="38"/>
  <c r="AJ31" i="38"/>
  <c r="AJ15" i="38"/>
  <c r="AJ60" i="37"/>
  <c r="AJ44" i="37"/>
  <c r="AJ28" i="37"/>
  <c r="AJ61" i="41"/>
  <c r="AJ45" i="41"/>
  <c r="BL41" i="39"/>
  <c r="AI36" i="39"/>
  <c r="BL25" i="39"/>
  <c r="AJ19" i="39"/>
  <c r="AJ44" i="38"/>
  <c r="AJ28" i="38"/>
  <c r="BM15" i="38"/>
  <c r="AI31" i="37"/>
  <c r="AI15" i="37"/>
  <c r="BL63" i="41"/>
  <c r="AK58" i="41"/>
  <c r="T58" i="41"/>
  <c r="AK50" i="41"/>
  <c r="T50" i="41"/>
  <c r="T35" i="41"/>
  <c r="AK35" i="41"/>
  <c r="AJ58" i="41"/>
  <c r="AK42" i="41"/>
  <c r="T42" i="41"/>
  <c r="BL29" i="41"/>
  <c r="BL21" i="41"/>
  <c r="AI14" i="41"/>
  <c r="BL58" i="47"/>
  <c r="AJ57" i="37"/>
  <c r="AJ41" i="37"/>
  <c r="AJ25" i="37"/>
  <c r="AJ63" i="41"/>
  <c r="AK61" i="41"/>
  <c r="T61" i="41"/>
  <c r="AJ59" i="41"/>
  <c r="AK57" i="41"/>
  <c r="T57" i="41"/>
  <c r="AJ55" i="41"/>
  <c r="AK53" i="41"/>
  <c r="T53" i="41"/>
  <c r="AJ51" i="41"/>
  <c r="AK49" i="41"/>
  <c r="T49" i="41"/>
  <c r="AJ47" i="41"/>
  <c r="AK45" i="41"/>
  <c r="T45" i="41"/>
  <c r="AJ43" i="41"/>
  <c r="AJ41" i="41"/>
  <c r="AK38" i="41"/>
  <c r="T38" i="41"/>
  <c r="AJ31" i="41"/>
  <c r="AJ20" i="41"/>
  <c r="AJ62" i="37"/>
  <c r="AK60" i="37"/>
  <c r="T60" i="37"/>
  <c r="AJ58" i="37"/>
  <c r="AK56" i="37"/>
  <c r="T56" i="37"/>
  <c r="AJ54" i="37"/>
  <c r="AK52" i="37"/>
  <c r="T52" i="37"/>
  <c r="AJ50" i="37"/>
  <c r="AK48" i="37"/>
  <c r="T48" i="37"/>
  <c r="AJ46" i="37"/>
  <c r="AK44" i="37"/>
  <c r="T44" i="37"/>
  <c r="AJ42" i="37"/>
  <c r="AK40" i="37"/>
  <c r="T40" i="37"/>
  <c r="AJ38" i="37"/>
  <c r="AK36" i="37"/>
  <c r="T36" i="37"/>
  <c r="BL33" i="37"/>
  <c r="T30" i="37"/>
  <c r="AK30" i="37"/>
  <c r="BM29" i="37"/>
  <c r="AI26" i="37"/>
  <c r="AI25" i="37"/>
  <c r="AJ22" i="37"/>
  <c r="AK20" i="37"/>
  <c r="T20" i="37"/>
  <c r="BL17" i="37"/>
  <c r="T14" i="37"/>
  <c r="AK14" i="37"/>
  <c r="BL61" i="41"/>
  <c r="BL57" i="41"/>
  <c r="BL53" i="41"/>
  <c r="BL49" i="41"/>
  <c r="BL45" i="41"/>
  <c r="T39" i="41"/>
  <c r="AK39" i="41"/>
  <c r="T37" i="41"/>
  <c r="AK37" i="41"/>
  <c r="AI31" i="41"/>
  <c r="AI24" i="41"/>
  <c r="AJ21" i="41"/>
  <c r="BL19" i="41"/>
  <c r="BM16" i="41"/>
  <c r="AK15" i="41"/>
  <c r="T15" i="41"/>
  <c r="BM61" i="47"/>
  <c r="AK60" i="47"/>
  <c r="T60" i="47"/>
  <c r="AK56" i="47"/>
  <c r="T56" i="47"/>
  <c r="AI54" i="47"/>
  <c r="AJ38" i="47"/>
  <c r="AI31" i="47"/>
  <c r="AJ29" i="47"/>
  <c r="BL26" i="47"/>
  <c r="BL21" i="47"/>
  <c r="AJ63" i="40"/>
  <c r="AI56" i="40"/>
  <c r="AJ54" i="40"/>
  <c r="BL51" i="40"/>
  <c r="AI49" i="40"/>
  <c r="AI41" i="40"/>
  <c r="AI33" i="40"/>
  <c r="AI25" i="40"/>
  <c r="AI17" i="40"/>
  <c r="BL51" i="47"/>
  <c r="AJ49" i="47"/>
  <c r="AI44" i="47"/>
  <c r="BM41" i="47"/>
  <c r="BL32" i="47"/>
  <c r="AJ26" i="47"/>
  <c r="BL19" i="47"/>
  <c r="AJ17" i="47"/>
  <c r="AI58" i="40"/>
  <c r="BM57" i="40"/>
  <c r="AI51" i="40"/>
  <c r="AJ47" i="40"/>
  <c r="AJ43" i="40"/>
  <c r="AJ39" i="40"/>
  <c r="AJ35" i="40"/>
  <c r="AJ31" i="40"/>
  <c r="AJ27" i="40"/>
  <c r="BL21" i="40"/>
  <c r="BM17" i="40"/>
  <c r="AI55" i="47"/>
  <c r="BL52" i="47"/>
  <c r="AJ46" i="47"/>
  <c r="BL39" i="47"/>
  <c r="BL34" i="47"/>
  <c r="BL29" i="47"/>
  <c r="AI21" i="47"/>
  <c r="BM20" i="47"/>
  <c r="AJ14" i="47"/>
  <c r="T62" i="40"/>
  <c r="AK62" i="40"/>
  <c r="BL59" i="40"/>
  <c r="T56" i="40"/>
  <c r="AK56" i="40"/>
  <c r="BL54" i="40"/>
  <c r="AJ57" i="47"/>
  <c r="AI52" i="47"/>
  <c r="BL49" i="47"/>
  <c r="BL40" i="47"/>
  <c r="AI34" i="47"/>
  <c r="BL27" i="47"/>
  <c r="AI25" i="47"/>
  <c r="BM24" i="47"/>
  <c r="BM17" i="47"/>
  <c r="AI61" i="40"/>
  <c r="BL58" i="40"/>
  <c r="AJ46" i="40"/>
  <c r="AJ38" i="40"/>
  <c r="AJ30" i="40"/>
  <c r="AJ22" i="40"/>
  <c r="AE12" i="40"/>
  <c r="AI45" i="8"/>
  <c r="AI39" i="8"/>
  <c r="T42" i="8"/>
  <c r="BM41" i="8"/>
  <c r="AI38" i="8"/>
  <c r="AJ32" i="8"/>
  <c r="AI37" i="8"/>
  <c r="BL34" i="8"/>
  <c r="T49" i="8"/>
  <c r="BL27" i="8"/>
  <c r="T23" i="8"/>
  <c r="AJ43" i="8"/>
  <c r="BL40" i="8"/>
  <c r="AI34" i="8"/>
  <c r="T33" i="8"/>
  <c r="AJ30" i="8"/>
  <c r="AI16" i="8"/>
  <c r="AI57" i="7"/>
  <c r="BL57" i="7"/>
  <c r="AJ20" i="8"/>
  <c r="BM18" i="8"/>
  <c r="AI14" i="8"/>
  <c r="AI59" i="7"/>
  <c r="AJ56" i="7"/>
  <c r="BL54" i="7"/>
  <c r="BM51" i="7"/>
  <c r="AK59" i="7"/>
  <c r="T59" i="7"/>
  <c r="AI49" i="7"/>
  <c r="BM46" i="7"/>
  <c r="T57" i="7"/>
  <c r="AK57" i="7"/>
  <c r="T32" i="7"/>
  <c r="T49" i="7"/>
  <c r="AI43" i="7"/>
  <c r="BL37" i="7"/>
  <c r="BL29" i="7"/>
  <c r="BL21" i="7"/>
  <c r="AK52" i="7"/>
  <c r="T52" i="7"/>
  <c r="T48" i="7"/>
  <c r="AI44" i="7"/>
  <c r="AI39" i="7"/>
  <c r="AI35" i="7"/>
  <c r="AI31" i="7"/>
  <c r="AI27" i="7"/>
  <c r="AI23" i="7"/>
  <c r="AI19" i="7"/>
  <c r="AJ18" i="7"/>
  <c r="BL63" i="6"/>
  <c r="AJ19" i="7"/>
  <c r="BM14" i="7"/>
  <c r="BL58" i="6"/>
  <c r="BL50" i="6"/>
  <c r="BL42" i="6"/>
  <c r="AJ15" i="7"/>
  <c r="AI40" i="6"/>
  <c r="AJ40" i="6"/>
  <c r="AJ33" i="6"/>
  <c r="AK62" i="5"/>
  <c r="T62" i="5"/>
  <c r="T54" i="6"/>
  <c r="AK54" i="6"/>
  <c r="AJ30" i="6"/>
  <c r="BL22" i="6"/>
  <c r="BL14" i="6"/>
  <c r="BL59" i="5"/>
  <c r="AJ39" i="6"/>
  <c r="BL36" i="6"/>
  <c r="BL30" i="6"/>
  <c r="BL27" i="6"/>
  <c r="BL23" i="6"/>
  <c r="BL19" i="6"/>
  <c r="BL15" i="6"/>
  <c r="AI61" i="5"/>
  <c r="AI57" i="5"/>
  <c r="AI49" i="5"/>
  <c r="BL40" i="5"/>
  <c r="AK57" i="5"/>
  <c r="T57" i="5"/>
  <c r="AJ42" i="5"/>
  <c r="AI39" i="5"/>
  <c r="AK27" i="5"/>
  <c r="T27" i="5"/>
  <c r="BL60" i="4"/>
  <c r="BL55" i="5"/>
  <c r="T52" i="5"/>
  <c r="AK52" i="5"/>
  <c r="BM51" i="5"/>
  <c r="AI48" i="5"/>
  <c r="AI47" i="5"/>
  <c r="AJ38" i="5"/>
  <c r="AI33" i="5"/>
  <c r="BL28" i="5"/>
  <c r="T24" i="5"/>
  <c r="AK24" i="5"/>
  <c r="AI17" i="5"/>
  <c r="AJ59" i="4"/>
  <c r="AJ55" i="4"/>
  <c r="AJ54" i="5"/>
  <c r="BL46" i="5"/>
  <c r="T44" i="5"/>
  <c r="AK44" i="5"/>
  <c r="BM42" i="5"/>
  <c r="BL37" i="5"/>
  <c r="BL33" i="5"/>
  <c r="BL29" i="5"/>
  <c r="BL25" i="5"/>
  <c r="BL21" i="5"/>
  <c r="BL17" i="5"/>
  <c r="AK62" i="4"/>
  <c r="T62" i="4"/>
  <c r="AK58" i="4"/>
  <c r="T58" i="4"/>
  <c r="AK54" i="4"/>
  <c r="T54" i="4"/>
  <c r="AK55" i="4"/>
  <c r="T55" i="4"/>
  <c r="AI34" i="4"/>
  <c r="AI26" i="4"/>
  <c r="AI18" i="4"/>
  <c r="BL62" i="2"/>
  <c r="BL54" i="2"/>
  <c r="BL46" i="2"/>
  <c r="AK53" i="4"/>
  <c r="T53" i="4"/>
  <c r="BL42" i="4"/>
  <c r="T63" i="2"/>
  <c r="AK63" i="2"/>
  <c r="T55" i="2"/>
  <c r="AK55" i="2"/>
  <c r="BM47" i="4"/>
  <c r="BM44" i="4"/>
  <c r="BL31" i="4"/>
  <c r="AI28" i="4"/>
  <c r="BL15" i="4"/>
  <c r="AK56" i="2"/>
  <c r="T56" i="2"/>
  <c r="BL52" i="2"/>
  <c r="AI49" i="2"/>
  <c r="BL40" i="2"/>
  <c r="AI39" i="2"/>
  <c r="AI35" i="2"/>
  <c r="AI32" i="2"/>
  <c r="AK54" i="2"/>
  <c r="T54" i="2"/>
  <c r="BL38" i="2"/>
  <c r="AJ37" i="2"/>
  <c r="AK59" i="10"/>
  <c r="T59" i="10"/>
  <c r="BL27" i="2"/>
  <c r="AI20" i="2"/>
  <c r="BL15" i="2"/>
  <c r="BL60" i="10"/>
  <c r="T56" i="10"/>
  <c r="AK56" i="10"/>
  <c r="AI49" i="10"/>
  <c r="BL44" i="10"/>
  <c r="AI33" i="10"/>
  <c r="BL28" i="10"/>
  <c r="BM37" i="2"/>
  <c r="AI36" i="2"/>
  <c r="AJ29" i="2"/>
  <c r="BL24" i="2"/>
  <c r="BL20" i="2"/>
  <c r="BL16" i="2"/>
  <c r="AI18" i="10"/>
  <c r="BL20" i="10"/>
  <c r="AI14" i="10"/>
  <c r="T63" i="15"/>
  <c r="AK63" i="15"/>
  <c r="AK60" i="15"/>
  <c r="T60" i="15"/>
  <c r="BM15" i="10"/>
  <c r="BL60" i="15"/>
  <c r="BL52" i="15"/>
  <c r="BL44" i="15"/>
  <c r="BL36" i="15"/>
  <c r="BL28" i="15"/>
  <c r="BL20" i="15"/>
  <c r="AK57" i="11"/>
  <c r="T57" i="11"/>
  <c r="BM18" i="10"/>
  <c r="BM14" i="10"/>
  <c r="AJ60" i="15"/>
  <c r="AJ51" i="15"/>
  <c r="AJ35" i="15"/>
  <c r="AI63" i="11"/>
  <c r="AI55" i="11"/>
  <c r="T50" i="11"/>
  <c r="AK50" i="11"/>
  <c r="AI19" i="10"/>
  <c r="AJ63" i="15"/>
  <c r="AI55" i="15"/>
  <c r="AJ52" i="15"/>
  <c r="BL50" i="15"/>
  <c r="BM47" i="15"/>
  <c r="AI39" i="15"/>
  <c r="AJ36" i="15"/>
  <c r="BL30" i="15"/>
  <c r="AI27" i="15"/>
  <c r="BL14" i="15"/>
  <c r="AI44" i="11"/>
  <c r="AI36" i="11"/>
  <c r="BL37" i="11"/>
  <c r="AI27" i="11"/>
  <c r="T23" i="11"/>
  <c r="AK23" i="11"/>
  <c r="T20" i="11"/>
  <c r="AK20" i="11"/>
  <c r="AK17" i="11"/>
  <c r="T17" i="11"/>
  <c r="AJ14" i="11"/>
  <c r="BL59" i="49"/>
  <c r="AK42" i="11"/>
  <c r="T42" i="11"/>
  <c r="AK37" i="11"/>
  <c r="T37" i="11"/>
  <c r="AK33" i="11"/>
  <c r="T33" i="11"/>
  <c r="BL29" i="11"/>
  <c r="BL25" i="11"/>
  <c r="BL21" i="11"/>
  <c r="BL17" i="11"/>
  <c r="AI54" i="49"/>
  <c r="AI46" i="49"/>
  <c r="AI38" i="49"/>
  <c r="AI30" i="49"/>
  <c r="AI22" i="49"/>
  <c r="BM14" i="49"/>
  <c r="AK56" i="11"/>
  <c r="T56" i="11"/>
  <c r="BM43" i="11"/>
  <c r="AK40" i="11"/>
  <c r="T40" i="11"/>
  <c r="AJ29" i="11"/>
  <c r="AJ25" i="11"/>
  <c r="AJ21" i="11"/>
  <c r="AJ17" i="11"/>
  <c r="AK63" i="49"/>
  <c r="T63" i="49"/>
  <c r="BM57" i="49"/>
  <c r="AJ52" i="49"/>
  <c r="AJ44" i="49"/>
  <c r="AJ36" i="49"/>
  <c r="AJ28" i="49"/>
  <c r="AJ20" i="49"/>
  <c r="AJ61" i="44"/>
  <c r="AK52" i="11"/>
  <c r="T52" i="11"/>
  <c r="AJ43" i="11"/>
  <c r="AJ39" i="11"/>
  <c r="BL34" i="11"/>
  <c r="T31" i="11"/>
  <c r="AK31" i="11"/>
  <c r="BM30" i="11"/>
  <c r="AJ24" i="11"/>
  <c r="AI20" i="11"/>
  <c r="AK18" i="11"/>
  <c r="T18" i="11"/>
  <c r="AK14" i="11"/>
  <c r="T14" i="11"/>
  <c r="AJ58" i="49"/>
  <c r="AI56" i="49"/>
  <c r="AK47" i="49"/>
  <c r="T47" i="49"/>
  <c r="BL43" i="49"/>
  <c r="AI40" i="49"/>
  <c r="AK31" i="49"/>
  <c r="T31" i="49"/>
  <c r="BL27" i="49"/>
  <c r="AI24" i="49"/>
  <c r="AK15" i="49"/>
  <c r="T15" i="49"/>
  <c r="AI61" i="44"/>
  <c r="AI55" i="44"/>
  <c r="T53" i="44"/>
  <c r="AK53" i="44"/>
  <c r="BL50" i="44"/>
  <c r="AJ59" i="44"/>
  <c r="AI57" i="44"/>
  <c r="BM56" i="44"/>
  <c r="T46" i="44"/>
  <c r="BM14" i="44"/>
  <c r="BM60" i="44"/>
  <c r="AJ40" i="44"/>
  <c r="AJ32" i="44"/>
  <c r="AJ24" i="44"/>
  <c r="AJ16" i="44"/>
  <c r="AJ61" i="12"/>
  <c r="AJ53" i="12"/>
  <c r="AJ45" i="12"/>
  <c r="AJ37" i="12"/>
  <c r="AJ29" i="12"/>
  <c r="AJ21" i="12"/>
  <c r="T56" i="39"/>
  <c r="AK56" i="39"/>
  <c r="T48" i="39"/>
  <c r="AI60" i="44"/>
  <c r="BL51" i="44"/>
  <c r="BM48" i="44"/>
  <c r="BM44" i="44"/>
  <c r="BM40" i="44"/>
  <c r="BL35" i="44"/>
  <c r="BM32" i="44"/>
  <c r="BL27" i="44"/>
  <c r="BM24" i="44"/>
  <c r="BL19" i="44"/>
  <c r="BM16" i="44"/>
  <c r="AI61" i="12"/>
  <c r="AJ58" i="12"/>
  <c r="AK56" i="12"/>
  <c r="T56" i="12"/>
  <c r="AI53" i="12"/>
  <c r="AJ50" i="12"/>
  <c r="T48" i="12"/>
  <c r="AI45" i="12"/>
  <c r="AJ42" i="12"/>
  <c r="T40" i="12"/>
  <c r="AI37" i="12"/>
  <c r="AJ34" i="12"/>
  <c r="T32" i="12"/>
  <c r="AI29" i="12"/>
  <c r="AJ26" i="12"/>
  <c r="T24" i="12"/>
  <c r="AI21" i="12"/>
  <c r="AJ18" i="12"/>
  <c r="T16" i="12"/>
  <c r="AI62" i="39"/>
  <c r="AJ59" i="39"/>
  <c r="AK57" i="39"/>
  <c r="T57" i="39"/>
  <c r="AI54" i="39"/>
  <c r="AJ51" i="39"/>
  <c r="T49" i="39"/>
  <c r="AI46" i="39"/>
  <c r="AJ43" i="39"/>
  <c r="BM38" i="39"/>
  <c r="T33" i="39"/>
  <c r="AJ27" i="39"/>
  <c r="BM22" i="39"/>
  <c r="AI38" i="39"/>
  <c r="BM37" i="39"/>
  <c r="T22" i="39"/>
  <c r="T20" i="39"/>
  <c r="AJ15" i="39"/>
  <c r="AJ59" i="38"/>
  <c r="BM39" i="39"/>
  <c r="AI34" i="39"/>
  <c r="BM33" i="39"/>
  <c r="T24" i="39"/>
  <c r="BM21" i="39"/>
  <c r="BM19" i="39"/>
  <c r="AI18" i="39"/>
  <c r="BL62" i="38"/>
  <c r="AI59" i="38"/>
  <c r="BL54" i="38"/>
  <c r="BL48" i="38"/>
  <c r="BL40" i="38"/>
  <c r="BL32" i="38"/>
  <c r="BL24" i="38"/>
  <c r="BL16" i="38"/>
  <c r="AI35" i="39"/>
  <c r="AJ30" i="39"/>
  <c r="AI29" i="39"/>
  <c r="BM15" i="39"/>
  <c r="BL57" i="38"/>
  <c r="AJ51" i="38"/>
  <c r="AJ35" i="38"/>
  <c r="AJ19" i="38"/>
  <c r="BM14" i="38"/>
  <c r="AJ56" i="37"/>
  <c r="AJ40" i="37"/>
  <c r="AJ24" i="37"/>
  <c r="AJ57" i="41"/>
  <c r="AI42" i="39"/>
  <c r="BM41" i="39"/>
  <c r="AI26" i="39"/>
  <c r="BM25" i="39"/>
  <c r="AI19" i="39"/>
  <c r="AJ58" i="38"/>
  <c r="AJ40" i="38"/>
  <c r="AJ24" i="38"/>
  <c r="BL14" i="38"/>
  <c r="AI27" i="37"/>
  <c r="AK60" i="41"/>
  <c r="T60" i="41"/>
  <c r="AK52" i="41"/>
  <c r="T52" i="41"/>
  <c r="AK44" i="41"/>
  <c r="T44" i="41"/>
  <c r="AJ35" i="41"/>
  <c r="AK17" i="37"/>
  <c r="T17" i="37"/>
  <c r="AJ54" i="41"/>
  <c r="AK40" i="41"/>
  <c r="T40" i="41"/>
  <c r="AI26" i="41"/>
  <c r="AI18" i="41"/>
  <c r="AI63" i="47"/>
  <c r="AJ61" i="37"/>
  <c r="AJ45" i="37"/>
  <c r="AJ29" i="37"/>
  <c r="BL62" i="41"/>
  <c r="BL58" i="41"/>
  <c r="BL54" i="41"/>
  <c r="BL50" i="41"/>
  <c r="BL46" i="41"/>
  <c r="BL42" i="41"/>
  <c r="T41" i="41"/>
  <c r="AK41" i="41"/>
  <c r="BL37" i="41"/>
  <c r="BM32" i="41"/>
  <c r="BL30" i="41"/>
  <c r="AJ16" i="41"/>
  <c r="BL61" i="37"/>
  <c r="BL57" i="37"/>
  <c r="BL53" i="37"/>
  <c r="BL49" i="37"/>
  <c r="BL45" i="37"/>
  <c r="BL41" i="37"/>
  <c r="BL37" i="37"/>
  <c r="T34" i="37"/>
  <c r="AK34" i="37"/>
  <c r="BM33" i="37"/>
  <c r="AI30" i="37"/>
  <c r="AI29" i="37"/>
  <c r="AJ26" i="37"/>
  <c r="AK24" i="37"/>
  <c r="T24" i="37"/>
  <c r="BL21" i="37"/>
  <c r="T18" i="37"/>
  <c r="AK18" i="37"/>
  <c r="BM17" i="37"/>
  <c r="AI14" i="37"/>
  <c r="BM60" i="41"/>
  <c r="BM56" i="41"/>
  <c r="BM52" i="41"/>
  <c r="BM48" i="41"/>
  <c r="BM44" i="41"/>
  <c r="BL40" i="41"/>
  <c r="AJ39" i="41"/>
  <c r="BL34" i="41"/>
  <c r="AI28" i="41"/>
  <c r="AJ25" i="41"/>
  <c r="BL23" i="41"/>
  <c r="BM20" i="41"/>
  <c r="AK19" i="41"/>
  <c r="T19" i="41"/>
  <c r="AK57" i="40"/>
  <c r="T57" i="40"/>
  <c r="BM53" i="47"/>
  <c r="BL44" i="47"/>
  <c r="AI38" i="47"/>
  <c r="AJ22" i="47"/>
  <c r="AI15" i="47"/>
  <c r="AI63" i="40"/>
  <c r="T54" i="40"/>
  <c r="AK54" i="40"/>
  <c r="AJ16" i="40"/>
  <c r="AI51" i="47"/>
  <c r="BL46" i="47"/>
  <c r="BL41" i="47"/>
  <c r="AI33" i="47"/>
  <c r="BM32" i="47"/>
  <c r="AI26" i="47"/>
  <c r="AI19" i="47"/>
  <c r="BL14" i="47"/>
  <c r="BL60" i="40"/>
  <c r="AJ58" i="40"/>
  <c r="AI53" i="40"/>
  <c r="BM50" i="40"/>
  <c r="BL45" i="40"/>
  <c r="BL41" i="40"/>
  <c r="BL37" i="40"/>
  <c r="BL33" i="40"/>
  <c r="BL29" i="40"/>
  <c r="BL25" i="40"/>
  <c r="BM21" i="40"/>
  <c r="AJ15" i="40"/>
  <c r="AI53" i="47"/>
  <c r="BM52" i="47"/>
  <c r="AI46" i="47"/>
  <c r="AI39" i="47"/>
  <c r="BL36" i="47"/>
  <c r="AJ30" i="47"/>
  <c r="AJ21" i="47"/>
  <c r="AI16" i="47"/>
  <c r="BL61" i="40"/>
  <c r="AJ55" i="40"/>
  <c r="T57" i="47"/>
  <c r="AK57" i="47"/>
  <c r="BL54" i="47"/>
  <c r="AJ50" i="47"/>
  <c r="BL43" i="47"/>
  <c r="AI41" i="47"/>
  <c r="BM40" i="47"/>
  <c r="BM33" i="47"/>
  <c r="AI27" i="47"/>
  <c r="AJ25" i="47"/>
  <c r="AI20" i="47"/>
  <c r="BL17" i="47"/>
  <c r="BL63" i="40"/>
  <c r="AJ59" i="40"/>
  <c r="BL49" i="40"/>
  <c r="BL46" i="40"/>
  <c r="BL44" i="40"/>
  <c r="AI42" i="40"/>
  <c r="BL38" i="40"/>
  <c r="BL36" i="40"/>
  <c r="AI34" i="40"/>
  <c r="BL30" i="40"/>
  <c r="BL28" i="40"/>
  <c r="AI26" i="40"/>
  <c r="BL22" i="40"/>
  <c r="BL20" i="40"/>
  <c r="AI18" i="40"/>
  <c r="BL14" i="40"/>
  <c r="AJ14" i="40"/>
  <c r="AV48" i="40" l="1"/>
  <c r="AV45" i="40"/>
  <c r="AV42" i="40"/>
  <c r="AV38" i="40"/>
  <c r="AV34" i="40"/>
  <c r="AV30" i="40"/>
  <c r="AV27" i="40"/>
  <c r="AV23" i="40"/>
  <c r="AV19" i="40"/>
  <c r="AV15" i="40"/>
  <c r="AV39" i="40"/>
  <c r="AV31" i="40"/>
  <c r="AV16" i="40"/>
  <c r="AV47" i="40"/>
  <c r="AV41" i="40"/>
  <c r="AV37" i="40"/>
  <c r="AV33" i="40"/>
  <c r="AV29" i="40"/>
  <c r="AV26" i="40"/>
  <c r="AV22" i="40"/>
  <c r="AV18" i="40"/>
  <c r="AV14" i="40"/>
  <c r="AV49" i="40"/>
  <c r="AV35" i="40"/>
  <c r="AV28" i="40"/>
  <c r="AV50" i="40"/>
  <c r="AV46" i="40"/>
  <c r="AV44" i="40"/>
  <c r="AV40" i="40"/>
  <c r="AV36" i="40"/>
  <c r="AV32" i="40"/>
  <c r="AV25" i="40"/>
  <c r="AV21" i="40"/>
  <c r="AV17" i="40"/>
  <c r="AV43" i="40"/>
  <c r="AV24" i="40"/>
  <c r="AV20" i="40"/>
  <c r="P39" i="40"/>
  <c r="S39" i="40" s="1"/>
  <c r="P15" i="40"/>
  <c r="S15" i="40" s="1"/>
  <c r="P23" i="40"/>
  <c r="S23" i="40" s="1"/>
  <c r="P27" i="40"/>
  <c r="S27" i="40" s="1"/>
  <c r="P24" i="40"/>
  <c r="S24" i="40" s="1"/>
  <c r="P32" i="40"/>
  <c r="S32" i="40" s="1"/>
  <c r="P21" i="40"/>
  <c r="S21" i="40" s="1"/>
  <c r="P29" i="40"/>
  <c r="S29" i="40" s="1"/>
  <c r="P37" i="40"/>
  <c r="S37" i="40" s="1"/>
  <c r="P45" i="40"/>
  <c r="S45" i="40" s="1"/>
  <c r="P20" i="40"/>
  <c r="S20" i="40" s="1"/>
  <c r="P49" i="40"/>
  <c r="S49" i="40" s="1"/>
  <c r="P40" i="40"/>
  <c r="S40" i="40" s="1"/>
  <c r="P50" i="40"/>
  <c r="S50" i="40" s="1"/>
  <c r="P43" i="40"/>
  <c r="S43" i="40" s="1"/>
  <c r="P26" i="40"/>
  <c r="S26" i="40" s="1"/>
  <c r="P18" i="40"/>
  <c r="S18" i="40" s="1"/>
  <c r="P34" i="40"/>
  <c r="S34" i="40" s="1"/>
  <c r="P38" i="40"/>
  <c r="S38" i="40" s="1"/>
  <c r="P19" i="40"/>
  <c r="S19" i="40" s="1"/>
  <c r="P46" i="40"/>
  <c r="S46" i="40" s="1"/>
  <c r="P16" i="40"/>
  <c r="S16" i="40" s="1"/>
  <c r="P36" i="40"/>
  <c r="S36" i="40" s="1"/>
  <c r="P44" i="40"/>
  <c r="S44" i="40" s="1"/>
  <c r="P28" i="40"/>
  <c r="S28" i="40" s="1"/>
  <c r="P17" i="40"/>
  <c r="S17" i="40" s="1"/>
  <c r="P25" i="40"/>
  <c r="S25" i="40" s="1"/>
  <c r="P33" i="40"/>
  <c r="S33" i="40" s="1"/>
  <c r="P41" i="40"/>
  <c r="S41" i="40" s="1"/>
  <c r="P35" i="40"/>
  <c r="S35" i="40" s="1"/>
  <c r="P14" i="40"/>
  <c r="S14" i="40" s="1"/>
  <c r="P22" i="40"/>
  <c r="S22" i="40" s="1"/>
  <c r="P48" i="40"/>
  <c r="S48" i="40" s="1"/>
  <c r="P31" i="40"/>
  <c r="S31" i="40" s="1"/>
  <c r="P47" i="40"/>
  <c r="S47" i="40" s="1"/>
  <c r="P42" i="40"/>
  <c r="S42" i="40" s="1"/>
  <c r="P30" i="40"/>
  <c r="S30" i="40" s="1"/>
  <c r="AV14" i="47"/>
  <c r="AV48" i="47"/>
  <c r="AV44" i="47"/>
  <c r="AV40" i="47"/>
  <c r="AV36" i="47"/>
  <c r="AV32" i="47"/>
  <c r="AV28" i="47"/>
  <c r="AV24" i="47"/>
  <c r="AV20" i="47"/>
  <c r="AV16" i="47"/>
  <c r="AV45" i="47"/>
  <c r="AV41" i="47"/>
  <c r="AV21" i="47"/>
  <c r="AV17" i="47"/>
  <c r="AV47" i="47"/>
  <c r="AV43" i="47"/>
  <c r="AV39" i="47"/>
  <c r="AV35" i="47"/>
  <c r="AV31" i="47"/>
  <c r="AV27" i="47"/>
  <c r="AV23" i="47"/>
  <c r="AV19" i="47"/>
  <c r="AV15" i="47"/>
  <c r="AV29" i="47"/>
  <c r="AV50" i="47"/>
  <c r="AV46" i="47"/>
  <c r="AV42" i="47"/>
  <c r="AV38" i="47"/>
  <c r="AV34" i="47"/>
  <c r="AV30" i="47"/>
  <c r="AV26" i="47"/>
  <c r="AV22" i="47"/>
  <c r="AV18" i="47"/>
  <c r="AV49" i="47"/>
  <c r="AV37" i="47"/>
  <c r="AV33" i="47"/>
  <c r="AV25" i="47"/>
  <c r="P42" i="47"/>
  <c r="S42" i="47" s="1"/>
  <c r="P46" i="47"/>
  <c r="S46" i="47" s="1"/>
  <c r="P39" i="47"/>
  <c r="S39" i="47" s="1"/>
  <c r="P37" i="47"/>
  <c r="S37" i="47" s="1"/>
  <c r="P47" i="47"/>
  <c r="S47" i="47" s="1"/>
  <c r="P43" i="47"/>
  <c r="S43" i="47" s="1"/>
  <c r="P45" i="47"/>
  <c r="S45" i="47" s="1"/>
  <c r="P16" i="47"/>
  <c r="S16" i="47" s="1"/>
  <c r="P48" i="47"/>
  <c r="S48" i="47" s="1"/>
  <c r="P14" i="47"/>
  <c r="S14" i="47" s="1"/>
  <c r="P26" i="47"/>
  <c r="S26" i="47" s="1"/>
  <c r="P23" i="47"/>
  <c r="S23" i="47" s="1"/>
  <c r="P35" i="47"/>
  <c r="S35" i="47" s="1"/>
  <c r="P21" i="47"/>
  <c r="S21" i="47" s="1"/>
  <c r="P29" i="47"/>
  <c r="S29" i="47" s="1"/>
  <c r="P20" i="47"/>
  <c r="S20" i="47" s="1"/>
  <c r="P28" i="47"/>
  <c r="S28" i="47" s="1"/>
  <c r="P36" i="47"/>
  <c r="S36" i="47" s="1"/>
  <c r="P44" i="47"/>
  <c r="S44" i="47" s="1"/>
  <c r="P41" i="47"/>
  <c r="S41" i="47" s="1"/>
  <c r="P33" i="47"/>
  <c r="S33" i="47" s="1"/>
  <c r="P32" i="47"/>
  <c r="S32" i="47" s="1"/>
  <c r="P19" i="47"/>
  <c r="S19" i="47" s="1"/>
  <c r="P38" i="47"/>
  <c r="S38" i="47" s="1"/>
  <c r="P25" i="47"/>
  <c r="S25" i="47" s="1"/>
  <c r="P15" i="47"/>
  <c r="S15" i="47" s="1"/>
  <c r="P31" i="47"/>
  <c r="S31" i="47" s="1"/>
  <c r="P18" i="47"/>
  <c r="S18" i="47" s="1"/>
  <c r="P34" i="47"/>
  <c r="S34" i="47" s="1"/>
  <c r="P50" i="47"/>
  <c r="S50" i="47" s="1"/>
  <c r="P30" i="47"/>
  <c r="S30" i="47" s="1"/>
  <c r="P22" i="47"/>
  <c r="S22" i="47" s="1"/>
  <c r="P17" i="47"/>
  <c r="S17" i="47" s="1"/>
  <c r="P27" i="47"/>
  <c r="S27" i="47" s="1"/>
  <c r="P49" i="47"/>
  <c r="S49" i="47" s="1"/>
  <c r="P24" i="47"/>
  <c r="S24" i="47" s="1"/>
  <c r="P40" i="47"/>
  <c r="S40" i="47" s="1"/>
  <c r="AW20" i="38"/>
  <c r="AW17" i="38"/>
  <c r="AW32" i="38"/>
  <c r="AW47" i="38"/>
  <c r="AW22" i="38"/>
  <c r="AW37" i="38"/>
  <c r="AW43" i="38"/>
  <c r="AW19" i="38"/>
  <c r="AW34" i="38"/>
  <c r="AW31" i="38"/>
  <c r="AW21" i="38"/>
  <c r="AW36" i="38"/>
  <c r="AW24" i="38"/>
  <c r="AW26" i="38"/>
  <c r="AW41" i="38"/>
  <c r="AW46" i="38"/>
  <c r="AW23" i="38"/>
  <c r="AW38" i="38"/>
  <c r="AW35" i="38"/>
  <c r="AW25" i="38"/>
  <c r="AW40" i="38"/>
  <c r="AW14" i="38"/>
  <c r="AW29" i="38"/>
  <c r="AW45" i="38"/>
  <c r="AW50" i="38"/>
  <c r="AW27" i="38"/>
  <c r="AW42" i="38"/>
  <c r="AW16" i="38"/>
  <c r="AW39" i="38"/>
  <c r="AW28" i="38"/>
  <c r="AW44" i="38"/>
  <c r="AW18" i="38"/>
  <c r="AW33" i="38"/>
  <c r="AW48" i="38"/>
  <c r="AW15" i="38"/>
  <c r="AW30" i="38"/>
  <c r="AW49" i="38"/>
  <c r="P34" i="38"/>
  <c r="S34" i="38" s="1"/>
  <c r="P50" i="38"/>
  <c r="S50" i="38" s="1"/>
  <c r="P19" i="38"/>
  <c r="S19" i="38" s="1"/>
  <c r="P35" i="38"/>
  <c r="S35" i="38" s="1"/>
  <c r="P29" i="38"/>
  <c r="S29" i="38" s="1"/>
  <c r="P45" i="38"/>
  <c r="S45" i="38" s="1"/>
  <c r="P42" i="38"/>
  <c r="S42" i="38" s="1"/>
  <c r="P31" i="38"/>
  <c r="S31" i="38" s="1"/>
  <c r="P17" i="38"/>
  <c r="S17" i="38" s="1"/>
  <c r="P49" i="38"/>
  <c r="S49" i="38" s="1"/>
  <c r="P18" i="38"/>
  <c r="S18" i="38" s="1"/>
  <c r="P38" i="38"/>
  <c r="S38" i="38" s="1"/>
  <c r="P24" i="38"/>
  <c r="S24" i="38" s="1"/>
  <c r="P27" i="38"/>
  <c r="S27" i="38" s="1"/>
  <c r="P15" i="38"/>
  <c r="S15" i="38" s="1"/>
  <c r="P14" i="38"/>
  <c r="S14" i="38" s="1"/>
  <c r="P20" i="38"/>
  <c r="S20" i="38" s="1"/>
  <c r="P30" i="38"/>
  <c r="S30" i="38" s="1"/>
  <c r="P36" i="38"/>
  <c r="S36" i="38" s="1"/>
  <c r="P46" i="38"/>
  <c r="S46" i="38" s="1"/>
  <c r="P25" i="38"/>
  <c r="S25" i="38" s="1"/>
  <c r="P41" i="38"/>
  <c r="S41" i="38" s="1"/>
  <c r="P43" i="38"/>
  <c r="S43" i="38" s="1"/>
  <c r="P22" i="38"/>
  <c r="S22" i="38" s="1"/>
  <c r="P16" i="38"/>
  <c r="S16" i="38" s="1"/>
  <c r="P33" i="38"/>
  <c r="S33" i="38" s="1"/>
  <c r="P26" i="38"/>
  <c r="S26" i="38" s="1"/>
  <c r="P28" i="38"/>
  <c r="S28" i="38" s="1"/>
  <c r="P44" i="38"/>
  <c r="S44" i="38" s="1"/>
  <c r="P23" i="38"/>
  <c r="S23" i="38" s="1"/>
  <c r="P39" i="38"/>
  <c r="S39" i="38" s="1"/>
  <c r="P21" i="38"/>
  <c r="S21" i="38" s="1"/>
  <c r="P37" i="38"/>
  <c r="S37" i="38" s="1"/>
  <c r="P40" i="38"/>
  <c r="S40" i="38" s="1"/>
  <c r="P47" i="38"/>
  <c r="S47" i="38" s="1"/>
  <c r="P32" i="38"/>
  <c r="S32" i="38" s="1"/>
  <c r="P48" i="38"/>
  <c r="S48" i="38" s="1"/>
  <c r="AV49" i="39"/>
  <c r="AV45" i="39"/>
  <c r="AV41" i="39"/>
  <c r="AV37" i="39"/>
  <c r="AV33" i="39"/>
  <c r="AV29" i="39"/>
  <c r="AV25" i="39"/>
  <c r="AV21" i="39"/>
  <c r="AV17" i="39"/>
  <c r="AV50" i="39"/>
  <c r="AV42" i="39"/>
  <c r="AV34" i="39"/>
  <c r="AV48" i="39"/>
  <c r="AV44" i="39"/>
  <c r="AV40" i="39"/>
  <c r="AV36" i="39"/>
  <c r="AV32" i="39"/>
  <c r="AV28" i="39"/>
  <c r="AV24" i="39"/>
  <c r="AV20" i="39"/>
  <c r="AV16" i="39"/>
  <c r="AV26" i="39"/>
  <c r="AV18" i="39"/>
  <c r="AV47" i="39"/>
  <c r="AV43" i="39"/>
  <c r="AV39" i="39"/>
  <c r="AV35" i="39"/>
  <c r="AV31" i="39"/>
  <c r="AV27" i="39"/>
  <c r="AV23" i="39"/>
  <c r="AV19" i="39"/>
  <c r="AV15" i="39"/>
  <c r="AV46" i="39"/>
  <c r="AV38" i="39"/>
  <c r="AV30" i="39"/>
  <c r="AV22" i="39"/>
  <c r="AV14" i="39"/>
  <c r="T23" i="39"/>
  <c r="T27" i="39"/>
  <c r="T15" i="39"/>
  <c r="T36" i="39"/>
  <c r="T14" i="39"/>
  <c r="T28" i="39"/>
  <c r="T35" i="39"/>
  <c r="T39" i="39"/>
  <c r="T16" i="39"/>
  <c r="AW26" i="12"/>
  <c r="AW50" i="12"/>
  <c r="AW27" i="12"/>
  <c r="AW43" i="12"/>
  <c r="AW16" i="12"/>
  <c r="AW32" i="12"/>
  <c r="AW48" i="12"/>
  <c r="AW21" i="12"/>
  <c r="AW37" i="12"/>
  <c r="AW30" i="12"/>
  <c r="AW15" i="12"/>
  <c r="AW31" i="12"/>
  <c r="AW47" i="12"/>
  <c r="AW20" i="12"/>
  <c r="AW36" i="12"/>
  <c r="AW18" i="12"/>
  <c r="AW25" i="12"/>
  <c r="AW41" i="12"/>
  <c r="AW38" i="12"/>
  <c r="AW19" i="12"/>
  <c r="AW35" i="12"/>
  <c r="AW22" i="12"/>
  <c r="AW24" i="12"/>
  <c r="AW40" i="12"/>
  <c r="AW34" i="12"/>
  <c r="AW29" i="12"/>
  <c r="AW45" i="12"/>
  <c r="AW14" i="12"/>
  <c r="AW42" i="12"/>
  <c r="AW23" i="12"/>
  <c r="AW39" i="12"/>
  <c r="AW46" i="12"/>
  <c r="AW28" i="12"/>
  <c r="AW44" i="12"/>
  <c r="AW17" i="12"/>
  <c r="AW33" i="12"/>
  <c r="AW49" i="12"/>
  <c r="T30" i="12"/>
  <c r="T37" i="12"/>
  <c r="T41" i="12"/>
  <c r="T29" i="12"/>
  <c r="T38" i="12"/>
  <c r="T22" i="12"/>
  <c r="T18" i="12"/>
  <c r="T33" i="12"/>
  <c r="T46" i="12"/>
  <c r="T17" i="12"/>
  <c r="T45" i="12"/>
  <c r="T42" i="12"/>
  <c r="T26" i="12"/>
  <c r="T25" i="12"/>
  <c r="T49" i="12"/>
  <c r="T21" i="12"/>
  <c r="T14" i="12"/>
  <c r="T50" i="12"/>
  <c r="AV49" i="44"/>
  <c r="AV45" i="44"/>
  <c r="AV41" i="44"/>
  <c r="AV37" i="44"/>
  <c r="AV33" i="44"/>
  <c r="AV29" i="44"/>
  <c r="AV25" i="44"/>
  <c r="AV21" i="44"/>
  <c r="AV17" i="44"/>
  <c r="AV34" i="44"/>
  <c r="AV22" i="44"/>
  <c r="AV18" i="44"/>
  <c r="AV48" i="44"/>
  <c r="AV44" i="44"/>
  <c r="AV40" i="44"/>
  <c r="AV36" i="44"/>
  <c r="AV32" i="44"/>
  <c r="AV28" i="44"/>
  <c r="AV24" i="44"/>
  <c r="AV20" i="44"/>
  <c r="AV16" i="44"/>
  <c r="AV50" i="44"/>
  <c r="AV42" i="44"/>
  <c r="AV30" i="44"/>
  <c r="AV47" i="44"/>
  <c r="AV43" i="44"/>
  <c r="AV39" i="44"/>
  <c r="AV35" i="44"/>
  <c r="AV31" i="44"/>
  <c r="AV27" i="44"/>
  <c r="AV23" i="44"/>
  <c r="AV19" i="44"/>
  <c r="AV15" i="44"/>
  <c r="AV46" i="44"/>
  <c r="AV38" i="44"/>
  <c r="AV26" i="44"/>
  <c r="AV14" i="44"/>
  <c r="T33" i="44"/>
  <c r="T15" i="44"/>
  <c r="T25" i="44"/>
  <c r="T45" i="44"/>
  <c r="T21" i="44"/>
  <c r="T36" i="44"/>
  <c r="T20" i="44"/>
  <c r="T48" i="44"/>
  <c r="T28" i="44"/>
  <c r="T17" i="44"/>
  <c r="T41" i="44"/>
  <c r="T32" i="44"/>
  <c r="T43" i="44"/>
  <c r="T47" i="44"/>
  <c r="T16" i="44"/>
  <c r="T50" i="44"/>
  <c r="AV47" i="15"/>
  <c r="AV43" i="15"/>
  <c r="AV39" i="15"/>
  <c r="AV35" i="15"/>
  <c r="AV31" i="15"/>
  <c r="AV27" i="15"/>
  <c r="AV23" i="15"/>
  <c r="AV19" i="15"/>
  <c r="AV15" i="15"/>
  <c r="AV44" i="15"/>
  <c r="AV32" i="15"/>
  <c r="AV50" i="15"/>
  <c r="AV46" i="15"/>
  <c r="AV42" i="15"/>
  <c r="AV38" i="15"/>
  <c r="AV34" i="15"/>
  <c r="AV30" i="15"/>
  <c r="AV26" i="15"/>
  <c r="AV22" i="15"/>
  <c r="AV18" i="15"/>
  <c r="AV14" i="15"/>
  <c r="AV40" i="15"/>
  <c r="AV24" i="15"/>
  <c r="AV16" i="15"/>
  <c r="AV49" i="15"/>
  <c r="AV45" i="15"/>
  <c r="AV41" i="15"/>
  <c r="AV37" i="15"/>
  <c r="AV33" i="15"/>
  <c r="AV29" i="15"/>
  <c r="AV25" i="15"/>
  <c r="AV21" i="15"/>
  <c r="AV17" i="15"/>
  <c r="AV48" i="15"/>
  <c r="AV36" i="15"/>
  <c r="AV28" i="15"/>
  <c r="AV20" i="15"/>
  <c r="P27" i="15"/>
  <c r="S27" i="15" s="1"/>
  <c r="P35" i="15"/>
  <c r="S35" i="15" s="1"/>
  <c r="P43" i="15"/>
  <c r="S43" i="15" s="1"/>
  <c r="P37" i="15"/>
  <c r="S37" i="15" s="1"/>
  <c r="P41" i="15"/>
  <c r="S41" i="15" s="1"/>
  <c r="P45" i="15"/>
  <c r="S45" i="15" s="1"/>
  <c r="P49" i="15"/>
  <c r="S49" i="15" s="1"/>
  <c r="P18" i="15"/>
  <c r="S18" i="15" s="1"/>
  <c r="P34" i="15"/>
  <c r="S34" i="15" s="1"/>
  <c r="P46" i="15"/>
  <c r="S46" i="15" s="1"/>
  <c r="P21" i="15"/>
  <c r="S21" i="15" s="1"/>
  <c r="P29" i="15"/>
  <c r="S29" i="15" s="1"/>
  <c r="P24" i="15"/>
  <c r="S24" i="15" s="1"/>
  <c r="P30" i="15"/>
  <c r="S30" i="15" s="1"/>
  <c r="P40" i="15"/>
  <c r="S40" i="15" s="1"/>
  <c r="P48" i="15"/>
  <c r="S48" i="15" s="1"/>
  <c r="P15" i="15"/>
  <c r="S15" i="15" s="1"/>
  <c r="P28" i="15"/>
  <c r="S28" i="15" s="1"/>
  <c r="P32" i="15"/>
  <c r="S32" i="15" s="1"/>
  <c r="P22" i="15"/>
  <c r="S22" i="15" s="1"/>
  <c r="P42" i="15"/>
  <c r="S42" i="15" s="1"/>
  <c r="P36" i="15"/>
  <c r="S36" i="15" s="1"/>
  <c r="P16" i="15"/>
  <c r="S16" i="15" s="1"/>
  <c r="P19" i="15"/>
  <c r="S19" i="15" s="1"/>
  <c r="P31" i="15"/>
  <c r="S31" i="15" s="1"/>
  <c r="P39" i="15"/>
  <c r="S39" i="15" s="1"/>
  <c r="P47" i="15"/>
  <c r="S47" i="15" s="1"/>
  <c r="P23" i="15"/>
  <c r="S23" i="15" s="1"/>
  <c r="P26" i="15"/>
  <c r="S26" i="15" s="1"/>
  <c r="P38" i="15"/>
  <c r="S38" i="15" s="1"/>
  <c r="P17" i="15"/>
  <c r="S17" i="15" s="1"/>
  <c r="P25" i="15"/>
  <c r="S25" i="15" s="1"/>
  <c r="P44" i="15"/>
  <c r="S44" i="15" s="1"/>
  <c r="P20" i="15"/>
  <c r="S20" i="15" s="1"/>
  <c r="P33" i="15"/>
  <c r="S33" i="15" s="1"/>
  <c r="P14" i="15"/>
  <c r="S14" i="15" s="1"/>
  <c r="P50" i="15"/>
  <c r="S50" i="15" s="1"/>
  <c r="AV47" i="10"/>
  <c r="AV43" i="10"/>
  <c r="AV36" i="10"/>
  <c r="AV32" i="10"/>
  <c r="AV29" i="10"/>
  <c r="AV25" i="10"/>
  <c r="AV22" i="10"/>
  <c r="AV18" i="10"/>
  <c r="AV14" i="10"/>
  <c r="AV33" i="10"/>
  <c r="AV19" i="10"/>
  <c r="AV50" i="10"/>
  <c r="AV46" i="10"/>
  <c r="AV42" i="10"/>
  <c r="AV39" i="10"/>
  <c r="AV35" i="10"/>
  <c r="AV31" i="10"/>
  <c r="AV28" i="10"/>
  <c r="AV24" i="10"/>
  <c r="AV21" i="10"/>
  <c r="AV17" i="10"/>
  <c r="AV40" i="10"/>
  <c r="AV26" i="10"/>
  <c r="AV15" i="10"/>
  <c r="AV49" i="10"/>
  <c r="AV45" i="10"/>
  <c r="AV41" i="10"/>
  <c r="AV38" i="10"/>
  <c r="AV34" i="10"/>
  <c r="AV30" i="10"/>
  <c r="AV27" i="10"/>
  <c r="AV20" i="10"/>
  <c r="AV16" i="10"/>
  <c r="AV48" i="10"/>
  <c r="AV44" i="10"/>
  <c r="AV37" i="10"/>
  <c r="AV23" i="10"/>
  <c r="P42" i="10"/>
  <c r="S42" i="10" s="1"/>
  <c r="P50" i="10"/>
  <c r="S50" i="10" s="1"/>
  <c r="P30" i="10"/>
  <c r="S30" i="10" s="1"/>
  <c r="P14" i="10"/>
  <c r="S14" i="10" s="1"/>
  <c r="P21" i="10"/>
  <c r="S21" i="10" s="1"/>
  <c r="P25" i="10"/>
  <c r="S25" i="10" s="1"/>
  <c r="P29" i="10"/>
  <c r="S29" i="10" s="1"/>
  <c r="P33" i="10"/>
  <c r="S33" i="10" s="1"/>
  <c r="P37" i="10"/>
  <c r="S37" i="10" s="1"/>
  <c r="P41" i="10"/>
  <c r="S41" i="10" s="1"/>
  <c r="P45" i="10"/>
  <c r="S45" i="10" s="1"/>
  <c r="P49" i="10"/>
  <c r="S49" i="10" s="1"/>
  <c r="P36" i="10"/>
  <c r="S36" i="10" s="1"/>
  <c r="P27" i="10"/>
  <c r="S27" i="10" s="1"/>
  <c r="P43" i="10"/>
  <c r="S43" i="10" s="1"/>
  <c r="P22" i="10"/>
  <c r="S22" i="10" s="1"/>
  <c r="P38" i="10"/>
  <c r="S38" i="10" s="1"/>
  <c r="P19" i="10"/>
  <c r="S19" i="10" s="1"/>
  <c r="P17" i="10"/>
  <c r="S17" i="10" s="1"/>
  <c r="P20" i="10"/>
  <c r="S20" i="10" s="1"/>
  <c r="P32" i="10"/>
  <c r="S32" i="10" s="1"/>
  <c r="P48" i="10"/>
  <c r="S48" i="10" s="1"/>
  <c r="P31" i="10"/>
  <c r="S31" i="10" s="1"/>
  <c r="P47" i="10"/>
  <c r="S47" i="10" s="1"/>
  <c r="P15" i="10"/>
  <c r="S15" i="10" s="1"/>
  <c r="P24" i="10"/>
  <c r="S24" i="10" s="1"/>
  <c r="P26" i="10"/>
  <c r="S26" i="10" s="1"/>
  <c r="P34" i="10"/>
  <c r="S34" i="10" s="1"/>
  <c r="P46" i="10"/>
  <c r="S46" i="10" s="1"/>
  <c r="P18" i="10"/>
  <c r="S18" i="10" s="1"/>
  <c r="P16" i="10"/>
  <c r="S16" i="10" s="1"/>
  <c r="P28" i="10"/>
  <c r="S28" i="10" s="1"/>
  <c r="P44" i="10"/>
  <c r="S44" i="10" s="1"/>
  <c r="P35" i="10"/>
  <c r="S35" i="10" s="1"/>
  <c r="P40" i="10"/>
  <c r="S40" i="10" s="1"/>
  <c r="P23" i="10"/>
  <c r="S23" i="10" s="1"/>
  <c r="P39" i="10"/>
  <c r="S39" i="10" s="1"/>
  <c r="AV47" i="2"/>
  <c r="AV43" i="2"/>
  <c r="AV39" i="2"/>
  <c r="AV35" i="2"/>
  <c r="AV25" i="2"/>
  <c r="AV21" i="2"/>
  <c r="AV17" i="2"/>
  <c r="AV32" i="2"/>
  <c r="AV22" i="2"/>
  <c r="AV18" i="2"/>
  <c r="AV50" i="2"/>
  <c r="AV46" i="2"/>
  <c r="AV42" i="2"/>
  <c r="AV38" i="2"/>
  <c r="AV34" i="2"/>
  <c r="AV31" i="2"/>
  <c r="AV28" i="2"/>
  <c r="AV24" i="2"/>
  <c r="AV20" i="2"/>
  <c r="AV16" i="2"/>
  <c r="AV48" i="2"/>
  <c r="AV40" i="2"/>
  <c r="AV26" i="2"/>
  <c r="AV14" i="2"/>
  <c r="AV49" i="2"/>
  <c r="AV45" i="2"/>
  <c r="AV41" i="2"/>
  <c r="AV37" i="2"/>
  <c r="AV33" i="2"/>
  <c r="AV30" i="2"/>
  <c r="AV27" i="2"/>
  <c r="AV23" i="2"/>
  <c r="AV19" i="2"/>
  <c r="AV15" i="2"/>
  <c r="AV44" i="2"/>
  <c r="AV36" i="2"/>
  <c r="AV29" i="2"/>
  <c r="P38" i="2"/>
  <c r="S38" i="2" s="1"/>
  <c r="P27" i="2"/>
  <c r="S27" i="2" s="1"/>
  <c r="P33" i="2"/>
  <c r="S33" i="2" s="1"/>
  <c r="P15" i="2"/>
  <c r="S15" i="2" s="1"/>
  <c r="P18" i="2"/>
  <c r="S18" i="2" s="1"/>
  <c r="P30" i="2"/>
  <c r="S30" i="2" s="1"/>
  <c r="P42" i="2"/>
  <c r="S42" i="2" s="1"/>
  <c r="P45" i="2"/>
  <c r="S45" i="2" s="1"/>
  <c r="P49" i="2"/>
  <c r="S49" i="2" s="1"/>
  <c r="P36" i="2"/>
  <c r="S36" i="2" s="1"/>
  <c r="P32" i="2"/>
  <c r="S32" i="2" s="1"/>
  <c r="P48" i="2"/>
  <c r="S48" i="2" s="1"/>
  <c r="P17" i="2"/>
  <c r="S17" i="2" s="1"/>
  <c r="P25" i="2"/>
  <c r="S25" i="2" s="1"/>
  <c r="P29" i="2"/>
  <c r="S29" i="2" s="1"/>
  <c r="P41" i="2"/>
  <c r="S41" i="2" s="1"/>
  <c r="P50" i="2"/>
  <c r="S50" i="2" s="1"/>
  <c r="P21" i="2"/>
  <c r="S21" i="2" s="1"/>
  <c r="P37" i="2"/>
  <c r="S37" i="2" s="1"/>
  <c r="P35" i="2"/>
  <c r="S35" i="2" s="1"/>
  <c r="P22" i="2"/>
  <c r="S22" i="2" s="1"/>
  <c r="P31" i="2"/>
  <c r="S31" i="2" s="1"/>
  <c r="P39" i="2"/>
  <c r="S39" i="2" s="1"/>
  <c r="P43" i="2"/>
  <c r="S43" i="2" s="1"/>
  <c r="P46" i="2"/>
  <c r="S46" i="2" s="1"/>
  <c r="P19" i="2"/>
  <c r="S19" i="2" s="1"/>
  <c r="P14" i="2"/>
  <c r="S14" i="2" s="1"/>
  <c r="P47" i="2"/>
  <c r="S47" i="2" s="1"/>
  <c r="P16" i="2"/>
  <c r="S16" i="2" s="1"/>
  <c r="P20" i="2"/>
  <c r="S20" i="2" s="1"/>
  <c r="P24" i="2"/>
  <c r="S24" i="2" s="1"/>
  <c r="P34" i="2"/>
  <c r="S34" i="2" s="1"/>
  <c r="P23" i="2"/>
  <c r="S23" i="2" s="1"/>
  <c r="P28" i="2"/>
  <c r="S28" i="2" s="1"/>
  <c r="P26" i="2"/>
  <c r="S26" i="2" s="1"/>
  <c r="P40" i="2"/>
  <c r="S40" i="2" s="1"/>
  <c r="P44" i="2"/>
  <c r="S44" i="2" s="1"/>
  <c r="AV50" i="4"/>
  <c r="AV46" i="4"/>
  <c r="AV42" i="4"/>
  <c r="AV38" i="4"/>
  <c r="AV34" i="4"/>
  <c r="AV30" i="4"/>
  <c r="AV26" i="4"/>
  <c r="AV22" i="4"/>
  <c r="AV18" i="4"/>
  <c r="AV14" i="4"/>
  <c r="AV47" i="4"/>
  <c r="AV39" i="4"/>
  <c r="AV19" i="4"/>
  <c r="AV15" i="4"/>
  <c r="AV49" i="4"/>
  <c r="AV45" i="4"/>
  <c r="AV41" i="4"/>
  <c r="AV37" i="4"/>
  <c r="AV33" i="4"/>
  <c r="AV29" i="4"/>
  <c r="AV25" i="4"/>
  <c r="AV21" i="4"/>
  <c r="AV17" i="4"/>
  <c r="AV31" i="4"/>
  <c r="AV27" i="4"/>
  <c r="AV23" i="4"/>
  <c r="AV48" i="4"/>
  <c r="AV44" i="4"/>
  <c r="AV40" i="4"/>
  <c r="AV36" i="4"/>
  <c r="AV32" i="4"/>
  <c r="AV28" i="4"/>
  <c r="AV24" i="4"/>
  <c r="AV20" i="4"/>
  <c r="AV16" i="4"/>
  <c r="AV43" i="4"/>
  <c r="AV35" i="4"/>
  <c r="P14" i="4"/>
  <c r="S14" i="4" s="1"/>
  <c r="T14" i="4" s="1"/>
  <c r="P21" i="4"/>
  <c r="S21" i="4" s="1"/>
  <c r="P37" i="4"/>
  <c r="S37" i="4" s="1"/>
  <c r="P45" i="4"/>
  <c r="S45" i="4" s="1"/>
  <c r="P47" i="4"/>
  <c r="S47" i="4" s="1"/>
  <c r="P20" i="4"/>
  <c r="S20" i="4" s="1"/>
  <c r="P36" i="4"/>
  <c r="S36" i="4" s="1"/>
  <c r="P23" i="4"/>
  <c r="S23" i="4" s="1"/>
  <c r="P39" i="4"/>
  <c r="S39" i="4" s="1"/>
  <c r="P43" i="4"/>
  <c r="S43" i="4" s="1"/>
  <c r="P18" i="4"/>
  <c r="S18" i="4" s="1"/>
  <c r="P26" i="4"/>
  <c r="S26" i="4" s="1"/>
  <c r="P34" i="4"/>
  <c r="S34" i="4" s="1"/>
  <c r="P38" i="4"/>
  <c r="S38" i="4" s="1"/>
  <c r="P27" i="4"/>
  <c r="S27" i="4" s="1"/>
  <c r="P25" i="4"/>
  <c r="S25" i="4" s="1"/>
  <c r="P48" i="4"/>
  <c r="S48" i="4" s="1"/>
  <c r="P44" i="4"/>
  <c r="S44" i="4" s="1"/>
  <c r="P17" i="4"/>
  <c r="S17" i="4" s="1"/>
  <c r="P24" i="4"/>
  <c r="S24" i="4" s="1"/>
  <c r="P16" i="4"/>
  <c r="S16" i="4" s="1"/>
  <c r="P32" i="4"/>
  <c r="S32" i="4" s="1"/>
  <c r="P33" i="4"/>
  <c r="S33" i="4" s="1"/>
  <c r="P15" i="4"/>
  <c r="S15" i="4" s="1"/>
  <c r="P31" i="4"/>
  <c r="S31" i="4" s="1"/>
  <c r="P46" i="4"/>
  <c r="S46" i="4" s="1"/>
  <c r="P22" i="4"/>
  <c r="S22" i="4" s="1"/>
  <c r="P30" i="4"/>
  <c r="S30" i="4" s="1"/>
  <c r="P50" i="4"/>
  <c r="S50" i="4" s="1"/>
  <c r="P19" i="4"/>
  <c r="S19" i="4" s="1"/>
  <c r="P42" i="4"/>
  <c r="S42" i="4" s="1"/>
  <c r="P28" i="4"/>
  <c r="S28" i="4" s="1"/>
  <c r="P29" i="4"/>
  <c r="S29" i="4" s="1"/>
  <c r="P40" i="4"/>
  <c r="S40" i="4" s="1"/>
  <c r="P35" i="4"/>
  <c r="S35" i="4" s="1"/>
  <c r="P49" i="4"/>
  <c r="S49" i="4" s="1"/>
  <c r="P41" i="4"/>
  <c r="S41" i="4" s="1"/>
  <c r="AW23" i="6"/>
  <c r="AW21" i="6"/>
  <c r="AW35" i="6"/>
  <c r="AW20" i="6"/>
  <c r="AW18" i="6"/>
  <c r="AW36" i="6"/>
  <c r="AW27" i="6"/>
  <c r="AW19" i="6"/>
  <c r="AW37" i="6"/>
  <c r="AW42" i="6"/>
  <c r="AW24" i="6"/>
  <c r="AW39" i="6"/>
  <c r="AW30" i="6"/>
  <c r="AW25" i="6"/>
  <c r="AW40" i="6"/>
  <c r="AW34" i="6"/>
  <c r="AW22" i="6"/>
  <c r="AW41" i="6"/>
  <c r="AW46" i="6"/>
  <c r="AW28" i="6"/>
  <c r="AW43" i="6"/>
  <c r="AW50" i="6"/>
  <c r="AW29" i="6"/>
  <c r="AW44" i="6"/>
  <c r="AW38" i="6"/>
  <c r="AW26" i="6"/>
  <c r="AW45" i="6"/>
  <c r="AW16" i="6"/>
  <c r="AW17" i="6"/>
  <c r="AW31" i="6"/>
  <c r="AW47" i="6"/>
  <c r="AW14" i="6"/>
  <c r="AW32" i="6"/>
  <c r="AW48" i="6"/>
  <c r="AW15" i="6"/>
  <c r="AW33" i="6"/>
  <c r="AW49" i="6"/>
  <c r="P44" i="6"/>
  <c r="S44" i="6" s="1"/>
  <c r="P36" i="6"/>
  <c r="S36" i="6" s="1"/>
  <c r="P20" i="6"/>
  <c r="S20" i="6" s="1"/>
  <c r="P50" i="6"/>
  <c r="S50" i="6" s="1"/>
  <c r="P38" i="6"/>
  <c r="S38" i="6" s="1"/>
  <c r="P49" i="6"/>
  <c r="S49" i="6" s="1"/>
  <c r="P16" i="6"/>
  <c r="S16" i="6" s="1"/>
  <c r="P14" i="6"/>
  <c r="S14" i="6" s="1"/>
  <c r="P28" i="6"/>
  <c r="S28" i="6" s="1"/>
  <c r="P22" i="6"/>
  <c r="S22" i="6" s="1"/>
  <c r="P48" i="6"/>
  <c r="S48" i="6" s="1"/>
  <c r="P39" i="6"/>
  <c r="S39" i="6" s="1"/>
  <c r="P25" i="6"/>
  <c r="S25" i="6" s="1"/>
  <c r="P45" i="6"/>
  <c r="S45" i="6" s="1"/>
  <c r="P30" i="6"/>
  <c r="S30" i="6" s="1"/>
  <c r="P26" i="6"/>
  <c r="S26" i="6" s="1"/>
  <c r="P15" i="6"/>
  <c r="S15" i="6" s="1"/>
  <c r="P19" i="6"/>
  <c r="S19" i="6" s="1"/>
  <c r="P23" i="6"/>
  <c r="S23" i="6" s="1"/>
  <c r="P27" i="6"/>
  <c r="S27" i="6" s="1"/>
  <c r="P29" i="6"/>
  <c r="S29" i="6" s="1"/>
  <c r="P35" i="6"/>
  <c r="S35" i="6" s="1"/>
  <c r="P43" i="6"/>
  <c r="S43" i="6" s="1"/>
  <c r="P47" i="6"/>
  <c r="S47" i="6" s="1"/>
  <c r="P31" i="6"/>
  <c r="S31" i="6" s="1"/>
  <c r="P18" i="6"/>
  <c r="S18" i="6" s="1"/>
  <c r="P32" i="6"/>
  <c r="S32" i="6" s="1"/>
  <c r="P24" i="6"/>
  <c r="S24" i="6" s="1"/>
  <c r="P33" i="6"/>
  <c r="S33" i="6" s="1"/>
  <c r="P41" i="6"/>
  <c r="S41" i="6" s="1"/>
  <c r="P37" i="6"/>
  <c r="S37" i="6" s="1"/>
  <c r="P42" i="6"/>
  <c r="S42" i="6" s="1"/>
  <c r="P40" i="6"/>
  <c r="S40" i="6" s="1"/>
  <c r="P46" i="6"/>
  <c r="S46" i="6" s="1"/>
  <c r="P34" i="6"/>
  <c r="S34" i="6" s="1"/>
  <c r="P17" i="6"/>
  <c r="S17" i="6" s="1"/>
  <c r="P21" i="6"/>
  <c r="S21" i="6" s="1"/>
  <c r="AW27" i="7"/>
  <c r="AW24" i="7"/>
  <c r="AW39" i="7"/>
  <c r="AW42" i="7"/>
  <c r="AW25" i="7"/>
  <c r="AW44" i="7"/>
  <c r="AW35" i="7"/>
  <c r="AW22" i="7"/>
  <c r="AW37" i="7"/>
  <c r="AW38" i="7"/>
  <c r="AW28" i="7"/>
  <c r="AW43" i="7"/>
  <c r="AW50" i="7"/>
  <c r="AW29" i="7"/>
  <c r="AW48" i="7"/>
  <c r="AW46" i="7"/>
  <c r="AW26" i="7"/>
  <c r="AW41" i="7"/>
  <c r="AW16" i="7"/>
  <c r="AW32" i="7"/>
  <c r="AW47" i="7"/>
  <c r="AW17" i="7"/>
  <c r="AW33" i="7"/>
  <c r="AW23" i="7"/>
  <c r="AW14" i="7"/>
  <c r="AW30" i="7"/>
  <c r="AW45" i="7"/>
  <c r="AW19" i="7"/>
  <c r="AW20" i="7"/>
  <c r="AW36" i="7"/>
  <c r="AW15" i="7"/>
  <c r="AW21" i="7"/>
  <c r="AW40" i="7"/>
  <c r="AW31" i="7"/>
  <c r="AW18" i="7"/>
  <c r="AW34" i="7"/>
  <c r="AW49" i="7"/>
  <c r="T50" i="7"/>
  <c r="T47" i="7"/>
  <c r="T41" i="7"/>
  <c r="T33" i="7"/>
  <c r="T35" i="7"/>
  <c r="T25" i="7"/>
  <c r="T26" i="7"/>
  <c r="T44" i="7"/>
  <c r="T39" i="7"/>
  <c r="T19" i="7"/>
  <c r="T15" i="7"/>
  <c r="T43" i="7"/>
  <c r="T29" i="7"/>
  <c r="T31" i="7"/>
  <c r="T37" i="7"/>
  <c r="T27" i="7"/>
  <c r="T23" i="7"/>
  <c r="AW32" i="8"/>
  <c r="AW22" i="8"/>
  <c r="AW37" i="8"/>
  <c r="AW15" i="8"/>
  <c r="AW30" i="8"/>
  <c r="AW45" i="8"/>
  <c r="AW43" i="8"/>
  <c r="AW24" i="8"/>
  <c r="AW39" i="8"/>
  <c r="AW40" i="8"/>
  <c r="AW26" i="8"/>
  <c r="AW44" i="8"/>
  <c r="AW19" i="8"/>
  <c r="AW34" i="8"/>
  <c r="AW48" i="8"/>
  <c r="AW50" i="8"/>
  <c r="AW28" i="8"/>
  <c r="AW42" i="8"/>
  <c r="AW14" i="8"/>
  <c r="AW29" i="8"/>
  <c r="AW47" i="8"/>
  <c r="AW23" i="8"/>
  <c r="AW38" i="8"/>
  <c r="AW21" i="8"/>
  <c r="AW16" i="8"/>
  <c r="AW31" i="8"/>
  <c r="AW46" i="8"/>
  <c r="AW17" i="8"/>
  <c r="AW18" i="8"/>
  <c r="AW33" i="8"/>
  <c r="AW36" i="8"/>
  <c r="AW27" i="8"/>
  <c r="AW41" i="8"/>
  <c r="AW25" i="8"/>
  <c r="AW20" i="8"/>
  <c r="AW35" i="8"/>
  <c r="AW49" i="8"/>
  <c r="T37" i="8"/>
  <c r="U44" i="50"/>
  <c r="B45" i="50"/>
  <c r="U45" i="50" s="1"/>
  <c r="AW14" i="47"/>
  <c r="E40" i="46"/>
  <c r="E38" i="46"/>
  <c r="AW24" i="40" l="1"/>
  <c r="AW25" i="40"/>
  <c r="AW44" i="40"/>
  <c r="AW35" i="40"/>
  <c r="AW22" i="40"/>
  <c r="AW37" i="40"/>
  <c r="AW31" i="40"/>
  <c r="AW23" i="40"/>
  <c r="AW38" i="40"/>
  <c r="AW43" i="40"/>
  <c r="AW32" i="40"/>
  <c r="AW46" i="40"/>
  <c r="AW49" i="40"/>
  <c r="AW26" i="40"/>
  <c r="AW41" i="40"/>
  <c r="AW39" i="40"/>
  <c r="AW27" i="40"/>
  <c r="AW42" i="40"/>
  <c r="AW17" i="40"/>
  <c r="AW36" i="40"/>
  <c r="AW50" i="40"/>
  <c r="AW14" i="40"/>
  <c r="AW29" i="40"/>
  <c r="AW47" i="40"/>
  <c r="AW15" i="40"/>
  <c r="AW30" i="40"/>
  <c r="AW45" i="40"/>
  <c r="AW20" i="40"/>
  <c r="AW21" i="40"/>
  <c r="AW40" i="40"/>
  <c r="AW28" i="40"/>
  <c r="AW18" i="40"/>
  <c r="AW33" i="40"/>
  <c r="AW16" i="40"/>
  <c r="AW19" i="40"/>
  <c r="AW34" i="40"/>
  <c r="AW48" i="40"/>
  <c r="T22" i="40"/>
  <c r="T19" i="40"/>
  <c r="T27" i="40"/>
  <c r="T47" i="40"/>
  <c r="T14" i="40"/>
  <c r="T25" i="40"/>
  <c r="T36" i="40"/>
  <c r="T38" i="40"/>
  <c r="T43" i="40"/>
  <c r="T20" i="40"/>
  <c r="T21" i="40"/>
  <c r="T23" i="40"/>
  <c r="T42" i="40"/>
  <c r="T44" i="40"/>
  <c r="T29" i="40"/>
  <c r="T31" i="40"/>
  <c r="T35" i="40"/>
  <c r="T17" i="40"/>
  <c r="T16" i="40"/>
  <c r="T34" i="40"/>
  <c r="T50" i="40"/>
  <c r="T45" i="40"/>
  <c r="T32" i="40"/>
  <c r="T15" i="40"/>
  <c r="T33" i="40"/>
  <c r="T26" i="40"/>
  <c r="T49" i="40"/>
  <c r="T30" i="40"/>
  <c r="T48" i="40"/>
  <c r="T41" i="40"/>
  <c r="T28" i="40"/>
  <c r="T46" i="40"/>
  <c r="T18" i="40"/>
  <c r="T40" i="40"/>
  <c r="T37" i="40"/>
  <c r="T24" i="40"/>
  <c r="T39" i="40"/>
  <c r="AW33" i="47"/>
  <c r="AW43" i="47"/>
  <c r="AW40" i="47"/>
  <c r="AW37" i="47"/>
  <c r="AW26" i="47"/>
  <c r="AW42" i="47"/>
  <c r="AW15" i="47"/>
  <c r="AW31" i="47"/>
  <c r="AW47" i="47"/>
  <c r="AW45" i="47"/>
  <c r="AW28" i="47"/>
  <c r="AW44" i="47"/>
  <c r="AW22" i="47"/>
  <c r="AW27" i="47"/>
  <c r="AW41" i="47"/>
  <c r="AW49" i="47"/>
  <c r="AW30" i="47"/>
  <c r="AW46" i="47"/>
  <c r="AW19" i="47"/>
  <c r="AW35" i="47"/>
  <c r="AW17" i="47"/>
  <c r="AW16" i="47"/>
  <c r="AW32" i="47"/>
  <c r="AW48" i="47"/>
  <c r="AW38" i="47"/>
  <c r="AW29" i="47"/>
  <c r="AW24" i="47"/>
  <c r="AW25" i="47"/>
  <c r="AW18" i="47"/>
  <c r="AW34" i="47"/>
  <c r="AW50" i="47"/>
  <c r="AW23" i="47"/>
  <c r="AW39" i="47"/>
  <c r="AW21" i="47"/>
  <c r="AW20" i="47"/>
  <c r="AW36" i="47"/>
  <c r="T24" i="47"/>
  <c r="T22" i="47"/>
  <c r="T18" i="47"/>
  <c r="T38" i="47"/>
  <c r="T41" i="47"/>
  <c r="T20" i="47"/>
  <c r="T23" i="47"/>
  <c r="T16" i="47"/>
  <c r="T37" i="47"/>
  <c r="T49" i="47"/>
  <c r="T30" i="47"/>
  <c r="T31" i="47"/>
  <c r="T19" i="47"/>
  <c r="T44" i="47"/>
  <c r="T29" i="47"/>
  <c r="T26" i="47"/>
  <c r="T45" i="47"/>
  <c r="T39" i="47"/>
  <c r="T27" i="47"/>
  <c r="T50" i="47"/>
  <c r="T15" i="47"/>
  <c r="T32" i="47"/>
  <c r="T36" i="47"/>
  <c r="T21" i="47"/>
  <c r="T14" i="47"/>
  <c r="T43" i="47"/>
  <c r="T46" i="47"/>
  <c r="T40" i="47"/>
  <c r="T17" i="47"/>
  <c r="T34" i="47"/>
  <c r="T25" i="47"/>
  <c r="T33" i="47"/>
  <c r="T28" i="47"/>
  <c r="T35" i="47"/>
  <c r="T48" i="47"/>
  <c r="T47" i="47"/>
  <c r="T42" i="47"/>
  <c r="T21" i="38"/>
  <c r="T14" i="38"/>
  <c r="T38" i="38"/>
  <c r="T47" i="38"/>
  <c r="T39" i="38"/>
  <c r="T26" i="38"/>
  <c r="T43" i="38"/>
  <c r="T36" i="38"/>
  <c r="T15" i="38"/>
  <c r="T18" i="38"/>
  <c r="T42" i="38"/>
  <c r="T19" i="38"/>
  <c r="T32" i="38"/>
  <c r="T22" i="38"/>
  <c r="T35" i="38"/>
  <c r="T40" i="38"/>
  <c r="T23" i="38"/>
  <c r="T33" i="38"/>
  <c r="T41" i="38"/>
  <c r="T30" i="38"/>
  <c r="T27" i="38"/>
  <c r="T49" i="38"/>
  <c r="T45" i="38"/>
  <c r="T50" i="38"/>
  <c r="T28" i="38"/>
  <c r="T46" i="38"/>
  <c r="T31" i="38"/>
  <c r="T48" i="38"/>
  <c r="T37" i="38"/>
  <c r="T44" i="38"/>
  <c r="T16" i="38"/>
  <c r="T25" i="38"/>
  <c r="T20" i="38"/>
  <c r="T24" i="38"/>
  <c r="T17" i="38"/>
  <c r="T29" i="38"/>
  <c r="T34" i="38"/>
  <c r="AW22" i="39"/>
  <c r="AW15" i="39"/>
  <c r="AW31" i="39"/>
  <c r="AW47" i="39"/>
  <c r="AW20" i="39"/>
  <c r="AW36" i="39"/>
  <c r="AW34" i="39"/>
  <c r="AW21" i="39"/>
  <c r="AW37" i="39"/>
  <c r="AW30" i="39"/>
  <c r="AW19" i="39"/>
  <c r="AW35" i="39"/>
  <c r="AW18" i="39"/>
  <c r="AW24" i="39"/>
  <c r="AW40" i="39"/>
  <c r="AW42" i="39"/>
  <c r="AW25" i="39"/>
  <c r="AW41" i="39"/>
  <c r="AW38" i="39"/>
  <c r="AW23" i="39"/>
  <c r="AW39" i="39"/>
  <c r="AW26" i="39"/>
  <c r="AW28" i="39"/>
  <c r="AW44" i="39"/>
  <c r="AW50" i="39"/>
  <c r="AW29" i="39"/>
  <c r="AW45" i="39"/>
  <c r="AW14" i="39"/>
  <c r="AW46" i="39"/>
  <c r="AW27" i="39"/>
  <c r="AW43" i="39"/>
  <c r="AW16" i="39"/>
  <c r="AW32" i="39"/>
  <c r="AW48" i="39"/>
  <c r="AW17" i="39"/>
  <c r="AW33" i="39"/>
  <c r="AW49" i="39"/>
  <c r="AW26" i="44"/>
  <c r="AW19" i="44"/>
  <c r="AW35" i="44"/>
  <c r="AW30" i="44"/>
  <c r="AW20" i="44"/>
  <c r="AW36" i="44"/>
  <c r="AW18" i="44"/>
  <c r="AW21" i="44"/>
  <c r="AW37" i="44"/>
  <c r="AW38" i="44"/>
  <c r="AW23" i="44"/>
  <c r="AW39" i="44"/>
  <c r="AW42" i="44"/>
  <c r="AW24" i="44"/>
  <c r="AW40" i="44"/>
  <c r="AW22" i="44"/>
  <c r="AW25" i="44"/>
  <c r="AW41" i="44"/>
  <c r="AW46" i="44"/>
  <c r="AW27" i="44"/>
  <c r="AW43" i="44"/>
  <c r="AW50" i="44"/>
  <c r="AW28" i="44"/>
  <c r="AW44" i="44"/>
  <c r="AW34" i="44"/>
  <c r="AW29" i="44"/>
  <c r="AW45" i="44"/>
  <c r="AW14" i="44"/>
  <c r="AW15" i="44"/>
  <c r="AW31" i="44"/>
  <c r="AW47" i="44"/>
  <c r="AW16" i="44"/>
  <c r="AW32" i="44"/>
  <c r="AW48" i="44"/>
  <c r="AW17" i="44"/>
  <c r="AW33" i="44"/>
  <c r="AW49" i="44"/>
  <c r="AW28" i="15"/>
  <c r="AW21" i="15"/>
  <c r="AW37" i="15"/>
  <c r="AW16" i="15"/>
  <c r="AW18" i="15"/>
  <c r="AW34" i="15"/>
  <c r="AW50" i="15"/>
  <c r="AW19" i="15"/>
  <c r="AW35" i="15"/>
  <c r="AW36" i="15"/>
  <c r="AW25" i="15"/>
  <c r="AW41" i="15"/>
  <c r="AW24" i="15"/>
  <c r="AW22" i="15"/>
  <c r="AW38" i="15"/>
  <c r="AW32" i="15"/>
  <c r="AW23" i="15"/>
  <c r="AW39" i="15"/>
  <c r="AW48" i="15"/>
  <c r="AW29" i="15"/>
  <c r="AW45" i="15"/>
  <c r="AW40" i="15"/>
  <c r="AW26" i="15"/>
  <c r="AW42" i="15"/>
  <c r="AW44" i="15"/>
  <c r="AW27" i="15"/>
  <c r="AW43" i="15"/>
  <c r="AW20" i="15"/>
  <c r="AW17" i="15"/>
  <c r="AW33" i="15"/>
  <c r="AW49" i="15"/>
  <c r="AW14" i="15"/>
  <c r="AW30" i="15"/>
  <c r="AW46" i="15"/>
  <c r="AW15" i="15"/>
  <c r="AW31" i="15"/>
  <c r="AW47" i="15"/>
  <c r="T23" i="15"/>
  <c r="T48" i="15"/>
  <c r="T37" i="15"/>
  <c r="T33" i="15"/>
  <c r="T17" i="15"/>
  <c r="T47" i="15"/>
  <c r="T16" i="15"/>
  <c r="T32" i="15"/>
  <c r="T40" i="15"/>
  <c r="T21" i="15"/>
  <c r="T49" i="15"/>
  <c r="T43" i="15"/>
  <c r="T14" i="15"/>
  <c r="T19" i="15"/>
  <c r="T18" i="15"/>
  <c r="T20" i="15"/>
  <c r="T38" i="15"/>
  <c r="T39" i="15"/>
  <c r="T36" i="15"/>
  <c r="T28" i="15"/>
  <c r="T30" i="15"/>
  <c r="T46" i="15"/>
  <c r="T45" i="15"/>
  <c r="T35" i="15"/>
  <c r="T25" i="15"/>
  <c r="T22" i="15"/>
  <c r="T29" i="15"/>
  <c r="T50" i="15"/>
  <c r="T44" i="15"/>
  <c r="T26" i="15"/>
  <c r="T31" i="15"/>
  <c r="T42" i="15"/>
  <c r="T15" i="15"/>
  <c r="T24" i="15"/>
  <c r="T34" i="15"/>
  <c r="T41" i="15"/>
  <c r="T27" i="15"/>
  <c r="AW37" i="10"/>
  <c r="AW20" i="10"/>
  <c r="AW38" i="10"/>
  <c r="AW15" i="10"/>
  <c r="AW21" i="10"/>
  <c r="AW35" i="10"/>
  <c r="AW50" i="10"/>
  <c r="AW18" i="10"/>
  <c r="AW32" i="10"/>
  <c r="AW44" i="10"/>
  <c r="AW27" i="10"/>
  <c r="AW41" i="10"/>
  <c r="AW26" i="10"/>
  <c r="AW24" i="10"/>
  <c r="AW39" i="10"/>
  <c r="AW19" i="10"/>
  <c r="AW22" i="10"/>
  <c r="AW36" i="10"/>
  <c r="AW48" i="10"/>
  <c r="AW30" i="10"/>
  <c r="AW45" i="10"/>
  <c r="AW40" i="10"/>
  <c r="AW28" i="10"/>
  <c r="AW42" i="10"/>
  <c r="AW33" i="10"/>
  <c r="AW25" i="10"/>
  <c r="AW43" i="10"/>
  <c r="AW23" i="10"/>
  <c r="AW16" i="10"/>
  <c r="AW34" i="10"/>
  <c r="AW49" i="10"/>
  <c r="AW17" i="10"/>
  <c r="AW31" i="10"/>
  <c r="AW46" i="10"/>
  <c r="AW14" i="10"/>
  <c r="AW29" i="10"/>
  <c r="AW47" i="10"/>
  <c r="T28" i="10"/>
  <c r="T20" i="10"/>
  <c r="T49" i="10"/>
  <c r="T40" i="10"/>
  <c r="T17" i="10"/>
  <c r="T34" i="10"/>
  <c r="T22" i="10"/>
  <c r="T33" i="10"/>
  <c r="T26" i="10"/>
  <c r="T43" i="10"/>
  <c r="T30" i="10"/>
  <c r="T35" i="10"/>
  <c r="T18" i="10"/>
  <c r="T24" i="10"/>
  <c r="T48" i="10"/>
  <c r="T19" i="10"/>
  <c r="T27" i="10"/>
  <c r="T41" i="10"/>
  <c r="T25" i="10"/>
  <c r="T50" i="10"/>
  <c r="T23" i="10"/>
  <c r="T47" i="10"/>
  <c r="T14" i="10"/>
  <c r="T16" i="10"/>
  <c r="T31" i="10"/>
  <c r="T45" i="10"/>
  <c r="T29" i="10"/>
  <c r="T39" i="10"/>
  <c r="T44" i="10"/>
  <c r="T46" i="10"/>
  <c r="T15" i="10"/>
  <c r="T32" i="10"/>
  <c r="T38" i="10"/>
  <c r="T36" i="10"/>
  <c r="T37" i="10"/>
  <c r="T21" i="10"/>
  <c r="T42" i="10"/>
  <c r="AW19" i="2"/>
  <c r="AW36" i="2"/>
  <c r="AW23" i="2"/>
  <c r="AW37" i="2"/>
  <c r="AW14" i="2"/>
  <c r="AW16" i="2"/>
  <c r="AW31" i="2"/>
  <c r="AW46" i="2"/>
  <c r="AW32" i="2"/>
  <c r="AW35" i="2"/>
  <c r="AW44" i="2"/>
  <c r="AW27" i="2"/>
  <c r="AW41" i="2"/>
  <c r="AW26" i="2"/>
  <c r="AW20" i="2"/>
  <c r="AW34" i="2"/>
  <c r="AW50" i="2"/>
  <c r="AW17" i="2"/>
  <c r="AW39" i="2"/>
  <c r="AW15" i="2"/>
  <c r="AW30" i="2"/>
  <c r="AW45" i="2"/>
  <c r="AW40" i="2"/>
  <c r="AW24" i="2"/>
  <c r="AW38" i="2"/>
  <c r="AW18" i="2"/>
  <c r="AW21" i="2"/>
  <c r="AW43" i="2"/>
  <c r="AW29" i="2"/>
  <c r="AW33" i="2"/>
  <c r="AW49" i="2"/>
  <c r="AW48" i="2"/>
  <c r="AW28" i="2"/>
  <c r="AW42" i="2"/>
  <c r="AW22" i="2"/>
  <c r="AW25" i="2"/>
  <c r="AW47" i="2"/>
  <c r="T44" i="2"/>
  <c r="T16" i="2"/>
  <c r="T46" i="2"/>
  <c r="T22" i="2"/>
  <c r="T17" i="2"/>
  <c r="T49" i="2"/>
  <c r="T18" i="2"/>
  <c r="T38" i="2"/>
  <c r="T40" i="2"/>
  <c r="T34" i="2"/>
  <c r="T47" i="2"/>
  <c r="T43" i="2"/>
  <c r="T35" i="2"/>
  <c r="T41" i="2"/>
  <c r="T48" i="2"/>
  <c r="T45" i="2"/>
  <c r="T15" i="2"/>
  <c r="T26" i="2"/>
  <c r="T37" i="2"/>
  <c r="T24" i="2"/>
  <c r="T14" i="2"/>
  <c r="T39" i="2"/>
  <c r="T29" i="2"/>
  <c r="T32" i="2"/>
  <c r="T42" i="2"/>
  <c r="T33" i="2"/>
  <c r="T28" i="2"/>
  <c r="T20" i="2"/>
  <c r="T19" i="2"/>
  <c r="T31" i="2"/>
  <c r="T21" i="2"/>
  <c r="T25" i="2"/>
  <c r="T36" i="2"/>
  <c r="T30" i="2"/>
  <c r="T27" i="2"/>
  <c r="T23" i="2"/>
  <c r="T50" i="2"/>
  <c r="AW43" i="4"/>
  <c r="AW28" i="4"/>
  <c r="AW44" i="4"/>
  <c r="AW31" i="4"/>
  <c r="AW29" i="4"/>
  <c r="AW45" i="4"/>
  <c r="AW39" i="4"/>
  <c r="AW22" i="4"/>
  <c r="AW38" i="4"/>
  <c r="AW16" i="4"/>
  <c r="AW32" i="4"/>
  <c r="AW48" i="4"/>
  <c r="AW17" i="4"/>
  <c r="AW33" i="4"/>
  <c r="AW49" i="4"/>
  <c r="AW47" i="4"/>
  <c r="AW26" i="4"/>
  <c r="AW42" i="4"/>
  <c r="AW36" i="4"/>
  <c r="AW23" i="4"/>
  <c r="AW21" i="4"/>
  <c r="AW37" i="4"/>
  <c r="AW15" i="4"/>
  <c r="AW14" i="4"/>
  <c r="AW30" i="4"/>
  <c r="AW46" i="4"/>
  <c r="AW20" i="4"/>
  <c r="AW35" i="4"/>
  <c r="AW24" i="4"/>
  <c r="AW40" i="4"/>
  <c r="AW27" i="4"/>
  <c r="AW25" i="4"/>
  <c r="AW41" i="4"/>
  <c r="AW19" i="4"/>
  <c r="AW18" i="4"/>
  <c r="AW34" i="4"/>
  <c r="AW50" i="4"/>
  <c r="T49" i="4"/>
  <c r="T28" i="4"/>
  <c r="T30" i="4"/>
  <c r="T15" i="4"/>
  <c r="T24" i="4"/>
  <c r="T25" i="4"/>
  <c r="T26" i="4"/>
  <c r="T23" i="4"/>
  <c r="T45" i="4"/>
  <c r="T35" i="4"/>
  <c r="T42" i="4"/>
  <c r="T22" i="4"/>
  <c r="T33" i="4"/>
  <c r="T17" i="4"/>
  <c r="T27" i="4"/>
  <c r="T18" i="4"/>
  <c r="T36" i="4"/>
  <c r="T37" i="4"/>
  <c r="T40" i="4"/>
  <c r="T19" i="4"/>
  <c r="T46" i="4"/>
  <c r="T32" i="4"/>
  <c r="T44" i="4"/>
  <c r="T38" i="4"/>
  <c r="T43" i="4"/>
  <c r="T20" i="4"/>
  <c r="T21" i="4"/>
  <c r="T41" i="4"/>
  <c r="T29" i="4"/>
  <c r="T50" i="4"/>
  <c r="T31" i="4"/>
  <c r="T16" i="4"/>
  <c r="T48" i="4"/>
  <c r="T34" i="4"/>
  <c r="T39" i="4"/>
  <c r="T47" i="4"/>
  <c r="T21" i="6"/>
  <c r="T40" i="6"/>
  <c r="T33" i="6"/>
  <c r="T31" i="6"/>
  <c r="T15" i="6"/>
  <c r="T25" i="6"/>
  <c r="T28" i="6"/>
  <c r="T38" i="6"/>
  <c r="T44" i="6"/>
  <c r="T17" i="6"/>
  <c r="T42" i="6"/>
  <c r="T24" i="6"/>
  <c r="T47" i="6"/>
  <c r="T27" i="6"/>
  <c r="T26" i="6"/>
  <c r="T39" i="6"/>
  <c r="T14" i="6"/>
  <c r="T50" i="6"/>
  <c r="T43" i="6"/>
  <c r="T34" i="6"/>
  <c r="T37" i="6"/>
  <c r="T32" i="6"/>
  <c r="T23" i="6"/>
  <c r="T30" i="6"/>
  <c r="T48" i="6"/>
  <c r="T16" i="6"/>
  <c r="T20" i="6"/>
  <c r="T46" i="6"/>
  <c r="T41" i="6"/>
  <c r="T18" i="6"/>
  <c r="T35" i="6"/>
  <c r="T19" i="6"/>
  <c r="T45" i="6"/>
  <c r="T22" i="6"/>
  <c r="T49" i="6"/>
  <c r="T36" i="6"/>
  <c r="T29" i="6"/>
  <c r="I16" i="21"/>
  <c r="AB8" i="45" l="1"/>
  <c r="AA5" i="45"/>
  <c r="P8" i="24"/>
  <c r="N3" i="48" s="1"/>
  <c r="N30" i="48" s="1"/>
  <c r="O8" i="24"/>
  <c r="P10" i="24"/>
  <c r="AK4" i="48" s="1"/>
  <c r="N4" i="48" s="1"/>
  <c r="N31" i="48" s="1"/>
  <c r="O10" i="24"/>
  <c r="E34" i="43"/>
  <c r="D34" i="43" s="1"/>
  <c r="E89" i="43"/>
  <c r="G90" i="43" s="1"/>
  <c r="E87" i="43"/>
  <c r="E65" i="35"/>
  <c r="D65" i="35" s="1"/>
  <c r="E64" i="35"/>
  <c r="G36" i="35"/>
  <c r="G65" i="35" s="1"/>
  <c r="E36" i="35"/>
  <c r="E35" i="35"/>
  <c r="AI10" i="24" l="1"/>
  <c r="AI8" i="24"/>
  <c r="AK3" i="48"/>
  <c r="G89" i="43"/>
  <c r="H34" i="43"/>
  <c r="D89" i="43"/>
  <c r="D36" i="35"/>
  <c r="E30" i="46"/>
  <c r="G30" i="46" s="1"/>
  <c r="E29" i="46"/>
  <c r="G29" i="46" s="1"/>
  <c r="F70" i="49"/>
  <c r="H71" i="49" s="1"/>
  <c r="D1" i="49"/>
  <c r="AV78" i="49"/>
  <c r="Q78" i="49"/>
  <c r="AV77" i="49"/>
  <c r="Q77" i="49"/>
  <c r="AV76" i="49"/>
  <c r="Q76" i="49"/>
  <c r="AV75" i="49"/>
  <c r="Q75" i="49"/>
  <c r="I71" i="49"/>
  <c r="AO71" i="49" s="1"/>
  <c r="I70" i="49"/>
  <c r="AO70" i="49" s="1"/>
  <c r="I69" i="49"/>
  <c r="AO69" i="49" s="1"/>
  <c r="I68" i="49"/>
  <c r="AO68" i="49" s="1"/>
  <c r="AL65" i="49"/>
  <c r="F65" i="49"/>
  <c r="E63" i="49"/>
  <c r="D63" i="49"/>
  <c r="B63" i="49" s="1"/>
  <c r="C63" i="49"/>
  <c r="E62" i="49"/>
  <c r="D62" i="49"/>
  <c r="B62" i="49" s="1"/>
  <c r="C62" i="49"/>
  <c r="E61" i="49"/>
  <c r="D61" i="49"/>
  <c r="B61" i="49" s="1"/>
  <c r="C61" i="49"/>
  <c r="E60" i="49"/>
  <c r="D60" i="49"/>
  <c r="B60" i="49" s="1"/>
  <c r="C60" i="49"/>
  <c r="E59" i="49"/>
  <c r="D59" i="49"/>
  <c r="B59" i="49" s="1"/>
  <c r="C59" i="49"/>
  <c r="AI55" i="24"/>
  <c r="E58" i="49"/>
  <c r="D58" i="49"/>
  <c r="B58" i="49" s="1"/>
  <c r="C58" i="49"/>
  <c r="E57" i="49"/>
  <c r="D57" i="49"/>
  <c r="B57" i="49" s="1"/>
  <c r="C57" i="49"/>
  <c r="E56" i="49"/>
  <c r="D56" i="49"/>
  <c r="B56" i="49" s="1"/>
  <c r="C56" i="49"/>
  <c r="E55" i="49"/>
  <c r="D55" i="49"/>
  <c r="B55" i="49" s="1"/>
  <c r="C55" i="49"/>
  <c r="E54" i="49"/>
  <c r="D54" i="49"/>
  <c r="B54" i="49" s="1"/>
  <c r="C54" i="49"/>
  <c r="E53" i="49"/>
  <c r="D53" i="49"/>
  <c r="B53" i="49" s="1"/>
  <c r="C53" i="49"/>
  <c r="E52" i="49"/>
  <c r="D52" i="49"/>
  <c r="B52" i="49" s="1"/>
  <c r="C52" i="49"/>
  <c r="E51" i="49"/>
  <c r="D51" i="49"/>
  <c r="B51" i="49" s="1"/>
  <c r="C51" i="49"/>
  <c r="AI47" i="24"/>
  <c r="E50" i="49"/>
  <c r="D50" i="49"/>
  <c r="C50" i="49"/>
  <c r="E49" i="49"/>
  <c r="D49" i="49"/>
  <c r="C49" i="49"/>
  <c r="AI45" i="24"/>
  <c r="E48" i="49"/>
  <c r="D48" i="49"/>
  <c r="C48" i="49"/>
  <c r="P44" i="24"/>
  <c r="E47" i="49"/>
  <c r="D47" i="49"/>
  <c r="C47" i="49"/>
  <c r="E46" i="49"/>
  <c r="D46" i="49"/>
  <c r="C46" i="49"/>
  <c r="P42" i="24"/>
  <c r="E45" i="49"/>
  <c r="D45" i="49"/>
  <c r="C45" i="49"/>
  <c r="AI41" i="24"/>
  <c r="E44" i="49"/>
  <c r="D44" i="49"/>
  <c r="C44" i="49"/>
  <c r="E43" i="49"/>
  <c r="D43" i="49"/>
  <c r="C43" i="49"/>
  <c r="P39" i="24"/>
  <c r="E42" i="49"/>
  <c r="D42" i="49"/>
  <c r="C42" i="49"/>
  <c r="P38" i="24"/>
  <c r="E41" i="49"/>
  <c r="D41" i="49"/>
  <c r="C41" i="49"/>
  <c r="AI37" i="24"/>
  <c r="E40" i="49"/>
  <c r="D40" i="49"/>
  <c r="C40" i="49"/>
  <c r="E39" i="49"/>
  <c r="D39" i="49"/>
  <c r="C39" i="49"/>
  <c r="E38" i="49"/>
  <c r="D38" i="49"/>
  <c r="C38" i="49"/>
  <c r="E37" i="49"/>
  <c r="D37" i="49"/>
  <c r="C37" i="49"/>
  <c r="E36" i="49"/>
  <c r="D36" i="49"/>
  <c r="C36" i="49"/>
  <c r="E35" i="49"/>
  <c r="D35" i="49"/>
  <c r="C35" i="49"/>
  <c r="E34" i="49"/>
  <c r="D34" i="49"/>
  <c r="C34" i="49"/>
  <c r="E33" i="49"/>
  <c r="D33" i="49"/>
  <c r="C33" i="49"/>
  <c r="E32" i="49"/>
  <c r="D32" i="49"/>
  <c r="C32" i="49"/>
  <c r="E31" i="49"/>
  <c r="D31" i="49"/>
  <c r="C31" i="49"/>
  <c r="E30" i="49"/>
  <c r="D30" i="49"/>
  <c r="C30" i="49"/>
  <c r="E29" i="49"/>
  <c r="D29" i="49"/>
  <c r="C29" i="49"/>
  <c r="AI25" i="24"/>
  <c r="E28" i="49"/>
  <c r="D28" i="49"/>
  <c r="C28" i="49"/>
  <c r="E27" i="49"/>
  <c r="D27" i="49"/>
  <c r="C27" i="49"/>
  <c r="E26" i="49"/>
  <c r="D26" i="49"/>
  <c r="C26" i="49"/>
  <c r="E25" i="49"/>
  <c r="D25" i="49"/>
  <c r="C25" i="49"/>
  <c r="E24" i="49"/>
  <c r="D24" i="49"/>
  <c r="C24" i="49"/>
  <c r="E23" i="49"/>
  <c r="D23" i="49"/>
  <c r="C23" i="49"/>
  <c r="E22" i="49"/>
  <c r="D22" i="49"/>
  <c r="C22" i="49"/>
  <c r="P18" i="24"/>
  <c r="E21" i="49"/>
  <c r="D21" i="49"/>
  <c r="C21" i="49"/>
  <c r="AI17" i="24"/>
  <c r="P17" i="24"/>
  <c r="E20" i="49"/>
  <c r="D20" i="49"/>
  <c r="C20" i="49"/>
  <c r="E19" i="49"/>
  <c r="D19" i="49"/>
  <c r="C19" i="49"/>
  <c r="E18" i="49"/>
  <c r="D18" i="49"/>
  <c r="C18" i="49"/>
  <c r="P14" i="24"/>
  <c r="E17" i="49"/>
  <c r="D17" i="49"/>
  <c r="C17" i="49"/>
  <c r="AI13" i="24"/>
  <c r="E16" i="49"/>
  <c r="D16" i="49"/>
  <c r="C16" i="49"/>
  <c r="E15" i="49"/>
  <c r="D15" i="49"/>
  <c r="B15" i="49" s="1"/>
  <c r="C15" i="49"/>
  <c r="E14" i="49"/>
  <c r="D14" i="49"/>
  <c r="C14" i="49"/>
  <c r="H78" i="49" l="1"/>
  <c r="AN78" i="49" s="1"/>
  <c r="AN71" i="49"/>
  <c r="B16" i="49"/>
  <c r="B17" i="49" s="1"/>
  <c r="B18" i="49" s="1"/>
  <c r="B19" i="49" s="1"/>
  <c r="B20" i="49" s="1"/>
  <c r="B21" i="49" s="1"/>
  <c r="B22" i="49" s="1"/>
  <c r="B23" i="49" s="1"/>
  <c r="B24" i="49" s="1"/>
  <c r="B25" i="49" s="1"/>
  <c r="B26" i="49" s="1"/>
  <c r="B27" i="49" s="1"/>
  <c r="B28" i="49" s="1"/>
  <c r="B29" i="49" s="1"/>
  <c r="B30" i="49" s="1"/>
  <c r="B31" i="49" s="1"/>
  <c r="B32" i="49" s="1"/>
  <c r="B33" i="49" s="1"/>
  <c r="B34" i="49" s="1"/>
  <c r="B35" i="49" s="1"/>
  <c r="B36" i="49" s="1"/>
  <c r="B37" i="49" s="1"/>
  <c r="B38" i="49" s="1"/>
  <c r="I78" i="49"/>
  <c r="AO78" i="49" s="1"/>
  <c r="P11" i="24"/>
  <c r="P12" i="24"/>
  <c r="P13" i="24"/>
  <c r="P15" i="24"/>
  <c r="P16" i="24"/>
  <c r="P20" i="24"/>
  <c r="AI20" i="24"/>
  <c r="AI21" i="24"/>
  <c r="AI22" i="24"/>
  <c r="P23" i="24"/>
  <c r="AI23" i="24"/>
  <c r="P24" i="24"/>
  <c r="P25" i="24"/>
  <c r="P26" i="24"/>
  <c r="AI26" i="24"/>
  <c r="P27" i="24"/>
  <c r="AI27" i="24"/>
  <c r="P29" i="24"/>
  <c r="P30" i="24"/>
  <c r="AI32" i="24"/>
  <c r="AI33" i="24"/>
  <c r="AI34" i="24"/>
  <c r="AI35" i="24"/>
  <c r="AI36" i="24"/>
  <c r="AI38" i="24"/>
  <c r="P40" i="24"/>
  <c r="AI40" i="24"/>
  <c r="P41" i="24"/>
  <c r="AI42" i="24"/>
  <c r="AI43" i="24"/>
  <c r="P45" i="24"/>
  <c r="P46" i="24"/>
  <c r="AI48" i="24"/>
  <c r="P49" i="24"/>
  <c r="P50" i="24"/>
  <c r="P51" i="24"/>
  <c r="AI52" i="24"/>
  <c r="P53" i="24"/>
  <c r="P54" i="24"/>
  <c r="P55" i="24"/>
  <c r="P56" i="24"/>
  <c r="AI57" i="24"/>
  <c r="AI58" i="24"/>
  <c r="AI59" i="24"/>
  <c r="AI11" i="24"/>
  <c r="AI12" i="24"/>
  <c r="AI14" i="24"/>
  <c r="AI15" i="24"/>
  <c r="AI16" i="24"/>
  <c r="AI18" i="24"/>
  <c r="P19" i="24"/>
  <c r="AI19" i="24"/>
  <c r="P21" i="24"/>
  <c r="P22" i="24"/>
  <c r="AI24" i="24"/>
  <c r="P28" i="24"/>
  <c r="AI28" i="24"/>
  <c r="AI29" i="24"/>
  <c r="AI30" i="24"/>
  <c r="P31" i="24"/>
  <c r="AI31" i="24"/>
  <c r="P32" i="24"/>
  <c r="P33" i="24"/>
  <c r="P34" i="24"/>
  <c r="P35" i="24"/>
  <c r="P36" i="24"/>
  <c r="P37" i="24"/>
  <c r="AI39" i="24"/>
  <c r="P43" i="24"/>
  <c r="AI44" i="24"/>
  <c r="AI46" i="24"/>
  <c r="P47" i="24"/>
  <c r="P48" i="24"/>
  <c r="AI49" i="24"/>
  <c r="AI50" i="24"/>
  <c r="AI51" i="24"/>
  <c r="P52" i="24"/>
  <c r="AI53" i="24"/>
  <c r="AI54" i="24"/>
  <c r="AI56" i="24"/>
  <c r="P57" i="24"/>
  <c r="P58" i="24"/>
  <c r="P59" i="24"/>
  <c r="AI60" i="24"/>
  <c r="H75" i="49"/>
  <c r="AN75" i="49" s="1"/>
  <c r="D30" i="46"/>
  <c r="H70" i="49"/>
  <c r="AL70" i="49"/>
  <c r="F77" i="49"/>
  <c r="F78" i="49"/>
  <c r="I75" i="49"/>
  <c r="AO75" i="49" s="1"/>
  <c r="I76" i="49"/>
  <c r="AO76" i="49" s="1"/>
  <c r="I77" i="49"/>
  <c r="AO77" i="49" s="1"/>
  <c r="B9" i="49" l="1"/>
  <c r="AL78" i="49"/>
  <c r="AN70" i="49"/>
  <c r="H77" i="49"/>
  <c r="AN77" i="49" s="1"/>
  <c r="AL77" i="49"/>
  <c r="B3" i="49"/>
  <c r="AI64" i="24"/>
  <c r="AK6" i="48" s="1"/>
  <c r="N6" i="48" s="1"/>
  <c r="N33" i="48" s="1"/>
  <c r="B39" i="49"/>
  <c r="B40" i="49" s="1"/>
  <c r="B41" i="49" s="1"/>
  <c r="B42" i="49" s="1"/>
  <c r="B43" i="49" s="1"/>
  <c r="B44" i="49" s="1"/>
  <c r="B45" i="49" s="1"/>
  <c r="B46" i="49" s="1"/>
  <c r="B47" i="49" s="1"/>
  <c r="B48" i="49" s="1"/>
  <c r="B49" i="49" s="1"/>
  <c r="B50" i="49" s="1"/>
  <c r="J34" i="43"/>
  <c r="H36" i="35"/>
  <c r="AI62" i="24"/>
  <c r="AK9" i="48" s="1"/>
  <c r="AI65" i="24"/>
  <c r="AI63" i="24"/>
  <c r="AK11" i="48" s="1"/>
  <c r="K30" i="46"/>
  <c r="Q30" i="46"/>
  <c r="M30" i="46"/>
  <c r="J30" i="46"/>
  <c r="I30" i="46"/>
  <c r="R30" i="46"/>
  <c r="L30" i="46"/>
  <c r="H30" i="46"/>
  <c r="F69" i="49"/>
  <c r="AL69" i="49" s="1"/>
  <c r="G37" i="34" l="1"/>
  <c r="B8" i="49"/>
  <c r="I34" i="43"/>
  <c r="H69" i="49"/>
  <c r="F76" i="49"/>
  <c r="AL76" i="49" l="1"/>
  <c r="AN69" i="49"/>
  <c r="H76" i="49"/>
  <c r="AN76" i="49" s="1"/>
  <c r="M34" i="43"/>
  <c r="F68" i="49"/>
  <c r="B7" i="49" l="1"/>
  <c r="F75" i="49"/>
  <c r="AL68" i="49"/>
  <c r="BK18" i="49"/>
  <c r="AH22" i="49"/>
  <c r="BK29" i="49"/>
  <c r="AH39" i="49"/>
  <c r="BJ40" i="49"/>
  <c r="AG45" i="49"/>
  <c r="BK50" i="49"/>
  <c r="AH54" i="49"/>
  <c r="BK16" i="49"/>
  <c r="BJ18" i="49"/>
  <c r="BK23" i="49"/>
  <c r="BK32" i="49"/>
  <c r="AH37" i="49"/>
  <c r="AG39" i="49"/>
  <c r="BJ50" i="49"/>
  <c r="BK55" i="49"/>
  <c r="AH59" i="49"/>
  <c r="BK20" i="49"/>
  <c r="AH25" i="49"/>
  <c r="AG27" i="49"/>
  <c r="BJ38" i="49"/>
  <c r="BK43" i="49"/>
  <c r="BK52" i="49"/>
  <c r="BJ57" i="49"/>
  <c r="BJ58" i="49"/>
  <c r="BJ26" i="49"/>
  <c r="BK31" i="49"/>
  <c r="BK40" i="49"/>
  <c r="AH45" i="49"/>
  <c r="AG47" i="49"/>
  <c r="BK58" i="49"/>
  <c r="AH17" i="49"/>
  <c r="AG19" i="49"/>
  <c r="BJ30" i="49"/>
  <c r="BK35" i="49"/>
  <c r="BK44" i="49"/>
  <c r="AH49" i="49"/>
  <c r="AG51" i="49"/>
  <c r="BJ61" i="49"/>
  <c r="BJ62" i="49"/>
  <c r="BK17" i="49"/>
  <c r="BK22" i="49"/>
  <c r="AH26" i="49"/>
  <c r="BK33" i="49"/>
  <c r="AH43" i="49"/>
  <c r="BJ44" i="49"/>
  <c r="AG49" i="49"/>
  <c r="BK54" i="49"/>
  <c r="BK21" i="49"/>
  <c r="AH31" i="49"/>
  <c r="BJ32" i="49"/>
  <c r="AG37" i="49"/>
  <c r="BK42" i="49"/>
  <c r="AH46" i="49"/>
  <c r="BK53" i="49"/>
  <c r="AH15" i="49"/>
  <c r="AH19" i="49"/>
  <c r="BJ20" i="49"/>
  <c r="AG25" i="49"/>
  <c r="BK30" i="49"/>
  <c r="AH34" i="49"/>
  <c r="BK41" i="49"/>
  <c r="AH51" i="49"/>
  <c r="BJ52" i="49"/>
  <c r="AH57" i="49"/>
  <c r="AH23" i="49"/>
  <c r="BJ24" i="49"/>
  <c r="AG29" i="49"/>
  <c r="BK34" i="49"/>
  <c r="AH38" i="49"/>
  <c r="BK45" i="49"/>
  <c r="AH55" i="49"/>
  <c r="BJ56" i="49"/>
  <c r="BJ14" i="49"/>
  <c r="AH21" i="49"/>
  <c r="AG23" i="49"/>
  <c r="BJ34" i="49"/>
  <c r="BK39" i="49"/>
  <c r="BK48" i="49"/>
  <c r="AH53" i="49"/>
  <c r="AG55" i="49"/>
  <c r="AH60" i="49"/>
  <c r="BK62" i="49"/>
  <c r="BJ22" i="49"/>
  <c r="BK27" i="49"/>
  <c r="BK36" i="49"/>
  <c r="AH41" i="49"/>
  <c r="AG43" i="49"/>
  <c r="BJ54" i="49"/>
  <c r="AG58" i="49"/>
  <c r="BK59" i="49"/>
  <c r="BK15" i="49"/>
  <c r="BK24" i="49"/>
  <c r="AH29" i="49"/>
  <c r="AG31" i="49"/>
  <c r="BJ42" i="49"/>
  <c r="BK47" i="49"/>
  <c r="BK56" i="49"/>
  <c r="AH63" i="49"/>
  <c r="AG15" i="49"/>
  <c r="BK19" i="49"/>
  <c r="BK28" i="49"/>
  <c r="AH33" i="49"/>
  <c r="AG35" i="49"/>
  <c r="BJ46" i="49"/>
  <c r="BK51" i="49"/>
  <c r="AG59" i="49"/>
  <c r="AG62" i="49"/>
  <c r="BK63" i="49"/>
  <c r="AG17" i="49"/>
  <c r="AH27" i="49"/>
  <c r="BJ28" i="49"/>
  <c r="AG33" i="49"/>
  <c r="BK38" i="49"/>
  <c r="AH42" i="49"/>
  <c r="BK49" i="49"/>
  <c r="BJ16" i="49"/>
  <c r="AG21" i="49"/>
  <c r="BK26" i="49"/>
  <c r="AH30" i="49"/>
  <c r="BK37" i="49"/>
  <c r="AH47" i="49"/>
  <c r="BJ48" i="49"/>
  <c r="AG53" i="49"/>
  <c r="AH14" i="49"/>
  <c r="AH18" i="49"/>
  <c r="BK25" i="49"/>
  <c r="AH35" i="49"/>
  <c r="BJ36" i="49"/>
  <c r="AG41" i="49"/>
  <c r="BK46" i="49"/>
  <c r="AH50" i="49"/>
  <c r="BJ63" i="49"/>
  <c r="BJ53" i="49"/>
  <c r="BJ37" i="49"/>
  <c r="BJ21" i="49"/>
  <c r="BK61" i="49"/>
  <c r="AH56" i="49"/>
  <c r="AH40" i="49"/>
  <c r="AH24" i="49"/>
  <c r="AG63" i="49"/>
  <c r="BJ47" i="49"/>
  <c r="AG28" i="49"/>
  <c r="BJ15" i="49"/>
  <c r="AH44" i="49"/>
  <c r="AH28" i="49"/>
  <c r="AG56" i="49"/>
  <c r="AG52" i="49"/>
  <c r="BJ39" i="49"/>
  <c r="AG20" i="49"/>
  <c r="AG50" i="49"/>
  <c r="AG34" i="49"/>
  <c r="AG18" i="49"/>
  <c r="AG48" i="49"/>
  <c r="BJ35" i="49"/>
  <c r="AG16" i="49"/>
  <c r="AG60" i="49"/>
  <c r="BJ41" i="49"/>
  <c r="BJ25" i="49"/>
  <c r="BJ45" i="49"/>
  <c r="BJ29" i="49"/>
  <c r="AG14" i="49"/>
  <c r="AG57" i="49"/>
  <c r="AH62" i="49"/>
  <c r="AH48" i="49"/>
  <c r="AH32" i="49"/>
  <c r="AG44" i="49"/>
  <c r="BJ31" i="49"/>
  <c r="AH16" i="49"/>
  <c r="BJ55" i="49"/>
  <c r="AG36" i="49"/>
  <c r="BJ23" i="49"/>
  <c r="AG61" i="49"/>
  <c r="AG42" i="49"/>
  <c r="AG26" i="49"/>
  <c r="BJ60" i="49"/>
  <c r="BJ51" i="49"/>
  <c r="AG32" i="49"/>
  <c r="BJ19" i="49"/>
  <c r="AH61" i="49"/>
  <c r="BJ49" i="49"/>
  <c r="BJ33" i="49"/>
  <c r="BJ17" i="49"/>
  <c r="BK60" i="49"/>
  <c r="BJ59" i="49"/>
  <c r="AG46" i="49"/>
  <c r="AG30" i="49"/>
  <c r="BK14" i="49"/>
  <c r="AH20" i="49"/>
  <c r="AH58" i="49"/>
  <c r="BJ43" i="49"/>
  <c r="AG24" i="49"/>
  <c r="AG54" i="49"/>
  <c r="AG38" i="49"/>
  <c r="AG22" i="49"/>
  <c r="BK57" i="49"/>
  <c r="AH36" i="49"/>
  <c r="AH52" i="49"/>
  <c r="AG40" i="49"/>
  <c r="BJ27" i="49"/>
  <c r="I65" i="35"/>
  <c r="H67" i="34"/>
  <c r="O30" i="46"/>
  <c r="B6" i="49" l="1"/>
  <c r="AL75" i="49"/>
  <c r="P30" i="46"/>
  <c r="H65" i="35"/>
  <c r="L34" i="43"/>
  <c r="N34" i="43" s="1"/>
  <c r="O34" i="43" s="1"/>
  <c r="G67" i="34"/>
  <c r="K34" i="43"/>
  <c r="I36" i="35"/>
  <c r="H37" i="34"/>
  <c r="I37" i="34"/>
  <c r="I90" i="43"/>
  <c r="I89" i="43" l="1"/>
  <c r="N30" i="46"/>
  <c r="J36" i="35"/>
  <c r="I67" i="34"/>
  <c r="J65" i="35"/>
  <c r="D1" i="44" l="1"/>
  <c r="E108" i="43" l="1"/>
  <c r="E47" i="43"/>
  <c r="AO4" i="45"/>
  <c r="AP8" i="45"/>
  <c r="AO5" i="45"/>
  <c r="D108" i="43" l="1"/>
  <c r="G108" i="43"/>
  <c r="G109" i="43"/>
  <c r="D47" i="43"/>
  <c r="H47" i="43"/>
  <c r="W10" i="24"/>
  <c r="AR4" i="48" s="1"/>
  <c r="V10" i="24"/>
  <c r="X10" i="24"/>
  <c r="AS4" i="48" s="1"/>
  <c r="W8" i="24"/>
  <c r="U3" i="48" s="1"/>
  <c r="U30" i="48" s="1"/>
  <c r="V8" i="24"/>
  <c r="T3" i="48" s="1"/>
  <c r="T30" i="48" s="1"/>
  <c r="C10" i="48"/>
  <c r="C9" i="48"/>
  <c r="C33" i="48"/>
  <c r="C32" i="48"/>
  <c r="C31" i="48"/>
  <c r="E75" i="35"/>
  <c r="D74" i="35"/>
  <c r="E46" i="35"/>
  <c r="D45" i="35"/>
  <c r="D76" i="34"/>
  <c r="E77" i="34"/>
  <c r="D77" i="34" s="1"/>
  <c r="E47" i="34"/>
  <c r="D47" i="34" s="1"/>
  <c r="D46" i="34"/>
  <c r="F70" i="47"/>
  <c r="H71" i="47" s="1"/>
  <c r="D1" i="47"/>
  <c r="AV78" i="47"/>
  <c r="Q78" i="47"/>
  <c r="AV77" i="47"/>
  <c r="Q77" i="47"/>
  <c r="AV76" i="47"/>
  <c r="Q76" i="47"/>
  <c r="AV75" i="47"/>
  <c r="Q75" i="47"/>
  <c r="I71" i="47"/>
  <c r="AO71" i="47" s="1"/>
  <c r="I70" i="47"/>
  <c r="AO70" i="47" s="1"/>
  <c r="I69" i="47"/>
  <c r="AO69" i="47" s="1"/>
  <c r="I68" i="47"/>
  <c r="AO68" i="47" s="1"/>
  <c r="AL65" i="47"/>
  <c r="F65" i="47"/>
  <c r="I78" i="47" s="1"/>
  <c r="AO78" i="47" s="1"/>
  <c r="E63" i="47"/>
  <c r="D63" i="47"/>
  <c r="B63" i="47" s="1"/>
  <c r="C63" i="47"/>
  <c r="E62" i="47"/>
  <c r="D62" i="47"/>
  <c r="B62" i="47" s="1"/>
  <c r="C62" i="47"/>
  <c r="E61" i="47"/>
  <c r="D61" i="47"/>
  <c r="B61" i="47" s="1"/>
  <c r="C61" i="47"/>
  <c r="E60" i="47"/>
  <c r="D60" i="47"/>
  <c r="B60" i="47" s="1"/>
  <c r="C60" i="47"/>
  <c r="E59" i="47"/>
  <c r="D59" i="47"/>
  <c r="B59" i="47" s="1"/>
  <c r="C59" i="47"/>
  <c r="E58" i="47"/>
  <c r="D58" i="47"/>
  <c r="B58" i="47" s="1"/>
  <c r="C58" i="47"/>
  <c r="E57" i="47"/>
  <c r="D57" i="47"/>
  <c r="B57" i="47" s="1"/>
  <c r="C57" i="47"/>
  <c r="E56" i="47"/>
  <c r="D56" i="47"/>
  <c r="B56" i="47" s="1"/>
  <c r="C56" i="47"/>
  <c r="E55" i="47"/>
  <c r="D55" i="47"/>
  <c r="B55" i="47" s="1"/>
  <c r="C55" i="47"/>
  <c r="W51" i="24"/>
  <c r="E54" i="47"/>
  <c r="D54" i="47"/>
  <c r="B54" i="47" s="1"/>
  <c r="C54" i="47"/>
  <c r="E53" i="47"/>
  <c r="D53" i="47"/>
  <c r="B53" i="47" s="1"/>
  <c r="C53" i="47"/>
  <c r="E52" i="47"/>
  <c r="D52" i="47"/>
  <c r="B52" i="47" s="1"/>
  <c r="C52" i="47"/>
  <c r="E51" i="47"/>
  <c r="D51" i="47"/>
  <c r="B51" i="47" s="1"/>
  <c r="C51" i="47"/>
  <c r="E50" i="47"/>
  <c r="D50" i="47"/>
  <c r="C50" i="47"/>
  <c r="E49" i="47"/>
  <c r="D49" i="47"/>
  <c r="C49" i="47"/>
  <c r="E48" i="47"/>
  <c r="D48" i="47"/>
  <c r="C48" i="47"/>
  <c r="E47" i="47"/>
  <c r="D47" i="47"/>
  <c r="C47" i="47"/>
  <c r="E46" i="47"/>
  <c r="D46" i="47"/>
  <c r="C46" i="47"/>
  <c r="E45" i="47"/>
  <c r="D45" i="47"/>
  <c r="C45" i="47"/>
  <c r="AP41" i="24"/>
  <c r="E44" i="47"/>
  <c r="D44" i="47"/>
  <c r="C44" i="47"/>
  <c r="E43" i="47"/>
  <c r="D43" i="47"/>
  <c r="C43" i="47"/>
  <c r="AP39" i="24"/>
  <c r="E42" i="47"/>
  <c r="D42" i="47"/>
  <c r="C42" i="47"/>
  <c r="E41" i="47"/>
  <c r="D41" i="47"/>
  <c r="C41" i="47"/>
  <c r="E40" i="47"/>
  <c r="D40" i="47"/>
  <c r="C40" i="47"/>
  <c r="W36" i="24"/>
  <c r="E39" i="47"/>
  <c r="D39" i="47"/>
  <c r="C39" i="47"/>
  <c r="E38" i="47"/>
  <c r="D38" i="47"/>
  <c r="C38" i="47"/>
  <c r="W34" i="24"/>
  <c r="E37" i="47"/>
  <c r="D37" i="47"/>
  <c r="C37" i="47"/>
  <c r="E36" i="47"/>
  <c r="D36" i="47"/>
  <c r="C36" i="47"/>
  <c r="E35" i="47"/>
  <c r="D35" i="47"/>
  <c r="C35" i="47"/>
  <c r="E34" i="47"/>
  <c r="D34" i="47"/>
  <c r="C34" i="47"/>
  <c r="E33" i="47"/>
  <c r="D33" i="47"/>
  <c r="C33" i="47"/>
  <c r="E32" i="47"/>
  <c r="D32" i="47"/>
  <c r="C32" i="47"/>
  <c r="E31" i="47"/>
  <c r="D31" i="47"/>
  <c r="C31" i="47"/>
  <c r="AP27" i="24"/>
  <c r="E30" i="47"/>
  <c r="D30" i="47"/>
  <c r="C30" i="47"/>
  <c r="W26" i="24"/>
  <c r="E29" i="47"/>
  <c r="D29" i="47"/>
  <c r="C29" i="47"/>
  <c r="E28" i="47"/>
  <c r="D28" i="47"/>
  <c r="C28" i="47"/>
  <c r="W24" i="24"/>
  <c r="E27" i="47"/>
  <c r="D27" i="47"/>
  <c r="C27" i="47"/>
  <c r="E26" i="47"/>
  <c r="D26" i="47"/>
  <c r="C26" i="47"/>
  <c r="W22" i="24"/>
  <c r="E25" i="47"/>
  <c r="D25" i="47"/>
  <c r="C25" i="47"/>
  <c r="E24" i="47"/>
  <c r="D24" i="47"/>
  <c r="C24" i="47"/>
  <c r="W20" i="24"/>
  <c r="E23" i="47"/>
  <c r="D23" i="47"/>
  <c r="C23" i="47"/>
  <c r="E22" i="47"/>
  <c r="D22" i="47"/>
  <c r="C22" i="47"/>
  <c r="W18" i="24"/>
  <c r="E21" i="47"/>
  <c r="D21" i="47"/>
  <c r="C21" i="47"/>
  <c r="E20" i="47"/>
  <c r="D20" i="47"/>
  <c r="C20" i="47"/>
  <c r="W16" i="24"/>
  <c r="E19" i="47"/>
  <c r="D19" i="47"/>
  <c r="C19" i="47"/>
  <c r="E18" i="47"/>
  <c r="D18" i="47"/>
  <c r="C18" i="47"/>
  <c r="W14" i="24"/>
  <c r="E17" i="47"/>
  <c r="D17" i="47"/>
  <c r="C17" i="47"/>
  <c r="E16" i="47"/>
  <c r="D16" i="47"/>
  <c r="C16" i="47"/>
  <c r="W12" i="24"/>
  <c r="E15" i="47"/>
  <c r="D15" i="47"/>
  <c r="B15" i="47" s="1"/>
  <c r="C15" i="47"/>
  <c r="E14" i="47"/>
  <c r="D14" i="47"/>
  <c r="C14" i="47"/>
  <c r="G40" i="46"/>
  <c r="D39" i="46"/>
  <c r="T21" i="20"/>
  <c r="T20" i="20"/>
  <c r="T19" i="20"/>
  <c r="T18" i="20"/>
  <c r="T17" i="20"/>
  <c r="T16" i="20"/>
  <c r="T15" i="20"/>
  <c r="T14" i="20"/>
  <c r="T13" i="20"/>
  <c r="T12" i="20"/>
  <c r="T11" i="20"/>
  <c r="T10" i="20"/>
  <c r="T9" i="20"/>
  <c r="T8" i="20"/>
  <c r="T7" i="20"/>
  <c r="T6" i="20"/>
  <c r="T5" i="20"/>
  <c r="AC4" i="45"/>
  <c r="U7" i="20" l="1"/>
  <c r="U20" i="20"/>
  <c r="U21" i="20"/>
  <c r="U22" i="20"/>
  <c r="AN71" i="47"/>
  <c r="H78" i="47"/>
  <c r="AN78" i="47" s="1"/>
  <c r="B16" i="47"/>
  <c r="B17" i="47" s="1"/>
  <c r="B18" i="47" s="1"/>
  <c r="B19" i="47" s="1"/>
  <c r="B20" i="47" s="1"/>
  <c r="B21" i="47" s="1"/>
  <c r="B22" i="47" s="1"/>
  <c r="B23" i="47" s="1"/>
  <c r="B24" i="47" s="1"/>
  <c r="B25" i="47" s="1"/>
  <c r="B26" i="47" s="1"/>
  <c r="B27" i="47" s="1"/>
  <c r="B28" i="47" s="1"/>
  <c r="B29" i="47" s="1"/>
  <c r="B30" i="47" s="1"/>
  <c r="B31" i="47" s="1"/>
  <c r="B32" i="47" s="1"/>
  <c r="B33" i="47" s="1"/>
  <c r="B34" i="47" s="1"/>
  <c r="B35" i="47" s="1"/>
  <c r="B36" i="47" s="1"/>
  <c r="B37" i="47" s="1"/>
  <c r="B38" i="47" s="1"/>
  <c r="B39" i="47" s="1"/>
  <c r="B40" i="47" s="1"/>
  <c r="B41" i="47" s="1"/>
  <c r="B42" i="47" s="1"/>
  <c r="B43" i="47" s="1"/>
  <c r="B44" i="47" s="1"/>
  <c r="B45" i="47" s="1"/>
  <c r="B46" i="47" s="1"/>
  <c r="B47" i="47" s="1"/>
  <c r="B48" i="47" s="1"/>
  <c r="B49" i="47" s="1"/>
  <c r="B50" i="47" s="1"/>
  <c r="W13" i="24"/>
  <c r="AP14" i="24"/>
  <c r="AP15" i="24"/>
  <c r="W17" i="24"/>
  <c r="AP18" i="24"/>
  <c r="AP19" i="24"/>
  <c r="W21" i="24"/>
  <c r="AP22" i="24"/>
  <c r="W23" i="24"/>
  <c r="AP23" i="24"/>
  <c r="W25" i="24"/>
  <c r="AP26" i="24"/>
  <c r="W27" i="24"/>
  <c r="AP28" i="24"/>
  <c r="AP29" i="24"/>
  <c r="AP30" i="24"/>
  <c r="W31" i="24"/>
  <c r="W32" i="24"/>
  <c r="AP12" i="24"/>
  <c r="AP13" i="24"/>
  <c r="W15" i="24"/>
  <c r="AP16" i="24"/>
  <c r="AP17" i="24"/>
  <c r="W19" i="24"/>
  <c r="AP20" i="24"/>
  <c r="AP21" i="24"/>
  <c r="AP24" i="24"/>
  <c r="AP25" i="24"/>
  <c r="W28" i="24"/>
  <c r="W29" i="24"/>
  <c r="W30" i="24"/>
  <c r="AP31" i="24"/>
  <c r="AP32" i="24"/>
  <c r="I76" i="47"/>
  <c r="AO76" i="47" s="1"/>
  <c r="W33" i="24"/>
  <c r="W35" i="24"/>
  <c r="W37" i="24"/>
  <c r="W39" i="24"/>
  <c r="W41" i="24"/>
  <c r="W43" i="24"/>
  <c r="W45" i="24"/>
  <c r="W47" i="24"/>
  <c r="W49" i="24"/>
  <c r="W53" i="24"/>
  <c r="W55" i="24"/>
  <c r="W57" i="24"/>
  <c r="W59" i="24"/>
  <c r="AP34" i="24"/>
  <c r="AP36" i="24"/>
  <c r="AP38" i="24"/>
  <c r="AP40" i="24"/>
  <c r="AP42" i="24"/>
  <c r="AP44" i="24"/>
  <c r="AP46" i="24"/>
  <c r="AP48" i="24"/>
  <c r="AP50" i="24"/>
  <c r="AP52" i="24"/>
  <c r="AP54" i="24"/>
  <c r="AP56" i="24"/>
  <c r="AP58" i="24"/>
  <c r="AP60" i="24"/>
  <c r="AP8" i="24"/>
  <c r="I75" i="47"/>
  <c r="AO75" i="47" s="1"/>
  <c r="W38" i="24"/>
  <c r="W40" i="24"/>
  <c r="W42" i="24"/>
  <c r="W44" i="24"/>
  <c r="W46" i="24"/>
  <c r="W48" i="24"/>
  <c r="W50" i="24"/>
  <c r="W52" i="24"/>
  <c r="W54" i="24"/>
  <c r="W56" i="24"/>
  <c r="W58" i="24"/>
  <c r="W60" i="24"/>
  <c r="AP33" i="24"/>
  <c r="AP35" i="24"/>
  <c r="AP37" i="24"/>
  <c r="AP43" i="24"/>
  <c r="AP45" i="24"/>
  <c r="AP47" i="24"/>
  <c r="AP49" i="24"/>
  <c r="AP51" i="24"/>
  <c r="AP53" i="24"/>
  <c r="AP55" i="24"/>
  <c r="AP57" i="24"/>
  <c r="AP59" i="24"/>
  <c r="AR3" i="48"/>
  <c r="D39" i="34"/>
  <c r="D38" i="35"/>
  <c r="D32" i="46"/>
  <c r="D69" i="34"/>
  <c r="D67" i="35"/>
  <c r="V4" i="48"/>
  <c r="V31" i="48" s="1"/>
  <c r="AP10" i="24"/>
  <c r="D75" i="35"/>
  <c r="D46" i="35"/>
  <c r="G46" i="35"/>
  <c r="G75" i="35" s="1"/>
  <c r="AP11" i="24"/>
  <c r="W11" i="24"/>
  <c r="I77" i="47"/>
  <c r="AO77" i="47" s="1"/>
  <c r="H75" i="47"/>
  <c r="AN75" i="47" s="1"/>
  <c r="AL70" i="47"/>
  <c r="H70" i="47"/>
  <c r="F77" i="47"/>
  <c r="F78" i="47"/>
  <c r="F69" i="47" l="1"/>
  <c r="AN70" i="47"/>
  <c r="H77" i="47"/>
  <c r="AN77" i="47" s="1"/>
  <c r="AL77" i="47"/>
  <c r="B9" i="47"/>
  <c r="AL78" i="47"/>
  <c r="B3" i="47"/>
  <c r="I40" i="46"/>
  <c r="Q40" i="46"/>
  <c r="K40" i="46"/>
  <c r="H40" i="46"/>
  <c r="R40" i="46"/>
  <c r="M40" i="46"/>
  <c r="J40" i="46"/>
  <c r="L40" i="46"/>
  <c r="H46" i="35"/>
  <c r="AP64" i="24"/>
  <c r="AR6" i="48" s="1"/>
  <c r="AP62" i="24"/>
  <c r="AR9" i="48" s="1"/>
  <c r="AP65" i="24"/>
  <c r="AP63" i="24"/>
  <c r="AR11" i="48" s="1"/>
  <c r="J47" i="43"/>
  <c r="W64" i="24"/>
  <c r="W62" i="24"/>
  <c r="W65" i="24"/>
  <c r="W63" i="24"/>
  <c r="AR10" i="48" s="1"/>
  <c r="G47" i="34"/>
  <c r="F76" i="47"/>
  <c r="B8" i="47" l="1"/>
  <c r="AL76" i="47"/>
  <c r="H69" i="47"/>
  <c r="AL69" i="47"/>
  <c r="O40" i="46"/>
  <c r="AR8" i="48"/>
  <c r="AR5" i="48"/>
  <c r="I47" i="43"/>
  <c r="N40" i="46"/>
  <c r="F68" i="47" l="1"/>
  <c r="H76" i="47"/>
  <c r="AN69" i="47"/>
  <c r="P40" i="46"/>
  <c r="G77" i="34"/>
  <c r="H75" i="35"/>
  <c r="L47" i="43"/>
  <c r="N47" i="43" s="1"/>
  <c r="O47" i="43" s="1"/>
  <c r="AR7" i="48"/>
  <c r="K47" i="43"/>
  <c r="I46" i="35"/>
  <c r="H47" i="34"/>
  <c r="AN76" i="47" l="1"/>
  <c r="B7" i="47"/>
  <c r="BK15" i="47"/>
  <c r="AH19" i="47"/>
  <c r="BJ61" i="47"/>
  <c r="BK60" i="47"/>
  <c r="AH44" i="47"/>
  <c r="AH56" i="47"/>
  <c r="AH55" i="47"/>
  <c r="AH31" i="47"/>
  <c r="AH16" i="47"/>
  <c r="AG60" i="47"/>
  <c r="BJ63" i="47"/>
  <c r="BK42" i="47"/>
  <c r="AH40" i="47"/>
  <c r="BK22" i="47"/>
  <c r="BK62" i="47"/>
  <c r="AH60" i="47"/>
  <c r="AH33" i="47"/>
  <c r="BJ18" i="47"/>
  <c r="BN18" i="47" s="1"/>
  <c r="AH45" i="47"/>
  <c r="BJ50" i="47"/>
  <c r="BN50" i="47" s="1"/>
  <c r="BJ58" i="47"/>
  <c r="AG21" i="47"/>
  <c r="BK35" i="47"/>
  <c r="BK25" i="47"/>
  <c r="BJ56" i="47"/>
  <c r="BJ37" i="47"/>
  <c r="BJ45" i="47"/>
  <c r="AH29" i="47"/>
  <c r="BJ39" i="47"/>
  <c r="AG61" i="47"/>
  <c r="AG48" i="47"/>
  <c r="BJ60" i="47"/>
  <c r="AG35" i="47"/>
  <c r="AH38" i="47"/>
  <c r="BJ29" i="47"/>
  <c r="BK17" i="47"/>
  <c r="AG22" i="47"/>
  <c r="AG50" i="47"/>
  <c r="BJ57" i="47"/>
  <c r="BJ20" i="47"/>
  <c r="AG31" i="47"/>
  <c r="AK31" i="47" s="1"/>
  <c r="AG55" i="47"/>
  <c r="BJ44" i="47"/>
  <c r="BJ36" i="47"/>
  <c r="AG63" i="47"/>
  <c r="AG33" i="47"/>
  <c r="AK33" i="47" s="1"/>
  <c r="AG41" i="47"/>
  <c r="AG15" i="47"/>
  <c r="AG19" i="47"/>
  <c r="BJ43" i="47"/>
  <c r="AH27" i="47"/>
  <c r="AG28" i="47"/>
  <c r="AH15" i="47"/>
  <c r="AH32" i="47"/>
  <c r="AH24" i="47"/>
  <c r="BK59" i="47"/>
  <c r="AG58" i="47"/>
  <c r="AH59" i="47"/>
  <c r="BK39" i="47"/>
  <c r="AH23" i="47"/>
  <c r="AH35" i="47"/>
  <c r="AH47" i="47"/>
  <c r="AH20" i="47"/>
  <c r="AH43" i="47"/>
  <c r="BK30" i="47"/>
  <c r="BJ62" i="47"/>
  <c r="AH53" i="47"/>
  <c r="AG43" i="47"/>
  <c r="AK43" i="47" s="1"/>
  <c r="BK28" i="47"/>
  <c r="AG32" i="47"/>
  <c r="AK32" i="47" s="1"/>
  <c r="BK41" i="47"/>
  <c r="AH14" i="47"/>
  <c r="BJ53" i="47"/>
  <c r="BJ16" i="47"/>
  <c r="AH18" i="47"/>
  <c r="AG49" i="47"/>
  <c r="AH34" i="47"/>
  <c r="BJ51" i="47"/>
  <c r="BJ34" i="47"/>
  <c r="BK57" i="47"/>
  <c r="AH41" i="47"/>
  <c r="AG47" i="47"/>
  <c r="AK47" i="47" s="1"/>
  <c r="AH37" i="47"/>
  <c r="BJ21" i="47"/>
  <c r="BJ49" i="47"/>
  <c r="AH28" i="47"/>
  <c r="BJ48" i="47"/>
  <c r="BJ33" i="47"/>
  <c r="BN33" i="47" s="1"/>
  <c r="AG17" i="47"/>
  <c r="AG57" i="47"/>
  <c r="BJ26" i="47"/>
  <c r="AG52" i="47"/>
  <c r="BJ41" i="47"/>
  <c r="BN41" i="47" s="1"/>
  <c r="AG39" i="47"/>
  <c r="AK39" i="47" s="1"/>
  <c r="BK53" i="47"/>
  <c r="AG26" i="47"/>
  <c r="BK33" i="47"/>
  <c r="AG51" i="47"/>
  <c r="BJ14" i="47"/>
  <c r="BK40" i="47"/>
  <c r="BJ17" i="47"/>
  <c r="AH21" i="47"/>
  <c r="BJ54" i="47"/>
  <c r="BK54" i="47"/>
  <c r="BK46" i="47"/>
  <c r="BJ47" i="47"/>
  <c r="BN47" i="47" s="1"/>
  <c r="BK31" i="47"/>
  <c r="AH48" i="47"/>
  <c r="BK63" i="47"/>
  <c r="AG62" i="47"/>
  <c r="AH63" i="47"/>
  <c r="BK51" i="47"/>
  <c r="BK50" i="47"/>
  <c r="BJ15" i="47"/>
  <c r="BN15" i="47" s="1"/>
  <c r="BK47" i="47"/>
  <c r="BK43" i="47"/>
  <c r="BK18" i="47"/>
  <c r="BJ31" i="47"/>
  <c r="BN31" i="47" s="1"/>
  <c r="AH58" i="47"/>
  <c r="BK36" i="47"/>
  <c r="AG36" i="47"/>
  <c r="BK16" i="47"/>
  <c r="AG23" i="47"/>
  <c r="AK23" i="47" s="1"/>
  <c r="BJ32" i="47"/>
  <c r="BJ40" i="47"/>
  <c r="BJ28" i="47"/>
  <c r="BN28" i="47" s="1"/>
  <c r="BK45" i="47"/>
  <c r="AG59" i="47"/>
  <c r="AG42" i="47"/>
  <c r="AG18" i="47"/>
  <c r="AK18" i="47" s="1"/>
  <c r="AG44" i="47"/>
  <c r="AK44" i="47" s="1"/>
  <c r="BK20" i="47"/>
  <c r="BJ35" i="47"/>
  <c r="BN35" i="47" s="1"/>
  <c r="BJ22" i="47"/>
  <c r="BN22" i="47" s="1"/>
  <c r="BJ42" i="47"/>
  <c r="BJ38" i="47"/>
  <c r="BN38" i="47" s="1"/>
  <c r="AH26" i="47"/>
  <c r="AG34" i="47"/>
  <c r="AK34" i="47" s="1"/>
  <c r="AG45" i="47"/>
  <c r="AK45" i="47" s="1"/>
  <c r="AG37" i="47"/>
  <c r="AK37" i="47" s="1"/>
  <c r="AG29" i="47"/>
  <c r="AK29" i="47" s="1"/>
  <c r="BK14" i="47"/>
  <c r="BK49" i="47"/>
  <c r="AH49" i="47"/>
  <c r="BJ27" i="47"/>
  <c r="AG53" i="47"/>
  <c r="AG16" i="47"/>
  <c r="AK16" i="47" s="1"/>
  <c r="AG38" i="47"/>
  <c r="AH30" i="47"/>
  <c r="BJ46" i="47"/>
  <c r="BN46" i="47" s="1"/>
  <c r="AG27" i="47"/>
  <c r="AK27" i="47" s="1"/>
  <c r="AG20" i="47"/>
  <c r="AK20" i="47" s="1"/>
  <c r="AH39" i="47"/>
  <c r="AH51" i="47"/>
  <c r="AG56" i="47"/>
  <c r="AH36" i="47"/>
  <c r="BK27" i="47"/>
  <c r="BK34" i="47"/>
  <c r="BK26" i="47"/>
  <c r="BK23" i="47"/>
  <c r="BK38" i="47"/>
  <c r="BJ59" i="47"/>
  <c r="AG24" i="47"/>
  <c r="AK24" i="47" s="1"/>
  <c r="BK19" i="47"/>
  <c r="AH52" i="47"/>
  <c r="BK58" i="47"/>
  <c r="AG40" i="47"/>
  <c r="AK40" i="47" s="1"/>
  <c r="BK44" i="47"/>
  <c r="BJ23" i="47"/>
  <c r="AH62" i="47"/>
  <c r="BJ55" i="47"/>
  <c r="BK56" i="47"/>
  <c r="AH46" i="47"/>
  <c r="BK55" i="47"/>
  <c r="AH42" i="47"/>
  <c r="AG14" i="47"/>
  <c r="AK14" i="47" s="1"/>
  <c r="AH54" i="47"/>
  <c r="BJ25" i="47"/>
  <c r="BN25" i="47" s="1"/>
  <c r="BK61" i="47"/>
  <c r="AH17" i="47"/>
  <c r="AH57" i="47"/>
  <c r="BJ30" i="47"/>
  <c r="BN30" i="47" s="1"/>
  <c r="AH61" i="47"/>
  <c r="BK48" i="47"/>
  <c r="AG54" i="47"/>
  <c r="BJ52" i="47"/>
  <c r="AG25" i="47"/>
  <c r="BK37" i="47"/>
  <c r="AG30" i="47"/>
  <c r="AK30" i="47" s="1"/>
  <c r="BK21" i="47"/>
  <c r="BK29" i="47"/>
  <c r="BJ24" i="47"/>
  <c r="BJ19" i="47"/>
  <c r="BK24" i="47"/>
  <c r="AG46" i="47"/>
  <c r="AK46" i="47" s="1"/>
  <c r="AH25" i="47"/>
  <c r="AH22" i="47"/>
  <c r="AH50" i="47"/>
  <c r="BK52" i="47"/>
  <c r="BK32" i="47"/>
  <c r="F75" i="47"/>
  <c r="AL68" i="47"/>
  <c r="BN16" i="47" l="1"/>
  <c r="BN43" i="47"/>
  <c r="BN37" i="47"/>
  <c r="BN19" i="47"/>
  <c r="BN23" i="47"/>
  <c r="BN27" i="47"/>
  <c r="BN40" i="47"/>
  <c r="BN17" i="47"/>
  <c r="J75" i="35" s="1"/>
  <c r="BN49" i="47"/>
  <c r="BN39" i="47"/>
  <c r="BN24" i="47"/>
  <c r="BN32" i="47"/>
  <c r="BN21" i="47"/>
  <c r="BN36" i="47"/>
  <c r="BN20" i="47"/>
  <c r="BN42" i="47"/>
  <c r="BN14" i="47"/>
  <c r="BN26" i="47"/>
  <c r="BN48" i="47"/>
  <c r="BN34" i="47"/>
  <c r="BN44" i="47"/>
  <c r="BN29" i="47"/>
  <c r="BN45" i="47"/>
  <c r="AK50" i="47"/>
  <c r="AK21" i="47"/>
  <c r="AK42" i="47"/>
  <c r="AK36" i="47"/>
  <c r="AK17" i="47"/>
  <c r="J46" i="35" s="1"/>
  <c r="AK19" i="47"/>
  <c r="AK22" i="47"/>
  <c r="AK35" i="47"/>
  <c r="I47" i="34"/>
  <c r="I108" i="43"/>
  <c r="AK38" i="47"/>
  <c r="AK26" i="47"/>
  <c r="AK49" i="47"/>
  <c r="AK28" i="47"/>
  <c r="AK15" i="47"/>
  <c r="AK25" i="47"/>
  <c r="AK41" i="47"/>
  <c r="AK48" i="47"/>
  <c r="B6" i="47"/>
  <c r="AL75" i="47"/>
  <c r="M47" i="43"/>
  <c r="I75" i="35"/>
  <c r="H77" i="34"/>
  <c r="J123" i="34"/>
  <c r="H132" i="34"/>
  <c r="H131" i="34"/>
  <c r="J124" i="34"/>
  <c r="J117" i="34"/>
  <c r="H133" i="35"/>
  <c r="H132" i="35"/>
  <c r="K126" i="35"/>
  <c r="K125" i="35"/>
  <c r="K120" i="35"/>
  <c r="I109" i="43" l="1"/>
  <c r="I77" i="34"/>
  <c r="BC43" i="45"/>
  <c r="AL43" i="45"/>
  <c r="E2" i="45"/>
  <c r="R43" i="45"/>
  <c r="H11" i="21"/>
  <c r="AS60" i="24" l="1"/>
  <c r="AS59" i="24"/>
  <c r="AS58" i="24"/>
  <c r="AS57" i="24"/>
  <c r="AS56" i="24"/>
  <c r="AS55" i="24"/>
  <c r="AS54" i="24"/>
  <c r="AS53" i="24"/>
  <c r="AS52" i="24"/>
  <c r="AS51" i="24"/>
  <c r="AS50" i="24"/>
  <c r="AS49" i="24"/>
  <c r="AS48" i="24"/>
  <c r="AS47" i="24"/>
  <c r="AS46" i="24"/>
  <c r="AS45" i="24"/>
  <c r="AS44" i="24"/>
  <c r="AS43" i="24"/>
  <c r="AS42" i="24"/>
  <c r="AS41" i="24"/>
  <c r="AS40" i="24"/>
  <c r="AS39" i="24"/>
  <c r="AS38" i="24"/>
  <c r="AS37" i="24"/>
  <c r="AS36" i="24"/>
  <c r="AS35" i="24"/>
  <c r="AS34" i="24"/>
  <c r="AS33" i="24"/>
  <c r="AS32" i="24"/>
  <c r="AS31" i="24"/>
  <c r="AS30" i="24"/>
  <c r="AS29" i="24"/>
  <c r="AS28" i="24"/>
  <c r="AS27" i="24"/>
  <c r="AS26" i="24"/>
  <c r="AS25" i="24"/>
  <c r="AS24" i="24"/>
  <c r="AS23" i="24"/>
  <c r="AS22" i="24"/>
  <c r="AS21" i="24"/>
  <c r="AS20" i="24"/>
  <c r="AS19" i="24"/>
  <c r="AS18" i="24"/>
  <c r="AS17" i="24"/>
  <c r="AS16" i="24"/>
  <c r="AS15" i="24"/>
  <c r="AS14" i="24"/>
  <c r="AS12" i="24"/>
  <c r="AS11" i="24"/>
  <c r="AS13" i="24"/>
  <c r="J2" i="46" l="1"/>
  <c r="L52" i="46" s="1"/>
  <c r="D9" i="35" l="1"/>
  <c r="B11" i="31" l="1"/>
  <c r="D11" i="31"/>
  <c r="AZ64" i="31"/>
  <c r="AX64" i="31"/>
  <c r="AW64" i="31"/>
  <c r="AV64" i="31"/>
  <c r="AU64" i="31" s="1"/>
  <c r="AT64" i="31"/>
  <c r="AS64" i="31" s="1"/>
  <c r="AR64" i="31"/>
  <c r="AP64" i="31"/>
  <c r="AO64" i="31" s="1"/>
  <c r="AN64" i="31"/>
  <c r="AM64" i="31"/>
  <c r="AL64" i="31" s="1"/>
  <c r="AK64" i="31"/>
  <c r="AJ64" i="31"/>
  <c r="AH64" i="31"/>
  <c r="AF64" i="31"/>
  <c r="AE64" i="31"/>
  <c r="AC64" i="31"/>
  <c r="AD64" i="31" s="1"/>
  <c r="AA64" i="31"/>
  <c r="AZ63" i="31"/>
  <c r="AX63" i="31"/>
  <c r="AW63" i="31"/>
  <c r="AV63" i="31"/>
  <c r="AU63" i="31" s="1"/>
  <c r="AT63" i="31"/>
  <c r="AS63" i="31" s="1"/>
  <c r="AR63" i="31"/>
  <c r="AP63" i="31"/>
  <c r="AO63" i="31" s="1"/>
  <c r="AN63" i="31"/>
  <c r="AM63" i="31"/>
  <c r="AL63" i="31" s="1"/>
  <c r="AK63" i="31"/>
  <c r="AJ63" i="31"/>
  <c r="AH63" i="31"/>
  <c r="AF63" i="31"/>
  <c r="AE63" i="31"/>
  <c r="AC63" i="31"/>
  <c r="AA63" i="31"/>
  <c r="AZ62" i="31"/>
  <c r="AX62" i="31"/>
  <c r="AW62" i="31"/>
  <c r="AV62" i="31"/>
  <c r="AU62" i="31" s="1"/>
  <c r="AT62" i="31"/>
  <c r="AS62" i="31" s="1"/>
  <c r="AR62" i="31"/>
  <c r="AP62" i="31"/>
  <c r="AO62" i="31" s="1"/>
  <c r="AN62" i="31"/>
  <c r="AM62" i="31"/>
  <c r="AL62" i="31" s="1"/>
  <c r="AK62" i="31"/>
  <c r="AJ62" i="31"/>
  <c r="AH62" i="31"/>
  <c r="AF62" i="31"/>
  <c r="AE62" i="31"/>
  <c r="AC62" i="31"/>
  <c r="AD62" i="31" s="1"/>
  <c r="AA62" i="31"/>
  <c r="AZ61" i="31"/>
  <c r="AX61" i="31"/>
  <c r="AW61" i="31"/>
  <c r="AV61" i="31"/>
  <c r="AU61" i="31" s="1"/>
  <c r="AT61" i="31"/>
  <c r="AS61" i="31" s="1"/>
  <c r="AR61" i="31"/>
  <c r="AP61" i="31"/>
  <c r="AO61" i="31" s="1"/>
  <c r="AN61" i="31"/>
  <c r="AM61" i="31"/>
  <c r="AL61" i="31" s="1"/>
  <c r="AK61" i="31"/>
  <c r="AJ61" i="31"/>
  <c r="AH61" i="31"/>
  <c r="AF61" i="31"/>
  <c r="AE61" i="31"/>
  <c r="AC61" i="31"/>
  <c r="AA61" i="31"/>
  <c r="AZ60" i="31"/>
  <c r="AX60" i="31"/>
  <c r="AW60" i="31"/>
  <c r="AV60" i="31"/>
  <c r="AU60" i="31" s="1"/>
  <c r="AT60" i="31"/>
  <c r="AS60" i="31" s="1"/>
  <c r="AR60" i="31"/>
  <c r="AP60" i="31"/>
  <c r="AO60" i="31" s="1"/>
  <c r="AN60" i="31"/>
  <c r="AM60" i="31"/>
  <c r="AL60" i="31" s="1"/>
  <c r="AK60" i="31"/>
  <c r="AJ60" i="31"/>
  <c r="AH60" i="31"/>
  <c r="AF60" i="31"/>
  <c r="AE60" i="31"/>
  <c r="AC60" i="31"/>
  <c r="AA60" i="31"/>
  <c r="AZ59" i="31"/>
  <c r="AX59" i="31"/>
  <c r="AW59" i="31"/>
  <c r="AV59" i="31"/>
  <c r="AU59" i="31" s="1"/>
  <c r="AT59" i="31"/>
  <c r="AS59" i="31" s="1"/>
  <c r="AR59" i="31"/>
  <c r="AP59" i="31"/>
  <c r="AO59" i="31" s="1"/>
  <c r="AN59" i="31"/>
  <c r="AM59" i="31"/>
  <c r="AL59" i="31" s="1"/>
  <c r="AK59" i="31"/>
  <c r="AJ59" i="31"/>
  <c r="AH59" i="31"/>
  <c r="AF59" i="31"/>
  <c r="AE59" i="31"/>
  <c r="AC59" i="31"/>
  <c r="AA59" i="31"/>
  <c r="AZ58" i="31"/>
  <c r="AX58" i="31"/>
  <c r="AW58" i="31"/>
  <c r="AV58" i="31"/>
  <c r="AU58" i="31" s="1"/>
  <c r="AT58" i="31"/>
  <c r="AS58" i="31" s="1"/>
  <c r="AR58" i="31"/>
  <c r="AP58" i="31"/>
  <c r="AO58" i="31" s="1"/>
  <c r="AN58" i="31"/>
  <c r="AM58" i="31"/>
  <c r="AL58" i="31" s="1"/>
  <c r="AK58" i="31"/>
  <c r="AJ58" i="31"/>
  <c r="AH58" i="31"/>
  <c r="AF58" i="31"/>
  <c r="AE58" i="31"/>
  <c r="AC58" i="31"/>
  <c r="AA58" i="31"/>
  <c r="AZ57" i="31"/>
  <c r="AX57" i="31"/>
  <c r="AW57" i="31"/>
  <c r="AV57" i="31"/>
  <c r="AU57" i="31" s="1"/>
  <c r="AT57" i="31"/>
  <c r="AS57" i="31" s="1"/>
  <c r="AR57" i="31"/>
  <c r="AP57" i="31"/>
  <c r="AO57" i="31" s="1"/>
  <c r="AN57" i="31"/>
  <c r="AM57" i="31"/>
  <c r="AL57" i="31" s="1"/>
  <c r="AK57" i="31"/>
  <c r="AJ57" i="31"/>
  <c r="AH57" i="31"/>
  <c r="AF57" i="31"/>
  <c r="AE57" i="31"/>
  <c r="AC57" i="31"/>
  <c r="AA57" i="31"/>
  <c r="AZ56" i="31"/>
  <c r="AX56" i="31"/>
  <c r="AW56" i="31"/>
  <c r="AV56" i="31"/>
  <c r="AU56" i="31" s="1"/>
  <c r="AT56" i="31"/>
  <c r="AS56" i="31" s="1"/>
  <c r="AR56" i="31"/>
  <c r="AP56" i="31"/>
  <c r="AO56" i="31" s="1"/>
  <c r="AN56" i="31"/>
  <c r="AM56" i="31"/>
  <c r="AL56" i="31" s="1"/>
  <c r="AK56" i="31"/>
  <c r="AJ56" i="31"/>
  <c r="AH56" i="31"/>
  <c r="AF56" i="31"/>
  <c r="AE56" i="31"/>
  <c r="AC56" i="31"/>
  <c r="AA56" i="31"/>
  <c r="AZ55" i="31"/>
  <c r="AX55" i="31"/>
  <c r="AW55" i="31"/>
  <c r="AV55" i="31"/>
  <c r="AU55" i="31" s="1"/>
  <c r="AT55" i="31"/>
  <c r="AS55" i="31" s="1"/>
  <c r="AR55" i="31"/>
  <c r="AP55" i="31"/>
  <c r="AO55" i="31" s="1"/>
  <c r="AN55" i="31"/>
  <c r="AM55" i="31"/>
  <c r="AL55" i="31" s="1"/>
  <c r="AK55" i="31"/>
  <c r="AJ55" i="31"/>
  <c r="AH55" i="31"/>
  <c r="AF55" i="31"/>
  <c r="AE55" i="31"/>
  <c r="AC55" i="31"/>
  <c r="AA55" i="31"/>
  <c r="AZ54" i="31"/>
  <c r="AX54" i="31"/>
  <c r="AW54" i="31"/>
  <c r="AV54" i="31"/>
  <c r="AU54" i="31" s="1"/>
  <c r="AT54" i="31"/>
  <c r="AS54" i="31" s="1"/>
  <c r="AR54" i="31"/>
  <c r="AP54" i="31"/>
  <c r="AO54" i="31" s="1"/>
  <c r="AN54" i="31"/>
  <c r="AM54" i="31"/>
  <c r="AL54" i="31" s="1"/>
  <c r="AK54" i="31"/>
  <c r="AJ54" i="31"/>
  <c r="AH54" i="31"/>
  <c r="AF54" i="31"/>
  <c r="AE54" i="31"/>
  <c r="AC54" i="31"/>
  <c r="AA54" i="31"/>
  <c r="AZ53" i="31"/>
  <c r="AX53" i="31"/>
  <c r="AW53" i="31"/>
  <c r="AV53" i="31"/>
  <c r="AU53" i="31" s="1"/>
  <c r="AT53" i="31"/>
  <c r="AS53" i="31" s="1"/>
  <c r="AR53" i="31"/>
  <c r="AP53" i="31"/>
  <c r="AO53" i="31" s="1"/>
  <c r="AN53" i="31"/>
  <c r="AM53" i="31"/>
  <c r="AL53" i="31" s="1"/>
  <c r="AK53" i="31"/>
  <c r="AJ53" i="31"/>
  <c r="AH53" i="31"/>
  <c r="AF53" i="31"/>
  <c r="AE53" i="31"/>
  <c r="AC53" i="31"/>
  <c r="AA53" i="31"/>
  <c r="AZ52" i="31"/>
  <c r="AX52" i="31"/>
  <c r="AW52" i="31"/>
  <c r="AV52" i="31"/>
  <c r="AU52" i="31" s="1"/>
  <c r="AT52" i="31"/>
  <c r="AS52" i="31" s="1"/>
  <c r="AR52" i="31"/>
  <c r="AP52" i="31"/>
  <c r="AO52" i="31" s="1"/>
  <c r="AN52" i="31"/>
  <c r="AM52" i="31"/>
  <c r="AL52" i="31" s="1"/>
  <c r="AK52" i="31"/>
  <c r="AJ52" i="31"/>
  <c r="AH52" i="31"/>
  <c r="AF52" i="31"/>
  <c r="AE52" i="31"/>
  <c r="AC52" i="31"/>
  <c r="AA52" i="31"/>
  <c r="AZ51" i="31"/>
  <c r="AX51" i="31"/>
  <c r="AW51" i="31"/>
  <c r="AV51" i="31"/>
  <c r="AT51" i="31"/>
  <c r="AR51" i="31"/>
  <c r="AP51" i="31"/>
  <c r="AO51" i="31" s="1"/>
  <c r="AN51" i="31"/>
  <c r="AM51" i="31"/>
  <c r="AL51" i="31" s="1"/>
  <c r="AK51" i="31"/>
  <c r="AJ51" i="31"/>
  <c r="AH51" i="31"/>
  <c r="AF51" i="31"/>
  <c r="AE51" i="31"/>
  <c r="AC51" i="31"/>
  <c r="AA51" i="31"/>
  <c r="AZ50" i="31"/>
  <c r="AX50" i="31"/>
  <c r="AW50" i="31"/>
  <c r="AV50" i="31"/>
  <c r="AT50" i="31"/>
  <c r="AR50" i="31"/>
  <c r="AP50" i="31"/>
  <c r="AO50" i="31" s="1"/>
  <c r="AN50" i="31"/>
  <c r="AM50" i="31"/>
  <c r="AL50" i="31" s="1"/>
  <c r="AK50" i="31"/>
  <c r="AJ50" i="31"/>
  <c r="AH50" i="31"/>
  <c r="AF50" i="31"/>
  <c r="AE50" i="31"/>
  <c r="AC50" i="31"/>
  <c r="AA50" i="31"/>
  <c r="AZ49" i="31"/>
  <c r="AX49" i="31"/>
  <c r="AW49" i="31"/>
  <c r="AV49" i="31"/>
  <c r="AT49" i="31"/>
  <c r="AR49" i="31"/>
  <c r="AP49" i="31"/>
  <c r="AO49" i="31" s="1"/>
  <c r="AN49" i="31"/>
  <c r="AM49" i="31"/>
  <c r="AL49" i="31" s="1"/>
  <c r="AK49" i="31"/>
  <c r="AJ49" i="31"/>
  <c r="AH49" i="31"/>
  <c r="AF49" i="31"/>
  <c r="AE49" i="31"/>
  <c r="AC49" i="31"/>
  <c r="AA49" i="31"/>
  <c r="AZ48" i="31"/>
  <c r="AX48" i="31"/>
  <c r="AW48" i="31"/>
  <c r="AV48" i="31"/>
  <c r="AT48" i="31"/>
  <c r="AR48" i="31"/>
  <c r="AP48" i="31"/>
  <c r="AO48" i="31" s="1"/>
  <c r="AN48" i="31"/>
  <c r="AM48" i="31"/>
  <c r="AL48" i="31" s="1"/>
  <c r="AK48" i="31"/>
  <c r="AJ48" i="31"/>
  <c r="AH48" i="31"/>
  <c r="AF48" i="31"/>
  <c r="AE48" i="31"/>
  <c r="AC48" i="31"/>
  <c r="AA48" i="31"/>
  <c r="AZ47" i="31"/>
  <c r="AX47" i="31"/>
  <c r="AW47" i="31"/>
  <c r="AV47" i="31"/>
  <c r="AT47" i="31"/>
  <c r="AR47" i="31"/>
  <c r="AP47" i="31"/>
  <c r="AO47" i="31" s="1"/>
  <c r="AN47" i="31"/>
  <c r="AM47" i="31"/>
  <c r="AL47" i="31" s="1"/>
  <c r="AK47" i="31"/>
  <c r="AJ47" i="31"/>
  <c r="AH47" i="31"/>
  <c r="AF47" i="31"/>
  <c r="AE47" i="31"/>
  <c r="AC47" i="31"/>
  <c r="AA47" i="31"/>
  <c r="AZ46" i="31"/>
  <c r="AX46" i="31"/>
  <c r="AW46" i="31"/>
  <c r="AV46" i="31"/>
  <c r="AT46" i="31"/>
  <c r="AR46" i="31"/>
  <c r="AP46" i="31"/>
  <c r="AO46" i="31" s="1"/>
  <c r="AN46" i="31"/>
  <c r="AM46" i="31"/>
  <c r="AL46" i="31" s="1"/>
  <c r="AK46" i="31"/>
  <c r="AJ46" i="31"/>
  <c r="AH46" i="31"/>
  <c r="AF46" i="31"/>
  <c r="AE46" i="31"/>
  <c r="AC46" i="31"/>
  <c r="AA46" i="31"/>
  <c r="AZ45" i="31"/>
  <c r="AX45" i="31"/>
  <c r="AW45" i="31"/>
  <c r="AV45" i="31"/>
  <c r="AT45" i="31"/>
  <c r="AR45" i="31"/>
  <c r="AP45" i="31"/>
  <c r="AO45" i="31" s="1"/>
  <c r="AN45" i="31"/>
  <c r="AM45" i="31"/>
  <c r="AL45" i="31" s="1"/>
  <c r="AK45" i="31"/>
  <c r="AJ45" i="31"/>
  <c r="AH45" i="31"/>
  <c r="AF45" i="31"/>
  <c r="AE45" i="31"/>
  <c r="AC45" i="31"/>
  <c r="AA45" i="31"/>
  <c r="AZ44" i="31"/>
  <c r="AX44" i="31"/>
  <c r="AW44" i="31"/>
  <c r="AV44" i="31"/>
  <c r="AT44" i="31"/>
  <c r="AR44" i="31"/>
  <c r="AP44" i="31"/>
  <c r="AO44" i="31" s="1"/>
  <c r="AN44" i="31"/>
  <c r="AM44" i="31"/>
  <c r="AL44" i="31" s="1"/>
  <c r="AK44" i="31"/>
  <c r="AJ44" i="31"/>
  <c r="AH44" i="31"/>
  <c r="AF44" i="31"/>
  <c r="AE44" i="31"/>
  <c r="AC44" i="31"/>
  <c r="AA44" i="31"/>
  <c r="AZ43" i="31"/>
  <c r="AX43" i="31"/>
  <c r="AW43" i="31"/>
  <c r="AV43" i="31"/>
  <c r="AT43" i="31"/>
  <c r="AR43" i="31"/>
  <c r="AP43" i="31"/>
  <c r="AO43" i="31" s="1"/>
  <c r="AN43" i="31"/>
  <c r="AM43" i="31"/>
  <c r="AL43" i="31" s="1"/>
  <c r="AK43" i="31"/>
  <c r="AJ43" i="31"/>
  <c r="AH43" i="31"/>
  <c r="AF43" i="31"/>
  <c r="AE43" i="31"/>
  <c r="AC43" i="31"/>
  <c r="AA43" i="31"/>
  <c r="AZ42" i="31"/>
  <c r="AX42" i="31"/>
  <c r="AW42" i="31"/>
  <c r="AV42" i="31"/>
  <c r="AT42" i="31"/>
  <c r="AR42" i="31"/>
  <c r="AP42" i="31"/>
  <c r="AO42" i="31" s="1"/>
  <c r="AN42" i="31"/>
  <c r="AM42" i="31"/>
  <c r="AL42" i="31" s="1"/>
  <c r="AK42" i="31"/>
  <c r="AJ42" i="31"/>
  <c r="AH42" i="31"/>
  <c r="AF42" i="31"/>
  <c r="AE42" i="31"/>
  <c r="AC42" i="31"/>
  <c r="AA42" i="31"/>
  <c r="AZ41" i="31"/>
  <c r="AX41" i="31"/>
  <c r="AW41" i="31"/>
  <c r="AV41" i="31"/>
  <c r="AT41" i="31"/>
  <c r="AR41" i="31"/>
  <c r="AP41" i="31"/>
  <c r="AO41" i="31" s="1"/>
  <c r="AN41" i="31"/>
  <c r="AM41" i="31"/>
  <c r="AL41" i="31" s="1"/>
  <c r="AK41" i="31"/>
  <c r="AJ41" i="31"/>
  <c r="AH41" i="31"/>
  <c r="AF41" i="31"/>
  <c r="AE41" i="31"/>
  <c r="AC41" i="31"/>
  <c r="AA41" i="31"/>
  <c r="AZ40" i="31"/>
  <c r="AX40" i="31"/>
  <c r="AW40" i="31"/>
  <c r="AV40" i="31"/>
  <c r="AT40" i="31"/>
  <c r="AR40" i="31"/>
  <c r="AP40" i="31"/>
  <c r="AO40" i="31" s="1"/>
  <c r="AN40" i="31"/>
  <c r="AM40" i="31"/>
  <c r="AL40" i="31" s="1"/>
  <c r="AK40" i="31"/>
  <c r="AJ40" i="31"/>
  <c r="AH40" i="31"/>
  <c r="AF40" i="31"/>
  <c r="AE40" i="31"/>
  <c r="AC40" i="31"/>
  <c r="AA40" i="31"/>
  <c r="AZ39" i="31"/>
  <c r="AX39" i="31"/>
  <c r="AW39" i="31"/>
  <c r="AV39" i="31"/>
  <c r="AT39" i="31"/>
  <c r="AR39" i="31"/>
  <c r="AP39" i="31"/>
  <c r="AO39" i="31" s="1"/>
  <c r="AN39" i="31"/>
  <c r="AM39" i="31"/>
  <c r="AL39" i="31" s="1"/>
  <c r="AK39" i="31"/>
  <c r="AJ39" i="31"/>
  <c r="AH39" i="31"/>
  <c r="AF39" i="31"/>
  <c r="AE39" i="31"/>
  <c r="AC39" i="31"/>
  <c r="AA39" i="31"/>
  <c r="AZ38" i="31"/>
  <c r="AX38" i="31"/>
  <c r="AW38" i="31"/>
  <c r="AV38" i="31"/>
  <c r="AT38" i="31"/>
  <c r="AR38" i="31"/>
  <c r="AP38" i="31"/>
  <c r="AO38" i="31" s="1"/>
  <c r="AN38" i="31"/>
  <c r="AM38" i="31"/>
  <c r="AL38" i="31" s="1"/>
  <c r="AK38" i="31"/>
  <c r="AJ38" i="31"/>
  <c r="AH38" i="31"/>
  <c r="AF38" i="31"/>
  <c r="AE38" i="31"/>
  <c r="AC38" i="31"/>
  <c r="AA38" i="31"/>
  <c r="AZ37" i="31"/>
  <c r="AX37" i="31"/>
  <c r="AW37" i="31"/>
  <c r="AV37" i="31"/>
  <c r="AT37" i="31"/>
  <c r="AR37" i="31"/>
  <c r="AP37" i="31"/>
  <c r="AO37" i="31" s="1"/>
  <c r="AN37" i="31"/>
  <c r="AM37" i="31"/>
  <c r="AL37" i="31" s="1"/>
  <c r="AK37" i="31"/>
  <c r="AJ37" i="31"/>
  <c r="AH37" i="31"/>
  <c r="AF37" i="31"/>
  <c r="AE37" i="31"/>
  <c r="AC37" i="31"/>
  <c r="AA37" i="31"/>
  <c r="AZ36" i="31"/>
  <c r="AX36" i="31"/>
  <c r="AW36" i="31"/>
  <c r="AV36" i="31"/>
  <c r="AT36" i="31"/>
  <c r="AR36" i="31"/>
  <c r="AP36" i="31"/>
  <c r="AO36" i="31" s="1"/>
  <c r="AN36" i="31"/>
  <c r="AM36" i="31"/>
  <c r="AL36" i="31" s="1"/>
  <c r="AK36" i="31"/>
  <c r="AJ36" i="31"/>
  <c r="AH36" i="31"/>
  <c r="AF36" i="31"/>
  <c r="AE36" i="31"/>
  <c r="AC36" i="31"/>
  <c r="AA36" i="31"/>
  <c r="AZ35" i="31"/>
  <c r="AX35" i="31"/>
  <c r="AW35" i="31"/>
  <c r="AV35" i="31"/>
  <c r="AT35" i="31"/>
  <c r="AR35" i="31"/>
  <c r="AP35" i="31"/>
  <c r="AO35" i="31" s="1"/>
  <c r="AN35" i="31"/>
  <c r="AM35" i="31"/>
  <c r="AL35" i="31" s="1"/>
  <c r="AK35" i="31"/>
  <c r="AJ35" i="31"/>
  <c r="AH35" i="31"/>
  <c r="AF35" i="31"/>
  <c r="AE35" i="31"/>
  <c r="AC35" i="31"/>
  <c r="AA35" i="31"/>
  <c r="AZ34" i="31"/>
  <c r="AX34" i="31"/>
  <c r="AW34" i="31"/>
  <c r="AV34" i="31"/>
  <c r="AT34" i="31"/>
  <c r="AR34" i="31"/>
  <c r="AP34" i="31"/>
  <c r="AO34" i="31" s="1"/>
  <c r="AN34" i="31"/>
  <c r="AM34" i="31"/>
  <c r="AL34" i="31" s="1"/>
  <c r="AK34" i="31"/>
  <c r="AJ34" i="31"/>
  <c r="AH34" i="31"/>
  <c r="AF34" i="31"/>
  <c r="AE34" i="31"/>
  <c r="AC34" i="31"/>
  <c r="AA34" i="31"/>
  <c r="AZ33" i="31"/>
  <c r="AX33" i="31"/>
  <c r="AW33" i="31"/>
  <c r="AV33" i="31"/>
  <c r="AT33" i="31"/>
  <c r="AR33" i="31"/>
  <c r="AP33" i="31"/>
  <c r="AO33" i="31" s="1"/>
  <c r="AN33" i="31"/>
  <c r="AM33" i="31"/>
  <c r="AL33" i="31" s="1"/>
  <c r="AK33" i="31"/>
  <c r="AJ33" i="31"/>
  <c r="AH33" i="31"/>
  <c r="AF33" i="31"/>
  <c r="AE33" i="31"/>
  <c r="AC33" i="31"/>
  <c r="AA33" i="31"/>
  <c r="AZ32" i="31"/>
  <c r="AX32" i="31"/>
  <c r="AW32" i="31"/>
  <c r="AV32" i="31"/>
  <c r="AT32" i="31"/>
  <c r="AR32" i="31"/>
  <c r="AP32" i="31"/>
  <c r="AO32" i="31" s="1"/>
  <c r="AN32" i="31"/>
  <c r="AM32" i="31"/>
  <c r="AL32" i="31" s="1"/>
  <c r="AK32" i="31"/>
  <c r="AJ32" i="31"/>
  <c r="AH32" i="31"/>
  <c r="AF32" i="31"/>
  <c r="AE32" i="31"/>
  <c r="AC32" i="31"/>
  <c r="AA32" i="31"/>
  <c r="AZ31" i="31"/>
  <c r="AX31" i="31"/>
  <c r="AW31" i="31"/>
  <c r="AV31" i="31"/>
  <c r="AT31" i="31"/>
  <c r="AR31" i="31"/>
  <c r="AP31" i="31"/>
  <c r="AO31" i="31" s="1"/>
  <c r="AN31" i="31"/>
  <c r="AM31" i="31"/>
  <c r="AL31" i="31" s="1"/>
  <c r="AK31" i="31"/>
  <c r="AJ31" i="31"/>
  <c r="AH31" i="31"/>
  <c r="AF31" i="31"/>
  <c r="AE31" i="31"/>
  <c r="AC31" i="31"/>
  <c r="AA31" i="31"/>
  <c r="AZ30" i="31"/>
  <c r="AX30" i="31"/>
  <c r="AW30" i="31"/>
  <c r="AV30" i="31"/>
  <c r="AT30" i="31"/>
  <c r="AR30" i="31"/>
  <c r="AP30" i="31"/>
  <c r="AO30" i="31" s="1"/>
  <c r="AN30" i="31"/>
  <c r="AM30" i="31"/>
  <c r="AL30" i="31" s="1"/>
  <c r="AK30" i="31"/>
  <c r="AJ30" i="31"/>
  <c r="AH30" i="31"/>
  <c r="AF30" i="31"/>
  <c r="AE30" i="31"/>
  <c r="AC30" i="31"/>
  <c r="AA30" i="31"/>
  <c r="AZ29" i="31"/>
  <c r="AX29" i="31"/>
  <c r="AW29" i="31"/>
  <c r="AV29" i="31"/>
  <c r="AT29" i="31"/>
  <c r="AR29" i="31"/>
  <c r="AP29" i="31"/>
  <c r="AO29" i="31" s="1"/>
  <c r="AN29" i="31"/>
  <c r="AM29" i="31"/>
  <c r="AL29" i="31" s="1"/>
  <c r="AK29" i="31"/>
  <c r="AJ29" i="31"/>
  <c r="AH29" i="31"/>
  <c r="AF29" i="31"/>
  <c r="AE29" i="31"/>
  <c r="AC29" i="31"/>
  <c r="AA29" i="31"/>
  <c r="AZ28" i="31"/>
  <c r="AX28" i="31"/>
  <c r="AW28" i="31"/>
  <c r="AV28" i="31"/>
  <c r="AT28" i="31"/>
  <c r="AR28" i="31"/>
  <c r="AP28" i="31"/>
  <c r="AO28" i="31" s="1"/>
  <c r="AN28" i="31"/>
  <c r="AM28" i="31"/>
  <c r="AL28" i="31" s="1"/>
  <c r="AK28" i="31"/>
  <c r="AJ28" i="31"/>
  <c r="AH28" i="31"/>
  <c r="AF28" i="31"/>
  <c r="AE28" i="31"/>
  <c r="AC28" i="31"/>
  <c r="AA28" i="31"/>
  <c r="AZ27" i="31"/>
  <c r="AX27" i="31"/>
  <c r="AW27" i="31"/>
  <c r="AV27" i="31"/>
  <c r="AT27" i="31"/>
  <c r="AR27" i="31"/>
  <c r="AP27" i="31"/>
  <c r="AO27" i="31" s="1"/>
  <c r="AN27" i="31"/>
  <c r="AM27" i="31"/>
  <c r="AL27" i="31" s="1"/>
  <c r="AK27" i="31"/>
  <c r="AJ27" i="31"/>
  <c r="AH27" i="31"/>
  <c r="AF27" i="31"/>
  <c r="AE27" i="31"/>
  <c r="AC27" i="31"/>
  <c r="AA27" i="31"/>
  <c r="AZ26" i="31"/>
  <c r="AX26" i="31"/>
  <c r="AW26" i="31"/>
  <c r="AV26" i="31"/>
  <c r="AT26" i="31"/>
  <c r="AR26" i="31"/>
  <c r="AP26" i="31"/>
  <c r="AO26" i="31" s="1"/>
  <c r="AN26" i="31"/>
  <c r="AM26" i="31"/>
  <c r="AL26" i="31" s="1"/>
  <c r="AK26" i="31"/>
  <c r="AJ26" i="31"/>
  <c r="AH26" i="31"/>
  <c r="AF26" i="31"/>
  <c r="AE26" i="31"/>
  <c r="AC26" i="31"/>
  <c r="AA26" i="31"/>
  <c r="AZ25" i="31"/>
  <c r="AX25" i="31"/>
  <c r="AW25" i="31"/>
  <c r="AV25" i="31"/>
  <c r="AT25" i="31"/>
  <c r="AR25" i="31"/>
  <c r="AP25" i="31"/>
  <c r="AO25" i="31" s="1"/>
  <c r="AN25" i="31"/>
  <c r="AM25" i="31"/>
  <c r="AL25" i="31" s="1"/>
  <c r="AK25" i="31"/>
  <c r="AJ25" i="31"/>
  <c r="AH25" i="31"/>
  <c r="AF25" i="31"/>
  <c r="AE25" i="31"/>
  <c r="AC25" i="31"/>
  <c r="AA25" i="31"/>
  <c r="AZ24" i="31"/>
  <c r="AX24" i="31"/>
  <c r="AW24" i="31"/>
  <c r="AV24" i="31"/>
  <c r="AT24" i="31"/>
  <c r="AR24" i="31"/>
  <c r="AP24" i="31"/>
  <c r="AO24" i="31" s="1"/>
  <c r="AN24" i="31"/>
  <c r="AM24" i="31"/>
  <c r="AL24" i="31" s="1"/>
  <c r="AK24" i="31"/>
  <c r="AJ24" i="31"/>
  <c r="AH24" i="31"/>
  <c r="AF24" i="31"/>
  <c r="AE24" i="31"/>
  <c r="AC24" i="31"/>
  <c r="AA24" i="31"/>
  <c r="AZ23" i="31"/>
  <c r="AX23" i="31"/>
  <c r="AW23" i="31"/>
  <c r="AV23" i="31"/>
  <c r="AT23" i="31"/>
  <c r="AR23" i="31"/>
  <c r="AP23" i="31"/>
  <c r="AO23" i="31" s="1"/>
  <c r="AN23" i="31"/>
  <c r="AM23" i="31"/>
  <c r="AL23" i="31" s="1"/>
  <c r="AK23" i="31"/>
  <c r="AJ23" i="31"/>
  <c r="AH23" i="31"/>
  <c r="AF23" i="31"/>
  <c r="AE23" i="31"/>
  <c r="AC23" i="31"/>
  <c r="AA23" i="31"/>
  <c r="AZ22" i="31"/>
  <c r="AX22" i="31"/>
  <c r="AW22" i="31"/>
  <c r="AV22" i="31"/>
  <c r="AT22" i="31"/>
  <c r="AR22" i="31"/>
  <c r="AP22" i="31"/>
  <c r="AO22" i="31" s="1"/>
  <c r="AN22" i="31"/>
  <c r="AM22" i="31"/>
  <c r="AL22" i="31" s="1"/>
  <c r="AK22" i="31"/>
  <c r="AJ22" i="31"/>
  <c r="AH22" i="31"/>
  <c r="AF22" i="31"/>
  <c r="AE22" i="31"/>
  <c r="AC22" i="31"/>
  <c r="AA22" i="31"/>
  <c r="AZ21" i="31"/>
  <c r="AX21" i="31"/>
  <c r="AW21" i="31"/>
  <c r="AV21" i="31"/>
  <c r="AT21" i="31"/>
  <c r="AR21" i="31"/>
  <c r="AP21" i="31"/>
  <c r="AO21" i="31" s="1"/>
  <c r="AN21" i="31"/>
  <c r="AM21" i="31"/>
  <c r="AL21" i="31" s="1"/>
  <c r="AK21" i="31"/>
  <c r="AJ21" i="31"/>
  <c r="AH21" i="31"/>
  <c r="AF21" i="31"/>
  <c r="AE21" i="31"/>
  <c r="AC21" i="31"/>
  <c r="AA21" i="31"/>
  <c r="AZ20" i="31"/>
  <c r="AX20" i="31"/>
  <c r="AW20" i="31"/>
  <c r="AV20" i="31"/>
  <c r="AT20" i="31"/>
  <c r="AR20" i="31"/>
  <c r="AP20" i="31"/>
  <c r="AO20" i="31" s="1"/>
  <c r="AN20" i="31"/>
  <c r="AM20" i="31"/>
  <c r="AL20" i="31" s="1"/>
  <c r="AK20" i="31"/>
  <c r="AJ20" i="31"/>
  <c r="AH20" i="31"/>
  <c r="AF20" i="31"/>
  <c r="AE20" i="31"/>
  <c r="AC20" i="31"/>
  <c r="AA20" i="31"/>
  <c r="AZ19" i="31"/>
  <c r="AX19" i="31"/>
  <c r="AW19" i="31"/>
  <c r="AV19" i="31"/>
  <c r="AT19" i="31"/>
  <c r="AR19" i="31"/>
  <c r="AP19" i="31"/>
  <c r="AO19" i="31" s="1"/>
  <c r="AN19" i="31"/>
  <c r="AM19" i="31"/>
  <c r="AL19" i="31" s="1"/>
  <c r="AK19" i="31"/>
  <c r="AJ19" i="31"/>
  <c r="AH19" i="31"/>
  <c r="AF19" i="31"/>
  <c r="AE19" i="31"/>
  <c r="AC19" i="31"/>
  <c r="AA19" i="31"/>
  <c r="AZ18" i="31"/>
  <c r="AX18" i="31"/>
  <c r="AW18" i="31"/>
  <c r="AV18" i="31"/>
  <c r="AT18" i="31"/>
  <c r="AR18" i="31"/>
  <c r="AP18" i="31"/>
  <c r="AO18" i="31" s="1"/>
  <c r="AN18" i="31"/>
  <c r="AM18" i="31"/>
  <c r="AL18" i="31" s="1"/>
  <c r="AK18" i="31"/>
  <c r="AJ18" i="31"/>
  <c r="AH18" i="31"/>
  <c r="AF18" i="31"/>
  <c r="AE18" i="31"/>
  <c r="AC18" i="31"/>
  <c r="AA18" i="31"/>
  <c r="AZ17" i="31"/>
  <c r="AX17" i="31"/>
  <c r="AW17" i="31"/>
  <c r="AV17" i="31"/>
  <c r="AT17" i="31"/>
  <c r="AR17" i="31"/>
  <c r="AP17" i="31"/>
  <c r="AO17" i="31" s="1"/>
  <c r="AN17" i="31"/>
  <c r="AM17" i="31"/>
  <c r="AL17" i="31" s="1"/>
  <c r="AK17" i="31"/>
  <c r="AJ17" i="31"/>
  <c r="AH17" i="31"/>
  <c r="AF17" i="31"/>
  <c r="AE17" i="31"/>
  <c r="AC17" i="31"/>
  <c r="AA17" i="31"/>
  <c r="AZ16" i="31"/>
  <c r="AX16" i="31"/>
  <c r="AW16" i="31"/>
  <c r="AV16" i="31"/>
  <c r="AT16" i="31"/>
  <c r="AR16" i="31"/>
  <c r="AP16" i="31"/>
  <c r="AO16" i="31" s="1"/>
  <c r="AN16" i="31"/>
  <c r="AM16" i="31"/>
  <c r="AL16" i="31" s="1"/>
  <c r="AK16" i="31"/>
  <c r="AJ16" i="31"/>
  <c r="AH16" i="31"/>
  <c r="AF16" i="31"/>
  <c r="AE16" i="31"/>
  <c r="AC16" i="31"/>
  <c r="AA16" i="31"/>
  <c r="AZ15" i="31"/>
  <c r="AX15" i="31"/>
  <c r="AW15" i="31"/>
  <c r="AV15" i="31"/>
  <c r="AT15" i="31"/>
  <c r="AR15" i="31"/>
  <c r="AP15" i="31"/>
  <c r="AO15" i="31" s="1"/>
  <c r="AN15" i="31"/>
  <c r="AM15" i="31"/>
  <c r="AL15" i="31" s="1"/>
  <c r="AK15" i="31"/>
  <c r="AJ15" i="31"/>
  <c r="AH15" i="31"/>
  <c r="AF15" i="31"/>
  <c r="AE15" i="31"/>
  <c r="AC15" i="31"/>
  <c r="AA15" i="31"/>
  <c r="AS18" i="31" l="1"/>
  <c r="AS20" i="31"/>
  <c r="AS22" i="31"/>
  <c r="AS24" i="31"/>
  <c r="AS27" i="31"/>
  <c r="AS28" i="31"/>
  <c r="AS29" i="31"/>
  <c r="AS30" i="31"/>
  <c r="AS33" i="31"/>
  <c r="AS35" i="31"/>
  <c r="AS36" i="31"/>
  <c r="AS38" i="31"/>
  <c r="AS39" i="31"/>
  <c r="AS40" i="31"/>
  <c r="AS41" i="31"/>
  <c r="AS42" i="31"/>
  <c r="AS43" i="31"/>
  <c r="AS44" i="31"/>
  <c r="AS45" i="31"/>
  <c r="AS46" i="31"/>
  <c r="AS47" i="31"/>
  <c r="AS48" i="31"/>
  <c r="AS49" i="31"/>
  <c r="AS50" i="31"/>
  <c r="AS51" i="31"/>
  <c r="AS19" i="31"/>
  <c r="AS25" i="31"/>
  <c r="AS31" i="31"/>
  <c r="AS32" i="31"/>
  <c r="AU16" i="31"/>
  <c r="AU18" i="31"/>
  <c r="AU19" i="31"/>
  <c r="AU21" i="31"/>
  <c r="AU22" i="31"/>
  <c r="AU23" i="31"/>
  <c r="AU24" i="31"/>
  <c r="AU25" i="31"/>
  <c r="AU26" i="31"/>
  <c r="AU27" i="31"/>
  <c r="AU28" i="31"/>
  <c r="AU29" i="31"/>
  <c r="AU30" i="31"/>
  <c r="AU31" i="31"/>
  <c r="AU32" i="31"/>
  <c r="AU33" i="31"/>
  <c r="AU34" i="31"/>
  <c r="AU35" i="31"/>
  <c r="AU36" i="31"/>
  <c r="AU37" i="31"/>
  <c r="AU38" i="31"/>
  <c r="AU39" i="31"/>
  <c r="AU40" i="31"/>
  <c r="AU41" i="31"/>
  <c r="AU42" i="31"/>
  <c r="AU43" i="31"/>
  <c r="AU44" i="31"/>
  <c r="AU45" i="31"/>
  <c r="AU46" i="31"/>
  <c r="AU47" i="31"/>
  <c r="AU48" i="31"/>
  <c r="AU49" i="31"/>
  <c r="AU50" i="31"/>
  <c r="AU51" i="31"/>
  <c r="AS17" i="31"/>
  <c r="AS21" i="31"/>
  <c r="AS23" i="31"/>
  <c r="AS26" i="31"/>
  <c r="AS34" i="31"/>
  <c r="AU17" i="31"/>
  <c r="AU20" i="31"/>
  <c r="AS37" i="31"/>
  <c r="AY64" i="31"/>
  <c r="AY25" i="31"/>
  <c r="AD23" i="31"/>
  <c r="AY26" i="31"/>
  <c r="AY27" i="31"/>
  <c r="AY29" i="31"/>
  <c r="AY33" i="31"/>
  <c r="AY37" i="31"/>
  <c r="AI44" i="31"/>
  <c r="AY48" i="31"/>
  <c r="AD48" i="31"/>
  <c r="AI49" i="31"/>
  <c r="AY50" i="31"/>
  <c r="AI51" i="31"/>
  <c r="AY52" i="31"/>
  <c r="AY56" i="31"/>
  <c r="AY41" i="31"/>
  <c r="AY42" i="31"/>
  <c r="AD43" i="31"/>
  <c r="AB43" i="31" s="1"/>
  <c r="AY43" i="31"/>
  <c r="AG44" i="31"/>
  <c r="AI45" i="31"/>
  <c r="AD54" i="31"/>
  <c r="AD56" i="31"/>
  <c r="AI57" i="31"/>
  <c r="AY58" i="31"/>
  <c r="AI59" i="31"/>
  <c r="AY60" i="31"/>
  <c r="AU15" i="31"/>
  <c r="AY15" i="31"/>
  <c r="AY16" i="31"/>
  <c r="AY19" i="31"/>
  <c r="AI20" i="31"/>
  <c r="AY21" i="31"/>
  <c r="AD31" i="31"/>
  <c r="AY34" i="31"/>
  <c r="AI36" i="31"/>
  <c r="AG36" i="31" s="1"/>
  <c r="AY46" i="31"/>
  <c r="AY54" i="31"/>
  <c r="AY62" i="31"/>
  <c r="AD15" i="31"/>
  <c r="AB15" i="31" s="1"/>
  <c r="AS15" i="31"/>
  <c r="AS16" i="31"/>
  <c r="AY22" i="31"/>
  <c r="AY23" i="31"/>
  <c r="AD27" i="31"/>
  <c r="AY30" i="31"/>
  <c r="AY31" i="31"/>
  <c r="AD35" i="31"/>
  <c r="AY35" i="31"/>
  <c r="AI37" i="31"/>
  <c r="AD38" i="31"/>
  <c r="AY38" i="31"/>
  <c r="AY39" i="31"/>
  <c r="AI40" i="31"/>
  <c r="AY17" i="31"/>
  <c r="AD17" i="31"/>
  <c r="AI18" i="31"/>
  <c r="AD25" i="31"/>
  <c r="AI26" i="31"/>
  <c r="AI28" i="31"/>
  <c r="AD33" i="31"/>
  <c r="AI34" i="31"/>
  <c r="AD50" i="31"/>
  <c r="AD58" i="31"/>
  <c r="AD19" i="31"/>
  <c r="AB19" i="31" s="1"/>
  <c r="AI16" i="31"/>
  <c r="AG20" i="31"/>
  <c r="AI21" i="31"/>
  <c r="AD22" i="31"/>
  <c r="AI24" i="31"/>
  <c r="AB27" i="31"/>
  <c r="AG28" i="31"/>
  <c r="AI29" i="31"/>
  <c r="AD30" i="31"/>
  <c r="AI32" i="31"/>
  <c r="AB35" i="31"/>
  <c r="AD39" i="31"/>
  <c r="AD41" i="31"/>
  <c r="AI42" i="31"/>
  <c r="AI47" i="31"/>
  <c r="AG47" i="31" s="1"/>
  <c r="AB50" i="31"/>
  <c r="AG51" i="31"/>
  <c r="AI55" i="31"/>
  <c r="AB58" i="31"/>
  <c r="AG59" i="31"/>
  <c r="AI63" i="31"/>
  <c r="AD16" i="31"/>
  <c r="AI17" i="31"/>
  <c r="AD21" i="31"/>
  <c r="AI22" i="31"/>
  <c r="AB23" i="31"/>
  <c r="AG24" i="31"/>
  <c r="AI25" i="31"/>
  <c r="AD26" i="31"/>
  <c r="AD29" i="31"/>
  <c r="AI30" i="31"/>
  <c r="AG30" i="31" s="1"/>
  <c r="AB31" i="31"/>
  <c r="AG32" i="31"/>
  <c r="AI33" i="31"/>
  <c r="AD34" i="31"/>
  <c r="AD37" i="31"/>
  <c r="AI38" i="31"/>
  <c r="AB39" i="31"/>
  <c r="AG40" i="31"/>
  <c r="AI41" i="31"/>
  <c r="AD42" i="31"/>
  <c r="AD45" i="31"/>
  <c r="AD46" i="31"/>
  <c r="AD52" i="31"/>
  <c r="AI53" i="31"/>
  <c r="AB54" i="31"/>
  <c r="AG55" i="31"/>
  <c r="AD60" i="31"/>
  <c r="AI61" i="31"/>
  <c r="AB62" i="31"/>
  <c r="AG63" i="31"/>
  <c r="AD18" i="31"/>
  <c r="AY18" i="31"/>
  <c r="AI15" i="31"/>
  <c r="AG15" i="31" s="1"/>
  <c r="AG16" i="31"/>
  <c r="AB17" i="31"/>
  <c r="AG18" i="31"/>
  <c r="AI19" i="31"/>
  <c r="AD20" i="31"/>
  <c r="AY20" i="31"/>
  <c r="AB21" i="31"/>
  <c r="AG22" i="31"/>
  <c r="AI23" i="31"/>
  <c r="AD24" i="31"/>
  <c r="AY24" i="31"/>
  <c r="AB25" i="31"/>
  <c r="AG26" i="31"/>
  <c r="AI27" i="31"/>
  <c r="AD28" i="31"/>
  <c r="AY28" i="31"/>
  <c r="AB29" i="31"/>
  <c r="AI31" i="31"/>
  <c r="AD32" i="31"/>
  <c r="AY32" i="31"/>
  <c r="AB33" i="31"/>
  <c r="AG34" i="31"/>
  <c r="AI35" i="31"/>
  <c r="AD36" i="31"/>
  <c r="AY36" i="31"/>
  <c r="AB37" i="31"/>
  <c r="AG38" i="31"/>
  <c r="AI39" i="31"/>
  <c r="AD40" i="31"/>
  <c r="AY40" i="31"/>
  <c r="AB41" i="31"/>
  <c r="AG42" i="31"/>
  <c r="AI43" i="31"/>
  <c r="AD44" i="31"/>
  <c r="AY44" i="31"/>
  <c r="AB45" i="31"/>
  <c r="AB46" i="31"/>
  <c r="AY47" i="31"/>
  <c r="AB48" i="31"/>
  <c r="AG49" i="31"/>
  <c r="AY51" i="31"/>
  <c r="AB52" i="31"/>
  <c r="AG53" i="31"/>
  <c r="AY55" i="31"/>
  <c r="AB56" i="31"/>
  <c r="AG57" i="31"/>
  <c r="AY59" i="31"/>
  <c r="AB60" i="31"/>
  <c r="AG61" i="31"/>
  <c r="AY63" i="31"/>
  <c r="AB64" i="31"/>
  <c r="AD47" i="31"/>
  <c r="AB47" i="31"/>
  <c r="AI48" i="31"/>
  <c r="AG48" i="31"/>
  <c r="AD51" i="31"/>
  <c r="AB51" i="31"/>
  <c r="AI52" i="31"/>
  <c r="AG52" i="31"/>
  <c r="AD55" i="31"/>
  <c r="AB55" i="31"/>
  <c r="AI56" i="31"/>
  <c r="AG56" i="31"/>
  <c r="AD59" i="31"/>
  <c r="AB59" i="31"/>
  <c r="AI60" i="31"/>
  <c r="AG60" i="31"/>
  <c r="AD63" i="31"/>
  <c r="AB63" i="31"/>
  <c r="AI64" i="31"/>
  <c r="AG64" i="31"/>
  <c r="AB16" i="31"/>
  <c r="AG17" i="31"/>
  <c r="AB18" i="31"/>
  <c r="AG19" i="31"/>
  <c r="AB20" i="31"/>
  <c r="AG21" i="31"/>
  <c r="AB22" i="31"/>
  <c r="AG23" i="31"/>
  <c r="AB24" i="31"/>
  <c r="AG25" i="31"/>
  <c r="AB26" i="31"/>
  <c r="AG27" i="31"/>
  <c r="AB28" i="31"/>
  <c r="AG29" i="31"/>
  <c r="AB30" i="31"/>
  <c r="AG31" i="31"/>
  <c r="AB32" i="31"/>
  <c r="AG33" i="31"/>
  <c r="AB34" i="31"/>
  <c r="AG35" i="31"/>
  <c r="AB36" i="31"/>
  <c r="AG37" i="31"/>
  <c r="AB38" i="31"/>
  <c r="AG39" i="31"/>
  <c r="AB40" i="31"/>
  <c r="AG41" i="31"/>
  <c r="AB42" i="31"/>
  <c r="AG43" i="31"/>
  <c r="AB44" i="31"/>
  <c r="AG45" i="31"/>
  <c r="AY45" i="31"/>
  <c r="AI46" i="31"/>
  <c r="AG46" i="31" s="1"/>
  <c r="AD49" i="31"/>
  <c r="AB49" i="31"/>
  <c r="AY49" i="31"/>
  <c r="AI50" i="31"/>
  <c r="AG50" i="31"/>
  <c r="AD53" i="31"/>
  <c r="AB53" i="31"/>
  <c r="AY53" i="31"/>
  <c r="AI54" i="31"/>
  <c r="AG54" i="31"/>
  <c r="AD57" i="31"/>
  <c r="AB57" i="31"/>
  <c r="AY57" i="31"/>
  <c r="AI58" i="31"/>
  <c r="AG58" i="31"/>
  <c r="AD61" i="31"/>
  <c r="AB61" i="31"/>
  <c r="AY61" i="31"/>
  <c r="AI62" i="31"/>
  <c r="AG62" i="31"/>
  <c r="P14" i="35"/>
  <c r="O14" i="34"/>
  <c r="L58" i="46" l="1"/>
  <c r="L57" i="46"/>
  <c r="L53" i="46"/>
  <c r="G33" i="46"/>
  <c r="E41" i="46" l="1"/>
  <c r="D38" i="46"/>
  <c r="E37" i="46"/>
  <c r="D37" i="46" s="1"/>
  <c r="E36" i="46"/>
  <c r="D36" i="46" s="1"/>
  <c r="E35" i="46"/>
  <c r="D35" i="46" s="1"/>
  <c r="E34" i="46"/>
  <c r="D34" i="46" s="1"/>
  <c r="E33" i="46"/>
  <c r="D33" i="46" s="1"/>
  <c r="G28" i="46"/>
  <c r="E28" i="46"/>
  <c r="G27" i="46"/>
  <c r="E27" i="46"/>
  <c r="G26" i="46"/>
  <c r="E26" i="46"/>
  <c r="G24" i="46"/>
  <c r="E24" i="46"/>
  <c r="G23" i="46"/>
  <c r="E23" i="46"/>
  <c r="G22" i="46"/>
  <c r="E22" i="46"/>
  <c r="G21" i="46"/>
  <c r="E21" i="46"/>
  <c r="G20" i="46"/>
  <c r="E20" i="46"/>
  <c r="G19" i="46"/>
  <c r="F13" i="46"/>
  <c r="D13" i="46"/>
  <c r="Q12" i="46"/>
  <c r="F12" i="46"/>
  <c r="Q11" i="46"/>
  <c r="F11" i="46"/>
  <c r="Q10" i="46"/>
  <c r="F10" i="46"/>
  <c r="G37" i="46" l="1"/>
  <c r="G36" i="46"/>
  <c r="G35" i="46"/>
  <c r="G41" i="46"/>
  <c r="G34" i="46"/>
  <c r="G38" i="46"/>
  <c r="D29" i="46"/>
  <c r="C19" i="14"/>
  <c r="B2" i="14" l="1"/>
  <c r="C2" i="30" s="1"/>
  <c r="H42" i="21" l="1"/>
  <c r="H149" i="43"/>
  <c r="L144" i="43"/>
  <c r="AL42" i="45" l="1"/>
  <c r="BC42" i="45" s="1"/>
  <c r="AL41" i="45"/>
  <c r="BC41" i="45" s="1"/>
  <c r="AC3" i="45"/>
  <c r="AO3" i="45" s="1"/>
  <c r="S3" i="45"/>
  <c r="Z8" i="45"/>
  <c r="AR8" i="45"/>
  <c r="AN8" i="45"/>
  <c r="AL8" i="45"/>
  <c r="AJ8" i="45"/>
  <c r="AH8" i="45"/>
  <c r="AF8" i="45"/>
  <c r="AD8" i="45"/>
  <c r="X8" i="45"/>
  <c r="V8" i="45"/>
  <c r="T8" i="45"/>
  <c r="R8" i="45"/>
  <c r="P8" i="45"/>
  <c r="N8" i="45"/>
  <c r="L8" i="45"/>
  <c r="J8" i="45"/>
  <c r="H8" i="45"/>
  <c r="AQ5" i="45" l="1"/>
  <c r="AM5" i="45"/>
  <c r="AK5" i="45"/>
  <c r="AI5" i="45"/>
  <c r="AG5" i="45"/>
  <c r="B15" i="45"/>
  <c r="D10" i="45" s="1"/>
  <c r="AE5" i="45"/>
  <c r="AC5" i="45"/>
  <c r="Y5" i="45"/>
  <c r="W5" i="45"/>
  <c r="U5" i="45"/>
  <c r="S5" i="45"/>
  <c r="Q5" i="45"/>
  <c r="O5" i="45"/>
  <c r="M5" i="45"/>
  <c r="K5" i="45"/>
  <c r="I5" i="45"/>
  <c r="G5" i="45"/>
  <c r="G3" i="45"/>
  <c r="AB13" i="45" l="1"/>
  <c r="AA12" i="45"/>
  <c r="AB10" i="45"/>
  <c r="AA13" i="45"/>
  <c r="AA11" i="45"/>
  <c r="AA10" i="45"/>
  <c r="AB14" i="45"/>
  <c r="AA14" i="45"/>
  <c r="AO14" i="45"/>
  <c r="AO13" i="45"/>
  <c r="AO11" i="45"/>
  <c r="AO10" i="45"/>
  <c r="AP14" i="45"/>
  <c r="AP13" i="45"/>
  <c r="AO12" i="45"/>
  <c r="AP10" i="45"/>
  <c r="D15" i="45"/>
  <c r="E13" i="45"/>
  <c r="E11" i="45"/>
  <c r="E12" i="45"/>
  <c r="E14" i="45"/>
  <c r="E10" i="45"/>
  <c r="AB18" i="45" l="1"/>
  <c r="AA17" i="45"/>
  <c r="AB15" i="45"/>
  <c r="AA18" i="45"/>
  <c r="AA16" i="45"/>
  <c r="AA15" i="45"/>
  <c r="AB19" i="45"/>
  <c r="AA19" i="45"/>
  <c r="AO19" i="45"/>
  <c r="AO18" i="45"/>
  <c r="AO16" i="45"/>
  <c r="AO15" i="45"/>
  <c r="AP19" i="45"/>
  <c r="AP18" i="45"/>
  <c r="AO17" i="45"/>
  <c r="AP15" i="45"/>
  <c r="D20" i="45"/>
  <c r="E18" i="45"/>
  <c r="E17" i="45"/>
  <c r="E16" i="45"/>
  <c r="E15" i="45"/>
  <c r="E19" i="45"/>
  <c r="AB23" i="45" l="1"/>
  <c r="AA22" i="45"/>
  <c r="AB20" i="45"/>
  <c r="AA23" i="45"/>
  <c r="AA21" i="45"/>
  <c r="AA20" i="45"/>
  <c r="AB24" i="45"/>
  <c r="AA24" i="45"/>
  <c r="AO24" i="45"/>
  <c r="AO23" i="45"/>
  <c r="AO21" i="45"/>
  <c r="AO20" i="45"/>
  <c r="AP24" i="45"/>
  <c r="AP23" i="45"/>
  <c r="AO22" i="45"/>
  <c r="AP20" i="45"/>
  <c r="D25" i="45"/>
  <c r="E20" i="45"/>
  <c r="E24" i="45"/>
  <c r="E23" i="45"/>
  <c r="E22" i="45"/>
  <c r="E21" i="45"/>
  <c r="K60" i="36"/>
  <c r="K59" i="36"/>
  <c r="K58" i="36"/>
  <c r="K57" i="36"/>
  <c r="K56" i="36"/>
  <c r="K55" i="36"/>
  <c r="K54" i="36"/>
  <c r="K53" i="36"/>
  <c r="K52" i="36"/>
  <c r="K51" i="36"/>
  <c r="K50" i="36"/>
  <c r="K49" i="36"/>
  <c r="K48" i="36"/>
  <c r="K47" i="36"/>
  <c r="K46" i="36"/>
  <c r="K45" i="36"/>
  <c r="K44" i="36"/>
  <c r="K43" i="36"/>
  <c r="K42" i="36"/>
  <c r="K41" i="36"/>
  <c r="K40" i="36"/>
  <c r="K39" i="36"/>
  <c r="K38" i="36"/>
  <c r="K37" i="36"/>
  <c r="K36" i="36"/>
  <c r="K35" i="36"/>
  <c r="K34" i="36"/>
  <c r="K33" i="36"/>
  <c r="K32" i="36"/>
  <c r="K31" i="36"/>
  <c r="K30" i="36"/>
  <c r="K29" i="36"/>
  <c r="K28" i="36"/>
  <c r="K27" i="36"/>
  <c r="K26" i="36"/>
  <c r="K25" i="36"/>
  <c r="K24" i="36"/>
  <c r="K23" i="36"/>
  <c r="K22" i="36"/>
  <c r="K21" i="36"/>
  <c r="K20" i="36"/>
  <c r="K19" i="36"/>
  <c r="K18" i="36"/>
  <c r="K17" i="36"/>
  <c r="K16" i="36"/>
  <c r="K15" i="36"/>
  <c r="K14" i="36"/>
  <c r="K13" i="36"/>
  <c r="K12" i="36"/>
  <c r="K11" i="36"/>
  <c r="AB28" i="45" l="1"/>
  <c r="AA27" i="45"/>
  <c r="AB25" i="45"/>
  <c r="AA28" i="45"/>
  <c r="AA26" i="45"/>
  <c r="AA25" i="45"/>
  <c r="AA29" i="45"/>
  <c r="AB29" i="45"/>
  <c r="AO29" i="45"/>
  <c r="AO28" i="45"/>
  <c r="AO26" i="45"/>
  <c r="AO25" i="45"/>
  <c r="AP29" i="45"/>
  <c r="AP28" i="45"/>
  <c r="AO27" i="45"/>
  <c r="AP25" i="45"/>
  <c r="D30" i="45"/>
  <c r="E29" i="45"/>
  <c r="E25" i="45"/>
  <c r="E28" i="45"/>
  <c r="E27" i="45"/>
  <c r="E26" i="45"/>
  <c r="G39" i="35"/>
  <c r="G35" i="35"/>
  <c r="G64" i="35" s="1"/>
  <c r="E39" i="35"/>
  <c r="D39" i="35" s="1"/>
  <c r="Q10" i="24"/>
  <c r="AJ4" i="48"/>
  <c r="Q8" i="24"/>
  <c r="O3" i="48" s="1"/>
  <c r="O30" i="48" s="1"/>
  <c r="M3" i="48"/>
  <c r="M30" i="48" s="1"/>
  <c r="E92" i="43"/>
  <c r="D92" i="43" s="1"/>
  <c r="E41" i="43"/>
  <c r="D41" i="43" s="1"/>
  <c r="E68" i="35"/>
  <c r="D68" i="35" s="1"/>
  <c r="AB33" i="45" l="1"/>
  <c r="AA32" i="45"/>
  <c r="AB30" i="45"/>
  <c r="AA33" i="45"/>
  <c r="AA31" i="45"/>
  <c r="AA30" i="45"/>
  <c r="AB34" i="45"/>
  <c r="AA34" i="45"/>
  <c r="M4" i="48"/>
  <c r="M31" i="48" s="1"/>
  <c r="AO34" i="45"/>
  <c r="AO33" i="45"/>
  <c r="AO31" i="45"/>
  <c r="AO30" i="45"/>
  <c r="AP34" i="45"/>
  <c r="AP33" i="45"/>
  <c r="AO32" i="45"/>
  <c r="AP30" i="45"/>
  <c r="AJ8" i="24"/>
  <c r="AL3" i="48"/>
  <c r="AJ10" i="24"/>
  <c r="AL4" i="48"/>
  <c r="AJ3" i="48"/>
  <c r="D35" i="45"/>
  <c r="E34" i="45"/>
  <c r="E33" i="45"/>
  <c r="E31" i="45"/>
  <c r="E32" i="45"/>
  <c r="E30" i="45"/>
  <c r="G93" i="43"/>
  <c r="G92" i="43"/>
  <c r="H41" i="43"/>
  <c r="G68" i="35"/>
  <c r="F70" i="44"/>
  <c r="H71" i="44" s="1"/>
  <c r="AV78" i="44"/>
  <c r="Q78" i="44"/>
  <c r="AV77" i="44"/>
  <c r="Q77" i="44"/>
  <c r="AV76" i="44"/>
  <c r="Q76" i="44"/>
  <c r="AV75" i="44"/>
  <c r="Q75" i="44"/>
  <c r="I71" i="44"/>
  <c r="AO71" i="44" s="1"/>
  <c r="I70" i="44"/>
  <c r="AO70" i="44" s="1"/>
  <c r="I69" i="44"/>
  <c r="AO69" i="44" s="1"/>
  <c r="I68" i="44"/>
  <c r="AO68" i="44" s="1"/>
  <c r="AL65" i="44"/>
  <c r="F65" i="44"/>
  <c r="E63" i="44"/>
  <c r="D63" i="44"/>
  <c r="B63" i="44" s="1"/>
  <c r="C63" i="44"/>
  <c r="E62" i="44"/>
  <c r="D62" i="44"/>
  <c r="B62" i="44" s="1"/>
  <c r="C62" i="44"/>
  <c r="E61" i="44"/>
  <c r="D61" i="44"/>
  <c r="B61" i="44" s="1"/>
  <c r="C61" i="44"/>
  <c r="E60" i="44"/>
  <c r="D60" i="44"/>
  <c r="B60" i="44" s="1"/>
  <c r="C60" i="44"/>
  <c r="E59" i="44"/>
  <c r="D59" i="44"/>
  <c r="B59" i="44" s="1"/>
  <c r="C59" i="44"/>
  <c r="AJ55" i="24"/>
  <c r="E58" i="44"/>
  <c r="D58" i="44"/>
  <c r="B58" i="44" s="1"/>
  <c r="C58" i="44"/>
  <c r="E57" i="44"/>
  <c r="D57" i="44"/>
  <c r="B57" i="44" s="1"/>
  <c r="C57" i="44"/>
  <c r="AJ53" i="24"/>
  <c r="E56" i="44"/>
  <c r="D56" i="44"/>
  <c r="B56" i="44" s="1"/>
  <c r="C56" i="44"/>
  <c r="E55" i="44"/>
  <c r="D55" i="44"/>
  <c r="B55" i="44" s="1"/>
  <c r="C55" i="44"/>
  <c r="E54" i="44"/>
  <c r="D54" i="44"/>
  <c r="B54" i="44" s="1"/>
  <c r="C54" i="44"/>
  <c r="E53" i="44"/>
  <c r="D53" i="44"/>
  <c r="B53" i="44" s="1"/>
  <c r="C53" i="44"/>
  <c r="E52" i="44"/>
  <c r="D52" i="44"/>
  <c r="B52" i="44" s="1"/>
  <c r="C52" i="44"/>
  <c r="E51" i="44"/>
  <c r="D51" i="44"/>
  <c r="B51" i="44" s="1"/>
  <c r="C51" i="44"/>
  <c r="E50" i="44"/>
  <c r="D50" i="44"/>
  <c r="C50" i="44"/>
  <c r="E49" i="44"/>
  <c r="D49" i="44"/>
  <c r="C49" i="44"/>
  <c r="E48" i="44"/>
  <c r="D48" i="44"/>
  <c r="C48" i="44"/>
  <c r="E47" i="44"/>
  <c r="D47" i="44"/>
  <c r="C47" i="44"/>
  <c r="AJ43" i="24"/>
  <c r="E46" i="44"/>
  <c r="D46" i="44"/>
  <c r="C46" i="44"/>
  <c r="E45" i="44"/>
  <c r="D45" i="44"/>
  <c r="C45" i="44"/>
  <c r="E44" i="44"/>
  <c r="D44" i="44"/>
  <c r="C44" i="44"/>
  <c r="E43" i="44"/>
  <c r="D43" i="44"/>
  <c r="C43" i="44"/>
  <c r="AJ39" i="24"/>
  <c r="E42" i="44"/>
  <c r="D42" i="44"/>
  <c r="C42" i="44"/>
  <c r="E41" i="44"/>
  <c r="D41" i="44"/>
  <c r="C41" i="44"/>
  <c r="E40" i="44"/>
  <c r="D40" i="44"/>
  <c r="C40" i="44"/>
  <c r="E39" i="44"/>
  <c r="D39" i="44"/>
  <c r="C39" i="44"/>
  <c r="AJ35" i="24"/>
  <c r="E38" i="44"/>
  <c r="D38" i="44"/>
  <c r="C38" i="44"/>
  <c r="E37" i="44"/>
  <c r="D37" i="44"/>
  <c r="C37" i="44"/>
  <c r="E36" i="44"/>
  <c r="D36" i="44"/>
  <c r="C36" i="44"/>
  <c r="Q32" i="24"/>
  <c r="E35" i="44"/>
  <c r="D35" i="44"/>
  <c r="C35" i="44"/>
  <c r="E34" i="44"/>
  <c r="D34" i="44"/>
  <c r="C34" i="44"/>
  <c r="Q30" i="24"/>
  <c r="E33" i="44"/>
  <c r="D33" i="44"/>
  <c r="C33" i="44"/>
  <c r="E32" i="44"/>
  <c r="D32" i="44"/>
  <c r="C32" i="44"/>
  <c r="Q28" i="24"/>
  <c r="E31" i="44"/>
  <c r="D31" i="44"/>
  <c r="C31" i="44"/>
  <c r="E30" i="44"/>
  <c r="D30" i="44"/>
  <c r="C30" i="44"/>
  <c r="Q26" i="24"/>
  <c r="E29" i="44"/>
  <c r="D29" i="44"/>
  <c r="C29" i="44"/>
  <c r="E28" i="44"/>
  <c r="D28" i="44"/>
  <c r="C28" i="44"/>
  <c r="Q24" i="24"/>
  <c r="E27" i="44"/>
  <c r="D27" i="44"/>
  <c r="C27" i="44"/>
  <c r="E26" i="44"/>
  <c r="D26" i="44"/>
  <c r="C26" i="44"/>
  <c r="Q22" i="24"/>
  <c r="E25" i="44"/>
  <c r="D25" i="44"/>
  <c r="C25" i="44"/>
  <c r="E24" i="44"/>
  <c r="D24" i="44"/>
  <c r="C24" i="44"/>
  <c r="E23" i="44"/>
  <c r="D23" i="44"/>
  <c r="C23" i="44"/>
  <c r="E22" i="44"/>
  <c r="D22" i="44"/>
  <c r="C22" i="44"/>
  <c r="Q18" i="24"/>
  <c r="E21" i="44"/>
  <c r="D21" i="44"/>
  <c r="C21" i="44"/>
  <c r="AJ17" i="24"/>
  <c r="E20" i="44"/>
  <c r="D20" i="44"/>
  <c r="C20" i="44"/>
  <c r="E19" i="44"/>
  <c r="D19" i="44"/>
  <c r="C19" i="44"/>
  <c r="E18" i="44"/>
  <c r="D18" i="44"/>
  <c r="C18" i="44"/>
  <c r="E17" i="44"/>
  <c r="D17" i="44"/>
  <c r="C17" i="44"/>
  <c r="E16" i="44"/>
  <c r="D16" i="44"/>
  <c r="C16" i="44"/>
  <c r="E15" i="44"/>
  <c r="D15" i="44"/>
  <c r="B15" i="44" s="1"/>
  <c r="C15" i="44"/>
  <c r="E14" i="44"/>
  <c r="D14" i="44"/>
  <c r="C14" i="44"/>
  <c r="B16" i="44" l="1"/>
  <c r="B17" i="44" s="1"/>
  <c r="B18" i="44" s="1"/>
  <c r="B19" i="44" s="1"/>
  <c r="B20" i="44" s="1"/>
  <c r="B21" i="44" s="1"/>
  <c r="B22" i="44" s="1"/>
  <c r="B23" i="44" s="1"/>
  <c r="B24" i="44" s="1"/>
  <c r="B25" i="44" s="1"/>
  <c r="B26" i="44" s="1"/>
  <c r="B27" i="44" s="1"/>
  <c r="B28" i="44" s="1"/>
  <c r="B29" i="44" s="1"/>
  <c r="B30" i="44" s="1"/>
  <c r="B31" i="44" s="1"/>
  <c r="B32" i="44" s="1"/>
  <c r="B33" i="44" s="1"/>
  <c r="B34" i="44" s="1"/>
  <c r="B35" i="44" s="1"/>
  <c r="B36" i="44" s="1"/>
  <c r="B37" i="44" s="1"/>
  <c r="B38" i="44" s="1"/>
  <c r="AN71" i="44"/>
  <c r="H78" i="44"/>
  <c r="AN78" i="44" s="1"/>
  <c r="AB38" i="45"/>
  <c r="AA37" i="45"/>
  <c r="AB35" i="45"/>
  <c r="AA38" i="45"/>
  <c r="AA36" i="45"/>
  <c r="AA35" i="45"/>
  <c r="AB39" i="45"/>
  <c r="AA39" i="45"/>
  <c r="O4" i="48"/>
  <c r="O31" i="48" s="1"/>
  <c r="AO39" i="45"/>
  <c r="AO38" i="45"/>
  <c r="AO36" i="45"/>
  <c r="AO35" i="45"/>
  <c r="AP39" i="45"/>
  <c r="AP38" i="45"/>
  <c r="AO37" i="45"/>
  <c r="AP35" i="45"/>
  <c r="AL2" i="45"/>
  <c r="BC2" i="45" s="1"/>
  <c r="E38" i="45"/>
  <c r="E37" i="45"/>
  <c r="E36" i="45"/>
  <c r="E39" i="45"/>
  <c r="E35" i="45"/>
  <c r="AJ12" i="24"/>
  <c r="AJ13" i="24"/>
  <c r="AJ14" i="24"/>
  <c r="AJ15" i="24"/>
  <c r="AJ16" i="24"/>
  <c r="AJ19" i="24"/>
  <c r="AJ20" i="24"/>
  <c r="AJ26" i="24"/>
  <c r="AJ27" i="24"/>
  <c r="AJ28" i="24"/>
  <c r="AJ29" i="24"/>
  <c r="AJ30" i="24"/>
  <c r="AJ31" i="24"/>
  <c r="AJ32" i="24"/>
  <c r="AJ33" i="24"/>
  <c r="AJ34" i="24"/>
  <c r="AJ40" i="24"/>
  <c r="AJ41" i="24"/>
  <c r="AJ45" i="24"/>
  <c r="AJ47" i="24"/>
  <c r="AJ49" i="24"/>
  <c r="AJ52" i="24"/>
  <c r="AJ54" i="24"/>
  <c r="AJ56" i="24"/>
  <c r="AJ58" i="24"/>
  <c r="AJ59" i="24"/>
  <c r="AJ11" i="24"/>
  <c r="AJ18" i="24"/>
  <c r="AJ21" i="24"/>
  <c r="AJ22" i="24"/>
  <c r="AJ23" i="24"/>
  <c r="AJ24" i="24"/>
  <c r="AJ25" i="24"/>
  <c r="AJ36" i="24"/>
  <c r="AJ37" i="24"/>
  <c r="AJ38" i="24"/>
  <c r="AJ42" i="24"/>
  <c r="AJ44" i="24"/>
  <c r="AJ46" i="24"/>
  <c r="AJ48" i="24"/>
  <c r="AJ50" i="24"/>
  <c r="AJ51" i="24"/>
  <c r="AJ57" i="24"/>
  <c r="AJ60" i="24"/>
  <c r="Q19" i="24"/>
  <c r="Q20" i="24"/>
  <c r="Q23" i="24"/>
  <c r="Q27" i="24"/>
  <c r="Q31" i="24"/>
  <c r="Q36" i="24"/>
  <c r="Q37" i="24"/>
  <c r="Q38" i="24"/>
  <c r="Q39" i="24"/>
  <c r="Q41" i="24"/>
  <c r="Q42" i="24"/>
  <c r="Q44" i="24"/>
  <c r="Q46" i="24"/>
  <c r="Q48" i="24"/>
  <c r="Q50" i="24"/>
  <c r="Q53" i="24"/>
  <c r="Q55" i="24"/>
  <c r="Q57" i="24"/>
  <c r="Q12" i="24"/>
  <c r="Q13" i="24"/>
  <c r="Q14" i="24"/>
  <c r="Q15" i="24"/>
  <c r="Q16" i="24"/>
  <c r="Q17" i="24"/>
  <c r="Q21" i="24"/>
  <c r="Q25" i="24"/>
  <c r="Q29" i="24"/>
  <c r="Q33" i="24"/>
  <c r="Q34" i="24"/>
  <c r="Q35" i="24"/>
  <c r="Q40" i="24"/>
  <c r="Q43" i="24"/>
  <c r="Q45" i="24"/>
  <c r="Q47" i="24"/>
  <c r="Q49" i="24"/>
  <c r="Q51" i="24"/>
  <c r="Q52" i="24"/>
  <c r="Q54" i="24"/>
  <c r="Q56" i="24"/>
  <c r="Q58" i="24"/>
  <c r="Q59" i="24"/>
  <c r="H70" i="44"/>
  <c r="AL70" i="44"/>
  <c r="H75" i="44"/>
  <c r="AN75" i="44" s="1"/>
  <c r="I75" i="44"/>
  <c r="AO75" i="44" s="1"/>
  <c r="I76" i="44"/>
  <c r="AO76" i="44" s="1"/>
  <c r="F77" i="44"/>
  <c r="I77" i="44"/>
  <c r="AO77" i="44" s="1"/>
  <c r="F78" i="44"/>
  <c r="I78" i="44"/>
  <c r="AO78" i="44" s="1"/>
  <c r="P41" i="22"/>
  <c r="B39" i="44" l="1"/>
  <c r="B40" i="44" s="1"/>
  <c r="B41" i="44" s="1"/>
  <c r="B42" i="44" s="1"/>
  <c r="B43" i="44" s="1"/>
  <c r="B44" i="44" s="1"/>
  <c r="B45" i="44" s="1"/>
  <c r="B46" i="44" s="1"/>
  <c r="B47" i="44" s="1"/>
  <c r="B48" i="44" s="1"/>
  <c r="B49" i="44" s="1"/>
  <c r="B50" i="44" s="1"/>
  <c r="AL77" i="44"/>
  <c r="F69" i="44"/>
  <c r="F76" i="44" s="1"/>
  <c r="AN70" i="44"/>
  <c r="H77" i="44"/>
  <c r="AN77" i="44" s="1"/>
  <c r="B9" i="44"/>
  <c r="AL78" i="44"/>
  <c r="B3" i="44"/>
  <c r="AJ63" i="24"/>
  <c r="AL11" i="48" s="1"/>
  <c r="AJ64" i="24"/>
  <c r="AL6" i="48" s="1"/>
  <c r="AJ65" i="24"/>
  <c r="AJ62" i="24"/>
  <c r="AL9" i="48" s="1"/>
  <c r="G34" i="35"/>
  <c r="G33" i="35"/>
  <c r="G32" i="35"/>
  <c r="G30" i="35"/>
  <c r="G29" i="35"/>
  <c r="G28" i="35"/>
  <c r="G27" i="35"/>
  <c r="G26" i="35"/>
  <c r="G25" i="35"/>
  <c r="AC24" i="45" l="1"/>
  <c r="AC38" i="45"/>
  <c r="AC12" i="45"/>
  <c r="L33" i="46"/>
  <c r="AD39" i="45"/>
  <c r="AC28" i="45"/>
  <c r="M33" i="46"/>
  <c r="AC21" i="45"/>
  <c r="AC29" i="45"/>
  <c r="AC36" i="45"/>
  <c r="AC23" i="45"/>
  <c r="AC37" i="45"/>
  <c r="AC11" i="45"/>
  <c r="I33" i="46"/>
  <c r="AC22" i="45"/>
  <c r="Q33" i="46"/>
  <c r="AC16" i="45"/>
  <c r="AC19" i="45"/>
  <c r="AC35" i="45"/>
  <c r="AC18" i="45"/>
  <c r="AC26" i="45"/>
  <c r="R33" i="46"/>
  <c r="AD29" i="45"/>
  <c r="AC34" i="45"/>
  <c r="AD19" i="45"/>
  <c r="AC15" i="45"/>
  <c r="AC39" i="45"/>
  <c r="AC31" i="45"/>
  <c r="AD34" i="45"/>
  <c r="AC32" i="45"/>
  <c r="AC30" i="45"/>
  <c r="AC20" i="45"/>
  <c r="J33" i="46"/>
  <c r="AC25" i="45"/>
  <c r="H33" i="46"/>
  <c r="AD24" i="45"/>
  <c r="AC27" i="45"/>
  <c r="K33" i="46"/>
  <c r="AC17" i="45"/>
  <c r="AC33" i="45"/>
  <c r="H69" i="44"/>
  <c r="AL69" i="44"/>
  <c r="AL76" i="44"/>
  <c r="B8" i="44"/>
  <c r="AD25" i="45"/>
  <c r="AD28" i="45"/>
  <c r="O6" i="48"/>
  <c r="O33" i="48" s="1"/>
  <c r="O33" i="46"/>
  <c r="AC13" i="45"/>
  <c r="AC10" i="45"/>
  <c r="AB5" i="24"/>
  <c r="AC5" i="24"/>
  <c r="Y5" i="24"/>
  <c r="Y4" i="24"/>
  <c r="H148" i="43"/>
  <c r="L143" i="43"/>
  <c r="L140" i="43"/>
  <c r="S4" i="43"/>
  <c r="N6" i="43" s="1"/>
  <c r="H76" i="44" l="1"/>
  <c r="AN69" i="44"/>
  <c r="F68" i="44"/>
  <c r="L41" i="43"/>
  <c r="H68" i="35"/>
  <c r="AD13" i="45"/>
  <c r="AD10" i="45"/>
  <c r="AD38" i="45"/>
  <c r="AD35" i="45"/>
  <c r="AD15" i="45"/>
  <c r="AD18" i="45"/>
  <c r="AD30" i="45"/>
  <c r="AD33" i="45"/>
  <c r="AD20" i="45"/>
  <c r="AD23" i="45"/>
  <c r="P33" i="46"/>
  <c r="N33" i="46"/>
  <c r="H39" i="35"/>
  <c r="J41" i="43"/>
  <c r="Q11" i="24"/>
  <c r="G40" i="34"/>
  <c r="K41" i="43"/>
  <c r="AD14" i="45"/>
  <c r="AC14" i="45"/>
  <c r="I68" i="35"/>
  <c r="E37" i="43"/>
  <c r="K2" i="43"/>
  <c r="O36" i="43"/>
  <c r="N41" i="43" l="1"/>
  <c r="F75" i="44"/>
  <c r="AL68" i="44"/>
  <c r="AN76" i="44"/>
  <c r="BK51" i="44"/>
  <c r="AH16" i="44"/>
  <c r="AG61" i="44"/>
  <c r="AH29" i="44"/>
  <c r="AH49" i="44"/>
  <c r="BK43" i="44"/>
  <c r="BK62" i="44"/>
  <c r="BK59" i="44"/>
  <c r="BJ61" i="44"/>
  <c r="AH15" i="44"/>
  <c r="BK42" i="44"/>
  <c r="AG15" i="44"/>
  <c r="AK15" i="44" s="1"/>
  <c r="BK21" i="44"/>
  <c r="BJ45" i="44"/>
  <c r="BK44" i="44"/>
  <c r="AG40" i="44"/>
  <c r="AK40" i="44" s="1"/>
  <c r="AH42" i="44"/>
  <c r="AG51" i="44"/>
  <c r="BK63" i="44"/>
  <c r="AG47" i="44"/>
  <c r="AG58" i="44"/>
  <c r="BJ37" i="44"/>
  <c r="BK39" i="44"/>
  <c r="BK38" i="44"/>
  <c r="BJ17" i="44"/>
  <c r="AH56" i="44"/>
  <c r="BK32" i="44"/>
  <c r="BK36" i="44"/>
  <c r="AH53" i="44"/>
  <c r="AH44" i="44"/>
  <c r="BK41" i="44"/>
  <c r="AG27" i="44"/>
  <c r="AK27" i="44" s="1"/>
  <c r="BK61" i="44"/>
  <c r="BK34" i="44"/>
  <c r="AG62" i="44"/>
  <c r="AG39" i="44"/>
  <c r="AK39" i="44" s="1"/>
  <c r="BJ43" i="44"/>
  <c r="BN43" i="44" s="1"/>
  <c r="AG34" i="44"/>
  <c r="BJ50" i="44"/>
  <c r="BJ44" i="44"/>
  <c r="BN44" i="44" s="1"/>
  <c r="BJ58" i="44"/>
  <c r="BJ62" i="44"/>
  <c r="AH61" i="44"/>
  <c r="BJ53" i="44"/>
  <c r="BK27" i="44"/>
  <c r="AH34" i="44"/>
  <c r="BJ29" i="44"/>
  <c r="BK23" i="44"/>
  <c r="AH35" i="44"/>
  <c r="AH39" i="44"/>
  <c r="BJ27" i="44"/>
  <c r="AG55" i="44"/>
  <c r="BK53" i="44"/>
  <c r="AH57" i="44"/>
  <c r="BJ15" i="44"/>
  <c r="AG20" i="44"/>
  <c r="AK20" i="44" s="1"/>
  <c r="BJ47" i="44"/>
  <c r="BK19" i="44"/>
  <c r="AG30" i="44"/>
  <c r="BK25" i="44"/>
  <c r="BK15" i="44"/>
  <c r="AG29" i="44"/>
  <c r="AK29" i="44" s="1"/>
  <c r="AG33" i="44"/>
  <c r="BK48" i="44"/>
  <c r="AG48" i="44"/>
  <c r="AH58" i="44"/>
  <c r="BJ23" i="44"/>
  <c r="BN23" i="44" s="1"/>
  <c r="AH25" i="44"/>
  <c r="BJ46" i="44"/>
  <c r="AG37" i="44"/>
  <c r="AH26" i="44"/>
  <c r="BJ21" i="44"/>
  <c r="BN21" i="44" s="1"/>
  <c r="BK55" i="44"/>
  <c r="BK22" i="44"/>
  <c r="BK26" i="44"/>
  <c r="BJ35" i="44"/>
  <c r="AH40" i="44"/>
  <c r="AG63" i="44"/>
  <c r="BJ52" i="44"/>
  <c r="AG32" i="44"/>
  <c r="AK32" i="44" s="1"/>
  <c r="AG53" i="44"/>
  <c r="AH52" i="44"/>
  <c r="AG52" i="44"/>
  <c r="BK18" i="44"/>
  <c r="AH51" i="44"/>
  <c r="AG23" i="44"/>
  <c r="BK29" i="44"/>
  <c r="AG18" i="44"/>
  <c r="AH59" i="44"/>
  <c r="AH46" i="44"/>
  <c r="AH17" i="44"/>
  <c r="BJ39" i="44"/>
  <c r="BN39" i="44" s="1"/>
  <c r="AH41" i="44"/>
  <c r="BJ38" i="44"/>
  <c r="BN38" i="44" s="1"/>
  <c r="BJ28" i="44"/>
  <c r="AH18" i="44"/>
  <c r="AG50" i="44"/>
  <c r="BJ42" i="44"/>
  <c r="BN42" i="44" s="1"/>
  <c r="AH19" i="44"/>
  <c r="AH23" i="44"/>
  <c r="B7" i="44"/>
  <c r="AH32" i="44"/>
  <c r="BK16" i="44"/>
  <c r="BK20" i="44"/>
  <c r="AG28" i="44"/>
  <c r="AH20" i="44"/>
  <c r="BJ60" i="44"/>
  <c r="AG35" i="44"/>
  <c r="AK35" i="44" s="1"/>
  <c r="AH27" i="44"/>
  <c r="AG14" i="44"/>
  <c r="BK46" i="44"/>
  <c r="BJ49" i="44"/>
  <c r="BJ63" i="44"/>
  <c r="AG17" i="44"/>
  <c r="AK17" i="44" s="1"/>
  <c r="J39" i="35" s="1"/>
  <c r="BK24" i="44"/>
  <c r="BK28" i="44"/>
  <c r="AH33" i="44"/>
  <c r="AH36" i="44"/>
  <c r="BJ55" i="44"/>
  <c r="BJ30" i="44"/>
  <c r="AG21" i="44"/>
  <c r="AG41" i="44"/>
  <c r="AK41" i="44" s="1"/>
  <c r="AG43" i="44"/>
  <c r="AH43" i="44"/>
  <c r="AH62" i="44"/>
  <c r="AH38" i="44"/>
  <c r="BK60" i="44"/>
  <c r="AG57" i="44"/>
  <c r="BK47" i="44"/>
  <c r="AH50" i="44"/>
  <c r="BJ54" i="44"/>
  <c r="AH63" i="44"/>
  <c r="BK35" i="44"/>
  <c r="AG38" i="44"/>
  <c r="AK38" i="44" s="1"/>
  <c r="BK33" i="44"/>
  <c r="BK31" i="44"/>
  <c r="BJ36" i="44"/>
  <c r="BN36" i="44" s="1"/>
  <c r="BJ40" i="44"/>
  <c r="AH60" i="44"/>
  <c r="BK40" i="44"/>
  <c r="AH28" i="44"/>
  <c r="BK45" i="44"/>
  <c r="BK52" i="44"/>
  <c r="BK49" i="44"/>
  <c r="BJ22" i="44"/>
  <c r="BN22" i="44" s="1"/>
  <c r="AH55" i="44"/>
  <c r="BJ32" i="44"/>
  <c r="BN32" i="44" s="1"/>
  <c r="BK54" i="44"/>
  <c r="BJ34" i="44"/>
  <c r="BN34" i="44" s="1"/>
  <c r="BJ57" i="44"/>
  <c r="AH30" i="44"/>
  <c r="BJ19" i="44"/>
  <c r="BN19" i="44" s="1"/>
  <c r="AG60" i="44"/>
  <c r="AG59" i="44"/>
  <c r="AH54" i="44"/>
  <c r="AG16" i="44"/>
  <c r="AK16" i="44" s="1"/>
  <c r="AG44" i="44"/>
  <c r="AK44" i="44" s="1"/>
  <c r="AG19" i="44"/>
  <c r="AK19" i="44" s="1"/>
  <c r="BK50" i="44"/>
  <c r="AH31" i="44"/>
  <c r="BK58" i="44"/>
  <c r="AG31" i="44"/>
  <c r="AK31" i="44" s="1"/>
  <c r="BK37" i="44"/>
  <c r="AG26" i="44"/>
  <c r="AK26" i="44" s="1"/>
  <c r="AH24" i="44"/>
  <c r="AH48" i="44"/>
  <c r="AH45" i="44"/>
  <c r="AH21" i="44"/>
  <c r="AG49" i="44"/>
  <c r="AK49" i="44" s="1"/>
  <c r="BJ14" i="44"/>
  <c r="BJ59" i="44"/>
  <c r="AG25" i="44"/>
  <c r="AK25" i="44" s="1"/>
  <c r="AG54" i="44"/>
  <c r="BJ26" i="44"/>
  <c r="BN26" i="44" s="1"/>
  <c r="BJ33" i="44"/>
  <c r="BN33" i="44" s="1"/>
  <c r="AH22" i="44"/>
  <c r="BK14" i="44"/>
  <c r="BJ56" i="44"/>
  <c r="BK57" i="44"/>
  <c r="BJ31" i="44"/>
  <c r="BN31" i="44" s="1"/>
  <c r="AG36" i="44"/>
  <c r="BJ41" i="44"/>
  <c r="BN41" i="44" s="1"/>
  <c r="BK30" i="44"/>
  <c r="AG22" i="44"/>
  <c r="AK22" i="44" s="1"/>
  <c r="BK17" i="44"/>
  <c r="AH47" i="44"/>
  <c r="BJ20" i="44"/>
  <c r="BN20" i="44" s="1"/>
  <c r="BJ24" i="44"/>
  <c r="BN24" i="44" s="1"/>
  <c r="BJ51" i="44"/>
  <c r="BK56" i="44"/>
  <c r="AG24" i="44"/>
  <c r="BJ48" i="44"/>
  <c r="BN48" i="44" s="1"/>
  <c r="AH37" i="44"/>
  <c r="AG45" i="44"/>
  <c r="AK45" i="44" s="1"/>
  <c r="AG42" i="44"/>
  <c r="AK42" i="44" s="1"/>
  <c r="AG56" i="44"/>
  <c r="BJ16" i="44"/>
  <c r="BN16" i="44" s="1"/>
  <c r="AG46" i="44"/>
  <c r="AK46" i="44" s="1"/>
  <c r="BJ18" i="44"/>
  <c r="BN18" i="44" s="1"/>
  <c r="BJ25" i="44"/>
  <c r="BN25" i="44" s="1"/>
  <c r="AH14" i="44"/>
  <c r="I41" i="43"/>
  <c r="O41" i="43" s="1"/>
  <c r="M41" i="43"/>
  <c r="I39" i="35"/>
  <c r="H32" i="43"/>
  <c r="H31" i="43"/>
  <c r="H30" i="43"/>
  <c r="H28" i="43"/>
  <c r="H27" i="43"/>
  <c r="H26" i="43"/>
  <c r="H25" i="43"/>
  <c r="H24" i="43"/>
  <c r="H23" i="43"/>
  <c r="E110" i="43"/>
  <c r="D110" i="43" s="1"/>
  <c r="E102" i="43"/>
  <c r="D102" i="43" s="1"/>
  <c r="E100" i="43"/>
  <c r="D100" i="43" s="1"/>
  <c r="E98" i="43"/>
  <c r="D98" i="43" s="1"/>
  <c r="E96" i="43"/>
  <c r="D96" i="43" s="1"/>
  <c r="E94" i="43"/>
  <c r="D94" i="43" s="1"/>
  <c r="E77" i="43"/>
  <c r="E105" i="43" s="1"/>
  <c r="E151" i="43" s="1"/>
  <c r="E48" i="43"/>
  <c r="E46" i="43"/>
  <c r="E45" i="43"/>
  <c r="E44" i="43"/>
  <c r="E43" i="43"/>
  <c r="E42" i="43"/>
  <c r="E33" i="43"/>
  <c r="E32" i="43"/>
  <c r="E85" i="43" s="1"/>
  <c r="E31" i="43"/>
  <c r="E83" i="43" s="1"/>
  <c r="E30" i="43"/>
  <c r="E81" i="43" s="1"/>
  <c r="E28" i="43"/>
  <c r="E74" i="43" s="1"/>
  <c r="E27" i="43"/>
  <c r="E72" i="43" s="1"/>
  <c r="E26" i="43"/>
  <c r="E70" i="43" s="1"/>
  <c r="E25" i="43"/>
  <c r="E68" i="43" s="1"/>
  <c r="E24" i="43"/>
  <c r="E66" i="43" s="1"/>
  <c r="E78" i="43"/>
  <c r="E106" i="43" s="1"/>
  <c r="E152" i="43" s="1"/>
  <c r="O77" i="43"/>
  <c r="E36" i="43"/>
  <c r="G8" i="43"/>
  <c r="D8" i="43"/>
  <c r="N7" i="43"/>
  <c r="G7" i="43"/>
  <c r="G6" i="43"/>
  <c r="BN30" i="44" l="1"/>
  <c r="BN49" i="44"/>
  <c r="BN35" i="44"/>
  <c r="BN28" i="44"/>
  <c r="BN15" i="44"/>
  <c r="BN27" i="44"/>
  <c r="BN29" i="44"/>
  <c r="BN50" i="44"/>
  <c r="BN14" i="44"/>
  <c r="I93" i="43" s="1"/>
  <c r="BN40" i="44"/>
  <c r="BN37" i="44"/>
  <c r="BN45" i="44"/>
  <c r="BN46" i="44"/>
  <c r="BN47" i="44"/>
  <c r="BN17" i="44"/>
  <c r="J68" i="35" s="1"/>
  <c r="AK36" i="44"/>
  <c r="AK21" i="44"/>
  <c r="AK28" i="44"/>
  <c r="AK50" i="44"/>
  <c r="AK48" i="44"/>
  <c r="AK18" i="44"/>
  <c r="AK47" i="44"/>
  <c r="AK24" i="44"/>
  <c r="AK43" i="44"/>
  <c r="AK33" i="44"/>
  <c r="AK30" i="44"/>
  <c r="AK14" i="44"/>
  <c r="I92" i="43" s="1"/>
  <c r="AK23" i="44"/>
  <c r="AK37" i="44"/>
  <c r="AK34" i="44"/>
  <c r="B6" i="44"/>
  <c r="AL75" i="44"/>
  <c r="H42" i="43"/>
  <c r="D42" i="43"/>
  <c r="H44" i="43"/>
  <c r="D44" i="43"/>
  <c r="H46" i="43"/>
  <c r="D46" i="43"/>
  <c r="H43" i="43"/>
  <c r="D43" i="43"/>
  <c r="H45" i="43"/>
  <c r="D45" i="43"/>
  <c r="H48" i="43"/>
  <c r="D48" i="43"/>
  <c r="H33" i="43"/>
  <c r="B99" i="43"/>
  <c r="B98" i="43"/>
  <c r="B102" i="43"/>
  <c r="B103" i="43"/>
  <c r="B97" i="43"/>
  <c r="B96" i="43"/>
  <c r="B101" i="43"/>
  <c r="B100" i="43"/>
  <c r="B110" i="43"/>
  <c r="B111" i="43"/>
  <c r="G69" i="43"/>
  <c r="G68" i="43"/>
  <c r="G73" i="43"/>
  <c r="G72" i="43"/>
  <c r="G82" i="43"/>
  <c r="G81" i="43"/>
  <c r="G86" i="43"/>
  <c r="G85" i="43"/>
  <c r="G95" i="43"/>
  <c r="G94" i="43"/>
  <c r="G99" i="43"/>
  <c r="G98" i="43"/>
  <c r="G103" i="43"/>
  <c r="G102" i="43"/>
  <c r="G67" i="43"/>
  <c r="G66" i="43"/>
  <c r="G71" i="43"/>
  <c r="G70" i="43"/>
  <c r="G75" i="43"/>
  <c r="G74" i="43"/>
  <c r="G84" i="43"/>
  <c r="G83" i="43"/>
  <c r="D87" i="43"/>
  <c r="G88" i="43"/>
  <c r="G87" i="43"/>
  <c r="G97" i="43"/>
  <c r="G96" i="43"/>
  <c r="G101" i="43"/>
  <c r="G100" i="43"/>
  <c r="G111" i="43"/>
  <c r="G110" i="43"/>
  <c r="O105" i="43"/>
  <c r="O151" i="43" s="1"/>
  <c r="D33" i="43"/>
  <c r="E20" i="35" l="1"/>
  <c r="M1" i="35"/>
  <c r="L1" i="35"/>
  <c r="L1" i="34"/>
  <c r="K1" i="34"/>
  <c r="J2" i="34" s="1"/>
  <c r="E20" i="34"/>
  <c r="N20" i="35" l="1"/>
  <c r="N49" i="35" s="1"/>
  <c r="K2" i="35"/>
  <c r="M20" i="34"/>
  <c r="M50" i="34" s="1"/>
  <c r="F70" i="40"/>
  <c r="F70" i="41"/>
  <c r="F70" i="37"/>
  <c r="F70" i="38"/>
  <c r="F70" i="39"/>
  <c r="E4" i="42" l="1"/>
  <c r="D2" i="46" s="1"/>
  <c r="E21" i="34"/>
  <c r="E51" i="34" s="1"/>
  <c r="E81" i="34" s="1"/>
  <c r="E135" i="34" s="1"/>
  <c r="D1" i="1"/>
  <c r="AR60" i="24"/>
  <c r="E60" i="24"/>
  <c r="D60" i="24"/>
  <c r="B60" i="24" s="1"/>
  <c r="C60" i="24"/>
  <c r="AR59" i="24"/>
  <c r="E59" i="24"/>
  <c r="D59" i="24"/>
  <c r="B59" i="24" s="1"/>
  <c r="C59" i="24"/>
  <c r="U10" i="24"/>
  <c r="T10" i="24"/>
  <c r="S10" i="24"/>
  <c r="R10" i="24"/>
  <c r="AH10" i="24"/>
  <c r="N10" i="24"/>
  <c r="M10" i="24"/>
  <c r="L10" i="24"/>
  <c r="K10" i="24"/>
  <c r="J10" i="24"/>
  <c r="I10" i="24"/>
  <c r="H10" i="24"/>
  <c r="G10" i="24"/>
  <c r="F10" i="24"/>
  <c r="AR58" i="24"/>
  <c r="AR57" i="24"/>
  <c r="AR56" i="24"/>
  <c r="AR55" i="24"/>
  <c r="AR54" i="24"/>
  <c r="AR53" i="24"/>
  <c r="AR52" i="24"/>
  <c r="AR51" i="24"/>
  <c r="AR50" i="24"/>
  <c r="AR49" i="24"/>
  <c r="AR48" i="24"/>
  <c r="AR47" i="24"/>
  <c r="AR46" i="24"/>
  <c r="AR45" i="24"/>
  <c r="AR44" i="24"/>
  <c r="AR43" i="24"/>
  <c r="AR42" i="24"/>
  <c r="AR41" i="24"/>
  <c r="AR40" i="24"/>
  <c r="AR39" i="24"/>
  <c r="AR38" i="24"/>
  <c r="AR37" i="24"/>
  <c r="AR36" i="24"/>
  <c r="AR35" i="24"/>
  <c r="AR34" i="24"/>
  <c r="AR33" i="24"/>
  <c r="AR32" i="24"/>
  <c r="AR31" i="24"/>
  <c r="AR30" i="24"/>
  <c r="AR29" i="24"/>
  <c r="AR28" i="24"/>
  <c r="AR27" i="24"/>
  <c r="AR26" i="24"/>
  <c r="AR25" i="24"/>
  <c r="AR24" i="24"/>
  <c r="AR23" i="24"/>
  <c r="AR22" i="24"/>
  <c r="AR21" i="24"/>
  <c r="AR20" i="24"/>
  <c r="AR19" i="24"/>
  <c r="AR18" i="24"/>
  <c r="AR17" i="24"/>
  <c r="AR16" i="24"/>
  <c r="AR15" i="24"/>
  <c r="AR14" i="24"/>
  <c r="AR13" i="24"/>
  <c r="AR12" i="24"/>
  <c r="AR11" i="24"/>
  <c r="E134" i="34"/>
  <c r="E80" i="34"/>
  <c r="M80" i="34"/>
  <c r="M134" i="34" s="1"/>
  <c r="E50" i="34"/>
  <c r="M6" i="34"/>
  <c r="N6" i="35"/>
  <c r="E78" i="35"/>
  <c r="E135" i="35" s="1"/>
  <c r="E21" i="35"/>
  <c r="AC4" i="24" l="1"/>
  <c r="E50" i="35"/>
  <c r="E79" i="35" s="1"/>
  <c r="E136" i="35" s="1"/>
  <c r="Y10" i="24"/>
  <c r="AA4" i="48"/>
  <c r="AA10" i="24"/>
  <c r="AC4" i="48"/>
  <c r="AC10" i="24"/>
  <c r="AE4" i="48"/>
  <c r="AE10" i="24"/>
  <c r="AG4" i="48"/>
  <c r="AG10" i="24"/>
  <c r="AI4" i="48"/>
  <c r="AK10" i="24"/>
  <c r="AM4" i="48"/>
  <c r="AM10" i="24"/>
  <c r="AO4" i="48"/>
  <c r="AO10" i="24"/>
  <c r="AQ4" i="48"/>
  <c r="Z10" i="24"/>
  <c r="AB4" i="48"/>
  <c r="AB10" i="24"/>
  <c r="AD4" i="48"/>
  <c r="AD10" i="24"/>
  <c r="AF4" i="48"/>
  <c r="AF10" i="24"/>
  <c r="AH4" i="48"/>
  <c r="AL10" i="24"/>
  <c r="AN4" i="48"/>
  <c r="AN10" i="24"/>
  <c r="AP4" i="48"/>
  <c r="AQ10" i="24"/>
  <c r="A2" i="14"/>
  <c r="D2" i="43"/>
  <c r="D2" i="35"/>
  <c r="H10" i="35" s="1"/>
  <c r="D2" i="34"/>
  <c r="H10" i="34" s="1"/>
  <c r="B1" i="27"/>
  <c r="N78" i="35"/>
  <c r="N135" i="35" s="1"/>
  <c r="U4" i="48" l="1"/>
  <c r="U31" i="48" s="1"/>
  <c r="K4" i="48"/>
  <c r="K31" i="48" s="1"/>
  <c r="I4" i="48"/>
  <c r="I31" i="48" s="1"/>
  <c r="G4" i="48"/>
  <c r="G31" i="48" s="1"/>
  <c r="E4" i="48"/>
  <c r="E31" i="48" s="1"/>
  <c r="L4" i="48"/>
  <c r="L31" i="48" s="1"/>
  <c r="J4" i="48"/>
  <c r="J31" i="48" s="1"/>
  <c r="H4" i="48"/>
  <c r="H31" i="48" s="1"/>
  <c r="F4" i="48"/>
  <c r="F31" i="48" s="1"/>
  <c r="T4" i="48"/>
  <c r="T31" i="48" s="1"/>
  <c r="S4" i="48"/>
  <c r="S31" i="48" s="1"/>
  <c r="R4" i="48"/>
  <c r="R31" i="48" s="1"/>
  <c r="Q4" i="48"/>
  <c r="Q31" i="48" s="1"/>
  <c r="P4" i="48"/>
  <c r="P31" i="48" s="1"/>
  <c r="D4" i="48"/>
  <c r="D31" i="48" s="1"/>
  <c r="X8" i="24"/>
  <c r="U8" i="24"/>
  <c r="S3" i="48" s="1"/>
  <c r="S30" i="48" s="1"/>
  <c r="T8" i="24"/>
  <c r="R3" i="48" s="1"/>
  <c r="R30" i="48" s="1"/>
  <c r="S8" i="24"/>
  <c r="Q3" i="48" s="1"/>
  <c r="Q30" i="48" s="1"/>
  <c r="R8" i="24"/>
  <c r="P3" i="48" s="1"/>
  <c r="P30" i="48" s="1"/>
  <c r="V3" i="48" l="1"/>
  <c r="V30" i="48" s="1"/>
  <c r="AS3" i="48"/>
  <c r="AL8" i="24"/>
  <c r="AN3" i="48"/>
  <c r="AN8" i="24"/>
  <c r="AP3" i="48"/>
  <c r="AQ8" i="24"/>
  <c r="AM3" i="48"/>
  <c r="AM8" i="24"/>
  <c r="AO3" i="48"/>
  <c r="AO8" i="24"/>
  <c r="AQ3" i="48"/>
  <c r="U18" i="20"/>
  <c r="U4" i="20"/>
  <c r="U6" i="20" l="1"/>
  <c r="U8" i="20"/>
  <c r="U16" i="20"/>
  <c r="U14" i="20"/>
  <c r="U12" i="20"/>
  <c r="U10" i="20"/>
  <c r="U9" i="20"/>
  <c r="U19" i="20"/>
  <c r="U17" i="20"/>
  <c r="U15" i="20"/>
  <c r="U13" i="20"/>
  <c r="U11" i="20"/>
  <c r="U5" i="20"/>
  <c r="E76" i="35"/>
  <c r="D76" i="35" s="1"/>
  <c r="E73" i="35"/>
  <c r="D73" i="35" s="1"/>
  <c r="E72" i="35"/>
  <c r="D72" i="35" s="1"/>
  <c r="E71" i="35"/>
  <c r="D71" i="35" s="1"/>
  <c r="E70" i="35"/>
  <c r="D70" i="35" s="1"/>
  <c r="E47" i="35"/>
  <c r="E44" i="35"/>
  <c r="E43" i="35"/>
  <c r="E42" i="35"/>
  <c r="E41" i="35"/>
  <c r="E78" i="34"/>
  <c r="D78" i="34" s="1"/>
  <c r="E75" i="34"/>
  <c r="D75" i="34" s="1"/>
  <c r="E74" i="34"/>
  <c r="D74" i="34" s="1"/>
  <c r="E73" i="34"/>
  <c r="D73" i="34" s="1"/>
  <c r="E72" i="34"/>
  <c r="D72" i="34" s="1"/>
  <c r="E71" i="34"/>
  <c r="D71" i="34" s="1"/>
  <c r="E48" i="34"/>
  <c r="D48" i="34" s="1"/>
  <c r="E45" i="34"/>
  <c r="D45" i="34" s="1"/>
  <c r="E44" i="34"/>
  <c r="D44" i="34" s="1"/>
  <c r="E43" i="34"/>
  <c r="D43" i="34" s="1"/>
  <c r="E42" i="34"/>
  <c r="D42" i="34" s="1"/>
  <c r="D1" i="40"/>
  <c r="D1" i="41"/>
  <c r="D1" i="37"/>
  <c r="D1" i="38"/>
  <c r="D1" i="39"/>
  <c r="AV78" i="40"/>
  <c r="Q78" i="40"/>
  <c r="AV77" i="40"/>
  <c r="Q77" i="40"/>
  <c r="AV76" i="40"/>
  <c r="Q76" i="40"/>
  <c r="AV75" i="40"/>
  <c r="Q75" i="40"/>
  <c r="I71" i="40"/>
  <c r="AO71" i="40" s="1"/>
  <c r="I70" i="40"/>
  <c r="AO70" i="40" s="1"/>
  <c r="H71" i="40"/>
  <c r="I69" i="40"/>
  <c r="AO69" i="40" s="1"/>
  <c r="I68" i="40"/>
  <c r="AO68" i="40" s="1"/>
  <c r="AL65" i="40"/>
  <c r="F65" i="40"/>
  <c r="AQ60" i="24"/>
  <c r="X60" i="24"/>
  <c r="E63" i="40"/>
  <c r="D63" i="40"/>
  <c r="B63" i="40" s="1"/>
  <c r="C63" i="40"/>
  <c r="AQ59" i="24"/>
  <c r="X59" i="24"/>
  <c r="E62" i="40"/>
  <c r="D62" i="40"/>
  <c r="B62" i="40" s="1"/>
  <c r="C62" i="40"/>
  <c r="E61" i="40"/>
  <c r="D61" i="40"/>
  <c r="B61" i="40" s="1"/>
  <c r="C61" i="40"/>
  <c r="E60" i="40"/>
  <c r="D60" i="40"/>
  <c r="B60" i="40" s="1"/>
  <c r="C60" i="40"/>
  <c r="E59" i="40"/>
  <c r="D59" i="40"/>
  <c r="B59" i="40" s="1"/>
  <c r="C59" i="40"/>
  <c r="E58" i="40"/>
  <c r="D58" i="40"/>
  <c r="B58" i="40" s="1"/>
  <c r="C58" i="40"/>
  <c r="E57" i="40"/>
  <c r="D57" i="40"/>
  <c r="B57" i="40" s="1"/>
  <c r="C57" i="40"/>
  <c r="E56" i="40"/>
  <c r="D56" i="40"/>
  <c r="B56" i="40" s="1"/>
  <c r="C56" i="40"/>
  <c r="E55" i="40"/>
  <c r="D55" i="40"/>
  <c r="B55" i="40" s="1"/>
  <c r="C55" i="40"/>
  <c r="E54" i="40"/>
  <c r="D54" i="40"/>
  <c r="B54" i="40" s="1"/>
  <c r="C54" i="40"/>
  <c r="E53" i="40"/>
  <c r="D53" i="40"/>
  <c r="B53" i="40" s="1"/>
  <c r="C53" i="40"/>
  <c r="E52" i="40"/>
  <c r="D52" i="40"/>
  <c r="B52" i="40" s="1"/>
  <c r="C52" i="40"/>
  <c r="E51" i="40"/>
  <c r="D51" i="40"/>
  <c r="B51" i="40" s="1"/>
  <c r="C51" i="40"/>
  <c r="E50" i="40"/>
  <c r="D50" i="40"/>
  <c r="C50" i="40"/>
  <c r="E49" i="40"/>
  <c r="D49" i="40"/>
  <c r="C49" i="40"/>
  <c r="E48" i="40"/>
  <c r="D48" i="40"/>
  <c r="C48" i="40"/>
  <c r="E47" i="40"/>
  <c r="D47" i="40"/>
  <c r="C47" i="40"/>
  <c r="E46" i="40"/>
  <c r="D46" i="40"/>
  <c r="C46" i="40"/>
  <c r="E45" i="40"/>
  <c r="D45" i="40"/>
  <c r="C45" i="40"/>
  <c r="E44" i="40"/>
  <c r="D44" i="40"/>
  <c r="C44" i="40"/>
  <c r="E43" i="40"/>
  <c r="D43" i="40"/>
  <c r="C43" i="40"/>
  <c r="E42" i="40"/>
  <c r="D42" i="40"/>
  <c r="C42" i="40"/>
  <c r="E41" i="40"/>
  <c r="D41" i="40"/>
  <c r="C41" i="40"/>
  <c r="E40" i="40"/>
  <c r="D40" i="40"/>
  <c r="C40" i="40"/>
  <c r="E39" i="40"/>
  <c r="D39" i="40"/>
  <c r="C39" i="40"/>
  <c r="AQ35" i="24"/>
  <c r="E38" i="40"/>
  <c r="D38" i="40"/>
  <c r="C38" i="40"/>
  <c r="X34" i="24"/>
  <c r="E37" i="40"/>
  <c r="D37" i="40"/>
  <c r="C37" i="40"/>
  <c r="E36" i="40"/>
  <c r="D36" i="40"/>
  <c r="C36" i="40"/>
  <c r="E35" i="40"/>
  <c r="D35" i="40"/>
  <c r="C35" i="40"/>
  <c r="E34" i="40"/>
  <c r="D34" i="40"/>
  <c r="C34" i="40"/>
  <c r="E33" i="40"/>
  <c r="D33" i="40"/>
  <c r="C33" i="40"/>
  <c r="E32" i="40"/>
  <c r="D32" i="40"/>
  <c r="C32" i="40"/>
  <c r="E31" i="40"/>
  <c r="D31" i="40"/>
  <c r="C31" i="40"/>
  <c r="E30" i="40"/>
  <c r="D30" i="40"/>
  <c r="C30" i="40"/>
  <c r="AQ26" i="24"/>
  <c r="E29" i="40"/>
  <c r="D29" i="40"/>
  <c r="C29" i="40"/>
  <c r="E28" i="40"/>
  <c r="D28" i="40"/>
  <c r="C28" i="40"/>
  <c r="E27" i="40"/>
  <c r="D27" i="40"/>
  <c r="C27" i="40"/>
  <c r="E26" i="40"/>
  <c r="D26" i="40"/>
  <c r="C26" i="40"/>
  <c r="E25" i="40"/>
  <c r="D25" i="40"/>
  <c r="C25" i="40"/>
  <c r="E24" i="40"/>
  <c r="D24" i="40"/>
  <c r="C24" i="40"/>
  <c r="E23" i="40"/>
  <c r="D23" i="40"/>
  <c r="C23" i="40"/>
  <c r="E22" i="40"/>
  <c r="D22" i="40"/>
  <c r="C22" i="40"/>
  <c r="AQ18" i="24"/>
  <c r="E21" i="40"/>
  <c r="D21" i="40"/>
  <c r="C21" i="40"/>
  <c r="X17" i="24"/>
  <c r="E20" i="40"/>
  <c r="D20" i="40"/>
  <c r="C20" i="40"/>
  <c r="AQ16" i="24"/>
  <c r="E19" i="40"/>
  <c r="D19" i="40"/>
  <c r="C19" i="40"/>
  <c r="X15" i="24"/>
  <c r="E18" i="40"/>
  <c r="D18" i="40"/>
  <c r="C18" i="40"/>
  <c r="AQ14" i="24"/>
  <c r="E17" i="40"/>
  <c r="D17" i="40"/>
  <c r="C17" i="40"/>
  <c r="X13" i="24"/>
  <c r="E16" i="40"/>
  <c r="D16" i="40"/>
  <c r="C16" i="40"/>
  <c r="AQ12" i="24"/>
  <c r="E15" i="40"/>
  <c r="D15" i="40"/>
  <c r="B15" i="40" s="1"/>
  <c r="C15" i="40"/>
  <c r="E14" i="40"/>
  <c r="D14" i="40"/>
  <c r="C14" i="40"/>
  <c r="AV78" i="41"/>
  <c r="Q78" i="41"/>
  <c r="AV77" i="41"/>
  <c r="Q77" i="41"/>
  <c r="AV76" i="41"/>
  <c r="Q76" i="41"/>
  <c r="AV75" i="41"/>
  <c r="Q75" i="41"/>
  <c r="I71" i="41"/>
  <c r="AO71" i="41" s="1"/>
  <c r="I70" i="41"/>
  <c r="AO70" i="41" s="1"/>
  <c r="H71" i="41"/>
  <c r="I69" i="41"/>
  <c r="AO69" i="41" s="1"/>
  <c r="I68" i="41"/>
  <c r="AO68" i="41" s="1"/>
  <c r="AL65" i="41"/>
  <c r="F65" i="41"/>
  <c r="AO60" i="24"/>
  <c r="V60" i="24"/>
  <c r="E63" i="41"/>
  <c r="D63" i="41"/>
  <c r="B63" i="41" s="1"/>
  <c r="C63" i="41"/>
  <c r="AO59" i="24"/>
  <c r="V59" i="24"/>
  <c r="E62" i="41"/>
  <c r="D62" i="41"/>
  <c r="B62" i="41" s="1"/>
  <c r="C62" i="41"/>
  <c r="E61" i="41"/>
  <c r="D61" i="41"/>
  <c r="B61" i="41" s="1"/>
  <c r="C61" i="41"/>
  <c r="E60" i="41"/>
  <c r="D60" i="41"/>
  <c r="B60" i="41" s="1"/>
  <c r="C60" i="41"/>
  <c r="E59" i="41"/>
  <c r="D59" i="41"/>
  <c r="B59" i="41" s="1"/>
  <c r="C59" i="41"/>
  <c r="E58" i="41"/>
  <c r="D58" i="41"/>
  <c r="B58" i="41" s="1"/>
  <c r="C58" i="41"/>
  <c r="E57" i="41"/>
  <c r="D57" i="41"/>
  <c r="B57" i="41" s="1"/>
  <c r="C57" i="41"/>
  <c r="E56" i="41"/>
  <c r="D56" i="41"/>
  <c r="B56" i="41" s="1"/>
  <c r="C56" i="41"/>
  <c r="E55" i="41"/>
  <c r="D55" i="41"/>
  <c r="B55" i="41" s="1"/>
  <c r="C55" i="41"/>
  <c r="E54" i="41"/>
  <c r="D54" i="41"/>
  <c r="B54" i="41" s="1"/>
  <c r="C54" i="41"/>
  <c r="E53" i="41"/>
  <c r="D53" i="41"/>
  <c r="B53" i="41" s="1"/>
  <c r="C53" i="41"/>
  <c r="V49" i="24"/>
  <c r="E52" i="41"/>
  <c r="D52" i="41"/>
  <c r="B52" i="41" s="1"/>
  <c r="C52" i="41"/>
  <c r="E51" i="41"/>
  <c r="D51" i="41"/>
  <c r="B51" i="41" s="1"/>
  <c r="C51" i="41"/>
  <c r="V47" i="24"/>
  <c r="E50" i="41"/>
  <c r="D50" i="41"/>
  <c r="C50" i="41"/>
  <c r="E49" i="41"/>
  <c r="D49" i="41"/>
  <c r="C49" i="41"/>
  <c r="V45" i="24"/>
  <c r="E48" i="41"/>
  <c r="D48" i="41"/>
  <c r="C48" i="41"/>
  <c r="E47" i="41"/>
  <c r="D47" i="41"/>
  <c r="C47" i="41"/>
  <c r="V43" i="24"/>
  <c r="E46" i="41"/>
  <c r="D46" i="41"/>
  <c r="C46" i="41"/>
  <c r="E45" i="41"/>
  <c r="D45" i="41"/>
  <c r="C45" i="41"/>
  <c r="V41" i="24"/>
  <c r="E44" i="41"/>
  <c r="D44" i="41"/>
  <c r="C44" i="41"/>
  <c r="E43" i="41"/>
  <c r="D43" i="41"/>
  <c r="C43" i="41"/>
  <c r="E42" i="41"/>
  <c r="D42" i="41"/>
  <c r="C42" i="41"/>
  <c r="AO38" i="24"/>
  <c r="E41" i="41"/>
  <c r="D41" i="41"/>
  <c r="C41" i="41"/>
  <c r="E40" i="41"/>
  <c r="D40" i="41"/>
  <c r="C40" i="41"/>
  <c r="E39" i="41"/>
  <c r="D39" i="41"/>
  <c r="C39" i="41"/>
  <c r="E38" i="41"/>
  <c r="D38" i="41"/>
  <c r="C38" i="41"/>
  <c r="E37" i="41"/>
  <c r="D37" i="41"/>
  <c r="C37" i="41"/>
  <c r="AO33" i="24"/>
  <c r="E36" i="41"/>
  <c r="D36" i="41"/>
  <c r="C36" i="41"/>
  <c r="E35" i="41"/>
  <c r="D35" i="41"/>
  <c r="C35" i="41"/>
  <c r="E34" i="41"/>
  <c r="D34" i="41"/>
  <c r="C34" i="41"/>
  <c r="E33" i="41"/>
  <c r="D33" i="41"/>
  <c r="C33" i="41"/>
  <c r="AO29" i="24"/>
  <c r="E32" i="41"/>
  <c r="D32" i="41"/>
  <c r="C32" i="41"/>
  <c r="V28" i="24"/>
  <c r="E31" i="41"/>
  <c r="D31" i="41"/>
  <c r="C31" i="41"/>
  <c r="E30" i="41"/>
  <c r="D30" i="41"/>
  <c r="C30" i="41"/>
  <c r="V26" i="24"/>
  <c r="E29" i="41"/>
  <c r="D29" i="41"/>
  <c r="C29" i="41"/>
  <c r="E28" i="41"/>
  <c r="D28" i="41"/>
  <c r="C28" i="41"/>
  <c r="V24" i="24"/>
  <c r="E27" i="41"/>
  <c r="D27" i="41"/>
  <c r="C27" i="41"/>
  <c r="E26" i="41"/>
  <c r="D26" i="41"/>
  <c r="C26" i="41"/>
  <c r="V22" i="24"/>
  <c r="E25" i="41"/>
  <c r="D25" i="41"/>
  <c r="C25" i="41"/>
  <c r="E24" i="41"/>
  <c r="D24" i="41"/>
  <c r="C24" i="41"/>
  <c r="V20" i="24"/>
  <c r="E23" i="41"/>
  <c r="D23" i="41"/>
  <c r="C23" i="41"/>
  <c r="E22" i="41"/>
  <c r="D22" i="41"/>
  <c r="C22" i="41"/>
  <c r="V18" i="24"/>
  <c r="E21" i="41"/>
  <c r="D21" i="41"/>
  <c r="C21" i="41"/>
  <c r="E20" i="41"/>
  <c r="D20" i="41"/>
  <c r="C20" i="41"/>
  <c r="V16" i="24"/>
  <c r="E19" i="41"/>
  <c r="D19" i="41"/>
  <c r="C19" i="41"/>
  <c r="E18" i="41"/>
  <c r="D18" i="41"/>
  <c r="C18" i="41"/>
  <c r="E17" i="41"/>
  <c r="D17" i="41"/>
  <c r="C17" i="41"/>
  <c r="E16" i="41"/>
  <c r="D16" i="41"/>
  <c r="C16" i="41"/>
  <c r="V12" i="24"/>
  <c r="E15" i="41"/>
  <c r="D15" i="41"/>
  <c r="B15" i="41" s="1"/>
  <c r="C15" i="41"/>
  <c r="E14" i="41"/>
  <c r="D14" i="41"/>
  <c r="C14" i="41"/>
  <c r="AV78" i="37"/>
  <c r="Q78" i="37"/>
  <c r="AV77" i="37"/>
  <c r="Q77" i="37"/>
  <c r="AV76" i="37"/>
  <c r="Q76" i="37"/>
  <c r="AV75" i="37"/>
  <c r="Q75" i="37"/>
  <c r="I71" i="37"/>
  <c r="AO71" i="37" s="1"/>
  <c r="I70" i="37"/>
  <c r="AO70" i="37" s="1"/>
  <c r="H71" i="37"/>
  <c r="I69" i="37"/>
  <c r="AO69" i="37" s="1"/>
  <c r="I68" i="37"/>
  <c r="AO68" i="37" s="1"/>
  <c r="AL65" i="37"/>
  <c r="F65" i="37"/>
  <c r="AN60" i="24"/>
  <c r="U60" i="24"/>
  <c r="E63" i="37"/>
  <c r="D63" i="37"/>
  <c r="B63" i="37" s="1"/>
  <c r="C63" i="37"/>
  <c r="AN59" i="24"/>
  <c r="U59" i="24"/>
  <c r="E62" i="37"/>
  <c r="D62" i="37"/>
  <c r="B62" i="37" s="1"/>
  <c r="C62" i="37"/>
  <c r="U58" i="24"/>
  <c r="E61" i="37"/>
  <c r="D61" i="37"/>
  <c r="B61" i="37" s="1"/>
  <c r="C61" i="37"/>
  <c r="E60" i="37"/>
  <c r="D60" i="37"/>
  <c r="B60" i="37" s="1"/>
  <c r="C60" i="37"/>
  <c r="U56" i="24"/>
  <c r="E59" i="37"/>
  <c r="D59" i="37"/>
  <c r="B59" i="37" s="1"/>
  <c r="C59" i="37"/>
  <c r="E58" i="37"/>
  <c r="D58" i="37"/>
  <c r="B58" i="37" s="1"/>
  <c r="C58" i="37"/>
  <c r="U54" i="24"/>
  <c r="E57" i="37"/>
  <c r="D57" i="37"/>
  <c r="B57" i="37" s="1"/>
  <c r="C57" i="37"/>
  <c r="E56" i="37"/>
  <c r="D56" i="37"/>
  <c r="B56" i="37" s="1"/>
  <c r="C56" i="37"/>
  <c r="U52" i="24"/>
  <c r="E55" i="37"/>
  <c r="D55" i="37"/>
  <c r="B55" i="37" s="1"/>
  <c r="C55" i="37"/>
  <c r="E54" i="37"/>
  <c r="D54" i="37"/>
  <c r="B54" i="37" s="1"/>
  <c r="C54" i="37"/>
  <c r="E53" i="37"/>
  <c r="D53" i="37"/>
  <c r="B53" i="37" s="1"/>
  <c r="C53" i="37"/>
  <c r="E52" i="37"/>
  <c r="D52" i="37"/>
  <c r="B52" i="37" s="1"/>
  <c r="C52" i="37"/>
  <c r="E51" i="37"/>
  <c r="D51" i="37"/>
  <c r="B51" i="37" s="1"/>
  <c r="C51" i="37"/>
  <c r="E50" i="37"/>
  <c r="D50" i="37"/>
  <c r="C50" i="37"/>
  <c r="E49" i="37"/>
  <c r="D49" i="37"/>
  <c r="C49" i="37"/>
  <c r="E48" i="37"/>
  <c r="D48" i="37"/>
  <c r="C48" i="37"/>
  <c r="E47" i="37"/>
  <c r="D47" i="37"/>
  <c r="C47" i="37"/>
  <c r="E46" i="37"/>
  <c r="D46" i="37"/>
  <c r="C46" i="37"/>
  <c r="AN42" i="24"/>
  <c r="E45" i="37"/>
  <c r="D45" i="37"/>
  <c r="C45" i="37"/>
  <c r="E44" i="37"/>
  <c r="D44" i="37"/>
  <c r="C44" i="37"/>
  <c r="E43" i="37"/>
  <c r="D43" i="37"/>
  <c r="C43" i="37"/>
  <c r="U39" i="24"/>
  <c r="E42" i="37"/>
  <c r="D42" i="37"/>
  <c r="C42" i="37"/>
  <c r="E41" i="37"/>
  <c r="D41" i="37"/>
  <c r="C41" i="37"/>
  <c r="E40" i="37"/>
  <c r="D40" i="37"/>
  <c r="C40" i="37"/>
  <c r="E39" i="37"/>
  <c r="D39" i="37"/>
  <c r="C39" i="37"/>
  <c r="E38" i="37"/>
  <c r="D38" i="37"/>
  <c r="C38" i="37"/>
  <c r="E37" i="37"/>
  <c r="D37" i="37"/>
  <c r="C37" i="37"/>
  <c r="E36" i="37"/>
  <c r="D36" i="37"/>
  <c r="C36" i="37"/>
  <c r="E35" i="37"/>
  <c r="D35" i="37"/>
  <c r="C35" i="37"/>
  <c r="E34" i="37"/>
  <c r="D34" i="37"/>
  <c r="C34" i="37"/>
  <c r="E33" i="37"/>
  <c r="D33" i="37"/>
  <c r="C33" i="37"/>
  <c r="E32" i="37"/>
  <c r="D32" i="37"/>
  <c r="C32" i="37"/>
  <c r="E31" i="37"/>
  <c r="D31" i="37"/>
  <c r="C31" i="37"/>
  <c r="E30" i="37"/>
  <c r="D30" i="37"/>
  <c r="C30" i="37"/>
  <c r="E29" i="37"/>
  <c r="D29" i="37"/>
  <c r="C29" i="37"/>
  <c r="E28" i="37"/>
  <c r="D28" i="37"/>
  <c r="C28" i="37"/>
  <c r="U24" i="24"/>
  <c r="E27" i="37"/>
  <c r="D27" i="37"/>
  <c r="C27" i="37"/>
  <c r="E26" i="37"/>
  <c r="D26" i="37"/>
  <c r="C26" i="37"/>
  <c r="U22" i="24"/>
  <c r="E25" i="37"/>
  <c r="D25" i="37"/>
  <c r="C25" i="37"/>
  <c r="E24" i="37"/>
  <c r="D24" i="37"/>
  <c r="C24" i="37"/>
  <c r="U20" i="24"/>
  <c r="E23" i="37"/>
  <c r="D23" i="37"/>
  <c r="C23" i="37"/>
  <c r="E22" i="37"/>
  <c r="D22" i="37"/>
  <c r="C22" i="37"/>
  <c r="U18" i="24"/>
  <c r="E21" i="37"/>
  <c r="D21" i="37"/>
  <c r="C21" i="37"/>
  <c r="E20" i="37"/>
  <c r="D20" i="37"/>
  <c r="C20" i="37"/>
  <c r="U16" i="24"/>
  <c r="E19" i="37"/>
  <c r="D19" i="37"/>
  <c r="C19" i="37"/>
  <c r="E18" i="37"/>
  <c r="D18" i="37"/>
  <c r="C18" i="37"/>
  <c r="U14" i="24"/>
  <c r="E17" i="37"/>
  <c r="D17" i="37"/>
  <c r="C17" i="37"/>
  <c r="E16" i="37"/>
  <c r="D16" i="37"/>
  <c r="C16" i="37"/>
  <c r="E15" i="37"/>
  <c r="D15" i="37"/>
  <c r="B15" i="37" s="1"/>
  <c r="C15" i="37"/>
  <c r="E14" i="37"/>
  <c r="D14" i="37"/>
  <c r="C14" i="37"/>
  <c r="AV78" i="38"/>
  <c r="Q78" i="38"/>
  <c r="AV77" i="38"/>
  <c r="Q77" i="38"/>
  <c r="AV76" i="38"/>
  <c r="Q76" i="38"/>
  <c r="AV75" i="38"/>
  <c r="Q75" i="38"/>
  <c r="I71" i="38"/>
  <c r="AO71" i="38" s="1"/>
  <c r="I70" i="38"/>
  <c r="AO70" i="38" s="1"/>
  <c r="H71" i="38"/>
  <c r="I69" i="38"/>
  <c r="AO69" i="38" s="1"/>
  <c r="I68" i="38"/>
  <c r="AO68" i="38" s="1"/>
  <c r="AL65" i="38"/>
  <c r="F65" i="38"/>
  <c r="AM60" i="24"/>
  <c r="T60" i="24"/>
  <c r="E63" i="38"/>
  <c r="D63" i="38"/>
  <c r="B63" i="38" s="1"/>
  <c r="C63" i="38"/>
  <c r="AM59" i="24"/>
  <c r="T59" i="24"/>
  <c r="E62" i="38"/>
  <c r="D62" i="38"/>
  <c r="B62" i="38" s="1"/>
  <c r="C62" i="38"/>
  <c r="E61" i="38"/>
  <c r="D61" i="38"/>
  <c r="B61" i="38" s="1"/>
  <c r="C61" i="38"/>
  <c r="E60" i="38"/>
  <c r="D60" i="38"/>
  <c r="B60" i="38" s="1"/>
  <c r="C60" i="38"/>
  <c r="E59" i="38"/>
  <c r="D59" i="38"/>
  <c r="B59" i="38" s="1"/>
  <c r="C59" i="38"/>
  <c r="AM55" i="24"/>
  <c r="E58" i="38"/>
  <c r="D58" i="38"/>
  <c r="B58" i="38" s="1"/>
  <c r="C58" i="38"/>
  <c r="E57" i="38"/>
  <c r="D57" i="38"/>
  <c r="B57" i="38" s="1"/>
  <c r="C57" i="38"/>
  <c r="E56" i="38"/>
  <c r="D56" i="38"/>
  <c r="B56" i="38" s="1"/>
  <c r="C56" i="38"/>
  <c r="E55" i="38"/>
  <c r="D55" i="38"/>
  <c r="B55" i="38" s="1"/>
  <c r="C55" i="38"/>
  <c r="E54" i="38"/>
  <c r="D54" i="38"/>
  <c r="B54" i="38" s="1"/>
  <c r="C54" i="38"/>
  <c r="E53" i="38"/>
  <c r="D53" i="38"/>
  <c r="B53" i="38" s="1"/>
  <c r="C53" i="38"/>
  <c r="T49" i="24"/>
  <c r="E52" i="38"/>
  <c r="D52" i="38"/>
  <c r="B52" i="38" s="1"/>
  <c r="C52" i="38"/>
  <c r="E51" i="38"/>
  <c r="D51" i="38"/>
  <c r="B51" i="38" s="1"/>
  <c r="C51" i="38"/>
  <c r="T47" i="24"/>
  <c r="E50" i="38"/>
  <c r="D50" i="38"/>
  <c r="C50" i="38"/>
  <c r="E49" i="38"/>
  <c r="D49" i="38"/>
  <c r="C49" i="38"/>
  <c r="T45" i="24"/>
  <c r="E48" i="38"/>
  <c r="D48" i="38"/>
  <c r="C48" i="38"/>
  <c r="E47" i="38"/>
  <c r="D47" i="38"/>
  <c r="C47" i="38"/>
  <c r="T43" i="24"/>
  <c r="E46" i="38"/>
  <c r="D46" i="38"/>
  <c r="C46" i="38"/>
  <c r="E45" i="38"/>
  <c r="D45" i="38"/>
  <c r="C45" i="38"/>
  <c r="T41" i="24"/>
  <c r="E44" i="38"/>
  <c r="D44" i="38"/>
  <c r="C44" i="38"/>
  <c r="E43" i="38"/>
  <c r="D43" i="38"/>
  <c r="C43" i="38"/>
  <c r="E42" i="38"/>
  <c r="D42" i="38"/>
  <c r="C42" i="38"/>
  <c r="E41" i="38"/>
  <c r="D41" i="38"/>
  <c r="C41" i="38"/>
  <c r="E40" i="38"/>
  <c r="D40" i="38"/>
  <c r="C40" i="38"/>
  <c r="E39" i="38"/>
  <c r="D39" i="38"/>
  <c r="C39" i="38"/>
  <c r="E38" i="38"/>
  <c r="D38" i="38"/>
  <c r="C38" i="38"/>
  <c r="E37" i="38"/>
  <c r="D37" i="38"/>
  <c r="C37" i="38"/>
  <c r="AM33" i="24"/>
  <c r="E36" i="38"/>
  <c r="D36" i="38"/>
  <c r="C36" i="38"/>
  <c r="E35" i="38"/>
  <c r="D35" i="38"/>
  <c r="C35" i="38"/>
  <c r="E34" i="38"/>
  <c r="D34" i="38"/>
  <c r="C34" i="38"/>
  <c r="E33" i="38"/>
  <c r="D33" i="38"/>
  <c r="C33" i="38"/>
  <c r="E32" i="38"/>
  <c r="D32" i="38"/>
  <c r="C32" i="38"/>
  <c r="E31" i="38"/>
  <c r="D31" i="38"/>
  <c r="C31" i="38"/>
  <c r="E30" i="38"/>
  <c r="D30" i="38"/>
  <c r="C30" i="38"/>
  <c r="E29" i="38"/>
  <c r="D29" i="38"/>
  <c r="C29" i="38"/>
  <c r="AM25" i="24"/>
  <c r="E28" i="38"/>
  <c r="D28" i="38"/>
  <c r="C28" i="38"/>
  <c r="E27" i="38"/>
  <c r="D27" i="38"/>
  <c r="C27" i="38"/>
  <c r="E26" i="38"/>
  <c r="D26" i="38"/>
  <c r="C26" i="38"/>
  <c r="E25" i="38"/>
  <c r="D25" i="38"/>
  <c r="C25" i="38"/>
  <c r="E24" i="38"/>
  <c r="D24" i="38"/>
  <c r="C24" i="38"/>
  <c r="E23" i="38"/>
  <c r="D23" i="38"/>
  <c r="C23" i="38"/>
  <c r="E22" i="38"/>
  <c r="D22" i="38"/>
  <c r="C22" i="38"/>
  <c r="E21" i="38"/>
  <c r="D21" i="38"/>
  <c r="C21" i="38"/>
  <c r="AM17" i="24"/>
  <c r="E20" i="38"/>
  <c r="D20" i="38"/>
  <c r="C20" i="38"/>
  <c r="E19" i="38"/>
  <c r="D19" i="38"/>
  <c r="C19" i="38"/>
  <c r="E18" i="38"/>
  <c r="D18" i="38"/>
  <c r="C18" i="38"/>
  <c r="E17" i="38"/>
  <c r="D17" i="38"/>
  <c r="C17" i="38"/>
  <c r="E16" i="38"/>
  <c r="D16" i="38"/>
  <c r="C16" i="38"/>
  <c r="E15" i="38"/>
  <c r="D15" i="38"/>
  <c r="B15" i="38" s="1"/>
  <c r="C15" i="38"/>
  <c r="E14" i="38"/>
  <c r="D14" i="38"/>
  <c r="C14" i="38"/>
  <c r="AV78" i="39"/>
  <c r="Q78" i="39"/>
  <c r="AV77" i="39"/>
  <c r="Q77" i="39"/>
  <c r="AV76" i="39"/>
  <c r="Q76" i="39"/>
  <c r="AV75" i="39"/>
  <c r="Q75" i="39"/>
  <c r="I71" i="39"/>
  <c r="AO71" i="39" s="1"/>
  <c r="I70" i="39"/>
  <c r="AO70" i="39" s="1"/>
  <c r="H71" i="39"/>
  <c r="I69" i="39"/>
  <c r="AO69" i="39" s="1"/>
  <c r="I68" i="39"/>
  <c r="AO68" i="39" s="1"/>
  <c r="AL65" i="39"/>
  <c r="F65" i="39"/>
  <c r="AL60" i="24"/>
  <c r="S60" i="24"/>
  <c r="E63" i="39"/>
  <c r="D63" i="39"/>
  <c r="B63" i="39" s="1"/>
  <c r="C63" i="39"/>
  <c r="AL59" i="24"/>
  <c r="S59" i="24"/>
  <c r="E62" i="39"/>
  <c r="D62" i="39"/>
  <c r="B62" i="39" s="1"/>
  <c r="C62" i="39"/>
  <c r="S58" i="24"/>
  <c r="E61" i="39"/>
  <c r="D61" i="39"/>
  <c r="B61" i="39" s="1"/>
  <c r="C61" i="39"/>
  <c r="E60" i="39"/>
  <c r="D60" i="39"/>
  <c r="B60" i="39" s="1"/>
  <c r="C60" i="39"/>
  <c r="S56" i="24"/>
  <c r="E59" i="39"/>
  <c r="D59" i="39"/>
  <c r="B59" i="39" s="1"/>
  <c r="C59" i="39"/>
  <c r="E58" i="39"/>
  <c r="D58" i="39"/>
  <c r="B58" i="39" s="1"/>
  <c r="C58" i="39"/>
  <c r="S54" i="24"/>
  <c r="E57" i="39"/>
  <c r="D57" i="39"/>
  <c r="B57" i="39" s="1"/>
  <c r="C57" i="39"/>
  <c r="E56" i="39"/>
  <c r="D56" i="39"/>
  <c r="B56" i="39" s="1"/>
  <c r="C56" i="39"/>
  <c r="S52" i="24"/>
  <c r="E55" i="39"/>
  <c r="D55" i="39"/>
  <c r="B55" i="39" s="1"/>
  <c r="C55" i="39"/>
  <c r="E54" i="39"/>
  <c r="D54" i="39"/>
  <c r="B54" i="39" s="1"/>
  <c r="C54" i="39"/>
  <c r="S50" i="24"/>
  <c r="E53" i="39"/>
  <c r="D53" i="39"/>
  <c r="B53" i="39" s="1"/>
  <c r="C53" i="39"/>
  <c r="E52" i="39"/>
  <c r="D52" i="39"/>
  <c r="B52" i="39" s="1"/>
  <c r="C52" i="39"/>
  <c r="S48" i="24"/>
  <c r="E51" i="39"/>
  <c r="D51" i="39"/>
  <c r="B51" i="39" s="1"/>
  <c r="C51" i="39"/>
  <c r="E50" i="39"/>
  <c r="D50" i="39"/>
  <c r="C50" i="39"/>
  <c r="S46" i="24"/>
  <c r="E49" i="39"/>
  <c r="D49" i="39"/>
  <c r="C49" i="39"/>
  <c r="E48" i="39"/>
  <c r="D48" i="39"/>
  <c r="C48" i="39"/>
  <c r="S44" i="24"/>
  <c r="E47" i="39"/>
  <c r="D47" i="39"/>
  <c r="C47" i="39"/>
  <c r="E46" i="39"/>
  <c r="D46" i="39"/>
  <c r="C46" i="39"/>
  <c r="S42" i="24"/>
  <c r="E45" i="39"/>
  <c r="D45" i="39"/>
  <c r="C45" i="39"/>
  <c r="E44" i="39"/>
  <c r="D44" i="39"/>
  <c r="C44" i="39"/>
  <c r="S40" i="24"/>
  <c r="E43" i="39"/>
  <c r="D43" i="39"/>
  <c r="C43" i="39"/>
  <c r="E42" i="39"/>
  <c r="D42" i="39"/>
  <c r="C42" i="39"/>
  <c r="E41" i="39"/>
  <c r="D41" i="39"/>
  <c r="C41" i="39"/>
  <c r="E40" i="39"/>
  <c r="D40" i="39"/>
  <c r="C40" i="39"/>
  <c r="E39" i="39"/>
  <c r="D39" i="39"/>
  <c r="C39" i="39"/>
  <c r="E38" i="39"/>
  <c r="D38" i="39"/>
  <c r="C38" i="39"/>
  <c r="E37" i="39"/>
  <c r="D37" i="39"/>
  <c r="C37" i="39"/>
  <c r="E36" i="39"/>
  <c r="D36" i="39"/>
  <c r="C36" i="39"/>
  <c r="E35" i="39"/>
  <c r="D35" i="39"/>
  <c r="C35" i="39"/>
  <c r="E34" i="39"/>
  <c r="D34" i="39"/>
  <c r="C34" i="39"/>
  <c r="AL30" i="24"/>
  <c r="E33" i="39"/>
  <c r="D33" i="39"/>
  <c r="C33" i="39"/>
  <c r="E32" i="39"/>
  <c r="D32" i="39"/>
  <c r="C32" i="39"/>
  <c r="E31" i="39"/>
  <c r="D31" i="39"/>
  <c r="C31" i="39"/>
  <c r="E30" i="39"/>
  <c r="D30" i="39"/>
  <c r="C30" i="39"/>
  <c r="E29" i="39"/>
  <c r="D29" i="39"/>
  <c r="C29" i="39"/>
  <c r="E28" i="39"/>
  <c r="D28" i="39"/>
  <c r="C28" i="39"/>
  <c r="E27" i="39"/>
  <c r="D27" i="39"/>
  <c r="C27" i="39"/>
  <c r="E26" i="39"/>
  <c r="D26" i="39"/>
  <c r="C26" i="39"/>
  <c r="AL22" i="24"/>
  <c r="E25" i="39"/>
  <c r="D25" i="39"/>
  <c r="C25" i="39"/>
  <c r="E24" i="39"/>
  <c r="D24" i="39"/>
  <c r="C24" i="39"/>
  <c r="E23" i="39"/>
  <c r="D23" i="39"/>
  <c r="C23" i="39"/>
  <c r="E22" i="39"/>
  <c r="D22" i="39"/>
  <c r="C22" i="39"/>
  <c r="AL18" i="24"/>
  <c r="E21" i="39"/>
  <c r="D21" i="39"/>
  <c r="C21" i="39"/>
  <c r="E20" i="39"/>
  <c r="D20" i="39"/>
  <c r="C20" i="39"/>
  <c r="E19" i="39"/>
  <c r="D19" i="39"/>
  <c r="C19" i="39"/>
  <c r="E18" i="39"/>
  <c r="D18" i="39"/>
  <c r="C18" i="39"/>
  <c r="AL14" i="24"/>
  <c r="E17" i="39"/>
  <c r="D17" i="39"/>
  <c r="C17" i="39"/>
  <c r="E16" i="39"/>
  <c r="D16" i="39"/>
  <c r="C16" i="39"/>
  <c r="E15" i="39"/>
  <c r="D15" i="39"/>
  <c r="B15" i="39" s="1"/>
  <c r="C15" i="39"/>
  <c r="E14" i="39"/>
  <c r="D14" i="39"/>
  <c r="C14" i="39"/>
  <c r="V7" i="20" l="1"/>
  <c r="V8" i="20"/>
  <c r="D50" i="46" s="1"/>
  <c r="V5" i="20"/>
  <c r="V6" i="20"/>
  <c r="D48" i="46" s="1"/>
  <c r="V9" i="20"/>
  <c r="V4" i="20"/>
  <c r="H78" i="38"/>
  <c r="AN78" i="38" s="1"/>
  <c r="AN71" i="38"/>
  <c r="AN71" i="37"/>
  <c r="H78" i="37"/>
  <c r="AN78" i="37" s="1"/>
  <c r="H78" i="40"/>
  <c r="AN78" i="40" s="1"/>
  <c r="AN71" i="40"/>
  <c r="AN71" i="39"/>
  <c r="H78" i="39"/>
  <c r="AN78" i="39" s="1"/>
  <c r="AN71" i="41"/>
  <c r="H78" i="41"/>
  <c r="AN78" i="41" s="1"/>
  <c r="B16" i="40"/>
  <c r="B17" i="40" s="1"/>
  <c r="B18" i="40" s="1"/>
  <c r="B19" i="40" s="1"/>
  <c r="B20" i="40" s="1"/>
  <c r="B21" i="40" s="1"/>
  <c r="B22" i="40" s="1"/>
  <c r="B23" i="40" s="1"/>
  <c r="B24" i="40" s="1"/>
  <c r="B25" i="40" s="1"/>
  <c r="B26" i="40" s="1"/>
  <c r="B27" i="40" s="1"/>
  <c r="B28" i="40" s="1"/>
  <c r="B29" i="40" s="1"/>
  <c r="B30" i="40" s="1"/>
  <c r="B31" i="40" s="1"/>
  <c r="B32" i="40" s="1"/>
  <c r="B33" i="40" s="1"/>
  <c r="B34" i="40" s="1"/>
  <c r="B35" i="40" s="1"/>
  <c r="B36" i="40" s="1"/>
  <c r="B37" i="40" s="1"/>
  <c r="B38" i="40" s="1"/>
  <c r="B16" i="38"/>
  <c r="B17" i="38" s="1"/>
  <c r="B18" i="38" s="1"/>
  <c r="B19" i="38" s="1"/>
  <c r="B20" i="38" s="1"/>
  <c r="B21" i="38" s="1"/>
  <c r="B22" i="38" s="1"/>
  <c r="B23" i="38" s="1"/>
  <c r="B24" i="38" s="1"/>
  <c r="B25" i="38" s="1"/>
  <c r="B26" i="38" s="1"/>
  <c r="B27" i="38" s="1"/>
  <c r="B28" i="38" s="1"/>
  <c r="B29" i="38" s="1"/>
  <c r="B30" i="38" s="1"/>
  <c r="B31" i="38" s="1"/>
  <c r="B32" i="38" s="1"/>
  <c r="B33" i="38" s="1"/>
  <c r="B34" i="38" s="1"/>
  <c r="B35" i="38" s="1"/>
  <c r="B36" i="38" s="1"/>
  <c r="B37" i="38" s="1"/>
  <c r="B38" i="38" s="1"/>
  <c r="B16" i="41"/>
  <c r="B17" i="41" s="1"/>
  <c r="B18" i="41" s="1"/>
  <c r="B19" i="41" s="1"/>
  <c r="B20" i="41" s="1"/>
  <c r="B21" i="41" s="1"/>
  <c r="B22" i="41" s="1"/>
  <c r="B23" i="41" s="1"/>
  <c r="B24" i="41" s="1"/>
  <c r="B25" i="41" s="1"/>
  <c r="B26" i="41" s="1"/>
  <c r="B27" i="41" s="1"/>
  <c r="B28" i="41" s="1"/>
  <c r="B29" i="41" s="1"/>
  <c r="B30" i="41" s="1"/>
  <c r="B31" i="41" s="1"/>
  <c r="B32" i="41" s="1"/>
  <c r="B33" i="41" s="1"/>
  <c r="B34" i="41" s="1"/>
  <c r="B35" i="41" s="1"/>
  <c r="B36" i="41" s="1"/>
  <c r="B37" i="41" s="1"/>
  <c r="B38" i="41" s="1"/>
  <c r="V12" i="20"/>
  <c r="G47" i="35"/>
  <c r="G76" i="35" s="1"/>
  <c r="D47" i="35"/>
  <c r="G41" i="35"/>
  <c r="G70" i="35" s="1"/>
  <c r="D41" i="35"/>
  <c r="G43" i="35"/>
  <c r="G72" i="35" s="1"/>
  <c r="D43" i="35"/>
  <c r="G42" i="35"/>
  <c r="G71" i="35" s="1"/>
  <c r="D42" i="35"/>
  <c r="G44" i="35"/>
  <c r="G73" i="35" s="1"/>
  <c r="D44" i="35"/>
  <c r="D47" i="46"/>
  <c r="V13" i="20"/>
  <c r="V10" i="20"/>
  <c r="D49" i="46"/>
  <c r="V11" i="20"/>
  <c r="B16" i="37"/>
  <c r="B17" i="37" s="1"/>
  <c r="B18" i="37" s="1"/>
  <c r="B19" i="37" s="1"/>
  <c r="B20" i="37" s="1"/>
  <c r="B21" i="37" s="1"/>
  <c r="B22" i="37" s="1"/>
  <c r="B23" i="37" s="1"/>
  <c r="B24" i="37" s="1"/>
  <c r="B25" i="37" s="1"/>
  <c r="B26" i="37" s="1"/>
  <c r="B27" i="37" s="1"/>
  <c r="B28" i="37" s="1"/>
  <c r="B29" i="37" s="1"/>
  <c r="B30" i="37" s="1"/>
  <c r="B31" i="37" s="1"/>
  <c r="B32" i="37" s="1"/>
  <c r="B33" i="37" s="1"/>
  <c r="B34" i="37" s="1"/>
  <c r="B35" i="37" s="1"/>
  <c r="B36" i="37" s="1"/>
  <c r="B37" i="37" s="1"/>
  <c r="B38" i="37" s="1"/>
  <c r="I78" i="39"/>
  <c r="AO78" i="39" s="1"/>
  <c r="X11" i="24"/>
  <c r="T11" i="24"/>
  <c r="B16" i="39"/>
  <c r="B17" i="39" s="1"/>
  <c r="B18" i="39" s="1"/>
  <c r="B19" i="39" s="1"/>
  <c r="B20" i="39" s="1"/>
  <c r="B21" i="39" s="1"/>
  <c r="B22" i="39" s="1"/>
  <c r="B23" i="39" s="1"/>
  <c r="B24" i="39" s="1"/>
  <c r="B25" i="39" s="1"/>
  <c r="B26" i="39" s="1"/>
  <c r="B27" i="39" s="1"/>
  <c r="B28" i="39" s="1"/>
  <c r="B29" i="39" s="1"/>
  <c r="B30" i="39" s="1"/>
  <c r="B31" i="39" s="1"/>
  <c r="B32" i="39" s="1"/>
  <c r="B33" i="39" s="1"/>
  <c r="B34" i="39" s="1"/>
  <c r="B35" i="39" s="1"/>
  <c r="B36" i="39" s="1"/>
  <c r="B37" i="39" s="1"/>
  <c r="B38" i="39" s="1"/>
  <c r="H70" i="37"/>
  <c r="S11" i="24"/>
  <c r="U11" i="24"/>
  <c r="AL12" i="24"/>
  <c r="AL13" i="24"/>
  <c r="S17" i="24"/>
  <c r="S18" i="24"/>
  <c r="AL19" i="24"/>
  <c r="AL20" i="24"/>
  <c r="AL21" i="24"/>
  <c r="S23" i="24"/>
  <c r="S24" i="24"/>
  <c r="S25" i="24"/>
  <c r="S26" i="24"/>
  <c r="S27" i="24"/>
  <c r="S28" i="24"/>
  <c r="S29" i="24"/>
  <c r="S30" i="24"/>
  <c r="AL31" i="24"/>
  <c r="AL32" i="24"/>
  <c r="AL33" i="24"/>
  <c r="AL34" i="24"/>
  <c r="AL35" i="24"/>
  <c r="AL36" i="24"/>
  <c r="AL37" i="24"/>
  <c r="AL38" i="24"/>
  <c r="S39" i="24"/>
  <c r="AL40" i="24"/>
  <c r="S41" i="24"/>
  <c r="AL43" i="24"/>
  <c r="AL44" i="24"/>
  <c r="S45" i="24"/>
  <c r="AL47" i="24"/>
  <c r="AL48" i="24"/>
  <c r="S49" i="24"/>
  <c r="AL51" i="24"/>
  <c r="AL52" i="24"/>
  <c r="S53" i="24"/>
  <c r="AL55" i="24"/>
  <c r="AL56" i="24"/>
  <c r="S57" i="24"/>
  <c r="AM12" i="24"/>
  <c r="AM13" i="24"/>
  <c r="AM14" i="24"/>
  <c r="T15" i="24"/>
  <c r="AM15" i="24"/>
  <c r="AM16" i="24"/>
  <c r="T18" i="24"/>
  <c r="T19" i="24"/>
  <c r="T20" i="24"/>
  <c r="T21" i="24"/>
  <c r="T22" i="24"/>
  <c r="T23" i="24"/>
  <c r="T24" i="24"/>
  <c r="T25" i="24"/>
  <c r="AM26" i="24"/>
  <c r="AM27" i="24"/>
  <c r="AM28" i="24"/>
  <c r="AM29" i="24"/>
  <c r="AM30" i="24"/>
  <c r="AM31" i="24"/>
  <c r="AM32" i="24"/>
  <c r="T34" i="24"/>
  <c r="T35" i="24"/>
  <c r="T36" i="24"/>
  <c r="T37" i="24"/>
  <c r="T39" i="24"/>
  <c r="T40" i="24"/>
  <c r="AM42" i="24"/>
  <c r="AM43" i="24"/>
  <c r="T44" i="24"/>
  <c r="AM46" i="24"/>
  <c r="AM47" i="24"/>
  <c r="T48" i="24"/>
  <c r="AM50" i="24"/>
  <c r="AM51" i="24"/>
  <c r="T52" i="24"/>
  <c r="AM53" i="24"/>
  <c r="T54" i="24"/>
  <c r="AM56" i="24"/>
  <c r="T57" i="24"/>
  <c r="AM58" i="24"/>
  <c r="AL70" i="38"/>
  <c r="AN12" i="24"/>
  <c r="U13" i="24"/>
  <c r="AN13" i="24"/>
  <c r="AN14" i="24"/>
  <c r="AN15" i="24"/>
  <c r="U17" i="24"/>
  <c r="AN18" i="24"/>
  <c r="AN19" i="24"/>
  <c r="U21" i="24"/>
  <c r="AN22" i="24"/>
  <c r="AN23" i="24"/>
  <c r="U25" i="24"/>
  <c r="U26" i="24"/>
  <c r="U27" i="24"/>
  <c r="U28" i="24"/>
  <c r="U29" i="24"/>
  <c r="U30" i="24"/>
  <c r="U31" i="24"/>
  <c r="U32" i="24"/>
  <c r="U33" i="24"/>
  <c r="U34" i="24"/>
  <c r="U35" i="24"/>
  <c r="U36" i="24"/>
  <c r="U37" i="24"/>
  <c r="U38" i="24"/>
  <c r="AN39" i="24"/>
  <c r="AN40" i="24"/>
  <c r="U41" i="24"/>
  <c r="AN43" i="24"/>
  <c r="U44" i="24"/>
  <c r="AN45" i="24"/>
  <c r="U46" i="24"/>
  <c r="AN47" i="24"/>
  <c r="U48" i="24"/>
  <c r="AN49" i="24"/>
  <c r="U50" i="24"/>
  <c r="AN51" i="24"/>
  <c r="AN52" i="24"/>
  <c r="U53" i="24"/>
  <c r="AN55" i="24"/>
  <c r="AN56" i="24"/>
  <c r="U57" i="24"/>
  <c r="AO12" i="24"/>
  <c r="V13" i="24"/>
  <c r="V14" i="24"/>
  <c r="AO15" i="24"/>
  <c r="V17" i="24"/>
  <c r="AO18" i="24"/>
  <c r="AO19" i="24"/>
  <c r="V21" i="24"/>
  <c r="AO22" i="24"/>
  <c r="AO23" i="24"/>
  <c r="V25" i="24"/>
  <c r="AO26" i="24"/>
  <c r="AO27" i="24"/>
  <c r="V29" i="24"/>
  <c r="AO30" i="24"/>
  <c r="AO31" i="24"/>
  <c r="AO32" i="24"/>
  <c r="V34" i="24"/>
  <c r="V35" i="24"/>
  <c r="V36" i="24"/>
  <c r="V37" i="24"/>
  <c r="AO39" i="24"/>
  <c r="AO40" i="24"/>
  <c r="AO41" i="24"/>
  <c r="V42" i="24"/>
  <c r="AO44" i="24"/>
  <c r="AO45" i="24"/>
  <c r="V46" i="24"/>
  <c r="AO48" i="24"/>
  <c r="AO49" i="24"/>
  <c r="V50" i="24"/>
  <c r="V51" i="24"/>
  <c r="AO52" i="24"/>
  <c r="V53" i="24"/>
  <c r="AO54" i="24"/>
  <c r="V55" i="24"/>
  <c r="AO56" i="24"/>
  <c r="V57" i="24"/>
  <c r="AO58" i="24"/>
  <c r="AQ13" i="24"/>
  <c r="AQ15" i="24"/>
  <c r="AQ17" i="24"/>
  <c r="X19" i="24"/>
  <c r="X20" i="24"/>
  <c r="X21" i="24"/>
  <c r="X22" i="24"/>
  <c r="X23" i="24"/>
  <c r="X24" i="24"/>
  <c r="X25" i="24"/>
  <c r="X26" i="24"/>
  <c r="AQ27" i="24"/>
  <c r="AQ28" i="24"/>
  <c r="AQ29" i="24"/>
  <c r="AQ30" i="24"/>
  <c r="AQ31" i="24"/>
  <c r="AQ32" i="24"/>
  <c r="AQ33" i="24"/>
  <c r="X36" i="24"/>
  <c r="X37" i="24"/>
  <c r="X38" i="24"/>
  <c r="X39" i="24"/>
  <c r="X40" i="24"/>
  <c r="AQ41" i="24"/>
  <c r="X42" i="24"/>
  <c r="AQ43" i="24"/>
  <c r="X44" i="24"/>
  <c r="AQ45" i="24"/>
  <c r="X46" i="24"/>
  <c r="AQ47" i="24"/>
  <c r="X48" i="24"/>
  <c r="AQ49" i="24"/>
  <c r="X50" i="24"/>
  <c r="AQ51" i="24"/>
  <c r="X52" i="24"/>
  <c r="AQ53" i="24"/>
  <c r="X54" i="24"/>
  <c r="AQ55" i="24"/>
  <c r="X56" i="24"/>
  <c r="AQ57" i="24"/>
  <c r="X58" i="24"/>
  <c r="S15" i="24"/>
  <c r="S16" i="24"/>
  <c r="S12" i="24"/>
  <c r="S13" i="24"/>
  <c r="S14" i="24"/>
  <c r="AL15" i="24"/>
  <c r="AL16" i="24"/>
  <c r="AL17" i="24"/>
  <c r="S19" i="24"/>
  <c r="S20" i="24"/>
  <c r="S21" i="24"/>
  <c r="S22" i="24"/>
  <c r="AL23" i="24"/>
  <c r="AL24" i="24"/>
  <c r="AL25" i="24"/>
  <c r="AL26" i="24"/>
  <c r="AL27" i="24"/>
  <c r="AL28" i="24"/>
  <c r="AL29" i="24"/>
  <c r="S31" i="24"/>
  <c r="S32" i="24"/>
  <c r="S33" i="24"/>
  <c r="S34" i="24"/>
  <c r="S35" i="24"/>
  <c r="S36" i="24"/>
  <c r="S37" i="24"/>
  <c r="S38" i="24"/>
  <c r="AL39" i="24"/>
  <c r="AL41" i="24"/>
  <c r="AL42" i="24"/>
  <c r="S43" i="24"/>
  <c r="AL45" i="24"/>
  <c r="AL46" i="24"/>
  <c r="S47" i="24"/>
  <c r="AL49" i="24"/>
  <c r="AL50" i="24"/>
  <c r="S51" i="24"/>
  <c r="AL53" i="24"/>
  <c r="AL54" i="24"/>
  <c r="S55" i="24"/>
  <c r="AL57" i="24"/>
  <c r="AL58" i="24"/>
  <c r="T12" i="24"/>
  <c r="T13" i="24"/>
  <c r="T14" i="24"/>
  <c r="T16" i="24"/>
  <c r="T17" i="24"/>
  <c r="AM18" i="24"/>
  <c r="AM19" i="24"/>
  <c r="AM20" i="24"/>
  <c r="AM21" i="24"/>
  <c r="AM22" i="24"/>
  <c r="AM23" i="24"/>
  <c r="AM24" i="24"/>
  <c r="T26" i="24"/>
  <c r="T27" i="24"/>
  <c r="T28" i="24"/>
  <c r="T29" i="24"/>
  <c r="T30" i="24"/>
  <c r="T31" i="24"/>
  <c r="T32" i="24"/>
  <c r="T33" i="24"/>
  <c r="AM34" i="24"/>
  <c r="AM35" i="24"/>
  <c r="AM36" i="24"/>
  <c r="AM37" i="24"/>
  <c r="T38" i="24"/>
  <c r="AM38" i="24"/>
  <c r="AM39" i="24"/>
  <c r="AM40" i="24"/>
  <c r="AM41" i="24"/>
  <c r="T42" i="24"/>
  <c r="AM44" i="24"/>
  <c r="AM45" i="24"/>
  <c r="T46" i="24"/>
  <c r="AM48" i="24"/>
  <c r="AM49" i="24"/>
  <c r="T50" i="24"/>
  <c r="T51" i="24"/>
  <c r="AM52" i="24"/>
  <c r="T53" i="24"/>
  <c r="AM54" i="24"/>
  <c r="T55" i="24"/>
  <c r="T56" i="24"/>
  <c r="AM57" i="24"/>
  <c r="T58" i="24"/>
  <c r="U12" i="24"/>
  <c r="U15" i="24"/>
  <c r="AN16" i="24"/>
  <c r="AN17" i="24"/>
  <c r="U19" i="24"/>
  <c r="AN20" i="24"/>
  <c r="AN21" i="24"/>
  <c r="U23" i="24"/>
  <c r="AN24" i="24"/>
  <c r="AN25" i="24"/>
  <c r="AN26" i="24"/>
  <c r="AN27" i="24"/>
  <c r="AN28" i="24"/>
  <c r="AN29" i="24"/>
  <c r="AN30" i="24"/>
  <c r="AN31" i="24"/>
  <c r="AN32" i="24"/>
  <c r="AN33" i="24"/>
  <c r="AN34" i="24"/>
  <c r="AN35" i="24"/>
  <c r="AN36" i="24"/>
  <c r="AN37" i="24"/>
  <c r="AN38" i="24"/>
  <c r="U40" i="24"/>
  <c r="AN41" i="24"/>
  <c r="U42" i="24"/>
  <c r="U43" i="24"/>
  <c r="AN44" i="24"/>
  <c r="U45" i="24"/>
  <c r="AN46" i="24"/>
  <c r="U47" i="24"/>
  <c r="AN48" i="24"/>
  <c r="U49" i="24"/>
  <c r="AN50" i="24"/>
  <c r="U51" i="24"/>
  <c r="AN53" i="24"/>
  <c r="AN54" i="24"/>
  <c r="U55" i="24"/>
  <c r="AN57" i="24"/>
  <c r="AN58" i="24"/>
  <c r="V11" i="24"/>
  <c r="AO13" i="24"/>
  <c r="AO14" i="24"/>
  <c r="V15" i="24"/>
  <c r="AO16" i="24"/>
  <c r="AO17" i="24"/>
  <c r="V19" i="24"/>
  <c r="AO20" i="24"/>
  <c r="AO21" i="24"/>
  <c r="V23" i="24"/>
  <c r="AO24" i="24"/>
  <c r="AO25" i="24"/>
  <c r="V27" i="24"/>
  <c r="AO28" i="24"/>
  <c r="V30" i="24"/>
  <c r="V31" i="24"/>
  <c r="V32" i="24"/>
  <c r="V33" i="24"/>
  <c r="AO34" i="24"/>
  <c r="AO35" i="24"/>
  <c r="AO36" i="24"/>
  <c r="AO37" i="24"/>
  <c r="V38" i="24"/>
  <c r="V39" i="24"/>
  <c r="V40" i="24"/>
  <c r="AO42" i="24"/>
  <c r="AO43" i="24"/>
  <c r="V44" i="24"/>
  <c r="AO46" i="24"/>
  <c r="AO47" i="24"/>
  <c r="V48" i="24"/>
  <c r="AO50" i="24"/>
  <c r="AO51" i="24"/>
  <c r="V52" i="24"/>
  <c r="AO53" i="24"/>
  <c r="V54" i="24"/>
  <c r="AO55" i="24"/>
  <c r="V56" i="24"/>
  <c r="AO57" i="24"/>
  <c r="V58" i="24"/>
  <c r="X12" i="24"/>
  <c r="X14" i="24"/>
  <c r="X16" i="24"/>
  <c r="X18" i="24"/>
  <c r="AQ19" i="24"/>
  <c r="AQ20" i="24"/>
  <c r="AQ21" i="24"/>
  <c r="AQ22" i="24"/>
  <c r="AQ23" i="24"/>
  <c r="AQ24" i="24"/>
  <c r="AQ25" i="24"/>
  <c r="X27" i="24"/>
  <c r="X28" i="24"/>
  <c r="X29" i="24"/>
  <c r="X30" i="24"/>
  <c r="X31" i="24"/>
  <c r="X32" i="24"/>
  <c r="X33" i="24"/>
  <c r="AQ34" i="24"/>
  <c r="X35" i="24"/>
  <c r="AQ36" i="24"/>
  <c r="AQ37" i="24"/>
  <c r="AQ38" i="24"/>
  <c r="AQ39" i="24"/>
  <c r="AQ40" i="24"/>
  <c r="X41" i="24"/>
  <c r="AQ42" i="24"/>
  <c r="X43" i="24"/>
  <c r="AQ44" i="24"/>
  <c r="X45" i="24"/>
  <c r="AQ46" i="24"/>
  <c r="X47" i="24"/>
  <c r="AQ48" i="24"/>
  <c r="X49" i="24"/>
  <c r="AQ50" i="24"/>
  <c r="X51" i="24"/>
  <c r="AQ52" i="24"/>
  <c r="X53" i="24"/>
  <c r="AQ54" i="24"/>
  <c r="X55" i="24"/>
  <c r="AQ56" i="24"/>
  <c r="X57" i="24"/>
  <c r="AQ58" i="24"/>
  <c r="H70" i="38"/>
  <c r="H70" i="39"/>
  <c r="AL70" i="39"/>
  <c r="AL70" i="37"/>
  <c r="H70" i="40"/>
  <c r="AL70" i="40"/>
  <c r="H70" i="41"/>
  <c r="AL70" i="41"/>
  <c r="H75" i="39"/>
  <c r="AN75" i="39" s="1"/>
  <c r="AM11" i="24"/>
  <c r="AN11" i="24"/>
  <c r="AO11" i="24"/>
  <c r="AQ11" i="24"/>
  <c r="AL11" i="24"/>
  <c r="I75" i="40"/>
  <c r="AO75" i="40" s="1"/>
  <c r="I76" i="40"/>
  <c r="AO76" i="40" s="1"/>
  <c r="I77" i="40"/>
  <c r="AO77" i="40" s="1"/>
  <c r="F78" i="40"/>
  <c r="I78" i="40"/>
  <c r="AO78" i="40" s="1"/>
  <c r="H75" i="40"/>
  <c r="AN75" i="40" s="1"/>
  <c r="I75" i="41"/>
  <c r="AO75" i="41" s="1"/>
  <c r="I76" i="41"/>
  <c r="AO76" i="41" s="1"/>
  <c r="I77" i="41"/>
  <c r="AO77" i="41" s="1"/>
  <c r="F78" i="41"/>
  <c r="I78" i="41"/>
  <c r="AO78" i="41" s="1"/>
  <c r="H75" i="41"/>
  <c r="AN75" i="41" s="1"/>
  <c r="I75" i="37"/>
  <c r="AO75" i="37" s="1"/>
  <c r="I76" i="37"/>
  <c r="AO76" i="37" s="1"/>
  <c r="I77" i="37"/>
  <c r="AO77" i="37" s="1"/>
  <c r="F78" i="37"/>
  <c r="I78" i="37"/>
  <c r="AO78" i="37" s="1"/>
  <c r="H75" i="37"/>
  <c r="AN75" i="37" s="1"/>
  <c r="I75" i="38"/>
  <c r="AO75" i="38" s="1"/>
  <c r="I76" i="38"/>
  <c r="AO76" i="38" s="1"/>
  <c r="I77" i="38"/>
  <c r="AO77" i="38" s="1"/>
  <c r="F78" i="38"/>
  <c r="I78" i="38"/>
  <c r="AO78" i="38" s="1"/>
  <c r="H75" i="38"/>
  <c r="AN75" i="38" s="1"/>
  <c r="I75" i="39"/>
  <c r="AO75" i="39" s="1"/>
  <c r="I76" i="39"/>
  <c r="AO76" i="39" s="1"/>
  <c r="I77" i="39"/>
  <c r="AO77" i="39" s="1"/>
  <c r="F78" i="39"/>
  <c r="U41" i="22"/>
  <c r="P87" i="22"/>
  <c r="J36" i="21"/>
  <c r="E9" i="21"/>
  <c r="D9" i="34"/>
  <c r="F9" i="34"/>
  <c r="F9" i="35"/>
  <c r="H53" i="34"/>
  <c r="H23" i="34"/>
  <c r="D85" i="34" s="1"/>
  <c r="B39" i="38" l="1"/>
  <c r="B40" i="38" s="1"/>
  <c r="B41" i="38" s="1"/>
  <c r="B42" i="38" s="1"/>
  <c r="B43" i="38" s="1"/>
  <c r="B44" i="38" s="1"/>
  <c r="B45" i="38" s="1"/>
  <c r="B46" i="38" s="1"/>
  <c r="B47" i="38" s="1"/>
  <c r="B48" i="38" s="1"/>
  <c r="B49" i="38" s="1"/>
  <c r="B50" i="38" s="1"/>
  <c r="J48" i="43"/>
  <c r="I48" i="43" s="1"/>
  <c r="B39" i="40"/>
  <c r="B40" i="40" s="1"/>
  <c r="B41" i="40" s="1"/>
  <c r="B42" i="40" s="1"/>
  <c r="B43" i="40" s="1"/>
  <c r="B44" i="40" s="1"/>
  <c r="B45" i="40" s="1"/>
  <c r="B46" i="40" s="1"/>
  <c r="B47" i="40" s="1"/>
  <c r="B48" i="40" s="1"/>
  <c r="B49" i="40" s="1"/>
  <c r="B50" i="40" s="1"/>
  <c r="AQ27" i="45"/>
  <c r="AQ17" i="45"/>
  <c r="AQ36" i="45"/>
  <c r="AQ21" i="45"/>
  <c r="AI21" i="45"/>
  <c r="B9" i="39"/>
  <c r="AL78" i="39"/>
  <c r="B9" i="37"/>
  <c r="AL78" i="37"/>
  <c r="B9" i="40"/>
  <c r="AL78" i="40"/>
  <c r="F69" i="41"/>
  <c r="AN70" i="41"/>
  <c r="H77" i="41"/>
  <c r="AN77" i="41" s="1"/>
  <c r="AN70" i="39"/>
  <c r="H77" i="39"/>
  <c r="AN77" i="39" s="1"/>
  <c r="B9" i="38"/>
  <c r="AL78" i="38"/>
  <c r="B9" i="41"/>
  <c r="AL78" i="41"/>
  <c r="F69" i="40"/>
  <c r="AN70" i="40"/>
  <c r="H77" i="40"/>
  <c r="AN77" i="40" s="1"/>
  <c r="F69" i="37"/>
  <c r="AN70" i="37"/>
  <c r="H77" i="37"/>
  <c r="AN77" i="37" s="1"/>
  <c r="F69" i="38"/>
  <c r="H77" i="38"/>
  <c r="AN77" i="38" s="1"/>
  <c r="AN70" i="38"/>
  <c r="AI30" i="45"/>
  <c r="AI35" i="45"/>
  <c r="AI17" i="45"/>
  <c r="I41" i="46"/>
  <c r="J41" i="46"/>
  <c r="K41" i="46"/>
  <c r="AI36" i="45"/>
  <c r="AI25" i="45"/>
  <c r="AI18" i="45"/>
  <c r="AI33" i="45"/>
  <c r="AI22" i="45"/>
  <c r="K36" i="46"/>
  <c r="R36" i="46"/>
  <c r="H36" i="46"/>
  <c r="AI37" i="45"/>
  <c r="AI32" i="45"/>
  <c r="AI28" i="45"/>
  <c r="AI23" i="45"/>
  <c r="AI16" i="45"/>
  <c r="M36" i="46"/>
  <c r="L36" i="46"/>
  <c r="AI38" i="45"/>
  <c r="AI31" i="45"/>
  <c r="AI27" i="45"/>
  <c r="AI20" i="45"/>
  <c r="AI15" i="45"/>
  <c r="AI11" i="45"/>
  <c r="I36" i="46"/>
  <c r="J36" i="46"/>
  <c r="AQ12" i="45"/>
  <c r="AI12" i="45"/>
  <c r="I49" i="46"/>
  <c r="K49" i="46"/>
  <c r="F49" i="46"/>
  <c r="G49" i="46"/>
  <c r="G50" i="46"/>
  <c r="F50" i="46"/>
  <c r="K50" i="46"/>
  <c r="I50" i="46"/>
  <c r="D55" i="43"/>
  <c r="D46" i="46"/>
  <c r="F47" i="46"/>
  <c r="I47" i="46"/>
  <c r="G47" i="46"/>
  <c r="K47" i="46"/>
  <c r="K48" i="46"/>
  <c r="G48" i="46"/>
  <c r="I48" i="46"/>
  <c r="F48" i="46"/>
  <c r="R37" i="46"/>
  <c r="H37" i="46"/>
  <c r="K37" i="46"/>
  <c r="Q37" i="46"/>
  <c r="J37" i="46"/>
  <c r="M37" i="46"/>
  <c r="L37" i="46"/>
  <c r="I37" i="46"/>
  <c r="Q38" i="46"/>
  <c r="J38" i="46"/>
  <c r="H38" i="46"/>
  <c r="L38" i="46"/>
  <c r="I38" i="46"/>
  <c r="K38" i="46"/>
  <c r="M38" i="46"/>
  <c r="R38" i="46"/>
  <c r="AQ13" i="45"/>
  <c r="AQ10" i="45"/>
  <c r="AI10" i="45"/>
  <c r="AI13" i="45"/>
  <c r="U64" i="24"/>
  <c r="U62" i="24"/>
  <c r="U65" i="24"/>
  <c r="U63" i="24"/>
  <c r="AP10" i="48" s="1"/>
  <c r="S64" i="24"/>
  <c r="S62" i="24"/>
  <c r="S65" i="24"/>
  <c r="S63" i="24"/>
  <c r="AN10" i="48" s="1"/>
  <c r="T65" i="24"/>
  <c r="T63" i="24"/>
  <c r="AO10" i="48" s="1"/>
  <c r="T64" i="24"/>
  <c r="T62" i="24"/>
  <c r="X64" i="24"/>
  <c r="X62" i="24"/>
  <c r="X65" i="24"/>
  <c r="X63" i="24"/>
  <c r="AS10" i="48" s="1"/>
  <c r="AL64" i="24"/>
  <c r="AN6" i="48" s="1"/>
  <c r="AL62" i="24"/>
  <c r="AN9" i="48" s="1"/>
  <c r="AL65" i="24"/>
  <c r="AL63" i="24"/>
  <c r="AN11" i="48" s="1"/>
  <c r="AQ64" i="24"/>
  <c r="AS6" i="48" s="1"/>
  <c r="AQ62" i="24"/>
  <c r="AS9" i="48" s="1"/>
  <c r="AQ65" i="24"/>
  <c r="AQ63" i="24"/>
  <c r="AS11" i="48" s="1"/>
  <c r="AO65" i="24"/>
  <c r="AO63" i="24"/>
  <c r="AQ11" i="48" s="1"/>
  <c r="AO64" i="24"/>
  <c r="AQ6" i="48" s="1"/>
  <c r="AO62" i="24"/>
  <c r="AQ9" i="48" s="1"/>
  <c r="AN64" i="24"/>
  <c r="AP6" i="48" s="1"/>
  <c r="AN62" i="24"/>
  <c r="AP9" i="48" s="1"/>
  <c r="AN65" i="24"/>
  <c r="AN63" i="24"/>
  <c r="AP11" i="48" s="1"/>
  <c r="AM65" i="24"/>
  <c r="AM63" i="24"/>
  <c r="AO11" i="48" s="1"/>
  <c r="AM64" i="24"/>
  <c r="AO6" i="48" s="1"/>
  <c r="AM62" i="24"/>
  <c r="AO9" i="48" s="1"/>
  <c r="V65" i="24"/>
  <c r="V63" i="24"/>
  <c r="AQ10" i="48" s="1"/>
  <c r="V64" i="24"/>
  <c r="V62" i="24"/>
  <c r="D84" i="35"/>
  <c r="K84" i="35" s="1"/>
  <c r="D56" i="43"/>
  <c r="D86" i="35"/>
  <c r="K86" i="35" s="1"/>
  <c r="D58" i="43"/>
  <c r="B39" i="37"/>
  <c r="D85" i="35"/>
  <c r="F85" i="35" s="1"/>
  <c r="D57" i="43"/>
  <c r="D87" i="35"/>
  <c r="F87" i="35" s="1"/>
  <c r="D59" i="43"/>
  <c r="B39" i="41"/>
  <c r="J44" i="43"/>
  <c r="D83" i="35"/>
  <c r="F83" i="35" s="1"/>
  <c r="F69" i="39"/>
  <c r="AL69" i="39" s="1"/>
  <c r="B39" i="39"/>
  <c r="B40" i="39" s="1"/>
  <c r="B41" i="39" s="1"/>
  <c r="B42" i="39" s="1"/>
  <c r="B43" i="39" s="1"/>
  <c r="B44" i="39" s="1"/>
  <c r="B45" i="39" s="1"/>
  <c r="B46" i="39" s="1"/>
  <c r="B47" i="39" s="1"/>
  <c r="B48" i="39" s="1"/>
  <c r="B49" i="39" s="1"/>
  <c r="B50" i="39" s="1"/>
  <c r="J85" i="34"/>
  <c r="F85" i="34"/>
  <c r="I85" i="34"/>
  <c r="M85" i="34"/>
  <c r="AG23" i="45" l="1"/>
  <c r="AG11" i="45"/>
  <c r="R35" i="46"/>
  <c r="AQ20" i="45"/>
  <c r="AJ29" i="45"/>
  <c r="AG33" i="45"/>
  <c r="AG36" i="45"/>
  <c r="AG27" i="45"/>
  <c r="AG15" i="45"/>
  <c r="Q35" i="46"/>
  <c r="M41" i="46"/>
  <c r="AQ16" i="45"/>
  <c r="R41" i="46"/>
  <c r="AQ37" i="45"/>
  <c r="AQ18" i="45"/>
  <c r="AR19" i="45"/>
  <c r="AI34" i="45"/>
  <c r="H47" i="35"/>
  <c r="AG35" i="45"/>
  <c r="AG28" i="45"/>
  <c r="AG17" i="45"/>
  <c r="K35" i="46"/>
  <c r="AQ38" i="45"/>
  <c r="AI24" i="45"/>
  <c r="AR29" i="45"/>
  <c r="AQ24" i="45"/>
  <c r="AG32" i="45"/>
  <c r="AG22" i="45"/>
  <c r="AG10" i="45"/>
  <c r="I35" i="46"/>
  <c r="Q41" i="46"/>
  <c r="AQ30" i="45"/>
  <c r="AQ22" i="45"/>
  <c r="AQ28" i="45"/>
  <c r="AG24" i="45"/>
  <c r="AQ19" i="45"/>
  <c r="AI29" i="45"/>
  <c r="AQ11" i="45"/>
  <c r="AG38" i="45"/>
  <c r="AG31" i="45"/>
  <c r="AG26" i="45"/>
  <c r="AG21" i="45"/>
  <c r="AG16" i="45"/>
  <c r="AG12" i="45"/>
  <c r="J35" i="46"/>
  <c r="L35" i="46"/>
  <c r="AQ26" i="45"/>
  <c r="AI26" i="45"/>
  <c r="AQ31" i="45"/>
  <c r="AQ35" i="45"/>
  <c r="AQ25" i="45"/>
  <c r="AH29" i="45"/>
  <c r="AG34" i="45"/>
  <c r="AQ33" i="45"/>
  <c r="AJ39" i="45"/>
  <c r="G48" i="34"/>
  <c r="H42" i="35"/>
  <c r="AG19" i="45"/>
  <c r="AQ23" i="45"/>
  <c r="AQ29" i="45"/>
  <c r="H41" i="46"/>
  <c r="AR24" i="45"/>
  <c r="AJ24" i="45"/>
  <c r="AQ32" i="45"/>
  <c r="AG29" i="45"/>
  <c r="AR39" i="45"/>
  <c r="AQ39" i="45"/>
  <c r="Q36" i="46"/>
  <c r="AG37" i="45"/>
  <c r="AG30" i="45"/>
  <c r="AG25" i="45"/>
  <c r="AG20" i="45"/>
  <c r="AG18" i="45"/>
  <c r="AG13" i="45"/>
  <c r="H35" i="46"/>
  <c r="M35" i="46"/>
  <c r="AH24" i="45"/>
  <c r="AQ15" i="45"/>
  <c r="L41" i="46"/>
  <c r="AG39" i="45"/>
  <c r="AJ19" i="45"/>
  <c r="AI39" i="45"/>
  <c r="AH19" i="45"/>
  <c r="AH39" i="45"/>
  <c r="AI19" i="45"/>
  <c r="AJ34" i="45"/>
  <c r="AQ34" i="45"/>
  <c r="AR34" i="45"/>
  <c r="G43" i="34"/>
  <c r="AH34" i="45"/>
  <c r="H69" i="37"/>
  <c r="AL69" i="37"/>
  <c r="H69" i="40"/>
  <c r="AL69" i="40"/>
  <c r="H69" i="41"/>
  <c r="AL69" i="41"/>
  <c r="H69" i="38"/>
  <c r="AL69" i="38"/>
  <c r="U6" i="48"/>
  <c r="U33" i="48" s="1"/>
  <c r="R6" i="48"/>
  <c r="R33" i="48" s="1"/>
  <c r="S6" i="48"/>
  <c r="S33" i="48" s="1"/>
  <c r="T6" i="48"/>
  <c r="T33" i="48" s="1"/>
  <c r="V6" i="48"/>
  <c r="V33" i="48" s="1"/>
  <c r="AS8" i="48"/>
  <c r="AS5" i="48"/>
  <c r="AQ8" i="48"/>
  <c r="AQ5" i="48"/>
  <c r="AO8" i="48"/>
  <c r="AO5" i="48"/>
  <c r="AN8" i="48"/>
  <c r="AN5" i="48"/>
  <c r="AP8" i="48"/>
  <c r="AP5" i="48"/>
  <c r="K87" i="35"/>
  <c r="G46" i="46"/>
  <c r="F46" i="46"/>
  <c r="K46" i="46"/>
  <c r="I46" i="46"/>
  <c r="N85" i="35"/>
  <c r="I85" i="35"/>
  <c r="K85" i="35"/>
  <c r="F84" i="35"/>
  <c r="F86" i="35"/>
  <c r="N84" i="35"/>
  <c r="N86" i="35"/>
  <c r="G42" i="34"/>
  <c r="J43" i="43"/>
  <c r="I43" i="43" s="1"/>
  <c r="B40" i="37"/>
  <c r="H41" i="35"/>
  <c r="B40" i="41"/>
  <c r="I84" i="35"/>
  <c r="I86" i="35"/>
  <c r="K83" i="35"/>
  <c r="N83" i="35"/>
  <c r="I83" i="35"/>
  <c r="I44" i="43"/>
  <c r="K59" i="43"/>
  <c r="M59" i="43"/>
  <c r="I59" i="43"/>
  <c r="F59" i="43"/>
  <c r="K57" i="43"/>
  <c r="M57" i="43"/>
  <c r="I57" i="43"/>
  <c r="F57" i="43"/>
  <c r="M58" i="43"/>
  <c r="F58" i="43"/>
  <c r="K58" i="43"/>
  <c r="I58" i="43"/>
  <c r="M56" i="43"/>
  <c r="I56" i="43"/>
  <c r="F56" i="43"/>
  <c r="K56" i="43"/>
  <c r="I87" i="35"/>
  <c r="N87" i="35"/>
  <c r="K55" i="43"/>
  <c r="M55" i="43"/>
  <c r="F55" i="43"/>
  <c r="I55" i="43"/>
  <c r="H69" i="39"/>
  <c r="E60" i="36"/>
  <c r="D60" i="36"/>
  <c r="B60" i="36" s="1"/>
  <c r="C60" i="36"/>
  <c r="E59" i="36"/>
  <c r="D59" i="36"/>
  <c r="B59" i="36" s="1"/>
  <c r="C59" i="36"/>
  <c r="E58" i="36"/>
  <c r="D58" i="36"/>
  <c r="B58" i="36" s="1"/>
  <c r="C58" i="36"/>
  <c r="E57" i="36"/>
  <c r="D57" i="36"/>
  <c r="B57" i="36" s="1"/>
  <c r="C57" i="36"/>
  <c r="E56" i="36"/>
  <c r="D56" i="36"/>
  <c r="B56" i="36" s="1"/>
  <c r="C56" i="36"/>
  <c r="E55" i="36"/>
  <c r="D55" i="36"/>
  <c r="B55" i="36" s="1"/>
  <c r="C55" i="36"/>
  <c r="E54" i="36"/>
  <c r="D54" i="36"/>
  <c r="B54" i="36" s="1"/>
  <c r="C54" i="36"/>
  <c r="E53" i="36"/>
  <c r="D53" i="36"/>
  <c r="B53" i="36" s="1"/>
  <c r="C53" i="36"/>
  <c r="E52" i="36"/>
  <c r="D52" i="36"/>
  <c r="B52" i="36" s="1"/>
  <c r="C52" i="36"/>
  <c r="E51" i="36"/>
  <c r="D51" i="36"/>
  <c r="B51" i="36" s="1"/>
  <c r="C51" i="36"/>
  <c r="E50" i="36"/>
  <c r="D50" i="36"/>
  <c r="B50" i="36" s="1"/>
  <c r="C50" i="36"/>
  <c r="E49" i="36"/>
  <c r="D49" i="36"/>
  <c r="B49" i="36" s="1"/>
  <c r="C49" i="36"/>
  <c r="E48" i="36"/>
  <c r="D48" i="36"/>
  <c r="B48" i="36" s="1"/>
  <c r="C48" i="36"/>
  <c r="E47" i="36"/>
  <c r="D47" i="36"/>
  <c r="C47" i="36"/>
  <c r="E46" i="36"/>
  <c r="D46" i="36"/>
  <c r="C46" i="36"/>
  <c r="E45" i="36"/>
  <c r="D45" i="36"/>
  <c r="C45" i="36"/>
  <c r="E44" i="36"/>
  <c r="D44" i="36"/>
  <c r="C44" i="36"/>
  <c r="E43" i="36"/>
  <c r="D43" i="36"/>
  <c r="C43" i="36"/>
  <c r="E42" i="36"/>
  <c r="D42" i="36"/>
  <c r="C42" i="36"/>
  <c r="E41" i="36"/>
  <c r="D41" i="36"/>
  <c r="C41" i="36"/>
  <c r="E40" i="36"/>
  <c r="D40" i="36"/>
  <c r="C40" i="36"/>
  <c r="E39" i="36"/>
  <c r="D39" i="36"/>
  <c r="C39" i="36"/>
  <c r="E38" i="36"/>
  <c r="D38" i="36"/>
  <c r="C38" i="36"/>
  <c r="E37" i="36"/>
  <c r="D37" i="36"/>
  <c r="C37" i="36"/>
  <c r="E36" i="36"/>
  <c r="D36" i="36"/>
  <c r="C36" i="36"/>
  <c r="E35" i="36"/>
  <c r="D35" i="36"/>
  <c r="C35" i="36"/>
  <c r="E34" i="36"/>
  <c r="D34" i="36"/>
  <c r="C34" i="36"/>
  <c r="E33" i="36"/>
  <c r="D33" i="36"/>
  <c r="C33" i="36"/>
  <c r="E32" i="36"/>
  <c r="D32" i="36"/>
  <c r="C32" i="36"/>
  <c r="E31" i="36"/>
  <c r="D31" i="36"/>
  <c r="C31" i="36"/>
  <c r="E30" i="36"/>
  <c r="D30" i="36"/>
  <c r="C30" i="36"/>
  <c r="E29" i="36"/>
  <c r="D29" i="36"/>
  <c r="C29" i="36"/>
  <c r="E28" i="36"/>
  <c r="D28" i="36"/>
  <c r="C28" i="36"/>
  <c r="E27" i="36"/>
  <c r="D27" i="36"/>
  <c r="C27" i="36"/>
  <c r="E26" i="36"/>
  <c r="D26" i="36"/>
  <c r="C26" i="36"/>
  <c r="E25" i="36"/>
  <c r="D25" i="36"/>
  <c r="C25" i="36"/>
  <c r="E24" i="36"/>
  <c r="D24" i="36"/>
  <c r="C24" i="36"/>
  <c r="E23" i="36"/>
  <c r="D23" i="36"/>
  <c r="C23" i="36"/>
  <c r="E22" i="36"/>
  <c r="D22" i="36"/>
  <c r="C22" i="36"/>
  <c r="E21" i="36"/>
  <c r="D21" i="36"/>
  <c r="C21" i="36"/>
  <c r="E20" i="36"/>
  <c r="D20" i="36"/>
  <c r="C20" i="36"/>
  <c r="E19" i="36"/>
  <c r="D19" i="36"/>
  <c r="C19" i="36"/>
  <c r="E18" i="36"/>
  <c r="D18" i="36"/>
  <c r="C18" i="36"/>
  <c r="E17" i="36"/>
  <c r="D17" i="36"/>
  <c r="C17" i="36"/>
  <c r="E16" i="36"/>
  <c r="D16" i="36"/>
  <c r="C16" i="36"/>
  <c r="E15" i="36"/>
  <c r="D15" i="36"/>
  <c r="C15" i="36"/>
  <c r="E14" i="36"/>
  <c r="D14" i="36"/>
  <c r="C14" i="36"/>
  <c r="E13" i="36"/>
  <c r="D13" i="36"/>
  <c r="C13" i="36"/>
  <c r="E12" i="36"/>
  <c r="D12" i="36"/>
  <c r="B12" i="36" s="1"/>
  <c r="C12" i="36"/>
  <c r="E11" i="36"/>
  <c r="D11" i="36"/>
  <c r="C11" i="36"/>
  <c r="F68" i="37" l="1"/>
  <c r="AL68" i="37" s="1"/>
  <c r="H76" i="37"/>
  <c r="AN76" i="37" s="1"/>
  <c r="AN69" i="37"/>
  <c r="AN69" i="39"/>
  <c r="H76" i="39"/>
  <c r="AN76" i="39" s="1"/>
  <c r="F68" i="41"/>
  <c r="AL68" i="41" s="1"/>
  <c r="AN69" i="41"/>
  <c r="H76" i="41"/>
  <c r="AN76" i="41" s="1"/>
  <c r="F68" i="38"/>
  <c r="AL68" i="38" s="1"/>
  <c r="AN69" i="38"/>
  <c r="H76" i="38"/>
  <c r="AN76" i="38" s="1"/>
  <c r="F68" i="40"/>
  <c r="AL68" i="40" s="1"/>
  <c r="AN69" i="40"/>
  <c r="H76" i="40"/>
  <c r="AN76" i="40" s="1"/>
  <c r="U5" i="48"/>
  <c r="U32" i="48" s="1"/>
  <c r="S5" i="48"/>
  <c r="S32" i="48" s="1"/>
  <c r="R5" i="48"/>
  <c r="R32" i="48" s="1"/>
  <c r="T5" i="48"/>
  <c r="T32" i="48" s="1"/>
  <c r="AS7" i="48"/>
  <c r="V5" i="48"/>
  <c r="V32" i="48" s="1"/>
  <c r="AP7" i="48"/>
  <c r="AN7" i="48"/>
  <c r="AO7" i="48"/>
  <c r="AQ7" i="48"/>
  <c r="B41" i="37"/>
  <c r="B41" i="41"/>
  <c r="F68" i="39"/>
  <c r="AL68" i="39" s="1"/>
  <c r="B13" i="36"/>
  <c r="B14" i="36" s="1"/>
  <c r="B15" i="36" s="1"/>
  <c r="B16" i="36" s="1"/>
  <c r="B17" i="36" s="1"/>
  <c r="B18" i="36" s="1"/>
  <c r="B19" i="36" s="1"/>
  <c r="B20" i="36" s="1"/>
  <c r="B21" i="36" s="1"/>
  <c r="B22" i="36" s="1"/>
  <c r="B23" i="36" s="1"/>
  <c r="B24" i="36" s="1"/>
  <c r="B25" i="36" s="1"/>
  <c r="B26" i="36" s="1"/>
  <c r="B27" i="36" s="1"/>
  <c r="B28" i="36" s="1"/>
  <c r="B29" i="36" s="1"/>
  <c r="B30" i="36" s="1"/>
  <c r="B31" i="36" s="1"/>
  <c r="B32" i="36" s="1"/>
  <c r="B33" i="36" s="1"/>
  <c r="B34" i="36" s="1"/>
  <c r="B35" i="36" s="1"/>
  <c r="B42" i="41" l="1"/>
  <c r="B42" i="37"/>
  <c r="B36" i="36"/>
  <c r="B37" i="36" s="1"/>
  <c r="B38" i="36" s="1"/>
  <c r="B39" i="36" s="1"/>
  <c r="B40" i="36" s="1"/>
  <c r="B41" i="36" s="1"/>
  <c r="B42" i="36" s="1"/>
  <c r="B43" i="36" s="1"/>
  <c r="B44" i="36" s="1"/>
  <c r="B45" i="36" s="1"/>
  <c r="B46" i="36" s="1"/>
  <c r="B47" i="36" s="1"/>
  <c r="G63" i="35"/>
  <c r="G62" i="35"/>
  <c r="G61" i="35"/>
  <c r="G59" i="35"/>
  <c r="G58" i="35"/>
  <c r="G57" i="35"/>
  <c r="G56" i="35"/>
  <c r="G55" i="35"/>
  <c r="G54" i="35"/>
  <c r="E69" i="35"/>
  <c r="D69" i="35" s="1"/>
  <c r="D64" i="35"/>
  <c r="E40" i="35"/>
  <c r="E34" i="35"/>
  <c r="E63" i="35" s="1"/>
  <c r="E33" i="35"/>
  <c r="E62" i="35" s="1"/>
  <c r="E32" i="35"/>
  <c r="E61" i="35" s="1"/>
  <c r="E30" i="35"/>
  <c r="E59" i="35" s="1"/>
  <c r="E29" i="35"/>
  <c r="E58" i="35" s="1"/>
  <c r="E28" i="35"/>
  <c r="E57" i="35" s="1"/>
  <c r="E27" i="35"/>
  <c r="E56" i="35" s="1"/>
  <c r="E26" i="35"/>
  <c r="E55" i="35" s="1"/>
  <c r="N8" i="35"/>
  <c r="F8" i="35"/>
  <c r="N7" i="35"/>
  <c r="F7" i="35"/>
  <c r="F6" i="35"/>
  <c r="G40" i="35" l="1"/>
  <c r="G69" i="35" s="1"/>
  <c r="D40" i="35"/>
  <c r="I97" i="35"/>
  <c r="E97" i="35"/>
  <c r="E94" i="34"/>
  <c r="I95" i="34"/>
  <c r="E96" i="34"/>
  <c r="E121" i="43"/>
  <c r="I120" i="43"/>
  <c r="I122" i="43"/>
  <c r="I98" i="35"/>
  <c r="I96" i="35"/>
  <c r="E96" i="35"/>
  <c r="E98" i="35"/>
  <c r="E95" i="34"/>
  <c r="I94" i="34"/>
  <c r="I96" i="34"/>
  <c r="E120" i="43"/>
  <c r="E122" i="43"/>
  <c r="I121" i="43"/>
  <c r="B43" i="37"/>
  <c r="J45" i="43"/>
  <c r="B43" i="41"/>
  <c r="D35" i="35"/>
  <c r="E41" i="34"/>
  <c r="D41" i="34" s="1"/>
  <c r="E35" i="34"/>
  <c r="E65" i="34" s="1"/>
  <c r="E34" i="34"/>
  <c r="E64" i="34" s="1"/>
  <c r="E33" i="34"/>
  <c r="E63" i="34" s="1"/>
  <c r="E31" i="34"/>
  <c r="E61" i="34" s="1"/>
  <c r="E30" i="34"/>
  <c r="E60" i="34" s="1"/>
  <c r="E29" i="34"/>
  <c r="E59" i="34" s="1"/>
  <c r="E28" i="34"/>
  <c r="E58" i="34" s="1"/>
  <c r="E27" i="34"/>
  <c r="E57" i="34" s="1"/>
  <c r="M8" i="34"/>
  <c r="F8" i="34"/>
  <c r="M7" i="34"/>
  <c r="F7" i="34"/>
  <c r="F6" i="34"/>
  <c r="AV78" i="8"/>
  <c r="AV77" i="8"/>
  <c r="AV76" i="8"/>
  <c r="AV78" i="7"/>
  <c r="AV77" i="7"/>
  <c r="AV76" i="7"/>
  <c r="AV78" i="6"/>
  <c r="AV77" i="6"/>
  <c r="AV76" i="6"/>
  <c r="AV78" i="5"/>
  <c r="AV77" i="5"/>
  <c r="AV76" i="5"/>
  <c r="AV78" i="4"/>
  <c r="AV77" i="4"/>
  <c r="AV76" i="4"/>
  <c r="AV78" i="2"/>
  <c r="AV77" i="2"/>
  <c r="AV76" i="2"/>
  <c r="AV78" i="10"/>
  <c r="AV77" i="10"/>
  <c r="AV76" i="10"/>
  <c r="AV78" i="15"/>
  <c r="AV77" i="15"/>
  <c r="AV76" i="15"/>
  <c r="AV78" i="11"/>
  <c r="AV77" i="11"/>
  <c r="AV76" i="11"/>
  <c r="AV78" i="12"/>
  <c r="AV77" i="12"/>
  <c r="AV76" i="12"/>
  <c r="AV78" i="1"/>
  <c r="AV77" i="1"/>
  <c r="AV76" i="1"/>
  <c r="AV75" i="8"/>
  <c r="AV75" i="7"/>
  <c r="AV75" i="6"/>
  <c r="AV75" i="5"/>
  <c r="AV75" i="4"/>
  <c r="AV75" i="2"/>
  <c r="AV75" i="10"/>
  <c r="AV75" i="15"/>
  <c r="AV75" i="11"/>
  <c r="AV75" i="12"/>
  <c r="AV75" i="1"/>
  <c r="Q78" i="8"/>
  <c r="Q77" i="8"/>
  <c r="Q76" i="8"/>
  <c r="Q78" i="7"/>
  <c r="Q77" i="7"/>
  <c r="Q76" i="7"/>
  <c r="Q78" i="6"/>
  <c r="Q77" i="6"/>
  <c r="Q76" i="6"/>
  <c r="Q78" i="5"/>
  <c r="Q77" i="5"/>
  <c r="Q76" i="5"/>
  <c r="Q78" i="4"/>
  <c r="Q77" i="4"/>
  <c r="Q76" i="4"/>
  <c r="Q78" i="2"/>
  <c r="Q77" i="2"/>
  <c r="Q76" i="2"/>
  <c r="Q78" i="10"/>
  <c r="Q77" i="10"/>
  <c r="Q76" i="10"/>
  <c r="Q78" i="15"/>
  <c r="Q77" i="15"/>
  <c r="Q76" i="15"/>
  <c r="Q78" i="11"/>
  <c r="Q77" i="11"/>
  <c r="Q76" i="11"/>
  <c r="Q78" i="12"/>
  <c r="Q77" i="12"/>
  <c r="Q76" i="12"/>
  <c r="Q78" i="1"/>
  <c r="Q77" i="1"/>
  <c r="Q76" i="1"/>
  <c r="Q75" i="8"/>
  <c r="Q75" i="7"/>
  <c r="Q75" i="6"/>
  <c r="Q75" i="5"/>
  <c r="Q75" i="4"/>
  <c r="Q75" i="2"/>
  <c r="Q75" i="10"/>
  <c r="Q75" i="15"/>
  <c r="Q75" i="11"/>
  <c r="Q75" i="12"/>
  <c r="Q75" i="1"/>
  <c r="I71" i="8"/>
  <c r="AO71" i="8" s="1"/>
  <c r="I71" i="7"/>
  <c r="AO71" i="7" s="1"/>
  <c r="I71" i="6"/>
  <c r="AO71" i="6" s="1"/>
  <c r="I71" i="5"/>
  <c r="AO71" i="5" s="1"/>
  <c r="I71" i="4"/>
  <c r="AO71" i="4" s="1"/>
  <c r="I71" i="2"/>
  <c r="AO71" i="2" s="1"/>
  <c r="I71" i="10"/>
  <c r="AO71" i="10" s="1"/>
  <c r="I71" i="15"/>
  <c r="AO71" i="15" s="1"/>
  <c r="I71" i="11"/>
  <c r="AO71" i="11" s="1"/>
  <c r="I71" i="12"/>
  <c r="AO71" i="12" s="1"/>
  <c r="I71" i="1"/>
  <c r="AO71" i="1" s="1"/>
  <c r="I70" i="8"/>
  <c r="AO70" i="8" s="1"/>
  <c r="I70" i="7"/>
  <c r="AO70" i="7" s="1"/>
  <c r="I70" i="6"/>
  <c r="AO70" i="6" s="1"/>
  <c r="I70" i="5"/>
  <c r="AO70" i="5" s="1"/>
  <c r="I70" i="4"/>
  <c r="AO70" i="4" s="1"/>
  <c r="I70" i="2"/>
  <c r="AO70" i="2" s="1"/>
  <c r="I70" i="10"/>
  <c r="AO70" i="10" s="1"/>
  <c r="I70" i="15"/>
  <c r="AO70" i="15" s="1"/>
  <c r="I70" i="11"/>
  <c r="AO70" i="11" s="1"/>
  <c r="I70" i="12"/>
  <c r="AO70" i="12" s="1"/>
  <c r="I70" i="1"/>
  <c r="AO70" i="1" s="1"/>
  <c r="I69" i="8"/>
  <c r="AO69" i="8" s="1"/>
  <c r="I69" i="7"/>
  <c r="AO69" i="7" s="1"/>
  <c r="I69" i="6"/>
  <c r="AO69" i="6" s="1"/>
  <c r="I69" i="5"/>
  <c r="AO69" i="5" s="1"/>
  <c r="I69" i="4"/>
  <c r="AO69" i="4" s="1"/>
  <c r="I69" i="2"/>
  <c r="AO69" i="2" s="1"/>
  <c r="I69" i="10"/>
  <c r="AO69" i="10" s="1"/>
  <c r="I69" i="15"/>
  <c r="AO69" i="15" s="1"/>
  <c r="I69" i="11"/>
  <c r="AO69" i="11" s="1"/>
  <c r="I69" i="12"/>
  <c r="AO69" i="12" s="1"/>
  <c r="I69" i="1"/>
  <c r="AO69" i="1" s="1"/>
  <c r="I68" i="8"/>
  <c r="AO68" i="8" s="1"/>
  <c r="I68" i="7"/>
  <c r="AO68" i="7" s="1"/>
  <c r="I68" i="6"/>
  <c r="AO68" i="6" s="1"/>
  <c r="I68" i="5"/>
  <c r="AO68" i="5" s="1"/>
  <c r="I68" i="4"/>
  <c r="AO68" i="4" s="1"/>
  <c r="I68" i="2"/>
  <c r="AO68" i="2" s="1"/>
  <c r="I68" i="10"/>
  <c r="AO68" i="10" s="1"/>
  <c r="I68" i="15"/>
  <c r="AO68" i="15" s="1"/>
  <c r="I68" i="11"/>
  <c r="AO68" i="11" s="1"/>
  <c r="I68" i="12"/>
  <c r="AO68" i="12" s="1"/>
  <c r="I68" i="1"/>
  <c r="AO68" i="1" s="1"/>
  <c r="F70" i="12"/>
  <c r="H70" i="12" s="1"/>
  <c r="F70" i="11"/>
  <c r="H70" i="11" s="1"/>
  <c r="F70" i="15"/>
  <c r="H70" i="15" s="1"/>
  <c r="F70" i="10"/>
  <c r="H70" i="10" s="1"/>
  <c r="F70" i="2"/>
  <c r="H70" i="2" s="1"/>
  <c r="F70" i="4"/>
  <c r="H70" i="4" s="1"/>
  <c r="F70" i="5"/>
  <c r="H70" i="5" s="1"/>
  <c r="F70" i="6"/>
  <c r="H70" i="6" s="1"/>
  <c r="F70" i="7"/>
  <c r="H70" i="7" s="1"/>
  <c r="F70" i="8"/>
  <c r="AL70" i="8" s="1"/>
  <c r="AL70" i="15"/>
  <c r="F70" i="1"/>
  <c r="H70" i="1" s="1"/>
  <c r="AL65" i="8"/>
  <c r="AL65" i="7"/>
  <c r="AL65" i="6"/>
  <c r="AL65" i="5"/>
  <c r="AL65" i="4"/>
  <c r="AL65" i="2"/>
  <c r="AL65" i="10"/>
  <c r="AL65" i="15"/>
  <c r="AL65" i="11"/>
  <c r="AL65" i="12"/>
  <c r="AL65" i="1"/>
  <c r="F65" i="8"/>
  <c r="F65" i="7"/>
  <c r="F65" i="6"/>
  <c r="F65" i="5"/>
  <c r="F65" i="4"/>
  <c r="F65" i="2"/>
  <c r="F65" i="10"/>
  <c r="F65" i="15"/>
  <c r="F65" i="11"/>
  <c r="F65" i="12"/>
  <c r="F65" i="1"/>
  <c r="G45" i="34" l="1"/>
  <c r="B44" i="41"/>
  <c r="G44" i="34"/>
  <c r="B44" i="37"/>
  <c r="AN70" i="4"/>
  <c r="H77" i="4"/>
  <c r="AN77" i="4" s="1"/>
  <c r="H77" i="2"/>
  <c r="AN77" i="2" s="1"/>
  <c r="AN70" i="2"/>
  <c r="AN70" i="5"/>
  <c r="H77" i="5"/>
  <c r="AN77" i="5" s="1"/>
  <c r="AN70" i="15"/>
  <c r="H77" i="15"/>
  <c r="AN77" i="15" s="1"/>
  <c r="AN70" i="11"/>
  <c r="H77" i="11"/>
  <c r="AN77" i="11" s="1"/>
  <c r="AN70" i="12"/>
  <c r="H77" i="12"/>
  <c r="AN77" i="12" s="1"/>
  <c r="AN70" i="7"/>
  <c r="H77" i="7"/>
  <c r="AN77" i="7" s="1"/>
  <c r="AN70" i="1"/>
  <c r="H77" i="1"/>
  <c r="AN77" i="1" s="1"/>
  <c r="AN70" i="6"/>
  <c r="H77" i="6"/>
  <c r="AN77" i="6" s="1"/>
  <c r="AN70" i="10"/>
  <c r="H77" i="10"/>
  <c r="AN77" i="10" s="1"/>
  <c r="I78" i="15"/>
  <c r="AO78" i="15" s="1"/>
  <c r="I78" i="5"/>
  <c r="AO78" i="5" s="1"/>
  <c r="I78" i="12"/>
  <c r="AO78" i="12" s="1"/>
  <c r="I78" i="2"/>
  <c r="AO78" i="2" s="1"/>
  <c r="I78" i="7"/>
  <c r="AO78" i="7" s="1"/>
  <c r="AL70" i="12"/>
  <c r="AL70" i="11"/>
  <c r="I45" i="43"/>
  <c r="J46" i="43"/>
  <c r="H44" i="35"/>
  <c r="H43" i="35"/>
  <c r="F77" i="41"/>
  <c r="F77" i="39"/>
  <c r="F77" i="40"/>
  <c r="F77" i="37"/>
  <c r="F77" i="38"/>
  <c r="I78" i="1"/>
  <c r="AO78" i="1" s="1"/>
  <c r="I78" i="11"/>
  <c r="AO78" i="11" s="1"/>
  <c r="I78" i="10"/>
  <c r="AO78" i="10" s="1"/>
  <c r="I78" i="4"/>
  <c r="AO78" i="4" s="1"/>
  <c r="I78" i="6"/>
  <c r="AO78" i="6" s="1"/>
  <c r="I78" i="8"/>
  <c r="AO78" i="8" s="1"/>
  <c r="AL70" i="5"/>
  <c r="AL70" i="2"/>
  <c r="AL70" i="4"/>
  <c r="AL70" i="6"/>
  <c r="AL70" i="7"/>
  <c r="AL70" i="10"/>
  <c r="H71" i="5"/>
  <c r="H70" i="8"/>
  <c r="I75" i="12"/>
  <c r="AO75" i="12" s="1"/>
  <c r="I75" i="15"/>
  <c r="AO75" i="15" s="1"/>
  <c r="I75" i="2"/>
  <c r="AO75" i="2" s="1"/>
  <c r="I75" i="4"/>
  <c r="AO75" i="4" s="1"/>
  <c r="I75" i="6"/>
  <c r="AO75" i="6" s="1"/>
  <c r="I75" i="8"/>
  <c r="AO75" i="8" s="1"/>
  <c r="I76" i="12"/>
  <c r="AO76" i="12" s="1"/>
  <c r="I76" i="15"/>
  <c r="AO76" i="15" s="1"/>
  <c r="I76" i="2"/>
  <c r="AO76" i="2" s="1"/>
  <c r="I76" i="4"/>
  <c r="AO76" i="4" s="1"/>
  <c r="I76" i="6"/>
  <c r="AO76" i="6" s="1"/>
  <c r="I76" i="8"/>
  <c r="AO76" i="8" s="1"/>
  <c r="I77" i="12"/>
  <c r="AO77" i="12" s="1"/>
  <c r="I77" i="15"/>
  <c r="AO77" i="15" s="1"/>
  <c r="I77" i="2"/>
  <c r="AO77" i="2" s="1"/>
  <c r="I77" i="4"/>
  <c r="AO77" i="4" s="1"/>
  <c r="I77" i="6"/>
  <c r="AO77" i="6" s="1"/>
  <c r="I77" i="8"/>
  <c r="AO77" i="8" s="1"/>
  <c r="I75" i="1"/>
  <c r="AO75" i="1" s="1"/>
  <c r="I75" i="11"/>
  <c r="AO75" i="11" s="1"/>
  <c r="I75" i="10"/>
  <c r="AO75" i="10" s="1"/>
  <c r="I75" i="5"/>
  <c r="AO75" i="5" s="1"/>
  <c r="I75" i="7"/>
  <c r="AO75" i="7" s="1"/>
  <c r="I76" i="1"/>
  <c r="AO76" i="1" s="1"/>
  <c r="I76" i="11"/>
  <c r="AO76" i="11" s="1"/>
  <c r="I76" i="10"/>
  <c r="AO76" i="10" s="1"/>
  <c r="I76" i="5"/>
  <c r="AO76" i="5" s="1"/>
  <c r="I76" i="7"/>
  <c r="AO76" i="7" s="1"/>
  <c r="I77" i="1"/>
  <c r="AO77" i="1" s="1"/>
  <c r="I77" i="11"/>
  <c r="AO77" i="11" s="1"/>
  <c r="I77" i="10"/>
  <c r="AO77" i="10" s="1"/>
  <c r="I77" i="5"/>
  <c r="AO77" i="5" s="1"/>
  <c r="I77" i="7"/>
  <c r="AO77" i="7" s="1"/>
  <c r="H71" i="12"/>
  <c r="H71" i="11"/>
  <c r="H71" i="15"/>
  <c r="H71" i="10"/>
  <c r="H71" i="2"/>
  <c r="H71" i="4"/>
  <c r="H71" i="6"/>
  <c r="H71" i="7"/>
  <c r="H71" i="8"/>
  <c r="AL70" i="1"/>
  <c r="H71" i="1"/>
  <c r="F77" i="1"/>
  <c r="F78" i="1"/>
  <c r="F77" i="12"/>
  <c r="F78" i="12"/>
  <c r="F77" i="11"/>
  <c r="F78" i="11"/>
  <c r="F77" i="15"/>
  <c r="F78" i="15"/>
  <c r="F77" i="10"/>
  <c r="F78" i="10"/>
  <c r="F77" i="2"/>
  <c r="F78" i="2"/>
  <c r="F77" i="4"/>
  <c r="F78" i="4"/>
  <c r="F77" i="5"/>
  <c r="F78" i="5"/>
  <c r="F77" i="6"/>
  <c r="F78" i="6"/>
  <c r="F77" i="7"/>
  <c r="F78" i="7"/>
  <c r="F77" i="8"/>
  <c r="F78" i="8"/>
  <c r="H75" i="1"/>
  <c r="AN75" i="1" s="1"/>
  <c r="H75" i="12"/>
  <c r="AN75" i="12" s="1"/>
  <c r="H75" i="11"/>
  <c r="AN75" i="11" s="1"/>
  <c r="H75" i="15"/>
  <c r="AN75" i="15" s="1"/>
  <c r="H75" i="10"/>
  <c r="AN75" i="10" s="1"/>
  <c r="H75" i="2"/>
  <c r="AN75" i="2" s="1"/>
  <c r="H75" i="4"/>
  <c r="AN75" i="4" s="1"/>
  <c r="H75" i="5"/>
  <c r="AN75" i="5" s="1"/>
  <c r="H75" i="6"/>
  <c r="AN75" i="6" s="1"/>
  <c r="H75" i="7"/>
  <c r="AN75" i="7" s="1"/>
  <c r="H75" i="8"/>
  <c r="AN75" i="8" s="1"/>
  <c r="B45" i="41" l="1"/>
  <c r="B46" i="41" s="1"/>
  <c r="B47" i="41" s="1"/>
  <c r="B48" i="41" s="1"/>
  <c r="B49" i="41" s="1"/>
  <c r="B50" i="41" s="1"/>
  <c r="AN39" i="45"/>
  <c r="B45" i="37"/>
  <c r="B46" i="37" s="1"/>
  <c r="B47" i="37" s="1"/>
  <c r="B48" i="37" s="1"/>
  <c r="B49" i="37" s="1"/>
  <c r="B50" i="37" s="1"/>
  <c r="AK37" i="45"/>
  <c r="AK38" i="45"/>
  <c r="AK13" i="45"/>
  <c r="AK27" i="45"/>
  <c r="AK12" i="45"/>
  <c r="AK39" i="45"/>
  <c r="AM15" i="45"/>
  <c r="AM30" i="45"/>
  <c r="AM36" i="45"/>
  <c r="AM20" i="45"/>
  <c r="AM29" i="45"/>
  <c r="AM17" i="45"/>
  <c r="AM37" i="45"/>
  <c r="AK23" i="45"/>
  <c r="AK30" i="45"/>
  <c r="AM24" i="45"/>
  <c r="AM33" i="45"/>
  <c r="AM35" i="45"/>
  <c r="AM34" i="45"/>
  <c r="AM16" i="45"/>
  <c r="AM18" i="45"/>
  <c r="AK34" i="45"/>
  <c r="AK36" i="45"/>
  <c r="AM28" i="45"/>
  <c r="AM31" i="45"/>
  <c r="AM26" i="45"/>
  <c r="AK11" i="45"/>
  <c r="AK20" i="45"/>
  <c r="AM39" i="45"/>
  <c r="AM27" i="45"/>
  <c r="AM25" i="45"/>
  <c r="AM10" i="45"/>
  <c r="AM21" i="45"/>
  <c r="AL29" i="45"/>
  <c r="AK10" i="45"/>
  <c r="AL77" i="8"/>
  <c r="B8" i="4"/>
  <c r="AL77" i="4"/>
  <c r="B8" i="11"/>
  <c r="AL77" i="11"/>
  <c r="AL78" i="7"/>
  <c r="AL78" i="5"/>
  <c r="AL78" i="2"/>
  <c r="AL78" i="15"/>
  <c r="AL78" i="12"/>
  <c r="AN71" i="1"/>
  <c r="H78" i="1"/>
  <c r="AN78" i="1" s="1"/>
  <c r="AN71" i="6"/>
  <c r="H78" i="6"/>
  <c r="AN78" i="6" s="1"/>
  <c r="AN71" i="15"/>
  <c r="H78" i="15"/>
  <c r="AN78" i="15" s="1"/>
  <c r="AN70" i="8"/>
  <c r="H77" i="8"/>
  <c r="AN77" i="8" s="1"/>
  <c r="B8" i="38"/>
  <c r="AL77" i="38"/>
  <c r="B8" i="41"/>
  <c r="AL77" i="41"/>
  <c r="B8" i="5"/>
  <c r="AL77" i="5"/>
  <c r="B8" i="2"/>
  <c r="AL77" i="2"/>
  <c r="B8" i="15"/>
  <c r="AL77" i="15"/>
  <c r="B8" i="12"/>
  <c r="AL77" i="12"/>
  <c r="AN71" i="4"/>
  <c r="H78" i="4"/>
  <c r="AN78" i="4" s="1"/>
  <c r="AN71" i="11"/>
  <c r="H78" i="11"/>
  <c r="AN78" i="11" s="1"/>
  <c r="AN71" i="5"/>
  <c r="H78" i="5"/>
  <c r="AN78" i="5" s="1"/>
  <c r="B8" i="37"/>
  <c r="AL77" i="37"/>
  <c r="B8" i="7"/>
  <c r="AL77" i="7"/>
  <c r="AL78" i="8"/>
  <c r="B9" i="6"/>
  <c r="AL78" i="6"/>
  <c r="AL78" i="4"/>
  <c r="AL78" i="10"/>
  <c r="B9" i="11"/>
  <c r="AL78" i="11"/>
  <c r="AL78" i="1"/>
  <c r="AN71" i="8"/>
  <c r="H78" i="8"/>
  <c r="AN78" i="8" s="1"/>
  <c r="H78" i="2"/>
  <c r="AN78" i="2" s="1"/>
  <c r="AN71" i="2"/>
  <c r="AN71" i="12"/>
  <c r="H78" i="12"/>
  <c r="AN78" i="12" s="1"/>
  <c r="B8" i="40"/>
  <c r="AL77" i="40"/>
  <c r="B8" i="6"/>
  <c r="AL77" i="6"/>
  <c r="B8" i="10"/>
  <c r="AL77" i="10"/>
  <c r="B8" i="1"/>
  <c r="AL77" i="1"/>
  <c r="H78" i="7"/>
  <c r="AN78" i="7" s="1"/>
  <c r="AN71" i="7"/>
  <c r="AN71" i="10"/>
  <c r="H78" i="10"/>
  <c r="AN78" i="10" s="1"/>
  <c r="B8" i="39"/>
  <c r="AL77" i="39"/>
  <c r="B3" i="7"/>
  <c r="B3" i="11"/>
  <c r="B3" i="40"/>
  <c r="B3" i="41"/>
  <c r="B3" i="10"/>
  <c r="B3" i="15"/>
  <c r="B3" i="38"/>
  <c r="B3" i="2"/>
  <c r="B3" i="39"/>
  <c r="B3" i="6"/>
  <c r="B3" i="5"/>
  <c r="B3" i="4"/>
  <c r="B3" i="12"/>
  <c r="B3" i="37"/>
  <c r="B3" i="8"/>
  <c r="B3" i="1"/>
  <c r="I46" i="43"/>
  <c r="AK19" i="45" l="1"/>
  <c r="AK17" i="45"/>
  <c r="AK29" i="45"/>
  <c r="AK31" i="45"/>
  <c r="AK22" i="45"/>
  <c r="AL19" i="45"/>
  <c r="AK25" i="45"/>
  <c r="AK18" i="45"/>
  <c r="AL24" i="45"/>
  <c r="AK35" i="45"/>
  <c r="AK33" i="45"/>
  <c r="AK26" i="45"/>
  <c r="AK21" i="45"/>
  <c r="AK24" i="45"/>
  <c r="AK16" i="45"/>
  <c r="AK32" i="45"/>
  <c r="AK28" i="45"/>
  <c r="AL34" i="45"/>
  <c r="AK15" i="45"/>
  <c r="AM22" i="45"/>
  <c r="AM11" i="45"/>
  <c r="AN19" i="45"/>
  <c r="AL39" i="45"/>
  <c r="AM13" i="45"/>
  <c r="AM23" i="45"/>
  <c r="AM32" i="45"/>
  <c r="AM19" i="45"/>
  <c r="AN29" i="45"/>
  <c r="AM38" i="45"/>
  <c r="AN34" i="45"/>
  <c r="AM12" i="45"/>
  <c r="AN24" i="45"/>
  <c r="B9" i="8"/>
  <c r="B9" i="10"/>
  <c r="B9" i="1"/>
  <c r="B9" i="4"/>
  <c r="B9" i="15"/>
  <c r="B9" i="12"/>
  <c r="B9" i="2"/>
  <c r="B9" i="7"/>
  <c r="B9" i="5"/>
  <c r="B8" i="8"/>
  <c r="E15" i="1"/>
  <c r="K4" i="21" l="1"/>
  <c r="H8" i="21" l="1"/>
  <c r="C21" i="14" l="1"/>
  <c r="H9" i="21"/>
  <c r="J37" i="21" s="1"/>
  <c r="I14" i="21" l="1"/>
  <c r="E64" i="31" l="1"/>
  <c r="D64" i="31"/>
  <c r="B64" i="31" s="1"/>
  <c r="C64" i="31"/>
  <c r="Y64" i="31" s="1"/>
  <c r="E63" i="31"/>
  <c r="D63" i="31"/>
  <c r="B63" i="31" s="1"/>
  <c r="C63" i="31"/>
  <c r="Y63" i="31" s="1"/>
  <c r="E62" i="31"/>
  <c r="D62" i="31"/>
  <c r="B62" i="31" s="1"/>
  <c r="C62" i="31"/>
  <c r="Y62" i="31" s="1"/>
  <c r="E61" i="31"/>
  <c r="D61" i="31"/>
  <c r="B61" i="31" s="1"/>
  <c r="C61" i="31"/>
  <c r="Y61" i="31" s="1"/>
  <c r="E60" i="31"/>
  <c r="D60" i="31"/>
  <c r="B60" i="31" s="1"/>
  <c r="C60" i="31"/>
  <c r="Y60" i="31" s="1"/>
  <c r="E59" i="31"/>
  <c r="D59" i="31"/>
  <c r="B59" i="31" s="1"/>
  <c r="C59" i="31"/>
  <c r="Y59" i="31" s="1"/>
  <c r="E58" i="31"/>
  <c r="D58" i="31"/>
  <c r="B58" i="31" s="1"/>
  <c r="C58" i="31"/>
  <c r="Y58" i="31" s="1"/>
  <c r="E57" i="31"/>
  <c r="D57" i="31"/>
  <c r="B57" i="31" s="1"/>
  <c r="C57" i="31"/>
  <c r="Y57" i="31" s="1"/>
  <c r="E56" i="31"/>
  <c r="D56" i="31"/>
  <c r="B56" i="31" s="1"/>
  <c r="C56" i="31"/>
  <c r="Y56" i="31" s="1"/>
  <c r="E55" i="31"/>
  <c r="D55" i="31"/>
  <c r="B55" i="31" s="1"/>
  <c r="C55" i="31"/>
  <c r="Y55" i="31" s="1"/>
  <c r="E54" i="31"/>
  <c r="D54" i="31"/>
  <c r="B54" i="31" s="1"/>
  <c r="C54" i="31"/>
  <c r="Y54" i="31" s="1"/>
  <c r="E53" i="31"/>
  <c r="D53" i="31"/>
  <c r="B53" i="31" s="1"/>
  <c r="C53" i="31"/>
  <c r="Y53" i="31" s="1"/>
  <c r="E52" i="31"/>
  <c r="D52" i="31"/>
  <c r="B52" i="31" s="1"/>
  <c r="C52" i="31"/>
  <c r="Y52" i="31" s="1"/>
  <c r="E51" i="31"/>
  <c r="D51" i="31"/>
  <c r="C51" i="31"/>
  <c r="Y51" i="31" s="1"/>
  <c r="E50" i="31"/>
  <c r="D50" i="31"/>
  <c r="C50" i="31"/>
  <c r="Y50" i="31" s="1"/>
  <c r="E49" i="31"/>
  <c r="D49" i="31"/>
  <c r="C49" i="31"/>
  <c r="Y49" i="31" s="1"/>
  <c r="E48" i="31"/>
  <c r="D48" i="31"/>
  <c r="C48" i="31"/>
  <c r="Y48" i="31" s="1"/>
  <c r="E47" i="31"/>
  <c r="D47" i="31"/>
  <c r="C47" i="31"/>
  <c r="Y47" i="31" s="1"/>
  <c r="E46" i="31"/>
  <c r="D46" i="31"/>
  <c r="C46" i="31"/>
  <c r="Y46" i="31" s="1"/>
  <c r="E45" i="31"/>
  <c r="D45" i="31"/>
  <c r="C45" i="31"/>
  <c r="Y45" i="31" s="1"/>
  <c r="E44" i="31"/>
  <c r="D44" i="31"/>
  <c r="C44" i="31"/>
  <c r="Y44" i="31" s="1"/>
  <c r="E43" i="31"/>
  <c r="D43" i="31"/>
  <c r="C43" i="31"/>
  <c r="Y43" i="31" s="1"/>
  <c r="E42" i="31"/>
  <c r="D42" i="31"/>
  <c r="C42" i="31"/>
  <c r="Y42" i="31" s="1"/>
  <c r="E41" i="31"/>
  <c r="D41" i="31"/>
  <c r="C41" i="31"/>
  <c r="Y41" i="31" s="1"/>
  <c r="E40" i="31"/>
  <c r="D40" i="31"/>
  <c r="C40" i="31"/>
  <c r="Y40" i="31" s="1"/>
  <c r="E39" i="31"/>
  <c r="D39" i="31"/>
  <c r="C39" i="31"/>
  <c r="Y39" i="31" s="1"/>
  <c r="E38" i="31"/>
  <c r="D38" i="31"/>
  <c r="C38" i="31"/>
  <c r="Y38" i="31" s="1"/>
  <c r="E37" i="31"/>
  <c r="D37" i="31"/>
  <c r="C37" i="31"/>
  <c r="E36" i="31"/>
  <c r="D36" i="31"/>
  <c r="C36" i="31"/>
  <c r="Y36" i="31" s="1"/>
  <c r="E35" i="31"/>
  <c r="D35" i="31"/>
  <c r="C35" i="31"/>
  <c r="Y35" i="31" s="1"/>
  <c r="E34" i="31"/>
  <c r="D34" i="31"/>
  <c r="C34" i="31"/>
  <c r="Y34" i="31" s="1"/>
  <c r="E33" i="31"/>
  <c r="D33" i="31"/>
  <c r="C33" i="31"/>
  <c r="Y33" i="31" s="1"/>
  <c r="E32" i="31"/>
  <c r="D32" i="31"/>
  <c r="C32" i="31"/>
  <c r="Y32" i="31" s="1"/>
  <c r="E31" i="31"/>
  <c r="D31" i="31"/>
  <c r="C31" i="31"/>
  <c r="Y31" i="31" s="1"/>
  <c r="E30" i="31"/>
  <c r="D30" i="31"/>
  <c r="C30" i="31"/>
  <c r="Y30" i="31" s="1"/>
  <c r="E29" i="31"/>
  <c r="D29" i="31"/>
  <c r="C29" i="31"/>
  <c r="Y29" i="31" s="1"/>
  <c r="E28" i="31"/>
  <c r="D28" i="31"/>
  <c r="C28" i="31"/>
  <c r="Y28" i="31" s="1"/>
  <c r="E27" i="31"/>
  <c r="D27" i="31"/>
  <c r="C27" i="31"/>
  <c r="Y27" i="31" s="1"/>
  <c r="E26" i="31"/>
  <c r="D26" i="31"/>
  <c r="C26" i="31"/>
  <c r="Y26" i="31" s="1"/>
  <c r="E25" i="31"/>
  <c r="D25" i="31"/>
  <c r="C25" i="31"/>
  <c r="Y25" i="31" s="1"/>
  <c r="E24" i="31"/>
  <c r="D24" i="31"/>
  <c r="C24" i="31"/>
  <c r="Y24" i="31" s="1"/>
  <c r="E23" i="31"/>
  <c r="D23" i="31"/>
  <c r="C23" i="31"/>
  <c r="Y23" i="31" s="1"/>
  <c r="E22" i="31"/>
  <c r="D22" i="31"/>
  <c r="C22" i="31"/>
  <c r="Y22" i="31" s="1"/>
  <c r="E21" i="31"/>
  <c r="D21" i="31"/>
  <c r="C21" i="31"/>
  <c r="Y21" i="31" s="1"/>
  <c r="E20" i="31"/>
  <c r="D20" i="31"/>
  <c r="C20" i="31"/>
  <c r="Y20" i="31" s="1"/>
  <c r="E19" i="31"/>
  <c r="D19" i="31"/>
  <c r="C19" i="31"/>
  <c r="Y19" i="31" s="1"/>
  <c r="E18" i="31"/>
  <c r="D18" i="31"/>
  <c r="C18" i="31"/>
  <c r="Y18" i="31" s="1"/>
  <c r="E17" i="31"/>
  <c r="D17" i="31"/>
  <c r="C17" i="31"/>
  <c r="Y17" i="31" s="1"/>
  <c r="E16" i="31"/>
  <c r="D16" i="31"/>
  <c r="C16" i="31"/>
  <c r="Y16" i="31" s="1"/>
  <c r="E15" i="31"/>
  <c r="D15" i="31"/>
  <c r="C15" i="31"/>
  <c r="Y15" i="31" s="1"/>
  <c r="Y37" i="31" l="1"/>
  <c r="L37" i="31"/>
  <c r="L15" i="31"/>
  <c r="L17" i="31"/>
  <c r="L19" i="31"/>
  <c r="L21" i="31"/>
  <c r="L23" i="31"/>
  <c r="L25" i="31"/>
  <c r="L27" i="31"/>
  <c r="L29" i="31"/>
  <c r="L31" i="31"/>
  <c r="L33" i="31"/>
  <c r="L35" i="31"/>
  <c r="L39" i="31"/>
  <c r="L41" i="31"/>
  <c r="L43" i="31"/>
  <c r="L45" i="31"/>
  <c r="L47" i="31"/>
  <c r="L49" i="31"/>
  <c r="L51" i="31"/>
  <c r="L53" i="31"/>
  <c r="L55" i="31"/>
  <c r="L57" i="31"/>
  <c r="L59" i="31"/>
  <c r="L61" i="31"/>
  <c r="L63" i="31"/>
  <c r="L16" i="31"/>
  <c r="L18" i="31"/>
  <c r="L20" i="31"/>
  <c r="L22" i="31"/>
  <c r="L24" i="31"/>
  <c r="L26" i="31"/>
  <c r="L28" i="31"/>
  <c r="L30" i="31"/>
  <c r="L32" i="31"/>
  <c r="L34" i="31"/>
  <c r="L36" i="31"/>
  <c r="L38" i="31"/>
  <c r="L40" i="31"/>
  <c r="L42" i="31"/>
  <c r="L44" i="31"/>
  <c r="L46" i="31"/>
  <c r="L48" i="31"/>
  <c r="L50" i="31"/>
  <c r="L52" i="31"/>
  <c r="L54" i="31"/>
  <c r="L56" i="31"/>
  <c r="L58" i="31"/>
  <c r="L60" i="31"/>
  <c r="L62" i="31"/>
  <c r="L64" i="31"/>
  <c r="B16" i="31"/>
  <c r="B17" i="31" s="1"/>
  <c r="B18" i="31" s="1"/>
  <c r="B19" i="31" s="1"/>
  <c r="B20" i="31" s="1"/>
  <c r="B21" i="31" s="1"/>
  <c r="B22" i="31" s="1"/>
  <c r="B23" i="31" s="1"/>
  <c r="B24" i="31" s="1"/>
  <c r="B25" i="31" s="1"/>
  <c r="B26" i="31" s="1"/>
  <c r="B27" i="31" s="1"/>
  <c r="B28" i="31" s="1"/>
  <c r="B29" i="31" s="1"/>
  <c r="B30" i="31" s="1"/>
  <c r="B31" i="31" s="1"/>
  <c r="B32" i="31" s="1"/>
  <c r="B33" i="31" s="1"/>
  <c r="B34" i="31" s="1"/>
  <c r="B35" i="31" s="1"/>
  <c r="B36" i="31" s="1"/>
  <c r="B37" i="31" s="1"/>
  <c r="B38" i="31" s="1"/>
  <c r="B39" i="31" s="1"/>
  <c r="B40" i="31" l="1"/>
  <c r="B41" i="31" s="1"/>
  <c r="B42" i="31" s="1"/>
  <c r="B43" i="31" s="1"/>
  <c r="B44" i="31" s="1"/>
  <c r="B45" i="31" s="1"/>
  <c r="B46" i="31" s="1"/>
  <c r="B47" i="31" s="1"/>
  <c r="B48" i="31" s="1"/>
  <c r="B49" i="31" s="1"/>
  <c r="B50" i="31" s="1"/>
  <c r="B51" i="31" s="1"/>
  <c r="Y60" i="24"/>
  <c r="F60" i="24"/>
  <c r="E63" i="1"/>
  <c r="C63" i="1"/>
  <c r="Y59" i="24"/>
  <c r="F59" i="24"/>
  <c r="E62" i="1"/>
  <c r="C62" i="1"/>
  <c r="E61" i="1"/>
  <c r="C61" i="1"/>
  <c r="E60" i="1"/>
  <c r="C60" i="1"/>
  <c r="E59" i="1"/>
  <c r="C59" i="1"/>
  <c r="E58" i="1"/>
  <c r="C58" i="1"/>
  <c r="E57" i="1"/>
  <c r="C57" i="1"/>
  <c r="E56" i="1"/>
  <c r="C56" i="1"/>
  <c r="E55" i="1"/>
  <c r="C55" i="1"/>
  <c r="E54" i="1"/>
  <c r="C54" i="1"/>
  <c r="E53" i="1"/>
  <c r="C53" i="1"/>
  <c r="E52" i="1"/>
  <c r="C52" i="1"/>
  <c r="E51" i="1"/>
  <c r="C51" i="1"/>
  <c r="E50" i="1"/>
  <c r="C50" i="1"/>
  <c r="E49" i="1"/>
  <c r="C49" i="1"/>
  <c r="E48" i="1"/>
  <c r="C48" i="1"/>
  <c r="E47" i="1"/>
  <c r="C47" i="1"/>
  <c r="E46" i="1"/>
  <c r="C46" i="1"/>
  <c r="E45" i="1"/>
  <c r="C45" i="1"/>
  <c r="E44" i="1"/>
  <c r="C44" i="1"/>
  <c r="E43" i="1"/>
  <c r="C43" i="1"/>
  <c r="Z60" i="24"/>
  <c r="G60" i="24"/>
  <c r="E63" i="8"/>
  <c r="D63" i="8"/>
  <c r="C63" i="8"/>
  <c r="Z59" i="24"/>
  <c r="G59" i="24"/>
  <c r="E62" i="8"/>
  <c r="D62" i="8"/>
  <c r="C62" i="8"/>
  <c r="E61" i="8"/>
  <c r="D61" i="8"/>
  <c r="C61" i="8"/>
  <c r="E60" i="8"/>
  <c r="D60" i="8"/>
  <c r="C60" i="8"/>
  <c r="E59" i="8"/>
  <c r="D59" i="8"/>
  <c r="C59" i="8"/>
  <c r="E58" i="8"/>
  <c r="D58" i="8"/>
  <c r="C58" i="8"/>
  <c r="E57" i="8"/>
  <c r="D57" i="8"/>
  <c r="C57" i="8"/>
  <c r="E56" i="8"/>
  <c r="D56" i="8"/>
  <c r="C56" i="8"/>
  <c r="E55" i="8"/>
  <c r="D55" i="8"/>
  <c r="C55" i="8"/>
  <c r="E54" i="8"/>
  <c r="D54" i="8"/>
  <c r="C54" i="8"/>
  <c r="E53" i="8"/>
  <c r="D53" i="8"/>
  <c r="C53" i="8"/>
  <c r="E52" i="8"/>
  <c r="D52" i="8"/>
  <c r="C52" i="8"/>
  <c r="E51" i="8"/>
  <c r="D51" i="8"/>
  <c r="C51" i="8"/>
  <c r="E50" i="8"/>
  <c r="D50" i="8"/>
  <c r="C50" i="8"/>
  <c r="E49" i="8"/>
  <c r="D49" i="8"/>
  <c r="C49" i="8"/>
  <c r="E48" i="8"/>
  <c r="D48" i="8"/>
  <c r="C48" i="8"/>
  <c r="E47" i="8"/>
  <c r="D47" i="8"/>
  <c r="C47" i="8"/>
  <c r="AA60" i="24"/>
  <c r="H60" i="24"/>
  <c r="E63" i="7"/>
  <c r="D63" i="7"/>
  <c r="C63" i="7"/>
  <c r="AA59" i="24"/>
  <c r="H59" i="24"/>
  <c r="E62" i="7"/>
  <c r="D62" i="7"/>
  <c r="C62" i="7"/>
  <c r="E61" i="7"/>
  <c r="D61" i="7"/>
  <c r="C61" i="7"/>
  <c r="E60" i="7"/>
  <c r="D60" i="7"/>
  <c r="C60" i="7"/>
  <c r="E59" i="7"/>
  <c r="D59" i="7"/>
  <c r="C59" i="7"/>
  <c r="E58" i="7"/>
  <c r="D58" i="7"/>
  <c r="C58" i="7"/>
  <c r="E57" i="7"/>
  <c r="D57" i="7"/>
  <c r="C57" i="7"/>
  <c r="E56" i="7"/>
  <c r="D56" i="7"/>
  <c r="C56" i="7"/>
  <c r="E55" i="7"/>
  <c r="D55" i="7"/>
  <c r="C55" i="7"/>
  <c r="E54" i="7"/>
  <c r="D54" i="7"/>
  <c r="C54" i="7"/>
  <c r="E53" i="7"/>
  <c r="D53" i="7"/>
  <c r="C53" i="7"/>
  <c r="E52" i="7"/>
  <c r="D52" i="7"/>
  <c r="C52" i="7"/>
  <c r="E51" i="7"/>
  <c r="D51" i="7"/>
  <c r="C51" i="7"/>
  <c r="E50" i="7"/>
  <c r="D50" i="7"/>
  <c r="C50" i="7"/>
  <c r="E49" i="7"/>
  <c r="D49" i="7"/>
  <c r="C49" i="7"/>
  <c r="E48" i="7"/>
  <c r="D48" i="7"/>
  <c r="C48" i="7"/>
  <c r="E47" i="7"/>
  <c r="D47" i="7"/>
  <c r="C47" i="7"/>
  <c r="AB60" i="24"/>
  <c r="I60" i="24"/>
  <c r="E63" i="6"/>
  <c r="D63" i="6"/>
  <c r="C63" i="6"/>
  <c r="AB59" i="24"/>
  <c r="I59" i="24"/>
  <c r="E62" i="6"/>
  <c r="D62" i="6"/>
  <c r="C62" i="6"/>
  <c r="E61" i="6"/>
  <c r="D61" i="6"/>
  <c r="C61" i="6"/>
  <c r="E60" i="6"/>
  <c r="D60" i="6"/>
  <c r="C60" i="6"/>
  <c r="E59" i="6"/>
  <c r="D59" i="6"/>
  <c r="C59" i="6"/>
  <c r="E58" i="6"/>
  <c r="D58" i="6"/>
  <c r="C58" i="6"/>
  <c r="E57" i="6"/>
  <c r="D57" i="6"/>
  <c r="C57" i="6"/>
  <c r="E56" i="6"/>
  <c r="D56" i="6"/>
  <c r="C56" i="6"/>
  <c r="E55" i="6"/>
  <c r="D55" i="6"/>
  <c r="C55" i="6"/>
  <c r="E54" i="6"/>
  <c r="D54" i="6"/>
  <c r="C54" i="6"/>
  <c r="E53" i="6"/>
  <c r="D53" i="6"/>
  <c r="C53" i="6"/>
  <c r="E52" i="6"/>
  <c r="D52" i="6"/>
  <c r="C52" i="6"/>
  <c r="E51" i="6"/>
  <c r="D51" i="6"/>
  <c r="C51" i="6"/>
  <c r="E50" i="6"/>
  <c r="D50" i="6"/>
  <c r="C50" i="6"/>
  <c r="E49" i="6"/>
  <c r="D49" i="6"/>
  <c r="C49" i="6"/>
  <c r="E48" i="6"/>
  <c r="D48" i="6"/>
  <c r="C48" i="6"/>
  <c r="E47" i="6"/>
  <c r="D47" i="6"/>
  <c r="C47" i="6"/>
  <c r="AC60" i="24"/>
  <c r="J60" i="24"/>
  <c r="E63" i="5"/>
  <c r="D63" i="5"/>
  <c r="C63" i="5"/>
  <c r="AC59" i="24"/>
  <c r="J59" i="24"/>
  <c r="E62" i="5"/>
  <c r="D62" i="5"/>
  <c r="C62" i="5"/>
  <c r="E61" i="5"/>
  <c r="D61" i="5"/>
  <c r="C61" i="5"/>
  <c r="E60" i="5"/>
  <c r="D60" i="5"/>
  <c r="C60" i="5"/>
  <c r="E59" i="5"/>
  <c r="D59" i="5"/>
  <c r="C59" i="5"/>
  <c r="E58" i="5"/>
  <c r="D58" i="5"/>
  <c r="C58" i="5"/>
  <c r="E57" i="5"/>
  <c r="D57" i="5"/>
  <c r="C57" i="5"/>
  <c r="E56" i="5"/>
  <c r="D56" i="5"/>
  <c r="C56" i="5"/>
  <c r="E55" i="5"/>
  <c r="D55" i="5"/>
  <c r="C55" i="5"/>
  <c r="E54" i="5"/>
  <c r="D54" i="5"/>
  <c r="C54" i="5"/>
  <c r="E53" i="5"/>
  <c r="D53" i="5"/>
  <c r="C53" i="5"/>
  <c r="E52" i="5"/>
  <c r="D52" i="5"/>
  <c r="C52" i="5"/>
  <c r="E51" i="5"/>
  <c r="D51" i="5"/>
  <c r="C51" i="5"/>
  <c r="E50" i="5"/>
  <c r="D50" i="5"/>
  <c r="C50" i="5"/>
  <c r="E49" i="5"/>
  <c r="D49" i="5"/>
  <c r="C49" i="5"/>
  <c r="E48" i="5"/>
  <c r="D48" i="5"/>
  <c r="C48" i="5"/>
  <c r="E47" i="5"/>
  <c r="D47" i="5"/>
  <c r="C47" i="5"/>
  <c r="AD60" i="24"/>
  <c r="K60" i="24"/>
  <c r="E63" i="4"/>
  <c r="D63" i="4"/>
  <c r="C63" i="4"/>
  <c r="AD59" i="24"/>
  <c r="K59" i="24"/>
  <c r="E62" i="4"/>
  <c r="D62" i="4"/>
  <c r="C62" i="4"/>
  <c r="E61" i="4"/>
  <c r="D61" i="4"/>
  <c r="C61" i="4"/>
  <c r="E60" i="4"/>
  <c r="D60" i="4"/>
  <c r="C60" i="4"/>
  <c r="E59" i="4"/>
  <c r="D59" i="4"/>
  <c r="C59" i="4"/>
  <c r="E58" i="4"/>
  <c r="D58" i="4"/>
  <c r="C58" i="4"/>
  <c r="E57" i="4"/>
  <c r="D57" i="4"/>
  <c r="C57" i="4"/>
  <c r="E56" i="4"/>
  <c r="D56" i="4"/>
  <c r="C56" i="4"/>
  <c r="E55" i="4"/>
  <c r="D55" i="4"/>
  <c r="C55" i="4"/>
  <c r="E54" i="4"/>
  <c r="D54" i="4"/>
  <c r="C54" i="4"/>
  <c r="E53" i="4"/>
  <c r="D53" i="4"/>
  <c r="C53" i="4"/>
  <c r="E52" i="4"/>
  <c r="D52" i="4"/>
  <c r="C52" i="4"/>
  <c r="E51" i="4"/>
  <c r="D51" i="4"/>
  <c r="C51" i="4"/>
  <c r="E50" i="4"/>
  <c r="D50" i="4"/>
  <c r="C50" i="4"/>
  <c r="E49" i="4"/>
  <c r="D49" i="4"/>
  <c r="C49" i="4"/>
  <c r="E48" i="4"/>
  <c r="D48" i="4"/>
  <c r="C48" i="4"/>
  <c r="E47" i="4"/>
  <c r="D47" i="4"/>
  <c r="C47" i="4"/>
  <c r="AE60" i="24"/>
  <c r="L60" i="24"/>
  <c r="E63" i="2"/>
  <c r="D63" i="2"/>
  <c r="C63" i="2"/>
  <c r="AE59" i="24"/>
  <c r="L59" i="24"/>
  <c r="E62" i="2"/>
  <c r="D62" i="2"/>
  <c r="C62" i="2"/>
  <c r="E61" i="2"/>
  <c r="D61" i="2"/>
  <c r="C61" i="2"/>
  <c r="E60" i="2"/>
  <c r="D60" i="2"/>
  <c r="C60" i="2"/>
  <c r="E59" i="2"/>
  <c r="D59" i="2"/>
  <c r="C59" i="2"/>
  <c r="E58" i="2"/>
  <c r="D58" i="2"/>
  <c r="C58" i="2"/>
  <c r="E57" i="2"/>
  <c r="D57" i="2"/>
  <c r="C57" i="2"/>
  <c r="E56" i="2"/>
  <c r="D56" i="2"/>
  <c r="C56" i="2"/>
  <c r="E55" i="2"/>
  <c r="D55" i="2"/>
  <c r="C55" i="2"/>
  <c r="E54" i="2"/>
  <c r="D54" i="2"/>
  <c r="C54" i="2"/>
  <c r="E53" i="2"/>
  <c r="D53" i="2"/>
  <c r="C53" i="2"/>
  <c r="E52" i="2"/>
  <c r="D52" i="2"/>
  <c r="C52" i="2"/>
  <c r="E51" i="2"/>
  <c r="D51" i="2"/>
  <c r="C51" i="2"/>
  <c r="E50" i="2"/>
  <c r="D50" i="2"/>
  <c r="C50" i="2"/>
  <c r="E49" i="2"/>
  <c r="D49" i="2"/>
  <c r="C49" i="2"/>
  <c r="E48" i="2"/>
  <c r="D48" i="2"/>
  <c r="C48" i="2"/>
  <c r="E47" i="2"/>
  <c r="D47" i="2"/>
  <c r="C47" i="2"/>
  <c r="AF60" i="24"/>
  <c r="M60" i="24"/>
  <c r="E63" i="10"/>
  <c r="D63" i="10"/>
  <c r="C63" i="10"/>
  <c r="AF59" i="24"/>
  <c r="M59" i="24"/>
  <c r="E62" i="10"/>
  <c r="D62" i="10"/>
  <c r="C62" i="10"/>
  <c r="E61" i="10"/>
  <c r="D61" i="10"/>
  <c r="C61" i="10"/>
  <c r="E60" i="10"/>
  <c r="D60" i="10"/>
  <c r="C60" i="10"/>
  <c r="E59" i="10"/>
  <c r="D59" i="10"/>
  <c r="C59" i="10"/>
  <c r="E58" i="10"/>
  <c r="D58" i="10"/>
  <c r="C58" i="10"/>
  <c r="E57" i="10"/>
  <c r="D57" i="10"/>
  <c r="C57" i="10"/>
  <c r="E56" i="10"/>
  <c r="D56" i="10"/>
  <c r="C56" i="10"/>
  <c r="E55" i="10"/>
  <c r="D55" i="10"/>
  <c r="C55" i="10"/>
  <c r="E54" i="10"/>
  <c r="D54" i="10"/>
  <c r="C54" i="10"/>
  <c r="E53" i="10"/>
  <c r="D53" i="10"/>
  <c r="C53" i="10"/>
  <c r="E52" i="10"/>
  <c r="D52" i="10"/>
  <c r="C52" i="10"/>
  <c r="E51" i="10"/>
  <c r="D51" i="10"/>
  <c r="C51" i="10"/>
  <c r="E50" i="10"/>
  <c r="D50" i="10"/>
  <c r="C50" i="10"/>
  <c r="E49" i="10"/>
  <c r="D49" i="10"/>
  <c r="C49" i="10"/>
  <c r="E48" i="10"/>
  <c r="D48" i="10"/>
  <c r="C48" i="10"/>
  <c r="E47" i="10"/>
  <c r="D47" i="10"/>
  <c r="C47" i="10"/>
  <c r="AG60" i="24"/>
  <c r="N60" i="24"/>
  <c r="E63" i="15"/>
  <c r="D63" i="15"/>
  <c r="C63" i="15"/>
  <c r="AG59" i="24"/>
  <c r="N59" i="24"/>
  <c r="E62" i="15"/>
  <c r="D62" i="15"/>
  <c r="C62" i="15"/>
  <c r="E61" i="15"/>
  <c r="D61" i="15"/>
  <c r="C61" i="15"/>
  <c r="E60" i="15"/>
  <c r="D60" i="15"/>
  <c r="C60" i="15"/>
  <c r="E59" i="15"/>
  <c r="D59" i="15"/>
  <c r="C59" i="15"/>
  <c r="E58" i="15"/>
  <c r="D58" i="15"/>
  <c r="C58" i="15"/>
  <c r="E57" i="15"/>
  <c r="D57" i="15"/>
  <c r="C57" i="15"/>
  <c r="E56" i="15"/>
  <c r="D56" i="15"/>
  <c r="C56" i="15"/>
  <c r="E55" i="15"/>
  <c r="D55" i="15"/>
  <c r="C55" i="15"/>
  <c r="E54" i="15"/>
  <c r="D54" i="15"/>
  <c r="C54" i="15"/>
  <c r="E53" i="15"/>
  <c r="D53" i="15"/>
  <c r="C53" i="15"/>
  <c r="E52" i="15"/>
  <c r="D52" i="15"/>
  <c r="C52" i="15"/>
  <c r="E51" i="15"/>
  <c r="D51" i="15"/>
  <c r="C51" i="15"/>
  <c r="E50" i="15"/>
  <c r="D50" i="15"/>
  <c r="C50" i="15"/>
  <c r="E49" i="15"/>
  <c r="D49" i="15"/>
  <c r="C49" i="15"/>
  <c r="E48" i="15"/>
  <c r="D48" i="15"/>
  <c r="C48" i="15"/>
  <c r="E47" i="15"/>
  <c r="D47" i="15"/>
  <c r="C47" i="15"/>
  <c r="AH60" i="24"/>
  <c r="O60" i="24"/>
  <c r="E63" i="11"/>
  <c r="D63" i="11"/>
  <c r="C63" i="11"/>
  <c r="AH59" i="24"/>
  <c r="O59" i="24"/>
  <c r="E62" i="11"/>
  <c r="D62" i="11"/>
  <c r="C62" i="11"/>
  <c r="E61" i="11"/>
  <c r="D61" i="11"/>
  <c r="C61" i="11"/>
  <c r="E60" i="11"/>
  <c r="D60" i="11"/>
  <c r="C60" i="11"/>
  <c r="E59" i="11"/>
  <c r="D59" i="11"/>
  <c r="C59" i="11"/>
  <c r="E58" i="11"/>
  <c r="D58" i="11"/>
  <c r="C58" i="11"/>
  <c r="E57" i="11"/>
  <c r="D57" i="11"/>
  <c r="C57" i="11"/>
  <c r="E56" i="11"/>
  <c r="D56" i="11"/>
  <c r="C56" i="11"/>
  <c r="E55" i="11"/>
  <c r="D55" i="11"/>
  <c r="C55" i="11"/>
  <c r="E54" i="11"/>
  <c r="D54" i="11"/>
  <c r="C54" i="11"/>
  <c r="E53" i="11"/>
  <c r="D53" i="11"/>
  <c r="C53" i="11"/>
  <c r="E52" i="11"/>
  <c r="D52" i="11"/>
  <c r="C52" i="11"/>
  <c r="E51" i="11"/>
  <c r="D51" i="11"/>
  <c r="C51" i="11"/>
  <c r="E50" i="11"/>
  <c r="D50" i="11"/>
  <c r="C50" i="11"/>
  <c r="E49" i="11"/>
  <c r="D49" i="11"/>
  <c r="C49" i="11"/>
  <c r="E48" i="11"/>
  <c r="D48" i="11"/>
  <c r="C48" i="11"/>
  <c r="E47" i="11"/>
  <c r="D47" i="11"/>
  <c r="C47" i="11"/>
  <c r="AK60" i="24"/>
  <c r="R60" i="24"/>
  <c r="E63" i="12"/>
  <c r="D63" i="12"/>
  <c r="C63" i="12"/>
  <c r="AK59" i="24"/>
  <c r="R59" i="24"/>
  <c r="E62" i="12"/>
  <c r="D62" i="12"/>
  <c r="C62" i="12"/>
  <c r="E61" i="12"/>
  <c r="D61" i="12"/>
  <c r="C61" i="12"/>
  <c r="E60" i="12"/>
  <c r="D60" i="12"/>
  <c r="C60" i="12"/>
  <c r="E59" i="12"/>
  <c r="D59" i="12"/>
  <c r="C59" i="12"/>
  <c r="E58" i="12"/>
  <c r="D58" i="12"/>
  <c r="C58" i="12"/>
  <c r="E57" i="12"/>
  <c r="D57" i="12"/>
  <c r="C57" i="12"/>
  <c r="E56" i="12"/>
  <c r="D56" i="12"/>
  <c r="C56" i="12"/>
  <c r="E55" i="12"/>
  <c r="D55" i="12"/>
  <c r="C55" i="12"/>
  <c r="E54" i="12"/>
  <c r="D54" i="12"/>
  <c r="C54" i="12"/>
  <c r="E53" i="12"/>
  <c r="D53" i="12"/>
  <c r="C53" i="12"/>
  <c r="E52" i="12"/>
  <c r="D52" i="12"/>
  <c r="C52" i="12"/>
  <c r="E51" i="12"/>
  <c r="D51" i="12"/>
  <c r="C51" i="12"/>
  <c r="E50" i="12"/>
  <c r="D50" i="12"/>
  <c r="C50" i="12"/>
  <c r="E49" i="12"/>
  <c r="D49" i="12"/>
  <c r="C49" i="12"/>
  <c r="E48" i="12"/>
  <c r="D48" i="12"/>
  <c r="C48" i="12"/>
  <c r="E47" i="12"/>
  <c r="D47" i="12"/>
  <c r="C47" i="12"/>
  <c r="AS34" i="45" l="1"/>
  <c r="AS14" i="45"/>
  <c r="AT39" i="45"/>
  <c r="AT19" i="45"/>
  <c r="AS29" i="45"/>
  <c r="B17" i="34"/>
  <c r="AT34" i="45"/>
  <c r="AT14" i="45"/>
  <c r="AS24" i="45"/>
  <c r="F17" i="43"/>
  <c r="AT29" i="45"/>
  <c r="B17" i="35"/>
  <c r="D17" i="35" s="1"/>
  <c r="F17" i="35" s="1"/>
  <c r="AS39" i="45"/>
  <c r="AS19" i="45"/>
  <c r="F14" i="43"/>
  <c r="AT24" i="45"/>
  <c r="B17" i="43"/>
  <c r="D17" i="43" s="1"/>
  <c r="B14" i="34"/>
  <c r="D14" i="34" s="1"/>
  <c r="F14" i="34" s="1"/>
  <c r="B14" i="43"/>
  <c r="D14" i="43" s="1"/>
  <c r="D17" i="34"/>
  <c r="F17" i="34" s="1"/>
  <c r="B14" i="35"/>
  <c r="D14" i="35" s="1"/>
  <c r="F14" i="35" s="1"/>
  <c r="AT59" i="24"/>
  <c r="AU59" i="24"/>
  <c r="AU60" i="24"/>
  <c r="R45" i="24"/>
  <c r="R47" i="24"/>
  <c r="AK44" i="24"/>
  <c r="AK45" i="24"/>
  <c r="AK46" i="24"/>
  <c r="AK47" i="24"/>
  <c r="AK48" i="24"/>
  <c r="AK49" i="24"/>
  <c r="AK50" i="24"/>
  <c r="AK51" i="24"/>
  <c r="AK52" i="24"/>
  <c r="AK53" i="24"/>
  <c r="AK54" i="24"/>
  <c r="AK55" i="24"/>
  <c r="AK56" i="24"/>
  <c r="AK57" i="24"/>
  <c r="AK58" i="24"/>
  <c r="AH44" i="24"/>
  <c r="AH45" i="24"/>
  <c r="AH46" i="24"/>
  <c r="AH47" i="24"/>
  <c r="AH48" i="24"/>
  <c r="AH49" i="24"/>
  <c r="AH50" i="24"/>
  <c r="AH51" i="24"/>
  <c r="AH52" i="24"/>
  <c r="AH53" i="24"/>
  <c r="AH54" i="24"/>
  <c r="AH55" i="24"/>
  <c r="AH56" i="24"/>
  <c r="AH57" i="24"/>
  <c r="AH58" i="24"/>
  <c r="AG44" i="24"/>
  <c r="AG45" i="24"/>
  <c r="AG46" i="24"/>
  <c r="AG47" i="24"/>
  <c r="AG48" i="24"/>
  <c r="AG49" i="24"/>
  <c r="AG50" i="24"/>
  <c r="AG51" i="24"/>
  <c r="AG52" i="24"/>
  <c r="AG53" i="24"/>
  <c r="AG54" i="24"/>
  <c r="AG55" i="24"/>
  <c r="AG56" i="24"/>
  <c r="AG57" i="24"/>
  <c r="AG58" i="24"/>
  <c r="AF44" i="24"/>
  <c r="AF45" i="24"/>
  <c r="AF46" i="24"/>
  <c r="AF47" i="24"/>
  <c r="AF48" i="24"/>
  <c r="AF49" i="24"/>
  <c r="AF50" i="24"/>
  <c r="AF51" i="24"/>
  <c r="AF52" i="24"/>
  <c r="AF53" i="24"/>
  <c r="AF54" i="24"/>
  <c r="AF55" i="24"/>
  <c r="AF56" i="24"/>
  <c r="AF57" i="24"/>
  <c r="AF58" i="24"/>
  <c r="AE44" i="24"/>
  <c r="AE45" i="24"/>
  <c r="AE46" i="24"/>
  <c r="AE47" i="24"/>
  <c r="AE48" i="24"/>
  <c r="AE49" i="24"/>
  <c r="AE50" i="24"/>
  <c r="AE51" i="24"/>
  <c r="AE52" i="24"/>
  <c r="AE53" i="24"/>
  <c r="AE54" i="24"/>
  <c r="AE55" i="24"/>
  <c r="AE56" i="24"/>
  <c r="AE57" i="24"/>
  <c r="AE58" i="24"/>
  <c r="AD44" i="24"/>
  <c r="AD45" i="24"/>
  <c r="AD46" i="24"/>
  <c r="AD47" i="24"/>
  <c r="AD48" i="24"/>
  <c r="AD49" i="24"/>
  <c r="AD50" i="24"/>
  <c r="AD51" i="24"/>
  <c r="AD52" i="24"/>
  <c r="AD53" i="24"/>
  <c r="AD54" i="24"/>
  <c r="AD55" i="24"/>
  <c r="AD56" i="24"/>
  <c r="AD57" i="24"/>
  <c r="AD58" i="24"/>
  <c r="AC44" i="24"/>
  <c r="AC45" i="24"/>
  <c r="AC46" i="24"/>
  <c r="AC47" i="24"/>
  <c r="AC48" i="24"/>
  <c r="AC49" i="24"/>
  <c r="AC50" i="24"/>
  <c r="AC51" i="24"/>
  <c r="AC52" i="24"/>
  <c r="AC53" i="24"/>
  <c r="AC54" i="24"/>
  <c r="AC55" i="24"/>
  <c r="AC56" i="24"/>
  <c r="AC57" i="24"/>
  <c r="AC58" i="24"/>
  <c r="AB44" i="24"/>
  <c r="AB45" i="24"/>
  <c r="AB46" i="24"/>
  <c r="AB47" i="24"/>
  <c r="AB48" i="24"/>
  <c r="AB49" i="24"/>
  <c r="AB50" i="24"/>
  <c r="AB51" i="24"/>
  <c r="AB52" i="24"/>
  <c r="AB53" i="24"/>
  <c r="AB54" i="24"/>
  <c r="AB55" i="24"/>
  <c r="AB56" i="24"/>
  <c r="AB57" i="24"/>
  <c r="AB58" i="24"/>
  <c r="AA44" i="24"/>
  <c r="AA45" i="24"/>
  <c r="AA46" i="24"/>
  <c r="AA47" i="24"/>
  <c r="AA48" i="24"/>
  <c r="AA49" i="24"/>
  <c r="AA50" i="24"/>
  <c r="AA51" i="24"/>
  <c r="AA52" i="24"/>
  <c r="AA53" i="24"/>
  <c r="AA54" i="24"/>
  <c r="AA55" i="24"/>
  <c r="AA56" i="24"/>
  <c r="AA57" i="24"/>
  <c r="AA58" i="24"/>
  <c r="Z44" i="24"/>
  <c r="Z45" i="24"/>
  <c r="Z46" i="24"/>
  <c r="Z47" i="24"/>
  <c r="Z48" i="24"/>
  <c r="Z49" i="24"/>
  <c r="Z50" i="24"/>
  <c r="Z51" i="24"/>
  <c r="Z52" i="24"/>
  <c r="Z53" i="24"/>
  <c r="Z54" i="24"/>
  <c r="Z55" i="24"/>
  <c r="Z56" i="24"/>
  <c r="Z57" i="24"/>
  <c r="Z58" i="24"/>
  <c r="Y40" i="24"/>
  <c r="Y41" i="24"/>
  <c r="Y42" i="24"/>
  <c r="Y43" i="24"/>
  <c r="Y44" i="24"/>
  <c r="Y45" i="24"/>
  <c r="Y46" i="24"/>
  <c r="Y47" i="24"/>
  <c r="AU47" i="24" s="1"/>
  <c r="Y48" i="24"/>
  <c r="Y49" i="24"/>
  <c r="Y50" i="24"/>
  <c r="Y51" i="24"/>
  <c r="AU51" i="24" s="1"/>
  <c r="Y52" i="24"/>
  <c r="Y53" i="24"/>
  <c r="Y54" i="24"/>
  <c r="Y55" i="24"/>
  <c r="AU55" i="24" s="1"/>
  <c r="Y56" i="24"/>
  <c r="Y57" i="24"/>
  <c r="Y58" i="24"/>
  <c r="R44" i="24"/>
  <c r="R46" i="24"/>
  <c r="R48" i="24"/>
  <c r="R49" i="24"/>
  <c r="R50" i="24"/>
  <c r="R51" i="24"/>
  <c r="R52" i="24"/>
  <c r="R53" i="24"/>
  <c r="R54" i="24"/>
  <c r="R55" i="24"/>
  <c r="R56" i="24"/>
  <c r="R57" i="24"/>
  <c r="R58" i="24"/>
  <c r="O44" i="24"/>
  <c r="O45" i="24"/>
  <c r="O46" i="24"/>
  <c r="O47" i="24"/>
  <c r="O48" i="24"/>
  <c r="O49" i="24"/>
  <c r="O50" i="24"/>
  <c r="O51" i="24"/>
  <c r="O52" i="24"/>
  <c r="O53" i="24"/>
  <c r="O54" i="24"/>
  <c r="O55" i="24"/>
  <c r="O56" i="24"/>
  <c r="O57" i="24"/>
  <c r="O58" i="24"/>
  <c r="N44" i="24"/>
  <c r="N45" i="24"/>
  <c r="N46" i="24"/>
  <c r="N47" i="24"/>
  <c r="N48" i="24"/>
  <c r="N49" i="24"/>
  <c r="N50" i="24"/>
  <c r="N51" i="24"/>
  <c r="N52" i="24"/>
  <c r="N53" i="24"/>
  <c r="N54" i="24"/>
  <c r="N55" i="24"/>
  <c r="N56" i="24"/>
  <c r="N57" i="24"/>
  <c r="N58" i="24"/>
  <c r="M44" i="24"/>
  <c r="M45" i="24"/>
  <c r="M46" i="24"/>
  <c r="M47" i="24"/>
  <c r="M48" i="24"/>
  <c r="M49" i="24"/>
  <c r="M50" i="24"/>
  <c r="M51" i="24"/>
  <c r="M52" i="24"/>
  <c r="M53" i="24"/>
  <c r="M54" i="24"/>
  <c r="M55" i="24"/>
  <c r="M56" i="24"/>
  <c r="M57" i="24"/>
  <c r="M58" i="24"/>
  <c r="L44" i="24"/>
  <c r="L45" i="24"/>
  <c r="L46" i="24"/>
  <c r="L47" i="24"/>
  <c r="L48" i="24"/>
  <c r="L49" i="24"/>
  <c r="L50" i="24"/>
  <c r="L51" i="24"/>
  <c r="L52" i="24"/>
  <c r="L53" i="24"/>
  <c r="L54" i="24"/>
  <c r="L55" i="24"/>
  <c r="L56" i="24"/>
  <c r="L57" i="24"/>
  <c r="L58" i="24"/>
  <c r="K44" i="24"/>
  <c r="K45" i="24"/>
  <c r="K46" i="24"/>
  <c r="K47" i="24"/>
  <c r="K48" i="24"/>
  <c r="K49" i="24"/>
  <c r="K50" i="24"/>
  <c r="K51" i="24"/>
  <c r="K52" i="24"/>
  <c r="K53" i="24"/>
  <c r="K54" i="24"/>
  <c r="K55" i="24"/>
  <c r="K56" i="24"/>
  <c r="K57" i="24"/>
  <c r="K58" i="24"/>
  <c r="J44" i="24"/>
  <c r="J45" i="24"/>
  <c r="J46" i="24"/>
  <c r="J47" i="24"/>
  <c r="J48" i="24"/>
  <c r="J49" i="24"/>
  <c r="J50" i="24"/>
  <c r="J51" i="24"/>
  <c r="J52" i="24"/>
  <c r="J53" i="24"/>
  <c r="J54" i="24"/>
  <c r="J55" i="24"/>
  <c r="J56" i="24"/>
  <c r="J57" i="24"/>
  <c r="J58" i="24"/>
  <c r="I44" i="24"/>
  <c r="I45" i="24"/>
  <c r="I46" i="24"/>
  <c r="I47" i="24"/>
  <c r="I48" i="24"/>
  <c r="I49" i="24"/>
  <c r="I50" i="24"/>
  <c r="I51" i="24"/>
  <c r="I52" i="24"/>
  <c r="I53" i="24"/>
  <c r="I54" i="24"/>
  <c r="I55" i="24"/>
  <c r="I56" i="24"/>
  <c r="I57" i="24"/>
  <c r="I58" i="24"/>
  <c r="H44" i="24"/>
  <c r="H45" i="24"/>
  <c r="H46" i="24"/>
  <c r="H47" i="24"/>
  <c r="H48" i="24"/>
  <c r="H49" i="24"/>
  <c r="H50" i="24"/>
  <c r="H51" i="24"/>
  <c r="H52" i="24"/>
  <c r="H53" i="24"/>
  <c r="H54" i="24"/>
  <c r="H55" i="24"/>
  <c r="H56" i="24"/>
  <c r="H57" i="24"/>
  <c r="H58" i="24"/>
  <c r="G44" i="24"/>
  <c r="G45" i="24"/>
  <c r="G46" i="24"/>
  <c r="G47" i="24"/>
  <c r="G48" i="24"/>
  <c r="G49" i="24"/>
  <c r="G50" i="24"/>
  <c r="G51" i="24"/>
  <c r="G52" i="24"/>
  <c r="G53" i="24"/>
  <c r="G54" i="24"/>
  <c r="G55" i="24"/>
  <c r="G56" i="24"/>
  <c r="G57" i="24"/>
  <c r="G58" i="24"/>
  <c r="F40" i="24"/>
  <c r="F41" i="24"/>
  <c r="F42" i="24"/>
  <c r="F43" i="24"/>
  <c r="F44" i="24"/>
  <c r="F45" i="24"/>
  <c r="F46" i="24"/>
  <c r="F47" i="24"/>
  <c r="F48" i="24"/>
  <c r="F49" i="24"/>
  <c r="F51" i="24"/>
  <c r="F52" i="24"/>
  <c r="F53" i="24"/>
  <c r="F54" i="24"/>
  <c r="F55" i="24"/>
  <c r="F56" i="24"/>
  <c r="F57" i="24"/>
  <c r="F58" i="24"/>
  <c r="AU56" i="24" l="1"/>
  <c r="AU52" i="24"/>
  <c r="AU48" i="24"/>
  <c r="AU57" i="24"/>
  <c r="AU49" i="24"/>
  <c r="AU45" i="24"/>
  <c r="AU53" i="24"/>
  <c r="AT46" i="24"/>
  <c r="AU58" i="24"/>
  <c r="AU54" i="24"/>
  <c r="AU50" i="24"/>
  <c r="AU46" i="24"/>
  <c r="AT49" i="24"/>
  <c r="AU44" i="24"/>
  <c r="AT48" i="24"/>
  <c r="AT44" i="24"/>
  <c r="Q60" i="24"/>
  <c r="Q64" i="24" s="1"/>
  <c r="P60" i="24"/>
  <c r="AT45" i="24"/>
  <c r="AT57" i="24"/>
  <c r="AT53" i="24"/>
  <c r="AT55" i="24"/>
  <c r="AT51" i="24"/>
  <c r="AT58" i="24"/>
  <c r="AT54" i="24"/>
  <c r="AT56" i="24"/>
  <c r="AT52" i="24"/>
  <c r="AV59" i="24"/>
  <c r="AW59" i="24" s="1"/>
  <c r="F59" i="36" s="1"/>
  <c r="G59" i="36" s="1"/>
  <c r="L59" i="36" s="1"/>
  <c r="AT47" i="24"/>
  <c r="E46" i="8"/>
  <c r="D46" i="8"/>
  <c r="C46" i="8"/>
  <c r="E45" i="8"/>
  <c r="D45" i="8"/>
  <c r="C45" i="8"/>
  <c r="E44" i="8"/>
  <c r="D44" i="8"/>
  <c r="C44" i="8"/>
  <c r="E43" i="8"/>
  <c r="D43" i="8"/>
  <c r="C43" i="8"/>
  <c r="E42" i="8"/>
  <c r="D42" i="8"/>
  <c r="C42" i="8"/>
  <c r="E41" i="8"/>
  <c r="D41" i="8"/>
  <c r="C41" i="8"/>
  <c r="E40" i="8"/>
  <c r="D40" i="8"/>
  <c r="C40" i="8"/>
  <c r="E39" i="8"/>
  <c r="D39" i="8"/>
  <c r="C39" i="8"/>
  <c r="E38" i="8"/>
  <c r="D38" i="8"/>
  <c r="C38" i="8"/>
  <c r="E46" i="7"/>
  <c r="D46" i="7"/>
  <c r="C46" i="7"/>
  <c r="E45" i="7"/>
  <c r="D45" i="7"/>
  <c r="C45" i="7"/>
  <c r="E44" i="7"/>
  <c r="D44" i="7"/>
  <c r="C44" i="7"/>
  <c r="E43" i="7"/>
  <c r="D43" i="7"/>
  <c r="C43" i="7"/>
  <c r="E42" i="7"/>
  <c r="D42" i="7"/>
  <c r="C42" i="7"/>
  <c r="E41" i="7"/>
  <c r="D41" i="7"/>
  <c r="C41" i="7"/>
  <c r="E40" i="7"/>
  <c r="D40" i="7"/>
  <c r="C40" i="7"/>
  <c r="E39" i="7"/>
  <c r="D39" i="7"/>
  <c r="C39" i="7"/>
  <c r="E38" i="7"/>
  <c r="D38" i="7"/>
  <c r="C38" i="7"/>
  <c r="E46" i="6"/>
  <c r="D46" i="6"/>
  <c r="C46" i="6"/>
  <c r="E45" i="6"/>
  <c r="D45" i="6"/>
  <c r="C45" i="6"/>
  <c r="E44" i="6"/>
  <c r="D44" i="6"/>
  <c r="C44" i="6"/>
  <c r="E43" i="6"/>
  <c r="D43" i="6"/>
  <c r="C43" i="6"/>
  <c r="E42" i="6"/>
  <c r="D42" i="6"/>
  <c r="C42" i="6"/>
  <c r="E41" i="6"/>
  <c r="D41" i="6"/>
  <c r="C41" i="6"/>
  <c r="E40" i="6"/>
  <c r="D40" i="6"/>
  <c r="C40" i="6"/>
  <c r="E39" i="6"/>
  <c r="D39" i="6"/>
  <c r="C39" i="6"/>
  <c r="E38" i="6"/>
  <c r="D38" i="6"/>
  <c r="C38" i="6"/>
  <c r="E46" i="5"/>
  <c r="D46" i="5"/>
  <c r="C46" i="5"/>
  <c r="E45" i="5"/>
  <c r="D45" i="5"/>
  <c r="C45" i="5"/>
  <c r="E44" i="5"/>
  <c r="D44" i="5"/>
  <c r="C44" i="5"/>
  <c r="E43" i="5"/>
  <c r="D43" i="5"/>
  <c r="C43" i="5"/>
  <c r="E42" i="5"/>
  <c r="D42" i="5"/>
  <c r="C42" i="5"/>
  <c r="E41" i="5"/>
  <c r="D41" i="5"/>
  <c r="C41" i="5"/>
  <c r="E40" i="5"/>
  <c r="D40" i="5"/>
  <c r="C40" i="5"/>
  <c r="E39" i="5"/>
  <c r="D39" i="5"/>
  <c r="C39" i="5"/>
  <c r="E38" i="5"/>
  <c r="D38" i="5"/>
  <c r="C38" i="5"/>
  <c r="E46" i="4"/>
  <c r="D46" i="4"/>
  <c r="C46" i="4"/>
  <c r="E45" i="4"/>
  <c r="D45" i="4"/>
  <c r="C45" i="4"/>
  <c r="E44" i="4"/>
  <c r="D44" i="4"/>
  <c r="C44" i="4"/>
  <c r="E43" i="4"/>
  <c r="D43" i="4"/>
  <c r="C43" i="4"/>
  <c r="E42" i="4"/>
  <c r="D42" i="4"/>
  <c r="C42" i="4"/>
  <c r="E41" i="4"/>
  <c r="D41" i="4"/>
  <c r="C41" i="4"/>
  <c r="E40" i="4"/>
  <c r="D40" i="4"/>
  <c r="C40" i="4"/>
  <c r="E39" i="4"/>
  <c r="D39" i="4"/>
  <c r="C39" i="4"/>
  <c r="E38" i="4"/>
  <c r="D38" i="4"/>
  <c r="C38" i="4"/>
  <c r="E46" i="2"/>
  <c r="D46" i="2"/>
  <c r="C46" i="2"/>
  <c r="E45" i="2"/>
  <c r="D45" i="2"/>
  <c r="C45" i="2"/>
  <c r="E44" i="2"/>
  <c r="D44" i="2"/>
  <c r="C44" i="2"/>
  <c r="E43" i="2"/>
  <c r="D43" i="2"/>
  <c r="C43" i="2"/>
  <c r="E42" i="2"/>
  <c r="D42" i="2"/>
  <c r="C42" i="2"/>
  <c r="E41" i="2"/>
  <c r="D41" i="2"/>
  <c r="C41" i="2"/>
  <c r="E40" i="2"/>
  <c r="D40" i="2"/>
  <c r="C40" i="2"/>
  <c r="E39" i="2"/>
  <c r="D39" i="2"/>
  <c r="C39" i="2"/>
  <c r="E38" i="2"/>
  <c r="D38" i="2"/>
  <c r="C38" i="2"/>
  <c r="E46" i="10"/>
  <c r="D46" i="10"/>
  <c r="C46" i="10"/>
  <c r="E45" i="10"/>
  <c r="D45" i="10"/>
  <c r="C45" i="10"/>
  <c r="E44" i="10"/>
  <c r="D44" i="10"/>
  <c r="C44" i="10"/>
  <c r="E43" i="10"/>
  <c r="D43" i="10"/>
  <c r="C43" i="10"/>
  <c r="E42" i="10"/>
  <c r="D42" i="10"/>
  <c r="C42" i="10"/>
  <c r="E41" i="10"/>
  <c r="D41" i="10"/>
  <c r="C41" i="10"/>
  <c r="E40" i="10"/>
  <c r="D40" i="10"/>
  <c r="C40" i="10"/>
  <c r="E39" i="10"/>
  <c r="D39" i="10"/>
  <c r="C39" i="10"/>
  <c r="E38" i="10"/>
  <c r="D38" i="10"/>
  <c r="C38" i="10"/>
  <c r="E46" i="15"/>
  <c r="D46" i="15"/>
  <c r="C46" i="15"/>
  <c r="E45" i="15"/>
  <c r="D45" i="15"/>
  <c r="C45" i="15"/>
  <c r="E44" i="15"/>
  <c r="D44" i="15"/>
  <c r="C44" i="15"/>
  <c r="E43" i="15"/>
  <c r="D43" i="15"/>
  <c r="C43" i="15"/>
  <c r="E42" i="15"/>
  <c r="D42" i="15"/>
  <c r="C42" i="15"/>
  <c r="E41" i="15"/>
  <c r="D41" i="15"/>
  <c r="C41" i="15"/>
  <c r="E40" i="15"/>
  <c r="D40" i="15"/>
  <c r="C40" i="15"/>
  <c r="E39" i="15"/>
  <c r="D39" i="15"/>
  <c r="C39" i="15"/>
  <c r="E38" i="15"/>
  <c r="D38" i="15"/>
  <c r="C38" i="15"/>
  <c r="E46" i="11"/>
  <c r="D46" i="11"/>
  <c r="C46" i="11"/>
  <c r="E45" i="11"/>
  <c r="D45" i="11"/>
  <c r="C45" i="11"/>
  <c r="E44" i="11"/>
  <c r="D44" i="11"/>
  <c r="C44" i="11"/>
  <c r="E43" i="11"/>
  <c r="D43" i="11"/>
  <c r="C43" i="11"/>
  <c r="E42" i="11"/>
  <c r="D42" i="11"/>
  <c r="C42" i="11"/>
  <c r="E41" i="11"/>
  <c r="D41" i="11"/>
  <c r="C41" i="11"/>
  <c r="E40" i="11"/>
  <c r="D40" i="11"/>
  <c r="C40" i="11"/>
  <c r="E39" i="11"/>
  <c r="D39" i="11"/>
  <c r="C39" i="11"/>
  <c r="E38" i="11"/>
  <c r="D38" i="11"/>
  <c r="C38" i="11"/>
  <c r="E46" i="12"/>
  <c r="D46" i="12"/>
  <c r="C46" i="12"/>
  <c r="E45" i="12"/>
  <c r="D45" i="12"/>
  <c r="C45" i="12"/>
  <c r="E44" i="12"/>
  <c r="D44" i="12"/>
  <c r="C44" i="12"/>
  <c r="E43" i="12"/>
  <c r="D43" i="12"/>
  <c r="C43" i="12"/>
  <c r="E42" i="12"/>
  <c r="D42" i="12"/>
  <c r="C42" i="12"/>
  <c r="E41" i="12"/>
  <c r="D41" i="12"/>
  <c r="C41" i="12"/>
  <c r="E40" i="12"/>
  <c r="D40" i="12"/>
  <c r="C40" i="12"/>
  <c r="E39" i="12"/>
  <c r="D39" i="12"/>
  <c r="C39" i="12"/>
  <c r="E38" i="12"/>
  <c r="D38" i="12"/>
  <c r="C38" i="12"/>
  <c r="E42" i="1"/>
  <c r="C42" i="1"/>
  <c r="E41" i="1"/>
  <c r="C41" i="1"/>
  <c r="E40" i="1"/>
  <c r="C40" i="1"/>
  <c r="E39" i="1"/>
  <c r="C39" i="1"/>
  <c r="E38" i="1"/>
  <c r="C38" i="1"/>
  <c r="E58" i="24"/>
  <c r="D58" i="24"/>
  <c r="C58" i="24"/>
  <c r="E57" i="24"/>
  <c r="D57" i="24"/>
  <c r="C57" i="24"/>
  <c r="E56" i="24"/>
  <c r="D56" i="24"/>
  <c r="C56" i="24"/>
  <c r="E55" i="24"/>
  <c r="D55" i="24"/>
  <c r="C55" i="24"/>
  <c r="E54" i="24"/>
  <c r="D54" i="24"/>
  <c r="C54" i="24"/>
  <c r="E53" i="24"/>
  <c r="D53" i="24"/>
  <c r="C53" i="24"/>
  <c r="E52" i="24"/>
  <c r="D52" i="24"/>
  <c r="C52" i="24"/>
  <c r="E51" i="24"/>
  <c r="D51" i="24"/>
  <c r="C51" i="24"/>
  <c r="E50" i="24"/>
  <c r="D50" i="24"/>
  <c r="C50" i="24"/>
  <c r="E49" i="24"/>
  <c r="D49" i="24"/>
  <c r="C49" i="24"/>
  <c r="E48" i="24"/>
  <c r="D48" i="24"/>
  <c r="C48" i="24"/>
  <c r="E47" i="24"/>
  <c r="D47" i="24"/>
  <c r="C47" i="24"/>
  <c r="E46" i="24"/>
  <c r="D46" i="24"/>
  <c r="C46" i="24"/>
  <c r="E45" i="24"/>
  <c r="D45" i="24"/>
  <c r="C45" i="24"/>
  <c r="E44" i="24"/>
  <c r="D44" i="24"/>
  <c r="C44" i="24"/>
  <c r="E43" i="24"/>
  <c r="D43" i="24"/>
  <c r="C43" i="24"/>
  <c r="E42" i="24"/>
  <c r="D42" i="24"/>
  <c r="C42" i="24"/>
  <c r="E41" i="24"/>
  <c r="D41" i="24"/>
  <c r="C41" i="24"/>
  <c r="E40" i="24"/>
  <c r="D40" i="24"/>
  <c r="C40" i="24"/>
  <c r="E58" i="16"/>
  <c r="D58" i="16"/>
  <c r="C58" i="16"/>
  <c r="E57" i="16"/>
  <c r="D57" i="16"/>
  <c r="C57" i="16"/>
  <c r="E56" i="16"/>
  <c r="D56" i="16"/>
  <c r="C56" i="16"/>
  <c r="E55" i="16"/>
  <c r="D55" i="16"/>
  <c r="C55" i="16"/>
  <c r="E54" i="16"/>
  <c r="D54" i="16"/>
  <c r="C54" i="16"/>
  <c r="E53" i="16"/>
  <c r="D53" i="16"/>
  <c r="C53" i="16"/>
  <c r="E52" i="16"/>
  <c r="D52" i="16"/>
  <c r="C52" i="16"/>
  <c r="E51" i="16"/>
  <c r="D51" i="16"/>
  <c r="C51" i="16"/>
  <c r="E50" i="16"/>
  <c r="D50" i="16"/>
  <c r="C50" i="16"/>
  <c r="E49" i="16"/>
  <c r="D49" i="16"/>
  <c r="C49" i="16"/>
  <c r="E48" i="16"/>
  <c r="D48" i="16"/>
  <c r="C48" i="16"/>
  <c r="E47" i="16"/>
  <c r="D47" i="16"/>
  <c r="C47" i="16"/>
  <c r="E46" i="16"/>
  <c r="D46" i="16"/>
  <c r="C46" i="16"/>
  <c r="E45" i="16"/>
  <c r="D45" i="16"/>
  <c r="C45" i="16"/>
  <c r="E44" i="16"/>
  <c r="D44" i="16"/>
  <c r="C44" i="16"/>
  <c r="E43" i="16"/>
  <c r="D43" i="16"/>
  <c r="C43" i="16"/>
  <c r="E42" i="16"/>
  <c r="D42" i="16"/>
  <c r="C42" i="16"/>
  <c r="E41" i="16"/>
  <c r="D41" i="16"/>
  <c r="C41" i="16"/>
  <c r="E40" i="16"/>
  <c r="D40" i="16"/>
  <c r="C40" i="16"/>
  <c r="E39" i="16"/>
  <c r="D39" i="16"/>
  <c r="C39" i="16"/>
  <c r="E38" i="16"/>
  <c r="D38" i="16"/>
  <c r="C38" i="16"/>
  <c r="Q62" i="24" l="1"/>
  <c r="AL5" i="48" s="1"/>
  <c r="Q63" i="24"/>
  <c r="AL10" i="48" s="1"/>
  <c r="AT60" i="24"/>
  <c r="AV60" i="24" s="1"/>
  <c r="AW60" i="24" s="1"/>
  <c r="F60" i="36" s="1"/>
  <c r="G60" i="36" s="1"/>
  <c r="L60" i="36" s="1"/>
  <c r="Q65" i="24"/>
  <c r="P64" i="24"/>
  <c r="P65" i="24"/>
  <c r="P62" i="24"/>
  <c r="P63" i="24"/>
  <c r="AK10" i="48" s="1"/>
  <c r="AL8" i="48"/>
  <c r="F35" i="24"/>
  <c r="F36" i="24"/>
  <c r="F37" i="24"/>
  <c r="F38" i="24"/>
  <c r="F39" i="24"/>
  <c r="R35" i="24"/>
  <c r="R36" i="24"/>
  <c r="R37" i="24"/>
  <c r="R38" i="24"/>
  <c r="R39" i="24"/>
  <c r="R40" i="24"/>
  <c r="AK41" i="24"/>
  <c r="AK42" i="24"/>
  <c r="R43" i="24"/>
  <c r="O35" i="24"/>
  <c r="O36" i="24"/>
  <c r="O37" i="24"/>
  <c r="O38" i="24"/>
  <c r="O39" i="24"/>
  <c r="O40" i="24"/>
  <c r="AH41" i="24"/>
  <c r="O42" i="24"/>
  <c r="AH43" i="24"/>
  <c r="AG35" i="24"/>
  <c r="AG36" i="24"/>
  <c r="AG37" i="24"/>
  <c r="AG38" i="24"/>
  <c r="AG39" i="24"/>
  <c r="AG40" i="24"/>
  <c r="N41" i="24"/>
  <c r="N42" i="24"/>
  <c r="AG43" i="24"/>
  <c r="AF35" i="24"/>
  <c r="AF36" i="24"/>
  <c r="AF37" i="24"/>
  <c r="AF38" i="24"/>
  <c r="AF39" i="24"/>
  <c r="AF40" i="24"/>
  <c r="M41" i="24"/>
  <c r="AF42" i="24"/>
  <c r="AF43" i="24"/>
  <c r="AE35" i="24"/>
  <c r="AE36" i="24"/>
  <c r="AE37" i="24"/>
  <c r="AE38" i="24"/>
  <c r="AE39" i="24"/>
  <c r="AE40" i="24"/>
  <c r="L41" i="24"/>
  <c r="L42" i="24"/>
  <c r="AE43" i="24"/>
  <c r="AD35" i="24"/>
  <c r="AD36" i="24"/>
  <c r="AD37" i="24"/>
  <c r="AD38" i="24"/>
  <c r="AD39" i="24"/>
  <c r="AD40" i="24"/>
  <c r="K41" i="24"/>
  <c r="AD42" i="24"/>
  <c r="K43" i="24"/>
  <c r="J35" i="24"/>
  <c r="J36" i="24"/>
  <c r="J37" i="24"/>
  <c r="J38" i="24"/>
  <c r="J39" i="24"/>
  <c r="J40" i="24"/>
  <c r="AC41" i="24"/>
  <c r="J42" i="24"/>
  <c r="AC43" i="24"/>
  <c r="AB35" i="24"/>
  <c r="AB36" i="24"/>
  <c r="AB37" i="24"/>
  <c r="AB38" i="24"/>
  <c r="AB39" i="24"/>
  <c r="AB40" i="24"/>
  <c r="I41" i="24"/>
  <c r="AB42" i="24"/>
  <c r="I43" i="24"/>
  <c r="H35" i="24"/>
  <c r="H36" i="24"/>
  <c r="H37" i="24"/>
  <c r="H38" i="24"/>
  <c r="H39" i="24"/>
  <c r="H40" i="24"/>
  <c r="AA41" i="24"/>
  <c r="H42" i="24"/>
  <c r="AA43" i="24"/>
  <c r="Z35" i="24"/>
  <c r="Z36" i="24"/>
  <c r="Z37" i="24"/>
  <c r="Z38" i="24"/>
  <c r="Z39" i="24"/>
  <c r="Z40" i="24"/>
  <c r="G41" i="24"/>
  <c r="Z42" i="24"/>
  <c r="G43" i="24"/>
  <c r="Y35" i="24"/>
  <c r="Y36" i="24"/>
  <c r="Y37" i="24"/>
  <c r="Y38" i="24"/>
  <c r="Y39" i="24"/>
  <c r="AK35" i="24"/>
  <c r="AK36" i="24"/>
  <c r="AK37" i="24"/>
  <c r="AK38" i="24"/>
  <c r="AK39" i="24"/>
  <c r="AK40" i="24"/>
  <c r="R41" i="24"/>
  <c r="R42" i="24"/>
  <c r="AK43" i="24"/>
  <c r="AH35" i="24"/>
  <c r="AH36" i="24"/>
  <c r="AH37" i="24"/>
  <c r="AH38" i="24"/>
  <c r="AH39" i="24"/>
  <c r="AH40" i="24"/>
  <c r="O41" i="24"/>
  <c r="AH42" i="24"/>
  <c r="O43" i="24"/>
  <c r="N35" i="24"/>
  <c r="N36" i="24"/>
  <c r="N37" i="24"/>
  <c r="N38" i="24"/>
  <c r="N39" i="24"/>
  <c r="N40" i="24"/>
  <c r="AG41" i="24"/>
  <c r="AG42" i="24"/>
  <c r="N43" i="24"/>
  <c r="M35" i="24"/>
  <c r="M36" i="24"/>
  <c r="M37" i="24"/>
  <c r="M38" i="24"/>
  <c r="M39" i="24"/>
  <c r="M40" i="24"/>
  <c r="AF41" i="24"/>
  <c r="M42" i="24"/>
  <c r="M43" i="24"/>
  <c r="L35" i="24"/>
  <c r="L36" i="24"/>
  <c r="L37" i="24"/>
  <c r="L38" i="24"/>
  <c r="L39" i="24"/>
  <c r="L40" i="24"/>
  <c r="AE41" i="24"/>
  <c r="AE42" i="24"/>
  <c r="L43" i="24"/>
  <c r="K35" i="24"/>
  <c r="K36" i="24"/>
  <c r="K37" i="24"/>
  <c r="K38" i="24"/>
  <c r="K39" i="24"/>
  <c r="K40" i="24"/>
  <c r="AD41" i="24"/>
  <c r="K42" i="24"/>
  <c r="AD43" i="24"/>
  <c r="AC35" i="24"/>
  <c r="AC36" i="24"/>
  <c r="AC37" i="24"/>
  <c r="AC38" i="24"/>
  <c r="AC39" i="24"/>
  <c r="AC40" i="24"/>
  <c r="J41" i="24"/>
  <c r="AC42" i="24"/>
  <c r="J43" i="24"/>
  <c r="I35" i="24"/>
  <c r="I36" i="24"/>
  <c r="I37" i="24"/>
  <c r="I38" i="24"/>
  <c r="I39" i="24"/>
  <c r="I40" i="24"/>
  <c r="AB41" i="24"/>
  <c r="I42" i="24"/>
  <c r="AB43" i="24"/>
  <c r="AA35" i="24"/>
  <c r="AA36" i="24"/>
  <c r="AA37" i="24"/>
  <c r="AA38" i="24"/>
  <c r="AA39" i="24"/>
  <c r="AA40" i="24"/>
  <c r="H41" i="24"/>
  <c r="AA42" i="24"/>
  <c r="H43" i="24"/>
  <c r="G35" i="24"/>
  <c r="G36" i="24"/>
  <c r="G37" i="24"/>
  <c r="G38" i="24"/>
  <c r="G39" i="24"/>
  <c r="G40" i="24"/>
  <c r="Z41" i="24"/>
  <c r="G42" i="24"/>
  <c r="Z43" i="24"/>
  <c r="AT42" i="24" l="1"/>
  <c r="AT40" i="24"/>
  <c r="AK5" i="48"/>
  <c r="AK8" i="48"/>
  <c r="O5" i="48"/>
  <c r="O32" i="48" s="1"/>
  <c r="AL7" i="48"/>
  <c r="AU43" i="24"/>
  <c r="AU41" i="24"/>
  <c r="AU39" i="24"/>
  <c r="AU38" i="24"/>
  <c r="AU37" i="24"/>
  <c r="AU36" i="24"/>
  <c r="AU35" i="24"/>
  <c r="AT43" i="24"/>
  <c r="AU42" i="24"/>
  <c r="AT41" i="24"/>
  <c r="AU40" i="24"/>
  <c r="AT39" i="24"/>
  <c r="AT38" i="24"/>
  <c r="AT37" i="24"/>
  <c r="AT36" i="24"/>
  <c r="AT35" i="24"/>
  <c r="D5" i="16"/>
  <c r="N5" i="48" l="1"/>
  <c r="N32" i="48" s="1"/>
  <c r="AK7" i="48"/>
  <c r="Y17" i="24" l="1"/>
  <c r="Y19" i="24"/>
  <c r="Y21" i="24"/>
  <c r="Y23" i="24"/>
  <c r="Y25" i="24"/>
  <c r="Y27" i="24"/>
  <c r="Y29" i="24"/>
  <c r="Y31" i="24"/>
  <c r="Y33" i="24"/>
  <c r="AK14" i="24"/>
  <c r="AK16" i="24"/>
  <c r="AK18" i="24"/>
  <c r="AK20" i="24"/>
  <c r="AK22" i="24"/>
  <c r="AK24" i="24"/>
  <c r="AK26" i="24"/>
  <c r="AK28" i="24"/>
  <c r="AK30" i="24"/>
  <c r="AK32" i="24"/>
  <c r="AK34" i="24"/>
  <c r="AH16" i="24"/>
  <c r="AH18" i="24"/>
  <c r="AH20" i="24"/>
  <c r="AH22" i="24"/>
  <c r="AH24" i="24"/>
  <c r="AH26" i="24"/>
  <c r="AH28" i="24"/>
  <c r="AH30" i="24"/>
  <c r="AH32" i="24"/>
  <c r="AH34" i="24"/>
  <c r="AG15" i="24"/>
  <c r="AG17" i="24"/>
  <c r="AG19" i="24"/>
  <c r="AG21" i="24"/>
  <c r="AG23" i="24"/>
  <c r="AG25" i="24"/>
  <c r="AG27" i="24"/>
  <c r="AG29" i="24"/>
  <c r="AG31" i="24"/>
  <c r="AG33" i="24"/>
  <c r="AF14" i="24"/>
  <c r="AF16" i="24"/>
  <c r="AF18" i="24"/>
  <c r="AF20" i="24"/>
  <c r="AF22" i="24"/>
  <c r="AF24" i="24"/>
  <c r="AF26" i="24"/>
  <c r="AF28" i="24"/>
  <c r="AF30" i="24"/>
  <c r="AF32" i="24"/>
  <c r="AF34" i="24"/>
  <c r="AE15" i="24"/>
  <c r="AE17" i="24"/>
  <c r="AE19" i="24"/>
  <c r="AE21" i="24"/>
  <c r="AE23" i="24"/>
  <c r="AE25" i="24"/>
  <c r="AE27" i="24"/>
  <c r="AE29" i="24"/>
  <c r="AE31" i="24"/>
  <c r="AE33" i="24"/>
  <c r="AD14" i="24"/>
  <c r="AD16" i="24"/>
  <c r="AD18" i="24"/>
  <c r="AD20" i="24"/>
  <c r="AD22" i="24"/>
  <c r="AD24" i="24"/>
  <c r="AD26" i="24"/>
  <c r="AD28" i="24"/>
  <c r="AD30" i="24"/>
  <c r="AD32" i="24"/>
  <c r="AD34" i="24"/>
  <c r="AC15" i="24"/>
  <c r="AC17" i="24"/>
  <c r="AC19" i="24"/>
  <c r="AC21" i="24"/>
  <c r="AC23" i="24"/>
  <c r="AC25" i="24"/>
  <c r="AC27" i="24"/>
  <c r="AC29" i="24"/>
  <c r="AC31" i="24"/>
  <c r="AC33" i="24"/>
  <c r="AB14" i="24"/>
  <c r="AB16" i="24"/>
  <c r="AB18" i="24"/>
  <c r="AB20" i="24"/>
  <c r="AB22" i="24"/>
  <c r="AB24" i="24"/>
  <c r="AB26" i="24"/>
  <c r="AB28" i="24"/>
  <c r="AB30" i="24"/>
  <c r="AB32" i="24"/>
  <c r="AB34" i="24"/>
  <c r="AA15" i="24"/>
  <c r="AA17" i="24"/>
  <c r="AA19" i="24"/>
  <c r="AA21" i="24"/>
  <c r="AA23" i="24"/>
  <c r="AA25" i="24"/>
  <c r="AA27" i="24"/>
  <c r="AA29" i="24"/>
  <c r="AA31" i="24"/>
  <c r="AA33" i="24"/>
  <c r="Z15" i="24"/>
  <c r="Z17" i="24"/>
  <c r="Z19" i="24"/>
  <c r="Z21" i="24"/>
  <c r="Z23" i="24"/>
  <c r="Z25" i="24"/>
  <c r="Z27" i="24"/>
  <c r="Z29" i="24"/>
  <c r="Z31" i="24"/>
  <c r="Z33" i="24"/>
  <c r="Y16" i="24"/>
  <c r="Y18" i="24"/>
  <c r="Y20" i="24"/>
  <c r="Y22" i="24"/>
  <c r="Y24" i="24"/>
  <c r="Y26" i="24"/>
  <c r="Y28" i="24"/>
  <c r="Y30" i="24"/>
  <c r="Y32" i="24"/>
  <c r="Y34" i="24"/>
  <c r="AK15" i="24"/>
  <c r="AK17" i="24"/>
  <c r="AK19" i="24"/>
  <c r="AK21" i="24"/>
  <c r="AK23" i="24"/>
  <c r="AK25" i="24"/>
  <c r="AK27" i="24"/>
  <c r="AK29" i="24"/>
  <c r="AK31" i="24"/>
  <c r="AK33" i="24"/>
  <c r="AH15" i="24"/>
  <c r="AH17" i="24"/>
  <c r="AH19" i="24"/>
  <c r="AH21" i="24"/>
  <c r="AH23" i="24"/>
  <c r="AH25" i="24"/>
  <c r="AH27" i="24"/>
  <c r="AH29" i="24"/>
  <c r="AH31" i="24"/>
  <c r="AH33" i="24"/>
  <c r="AG14" i="24"/>
  <c r="AG16" i="24"/>
  <c r="AG18" i="24"/>
  <c r="AG20" i="24"/>
  <c r="AG22" i="24"/>
  <c r="AG24" i="24"/>
  <c r="AG26" i="24"/>
  <c r="AG28" i="24"/>
  <c r="AG30" i="24"/>
  <c r="AG32" i="24"/>
  <c r="AG34" i="24"/>
  <c r="AF15" i="24"/>
  <c r="AF17" i="24"/>
  <c r="AF19" i="24"/>
  <c r="AF21" i="24"/>
  <c r="AF23" i="24"/>
  <c r="AF25" i="24"/>
  <c r="AF27" i="24"/>
  <c r="AF29" i="24"/>
  <c r="AF31" i="24"/>
  <c r="AF33" i="24"/>
  <c r="AE14" i="24"/>
  <c r="AE16" i="24"/>
  <c r="AE18" i="24"/>
  <c r="AE20" i="24"/>
  <c r="AE22" i="24"/>
  <c r="AE24" i="24"/>
  <c r="AE26" i="24"/>
  <c r="AE28" i="24"/>
  <c r="AE30" i="24"/>
  <c r="AE32" i="24"/>
  <c r="AE34" i="24"/>
  <c r="AD15" i="24"/>
  <c r="AD17" i="24"/>
  <c r="AD19" i="24"/>
  <c r="AD21" i="24"/>
  <c r="AD23" i="24"/>
  <c r="AD25" i="24"/>
  <c r="AD27" i="24"/>
  <c r="AD29" i="24"/>
  <c r="AD31" i="24"/>
  <c r="AD33" i="24"/>
  <c r="AC14" i="24"/>
  <c r="AC16" i="24"/>
  <c r="AC18" i="24"/>
  <c r="AC20" i="24"/>
  <c r="AC22" i="24"/>
  <c r="AC24" i="24"/>
  <c r="AC26" i="24"/>
  <c r="AC28" i="24"/>
  <c r="AC30" i="24"/>
  <c r="AC32" i="24"/>
  <c r="AC34" i="24"/>
  <c r="AB15" i="24"/>
  <c r="AB17" i="24"/>
  <c r="AB19" i="24"/>
  <c r="AB21" i="24"/>
  <c r="AB23" i="24"/>
  <c r="AB25" i="24"/>
  <c r="AB27" i="24"/>
  <c r="AB29" i="24"/>
  <c r="AB31" i="24"/>
  <c r="AB33" i="24"/>
  <c r="AA14" i="24"/>
  <c r="AA16" i="24"/>
  <c r="AA18" i="24"/>
  <c r="AA20" i="24"/>
  <c r="AA22" i="24"/>
  <c r="AA24" i="24"/>
  <c r="AA26" i="24"/>
  <c r="AA28" i="24"/>
  <c r="AA30" i="24"/>
  <c r="AA32" i="24"/>
  <c r="AA34" i="24"/>
  <c r="Z16" i="24"/>
  <c r="Z18" i="24"/>
  <c r="Z20" i="24"/>
  <c r="Z22" i="24"/>
  <c r="Z24" i="24"/>
  <c r="Z26" i="24"/>
  <c r="Z28" i="24"/>
  <c r="Z30" i="24"/>
  <c r="Z32" i="24"/>
  <c r="Z34" i="24"/>
  <c r="AU34" i="24" l="1"/>
  <c r="AU32" i="24"/>
  <c r="AU30" i="24"/>
  <c r="AU28" i="24"/>
  <c r="AU26" i="24"/>
  <c r="AU24" i="24"/>
  <c r="AU22" i="24"/>
  <c r="AU20" i="24"/>
  <c r="AU18" i="24"/>
  <c r="AU16" i="24"/>
  <c r="AU33" i="24"/>
  <c r="AU31" i="24"/>
  <c r="AU29" i="24"/>
  <c r="AU27" i="24"/>
  <c r="AU25" i="24"/>
  <c r="AU23" i="24"/>
  <c r="AU21" i="24"/>
  <c r="AU19" i="24"/>
  <c r="AU17" i="24"/>
  <c r="E56" i="34" l="1"/>
  <c r="E54" i="35"/>
  <c r="E64" i="43"/>
  <c r="N8" i="24"/>
  <c r="L3" i="48" s="1"/>
  <c r="L30" i="48" s="1"/>
  <c r="M8" i="24"/>
  <c r="K3" i="48" s="1"/>
  <c r="K30" i="48" s="1"/>
  <c r="L8" i="24"/>
  <c r="J3" i="48" s="1"/>
  <c r="J30" i="48" s="1"/>
  <c r="K8" i="24"/>
  <c r="I3" i="48" s="1"/>
  <c r="I30" i="48" s="1"/>
  <c r="J8" i="24"/>
  <c r="H3" i="48" s="1"/>
  <c r="H30" i="48" s="1"/>
  <c r="I8" i="24"/>
  <c r="G3" i="48" s="1"/>
  <c r="G30" i="48" s="1"/>
  <c r="H8" i="24"/>
  <c r="F3" i="48" s="1"/>
  <c r="F30" i="48" s="1"/>
  <c r="G8" i="24"/>
  <c r="E3" i="48" s="1"/>
  <c r="E30" i="48" s="1"/>
  <c r="F8" i="24"/>
  <c r="AC3" i="48" l="1"/>
  <c r="AB3" i="48"/>
  <c r="AD3" i="48"/>
  <c r="AF3" i="48"/>
  <c r="AH3" i="48"/>
  <c r="AA3" i="48"/>
  <c r="D3" i="48"/>
  <c r="D30" i="48" s="1"/>
  <c r="AE3" i="48"/>
  <c r="AG3" i="48"/>
  <c r="AI3" i="48"/>
  <c r="G65" i="43"/>
  <c r="G64" i="43"/>
  <c r="B51" i="27"/>
  <c r="H11" i="27"/>
  <c r="C3" i="27"/>
  <c r="F4" i="27" l="1"/>
  <c r="D4" i="27"/>
  <c r="F7" i="27"/>
  <c r="F5" i="27"/>
  <c r="F8" i="27"/>
  <c r="F6" i="27"/>
  <c r="F3" i="27"/>
  <c r="C11" i="27"/>
  <c r="F12" i="27" l="1"/>
  <c r="D12" i="27"/>
  <c r="F16" i="27"/>
  <c r="F14" i="27"/>
  <c r="F11" i="27"/>
  <c r="F15" i="27"/>
  <c r="F13" i="27"/>
  <c r="C19" i="27"/>
  <c r="F20" i="27" l="1"/>
  <c r="D20" i="27"/>
  <c r="C27" i="27"/>
  <c r="F23" i="27"/>
  <c r="F21" i="27"/>
  <c r="F24" i="27"/>
  <c r="F22" i="27"/>
  <c r="F19" i="27"/>
  <c r="E37" i="16"/>
  <c r="D37" i="16"/>
  <c r="C37" i="16"/>
  <c r="E36" i="16"/>
  <c r="D36" i="16"/>
  <c r="C36" i="16"/>
  <c r="E35" i="16"/>
  <c r="D35" i="16"/>
  <c r="C35" i="16"/>
  <c r="E34" i="16"/>
  <c r="D34" i="16"/>
  <c r="C34" i="16"/>
  <c r="E33" i="16"/>
  <c r="D33" i="16"/>
  <c r="C33" i="16"/>
  <c r="E32" i="16"/>
  <c r="D32" i="16"/>
  <c r="C32" i="16"/>
  <c r="E31" i="16"/>
  <c r="D31" i="16"/>
  <c r="C31" i="16"/>
  <c r="E30" i="16"/>
  <c r="D30" i="16"/>
  <c r="C30" i="16"/>
  <c r="E29" i="16"/>
  <c r="D29" i="16"/>
  <c r="C29" i="16"/>
  <c r="E28" i="16"/>
  <c r="D28" i="16"/>
  <c r="C28" i="16"/>
  <c r="E27" i="16"/>
  <c r="D27" i="16"/>
  <c r="C27" i="16"/>
  <c r="E26" i="16"/>
  <c r="D26" i="16"/>
  <c r="C26" i="16"/>
  <c r="E25" i="16"/>
  <c r="D25" i="16"/>
  <c r="C25" i="16"/>
  <c r="E24" i="16"/>
  <c r="D24" i="16"/>
  <c r="C24" i="16"/>
  <c r="E23" i="16"/>
  <c r="D23" i="16"/>
  <c r="C23" i="16"/>
  <c r="E22" i="16"/>
  <c r="D22" i="16"/>
  <c r="C22" i="16"/>
  <c r="E21" i="16"/>
  <c r="D21" i="16"/>
  <c r="C21" i="16"/>
  <c r="E20" i="16"/>
  <c r="D20" i="16"/>
  <c r="C20" i="16"/>
  <c r="E19" i="16"/>
  <c r="D19" i="16"/>
  <c r="C19" i="16"/>
  <c r="E18" i="16"/>
  <c r="D18" i="16"/>
  <c r="C18" i="16"/>
  <c r="E17" i="16"/>
  <c r="D17" i="16"/>
  <c r="C17" i="16"/>
  <c r="E16" i="16"/>
  <c r="D16" i="16"/>
  <c r="C16" i="16"/>
  <c r="E15" i="16"/>
  <c r="D15" i="16"/>
  <c r="C15" i="16"/>
  <c r="E14" i="16"/>
  <c r="D14" i="16"/>
  <c r="C14" i="16"/>
  <c r="E13" i="16"/>
  <c r="D13" i="16"/>
  <c r="C13" i="16"/>
  <c r="E12" i="16"/>
  <c r="D12" i="16"/>
  <c r="C12" i="16"/>
  <c r="F28" i="27" l="1"/>
  <c r="D28" i="27"/>
  <c r="F32" i="27"/>
  <c r="F30" i="27"/>
  <c r="F27" i="27"/>
  <c r="F31" i="27"/>
  <c r="F29" i="27"/>
  <c r="C35" i="27"/>
  <c r="F36" i="27" l="1"/>
  <c r="D36" i="27"/>
  <c r="F39" i="27"/>
  <c r="F37" i="27"/>
  <c r="F40" i="27"/>
  <c r="F38" i="27"/>
  <c r="F35" i="27"/>
  <c r="C43" i="27"/>
  <c r="E39" i="24"/>
  <c r="D39" i="24"/>
  <c r="C39" i="24"/>
  <c r="E38" i="24"/>
  <c r="D38" i="24"/>
  <c r="C38" i="24"/>
  <c r="E37" i="24"/>
  <c r="D37" i="24"/>
  <c r="C37" i="24"/>
  <c r="E36" i="24"/>
  <c r="D36" i="24"/>
  <c r="C36" i="24"/>
  <c r="E35" i="24"/>
  <c r="D35" i="24"/>
  <c r="C35" i="24"/>
  <c r="E34" i="24"/>
  <c r="D34" i="24"/>
  <c r="C34" i="24"/>
  <c r="E33" i="24"/>
  <c r="D33" i="24"/>
  <c r="C33" i="24"/>
  <c r="E32" i="24"/>
  <c r="D32" i="24"/>
  <c r="C32" i="24"/>
  <c r="E31" i="24"/>
  <c r="D31" i="24"/>
  <c r="C31" i="24"/>
  <c r="E30" i="24"/>
  <c r="D30" i="24"/>
  <c r="C30" i="24"/>
  <c r="E29" i="24"/>
  <c r="D29" i="24"/>
  <c r="C29" i="24"/>
  <c r="E28" i="24"/>
  <c r="D28" i="24"/>
  <c r="C28" i="24"/>
  <c r="E27" i="24"/>
  <c r="D27" i="24"/>
  <c r="C27" i="24"/>
  <c r="E26" i="24"/>
  <c r="D26" i="24"/>
  <c r="C26" i="24"/>
  <c r="E25" i="24"/>
  <c r="D25" i="24"/>
  <c r="C25" i="24"/>
  <c r="E24" i="24"/>
  <c r="D24" i="24"/>
  <c r="C24" i="24"/>
  <c r="E23" i="24"/>
  <c r="D23" i="24"/>
  <c r="C23" i="24"/>
  <c r="E22" i="24"/>
  <c r="D22" i="24"/>
  <c r="C22" i="24"/>
  <c r="E21" i="24"/>
  <c r="D21" i="24"/>
  <c r="C21" i="24"/>
  <c r="E20" i="24"/>
  <c r="D20" i="24"/>
  <c r="C20" i="24"/>
  <c r="E19" i="24"/>
  <c r="D19" i="24"/>
  <c r="C19" i="24"/>
  <c r="E18" i="24"/>
  <c r="D18" i="24"/>
  <c r="C18" i="24"/>
  <c r="E17" i="24"/>
  <c r="D17" i="24"/>
  <c r="C17" i="24"/>
  <c r="E16" i="24"/>
  <c r="D16" i="24"/>
  <c r="C16" i="24"/>
  <c r="E15" i="24"/>
  <c r="D15" i="24"/>
  <c r="C15" i="24"/>
  <c r="E14" i="24"/>
  <c r="D14" i="24"/>
  <c r="C14" i="24"/>
  <c r="E13" i="24"/>
  <c r="D13" i="24"/>
  <c r="C13" i="24"/>
  <c r="E12" i="24"/>
  <c r="D12" i="24"/>
  <c r="B12" i="24" s="1"/>
  <c r="C12" i="24"/>
  <c r="E11" i="24"/>
  <c r="D11" i="24"/>
  <c r="C11" i="24"/>
  <c r="AK8" i="24"/>
  <c r="AH8" i="24"/>
  <c r="AG8" i="24"/>
  <c r="AF8" i="24"/>
  <c r="AE8" i="24"/>
  <c r="AD8" i="24"/>
  <c r="AC8" i="24"/>
  <c r="AB8" i="24"/>
  <c r="AA8" i="24"/>
  <c r="Z8" i="24"/>
  <c r="Y8" i="24"/>
  <c r="AR5" i="24"/>
  <c r="F5" i="24"/>
  <c r="AR4" i="24"/>
  <c r="F4" i="24"/>
  <c r="H32" i="21"/>
  <c r="H45" i="21"/>
  <c r="G23" i="22"/>
  <c r="C41" i="22" s="1"/>
  <c r="R87" i="22" s="1"/>
  <c r="G27" i="22"/>
  <c r="H41" i="21"/>
  <c r="H36" i="21"/>
  <c r="C87" i="22" l="1"/>
  <c r="R41" i="22"/>
  <c r="L87" i="22"/>
  <c r="L41" i="22"/>
  <c r="F44" i="27"/>
  <c r="D44" i="27"/>
  <c r="F43" i="27"/>
  <c r="F47" i="27"/>
  <c r="F45" i="27"/>
  <c r="F48" i="27"/>
  <c r="F46" i="27"/>
  <c r="B13" i="24"/>
  <c r="B14" i="24" s="1"/>
  <c r="B15" i="24" s="1"/>
  <c r="B16" i="24" s="1"/>
  <c r="B17" i="24" s="1"/>
  <c r="B18" i="24" s="1"/>
  <c r="B19" i="24" s="1"/>
  <c r="B20" i="24" s="1"/>
  <c r="B21" i="24" s="1"/>
  <c r="B22" i="24" s="1"/>
  <c r="B23" i="24" s="1"/>
  <c r="B24" i="24" s="1"/>
  <c r="B25" i="24" s="1"/>
  <c r="B26" i="24" s="1"/>
  <c r="B27" i="24" s="1"/>
  <c r="B28" i="24" s="1"/>
  <c r="B29" i="24" s="1"/>
  <c r="B30" i="24" s="1"/>
  <c r="B31" i="24" s="1"/>
  <c r="B32" i="24" s="1"/>
  <c r="B33" i="24" s="1"/>
  <c r="B34" i="24" s="1"/>
  <c r="B35" i="24" s="1"/>
  <c r="I1" i="20"/>
  <c r="D1" i="12"/>
  <c r="D1" i="11"/>
  <c r="D1" i="15"/>
  <c r="D1" i="10"/>
  <c r="D1" i="2"/>
  <c r="D1" i="4"/>
  <c r="D1" i="5"/>
  <c r="D1" i="6"/>
  <c r="D1" i="7"/>
  <c r="D1" i="8"/>
  <c r="F69" i="12"/>
  <c r="E37" i="12"/>
  <c r="D37" i="12"/>
  <c r="C37" i="12"/>
  <c r="E36" i="12"/>
  <c r="D36" i="12"/>
  <c r="C36" i="12"/>
  <c r="E35" i="12"/>
  <c r="D35" i="12"/>
  <c r="C35" i="12"/>
  <c r="E34" i="12"/>
  <c r="D34" i="12"/>
  <c r="C34" i="12"/>
  <c r="E33" i="12"/>
  <c r="D33" i="12"/>
  <c r="C33" i="12"/>
  <c r="E32" i="12"/>
  <c r="D32" i="12"/>
  <c r="C32" i="12"/>
  <c r="E31" i="12"/>
  <c r="D31" i="12"/>
  <c r="C31" i="12"/>
  <c r="E30" i="12"/>
  <c r="D30" i="12"/>
  <c r="C30" i="12"/>
  <c r="E29" i="12"/>
  <c r="D29" i="12"/>
  <c r="C29" i="12"/>
  <c r="E28" i="12"/>
  <c r="D28" i="12"/>
  <c r="C28" i="12"/>
  <c r="E27" i="12"/>
  <c r="D27" i="12"/>
  <c r="C27" i="12"/>
  <c r="E26" i="12"/>
  <c r="D26" i="12"/>
  <c r="C26" i="12"/>
  <c r="E25" i="12"/>
  <c r="D25" i="12"/>
  <c r="C25" i="12"/>
  <c r="E24" i="12"/>
  <c r="D24" i="12"/>
  <c r="C24" i="12"/>
  <c r="E23" i="12"/>
  <c r="D23" i="12"/>
  <c r="C23" i="12"/>
  <c r="E22" i="12"/>
  <c r="D22" i="12"/>
  <c r="C22" i="12"/>
  <c r="E21" i="12"/>
  <c r="D21" i="12"/>
  <c r="C21" i="12"/>
  <c r="E20" i="12"/>
  <c r="D20" i="12"/>
  <c r="C20" i="12"/>
  <c r="E19" i="12"/>
  <c r="D19" i="12"/>
  <c r="C19" i="12"/>
  <c r="E18" i="12"/>
  <c r="D18" i="12"/>
  <c r="C18" i="12"/>
  <c r="E17" i="12"/>
  <c r="D17" i="12"/>
  <c r="C17" i="12"/>
  <c r="E16" i="12"/>
  <c r="D16" i="12"/>
  <c r="C16" i="12"/>
  <c r="E15" i="12"/>
  <c r="D15" i="12"/>
  <c r="B15" i="12" s="1"/>
  <c r="C15" i="12"/>
  <c r="E14" i="12"/>
  <c r="D14" i="12"/>
  <c r="C14" i="12"/>
  <c r="F69" i="11"/>
  <c r="E37" i="11"/>
  <c r="D37" i="11"/>
  <c r="C37" i="11"/>
  <c r="E36" i="11"/>
  <c r="D36" i="11"/>
  <c r="C36" i="11"/>
  <c r="E35" i="11"/>
  <c r="D35" i="11"/>
  <c r="C35" i="11"/>
  <c r="E34" i="11"/>
  <c r="D34" i="11"/>
  <c r="C34" i="11"/>
  <c r="E33" i="11"/>
  <c r="D33" i="11"/>
  <c r="C33" i="11"/>
  <c r="E32" i="11"/>
  <c r="D32" i="11"/>
  <c r="C32" i="11"/>
  <c r="E31" i="11"/>
  <c r="D31" i="11"/>
  <c r="C31" i="11"/>
  <c r="E30" i="11"/>
  <c r="D30" i="11"/>
  <c r="C30" i="11"/>
  <c r="E29" i="11"/>
  <c r="D29" i="11"/>
  <c r="C29" i="11"/>
  <c r="E28" i="11"/>
  <c r="D28" i="11"/>
  <c r="C28" i="11"/>
  <c r="E27" i="11"/>
  <c r="D27" i="11"/>
  <c r="C27" i="11"/>
  <c r="E26" i="11"/>
  <c r="D26" i="11"/>
  <c r="C26" i="11"/>
  <c r="E25" i="11"/>
  <c r="D25" i="11"/>
  <c r="C25" i="11"/>
  <c r="E24" i="11"/>
  <c r="D24" i="11"/>
  <c r="C24" i="11"/>
  <c r="E23" i="11"/>
  <c r="D23" i="11"/>
  <c r="C23" i="11"/>
  <c r="E22" i="11"/>
  <c r="D22" i="11"/>
  <c r="C22" i="11"/>
  <c r="E21" i="11"/>
  <c r="D21" i="11"/>
  <c r="C21" i="11"/>
  <c r="E20" i="11"/>
  <c r="D20" i="11"/>
  <c r="C20" i="11"/>
  <c r="E19" i="11"/>
  <c r="D19" i="11"/>
  <c r="C19" i="11"/>
  <c r="E18" i="11"/>
  <c r="D18" i="11"/>
  <c r="C18" i="11"/>
  <c r="E17" i="11"/>
  <c r="D17" i="11"/>
  <c r="C17" i="11"/>
  <c r="E16" i="11"/>
  <c r="D16" i="11"/>
  <c r="C16" i="11"/>
  <c r="E15" i="11"/>
  <c r="D15" i="11"/>
  <c r="B15" i="11" s="1"/>
  <c r="C15" i="11"/>
  <c r="E14" i="11"/>
  <c r="D14" i="11"/>
  <c r="C14" i="11"/>
  <c r="F69" i="15"/>
  <c r="E37" i="15"/>
  <c r="D37" i="15"/>
  <c r="C37" i="15"/>
  <c r="E36" i="15"/>
  <c r="D36" i="15"/>
  <c r="C36" i="15"/>
  <c r="E35" i="15"/>
  <c r="D35" i="15"/>
  <c r="C35" i="15"/>
  <c r="E34" i="15"/>
  <c r="D34" i="15"/>
  <c r="C34" i="15"/>
  <c r="E33" i="15"/>
  <c r="D33" i="15"/>
  <c r="C33" i="15"/>
  <c r="E32" i="15"/>
  <c r="D32" i="15"/>
  <c r="C32" i="15"/>
  <c r="E31" i="15"/>
  <c r="D31" i="15"/>
  <c r="C31" i="15"/>
  <c r="E30" i="15"/>
  <c r="D30" i="15"/>
  <c r="C30" i="15"/>
  <c r="E29" i="15"/>
  <c r="D29" i="15"/>
  <c r="C29" i="15"/>
  <c r="E28" i="15"/>
  <c r="D28" i="15"/>
  <c r="C28" i="15"/>
  <c r="E27" i="15"/>
  <c r="D27" i="15"/>
  <c r="C27" i="15"/>
  <c r="E26" i="15"/>
  <c r="D26" i="15"/>
  <c r="C26" i="15"/>
  <c r="E25" i="15"/>
  <c r="D25" i="15"/>
  <c r="C25" i="15"/>
  <c r="E24" i="15"/>
  <c r="D24" i="15"/>
  <c r="C24" i="15"/>
  <c r="E23" i="15"/>
  <c r="D23" i="15"/>
  <c r="C23" i="15"/>
  <c r="E22" i="15"/>
  <c r="D22" i="15"/>
  <c r="C22" i="15"/>
  <c r="E21" i="15"/>
  <c r="D21" i="15"/>
  <c r="C21" i="15"/>
  <c r="E20" i="15"/>
  <c r="D20" i="15"/>
  <c r="C20" i="15"/>
  <c r="E19" i="15"/>
  <c r="D19" i="15"/>
  <c r="C19" i="15"/>
  <c r="E18" i="15"/>
  <c r="D18" i="15"/>
  <c r="C18" i="15"/>
  <c r="E17" i="15"/>
  <c r="D17" i="15"/>
  <c r="C17" i="15"/>
  <c r="E16" i="15"/>
  <c r="D16" i="15"/>
  <c r="C16" i="15"/>
  <c r="E15" i="15"/>
  <c r="D15" i="15"/>
  <c r="B15" i="15" s="1"/>
  <c r="C15" i="15"/>
  <c r="E14" i="15"/>
  <c r="D14" i="15"/>
  <c r="C14" i="15"/>
  <c r="F69" i="10"/>
  <c r="E37" i="10"/>
  <c r="D37" i="10"/>
  <c r="C37" i="10"/>
  <c r="E36" i="10"/>
  <c r="D36" i="10"/>
  <c r="C36" i="10"/>
  <c r="E35" i="10"/>
  <c r="D35" i="10"/>
  <c r="C35" i="10"/>
  <c r="E34" i="10"/>
  <c r="D34" i="10"/>
  <c r="C34" i="10"/>
  <c r="E33" i="10"/>
  <c r="D33" i="10"/>
  <c r="C33" i="10"/>
  <c r="E32" i="10"/>
  <c r="D32" i="10"/>
  <c r="C32" i="10"/>
  <c r="E31" i="10"/>
  <c r="D31" i="10"/>
  <c r="C31" i="10"/>
  <c r="E30" i="10"/>
  <c r="D30" i="10"/>
  <c r="C30" i="10"/>
  <c r="E29" i="10"/>
  <c r="D29" i="10"/>
  <c r="C29" i="10"/>
  <c r="E28" i="10"/>
  <c r="D28" i="10"/>
  <c r="C28" i="10"/>
  <c r="E27" i="10"/>
  <c r="D27" i="10"/>
  <c r="C27" i="10"/>
  <c r="E26" i="10"/>
  <c r="D26" i="10"/>
  <c r="C26" i="10"/>
  <c r="E25" i="10"/>
  <c r="D25" i="10"/>
  <c r="C25" i="10"/>
  <c r="E24" i="10"/>
  <c r="D24" i="10"/>
  <c r="C24" i="10"/>
  <c r="E23" i="10"/>
  <c r="D23" i="10"/>
  <c r="C23" i="10"/>
  <c r="E22" i="10"/>
  <c r="D22" i="10"/>
  <c r="C22" i="10"/>
  <c r="E21" i="10"/>
  <c r="D21" i="10"/>
  <c r="C21" i="10"/>
  <c r="E20" i="10"/>
  <c r="D20" i="10"/>
  <c r="C20" i="10"/>
  <c r="E19" i="10"/>
  <c r="D19" i="10"/>
  <c r="C19" i="10"/>
  <c r="E18" i="10"/>
  <c r="D18" i="10"/>
  <c r="C18" i="10"/>
  <c r="E17" i="10"/>
  <c r="D17" i="10"/>
  <c r="C17" i="10"/>
  <c r="E16" i="10"/>
  <c r="D16" i="10"/>
  <c r="C16" i="10"/>
  <c r="E15" i="10"/>
  <c r="D15" i="10"/>
  <c r="B15" i="10" s="1"/>
  <c r="C15" i="10"/>
  <c r="E14" i="10"/>
  <c r="D14" i="10"/>
  <c r="C14" i="10"/>
  <c r="F69" i="2"/>
  <c r="E37" i="2"/>
  <c r="D37" i="2"/>
  <c r="C37" i="2"/>
  <c r="E36" i="2"/>
  <c r="D36" i="2"/>
  <c r="C36" i="2"/>
  <c r="E35" i="2"/>
  <c r="D35" i="2"/>
  <c r="C35" i="2"/>
  <c r="E34" i="2"/>
  <c r="D34" i="2"/>
  <c r="C34" i="2"/>
  <c r="E33" i="2"/>
  <c r="D33" i="2"/>
  <c r="C33" i="2"/>
  <c r="E32" i="2"/>
  <c r="D32" i="2"/>
  <c r="C32" i="2"/>
  <c r="E31" i="2"/>
  <c r="D31" i="2"/>
  <c r="C31" i="2"/>
  <c r="E30" i="2"/>
  <c r="D30" i="2"/>
  <c r="C30" i="2"/>
  <c r="E29" i="2"/>
  <c r="D29" i="2"/>
  <c r="C29" i="2"/>
  <c r="E28" i="2"/>
  <c r="D28" i="2"/>
  <c r="C28" i="2"/>
  <c r="E27" i="2"/>
  <c r="D27" i="2"/>
  <c r="C27" i="2"/>
  <c r="E26" i="2"/>
  <c r="D26" i="2"/>
  <c r="C26" i="2"/>
  <c r="E25" i="2"/>
  <c r="D25" i="2"/>
  <c r="C25" i="2"/>
  <c r="E24" i="2"/>
  <c r="D24" i="2"/>
  <c r="C24" i="2"/>
  <c r="E23" i="2"/>
  <c r="D23" i="2"/>
  <c r="C23" i="2"/>
  <c r="E22" i="2"/>
  <c r="D22" i="2"/>
  <c r="C22" i="2"/>
  <c r="E21" i="2"/>
  <c r="D21" i="2"/>
  <c r="C21" i="2"/>
  <c r="E20" i="2"/>
  <c r="D20" i="2"/>
  <c r="C20" i="2"/>
  <c r="E19" i="2"/>
  <c r="D19" i="2"/>
  <c r="C19" i="2"/>
  <c r="E18" i="2"/>
  <c r="D18" i="2"/>
  <c r="C18" i="2"/>
  <c r="E17" i="2"/>
  <c r="D17" i="2"/>
  <c r="C17" i="2"/>
  <c r="E16" i="2"/>
  <c r="D16" i="2"/>
  <c r="C16" i="2"/>
  <c r="E15" i="2"/>
  <c r="D15" i="2"/>
  <c r="B15" i="2" s="1"/>
  <c r="C15" i="2"/>
  <c r="E14" i="2"/>
  <c r="D14" i="2"/>
  <c r="C14" i="2"/>
  <c r="F69" i="4"/>
  <c r="E37" i="4"/>
  <c r="D37" i="4"/>
  <c r="C37" i="4"/>
  <c r="E36" i="4"/>
  <c r="D36" i="4"/>
  <c r="C36" i="4"/>
  <c r="E35" i="4"/>
  <c r="D35" i="4"/>
  <c r="C35" i="4"/>
  <c r="E34" i="4"/>
  <c r="D34" i="4"/>
  <c r="C34" i="4"/>
  <c r="E33" i="4"/>
  <c r="D33" i="4"/>
  <c r="C33" i="4"/>
  <c r="E32" i="4"/>
  <c r="D32" i="4"/>
  <c r="C32" i="4"/>
  <c r="E31" i="4"/>
  <c r="D31" i="4"/>
  <c r="C31" i="4"/>
  <c r="E30" i="4"/>
  <c r="D30" i="4"/>
  <c r="C30" i="4"/>
  <c r="E29" i="4"/>
  <c r="D29" i="4"/>
  <c r="C29" i="4"/>
  <c r="E28" i="4"/>
  <c r="D28" i="4"/>
  <c r="C28" i="4"/>
  <c r="E27" i="4"/>
  <c r="D27" i="4"/>
  <c r="C27" i="4"/>
  <c r="E26" i="4"/>
  <c r="D26" i="4"/>
  <c r="C26" i="4"/>
  <c r="E25" i="4"/>
  <c r="D25" i="4"/>
  <c r="C25" i="4"/>
  <c r="E24" i="4"/>
  <c r="D24" i="4"/>
  <c r="C24" i="4"/>
  <c r="E23" i="4"/>
  <c r="D23" i="4"/>
  <c r="C23" i="4"/>
  <c r="E22" i="4"/>
  <c r="D22" i="4"/>
  <c r="C22" i="4"/>
  <c r="E21" i="4"/>
  <c r="D21" i="4"/>
  <c r="C21" i="4"/>
  <c r="E20" i="4"/>
  <c r="D20" i="4"/>
  <c r="C20" i="4"/>
  <c r="E19" i="4"/>
  <c r="D19" i="4"/>
  <c r="C19" i="4"/>
  <c r="E18" i="4"/>
  <c r="D18" i="4"/>
  <c r="C18" i="4"/>
  <c r="E17" i="4"/>
  <c r="D17" i="4"/>
  <c r="C17" i="4"/>
  <c r="E16" i="4"/>
  <c r="D16" i="4"/>
  <c r="C16" i="4"/>
  <c r="E15" i="4"/>
  <c r="D15" i="4"/>
  <c r="B15" i="4" s="1"/>
  <c r="C15" i="4"/>
  <c r="E14" i="4"/>
  <c r="D14" i="4"/>
  <c r="C14" i="4"/>
  <c r="F69" i="5"/>
  <c r="E37" i="5"/>
  <c r="D37" i="5"/>
  <c r="C37" i="5"/>
  <c r="E36" i="5"/>
  <c r="D36" i="5"/>
  <c r="C36" i="5"/>
  <c r="E35" i="5"/>
  <c r="D35" i="5"/>
  <c r="C35" i="5"/>
  <c r="E34" i="5"/>
  <c r="D34" i="5"/>
  <c r="C34" i="5"/>
  <c r="E33" i="5"/>
  <c r="D33" i="5"/>
  <c r="C33" i="5"/>
  <c r="E32" i="5"/>
  <c r="D32" i="5"/>
  <c r="C32" i="5"/>
  <c r="E31" i="5"/>
  <c r="D31" i="5"/>
  <c r="C31" i="5"/>
  <c r="E30" i="5"/>
  <c r="D30" i="5"/>
  <c r="C30" i="5"/>
  <c r="E29" i="5"/>
  <c r="D29" i="5"/>
  <c r="C29" i="5"/>
  <c r="E28" i="5"/>
  <c r="D28" i="5"/>
  <c r="C28" i="5"/>
  <c r="E27" i="5"/>
  <c r="D27" i="5"/>
  <c r="C27" i="5"/>
  <c r="E26" i="5"/>
  <c r="D26" i="5"/>
  <c r="C26" i="5"/>
  <c r="E25" i="5"/>
  <c r="D25" i="5"/>
  <c r="C25" i="5"/>
  <c r="E24" i="5"/>
  <c r="D24" i="5"/>
  <c r="C24" i="5"/>
  <c r="E23" i="5"/>
  <c r="D23" i="5"/>
  <c r="C23" i="5"/>
  <c r="E22" i="5"/>
  <c r="D22" i="5"/>
  <c r="C22" i="5"/>
  <c r="E21" i="5"/>
  <c r="D21" i="5"/>
  <c r="C21" i="5"/>
  <c r="E20" i="5"/>
  <c r="D20" i="5"/>
  <c r="C20" i="5"/>
  <c r="E19" i="5"/>
  <c r="D19" i="5"/>
  <c r="C19" i="5"/>
  <c r="E18" i="5"/>
  <c r="D18" i="5"/>
  <c r="C18" i="5"/>
  <c r="E17" i="5"/>
  <c r="D17" i="5"/>
  <c r="C17" i="5"/>
  <c r="E16" i="5"/>
  <c r="D16" i="5"/>
  <c r="C16" i="5"/>
  <c r="E15" i="5"/>
  <c r="D15" i="5"/>
  <c r="B15" i="5" s="1"/>
  <c r="C15" i="5"/>
  <c r="E14" i="5"/>
  <c r="D14" i="5"/>
  <c r="C14" i="5"/>
  <c r="F69" i="6"/>
  <c r="E37" i="6"/>
  <c r="D37" i="6"/>
  <c r="C37" i="6"/>
  <c r="E36" i="6"/>
  <c r="D36" i="6"/>
  <c r="C36" i="6"/>
  <c r="E35" i="6"/>
  <c r="D35" i="6"/>
  <c r="C35" i="6"/>
  <c r="E34" i="6"/>
  <c r="D34" i="6"/>
  <c r="C34" i="6"/>
  <c r="E33" i="6"/>
  <c r="D33" i="6"/>
  <c r="C33" i="6"/>
  <c r="E32" i="6"/>
  <c r="D32" i="6"/>
  <c r="C32" i="6"/>
  <c r="E31" i="6"/>
  <c r="D31" i="6"/>
  <c r="C31" i="6"/>
  <c r="E30" i="6"/>
  <c r="D30" i="6"/>
  <c r="C30" i="6"/>
  <c r="E29" i="6"/>
  <c r="D29" i="6"/>
  <c r="C29" i="6"/>
  <c r="E28" i="6"/>
  <c r="D28" i="6"/>
  <c r="C28" i="6"/>
  <c r="E27" i="6"/>
  <c r="D27" i="6"/>
  <c r="C27" i="6"/>
  <c r="E26" i="6"/>
  <c r="D26" i="6"/>
  <c r="C26" i="6"/>
  <c r="E25" i="6"/>
  <c r="D25" i="6"/>
  <c r="C25" i="6"/>
  <c r="E24" i="6"/>
  <c r="D24" i="6"/>
  <c r="C24" i="6"/>
  <c r="E23" i="6"/>
  <c r="D23" i="6"/>
  <c r="C23" i="6"/>
  <c r="E22" i="6"/>
  <c r="D22" i="6"/>
  <c r="C22" i="6"/>
  <c r="E21" i="6"/>
  <c r="D21" i="6"/>
  <c r="C21" i="6"/>
  <c r="E20" i="6"/>
  <c r="D20" i="6"/>
  <c r="C20" i="6"/>
  <c r="E19" i="6"/>
  <c r="D19" i="6"/>
  <c r="C19" i="6"/>
  <c r="E18" i="6"/>
  <c r="D18" i="6"/>
  <c r="C18" i="6"/>
  <c r="E17" i="6"/>
  <c r="D17" i="6"/>
  <c r="C17" i="6"/>
  <c r="E16" i="6"/>
  <c r="D16" i="6"/>
  <c r="C16" i="6"/>
  <c r="E15" i="6"/>
  <c r="D15" i="6"/>
  <c r="B15" i="6" s="1"/>
  <c r="C15" i="6"/>
  <c r="E14" i="6"/>
  <c r="D14" i="6"/>
  <c r="C14" i="6"/>
  <c r="F69" i="7"/>
  <c r="E37" i="7"/>
  <c r="D37" i="7"/>
  <c r="C37" i="7"/>
  <c r="E36" i="7"/>
  <c r="D36" i="7"/>
  <c r="C36" i="7"/>
  <c r="E35" i="7"/>
  <c r="D35" i="7"/>
  <c r="C35" i="7"/>
  <c r="E34" i="7"/>
  <c r="D34" i="7"/>
  <c r="C34" i="7"/>
  <c r="E33" i="7"/>
  <c r="D33" i="7"/>
  <c r="C33" i="7"/>
  <c r="E32" i="7"/>
  <c r="D32" i="7"/>
  <c r="C32" i="7"/>
  <c r="E31" i="7"/>
  <c r="D31" i="7"/>
  <c r="C31" i="7"/>
  <c r="E30" i="7"/>
  <c r="D30" i="7"/>
  <c r="C30" i="7"/>
  <c r="E29" i="7"/>
  <c r="D29" i="7"/>
  <c r="C29" i="7"/>
  <c r="E28" i="7"/>
  <c r="D28" i="7"/>
  <c r="C28" i="7"/>
  <c r="E27" i="7"/>
  <c r="D27" i="7"/>
  <c r="C27" i="7"/>
  <c r="E26" i="7"/>
  <c r="D26" i="7"/>
  <c r="C26" i="7"/>
  <c r="E25" i="7"/>
  <c r="D25" i="7"/>
  <c r="C25" i="7"/>
  <c r="E24" i="7"/>
  <c r="D24" i="7"/>
  <c r="C24" i="7"/>
  <c r="E23" i="7"/>
  <c r="D23" i="7"/>
  <c r="C23" i="7"/>
  <c r="E22" i="7"/>
  <c r="D22" i="7"/>
  <c r="C22" i="7"/>
  <c r="E21" i="7"/>
  <c r="D21" i="7"/>
  <c r="C21" i="7"/>
  <c r="E20" i="7"/>
  <c r="D20" i="7"/>
  <c r="C20" i="7"/>
  <c r="E19" i="7"/>
  <c r="D19" i="7"/>
  <c r="C19" i="7"/>
  <c r="E18" i="7"/>
  <c r="D18" i="7"/>
  <c r="C18" i="7"/>
  <c r="E17" i="7"/>
  <c r="D17" i="7"/>
  <c r="C17" i="7"/>
  <c r="E16" i="7"/>
  <c r="D16" i="7"/>
  <c r="C16" i="7"/>
  <c r="E15" i="7"/>
  <c r="D15" i="7"/>
  <c r="B15" i="7" s="1"/>
  <c r="C15" i="7"/>
  <c r="E14" i="7"/>
  <c r="D14" i="7"/>
  <c r="C14" i="7"/>
  <c r="F69" i="8"/>
  <c r="E37" i="8"/>
  <c r="D37" i="8"/>
  <c r="C37" i="8"/>
  <c r="E36" i="8"/>
  <c r="D36" i="8"/>
  <c r="C36" i="8"/>
  <c r="E35" i="8"/>
  <c r="D35" i="8"/>
  <c r="C35" i="8"/>
  <c r="E34" i="8"/>
  <c r="D34" i="8"/>
  <c r="C34" i="8"/>
  <c r="E33" i="8"/>
  <c r="D33" i="8"/>
  <c r="C33" i="8"/>
  <c r="E32" i="8"/>
  <c r="D32" i="8"/>
  <c r="C32" i="8"/>
  <c r="E31" i="8"/>
  <c r="D31" i="8"/>
  <c r="C31" i="8"/>
  <c r="E30" i="8"/>
  <c r="D30" i="8"/>
  <c r="C30" i="8"/>
  <c r="E29" i="8"/>
  <c r="D29" i="8"/>
  <c r="C29" i="8"/>
  <c r="E28" i="8"/>
  <c r="D28" i="8"/>
  <c r="C28" i="8"/>
  <c r="E27" i="8"/>
  <c r="D27" i="8"/>
  <c r="C27" i="8"/>
  <c r="E26" i="8"/>
  <c r="D26" i="8"/>
  <c r="C26" i="8"/>
  <c r="E25" i="8"/>
  <c r="D25" i="8"/>
  <c r="C25" i="8"/>
  <c r="E24" i="8"/>
  <c r="D24" i="8"/>
  <c r="C24" i="8"/>
  <c r="E23" i="8"/>
  <c r="D23" i="8"/>
  <c r="C23" i="8"/>
  <c r="E22" i="8"/>
  <c r="D22" i="8"/>
  <c r="C22" i="8"/>
  <c r="E21" i="8"/>
  <c r="D21" i="8"/>
  <c r="C21" i="8"/>
  <c r="E20" i="8"/>
  <c r="D20" i="8"/>
  <c r="C20" i="8"/>
  <c r="E19" i="8"/>
  <c r="D19" i="8"/>
  <c r="C19" i="8"/>
  <c r="E18" i="8"/>
  <c r="D18" i="8"/>
  <c r="C18" i="8"/>
  <c r="E17" i="8"/>
  <c r="D17" i="8"/>
  <c r="C17" i="8"/>
  <c r="E16" i="8"/>
  <c r="D16" i="8"/>
  <c r="C16" i="8"/>
  <c r="E15" i="8"/>
  <c r="D15" i="8"/>
  <c r="B15" i="8" s="1"/>
  <c r="C15" i="8"/>
  <c r="E14" i="8"/>
  <c r="D14" i="8"/>
  <c r="C14" i="8"/>
  <c r="H69" i="6" l="1"/>
  <c r="AL69" i="6"/>
  <c r="H69" i="10"/>
  <c r="AL69" i="10"/>
  <c r="H69" i="7"/>
  <c r="AL69" i="7"/>
  <c r="H69" i="2"/>
  <c r="AL69" i="2"/>
  <c r="H69" i="12"/>
  <c r="AL69" i="12"/>
  <c r="H69" i="5"/>
  <c r="AL69" i="5"/>
  <c r="H69" i="15"/>
  <c r="AL69" i="15"/>
  <c r="H69" i="8"/>
  <c r="AL69" i="8"/>
  <c r="H69" i="4"/>
  <c r="AL69" i="4"/>
  <c r="H69" i="11"/>
  <c r="AL69" i="11"/>
  <c r="B36" i="24"/>
  <c r="B37" i="24" s="1"/>
  <c r="B38" i="24" s="1"/>
  <c r="B39" i="24" s="1"/>
  <c r="B40" i="24" s="1"/>
  <c r="B41" i="24" s="1"/>
  <c r="B42" i="24" s="1"/>
  <c r="B43" i="24" s="1"/>
  <c r="B44" i="24" s="1"/>
  <c r="B45" i="24" s="1"/>
  <c r="B46" i="24" s="1"/>
  <c r="B47" i="24" s="1"/>
  <c r="B48" i="24" s="1"/>
  <c r="B49" i="24" s="1"/>
  <c r="B50" i="24" s="1"/>
  <c r="B51" i="24" s="1"/>
  <c r="B52" i="24" s="1"/>
  <c r="B53" i="24" s="1"/>
  <c r="B54" i="24" s="1"/>
  <c r="B55" i="24" s="1"/>
  <c r="B56" i="24" s="1"/>
  <c r="B57" i="24" s="1"/>
  <c r="B58" i="24" s="1"/>
  <c r="G25" i="24"/>
  <c r="G26" i="24"/>
  <c r="G27" i="24"/>
  <c r="G28" i="24"/>
  <c r="G29" i="24"/>
  <c r="G30" i="24"/>
  <c r="G31" i="24"/>
  <c r="G32" i="24"/>
  <c r="G33" i="24"/>
  <c r="G34" i="24"/>
  <c r="H16" i="24"/>
  <c r="H17" i="24"/>
  <c r="H18" i="24"/>
  <c r="H19" i="24"/>
  <c r="H20" i="24"/>
  <c r="H21" i="24"/>
  <c r="H22" i="24"/>
  <c r="H23" i="24"/>
  <c r="H24" i="24"/>
  <c r="H25" i="24"/>
  <c r="H26" i="24"/>
  <c r="H27" i="24"/>
  <c r="H28" i="24"/>
  <c r="H29" i="24"/>
  <c r="H30" i="24"/>
  <c r="H31" i="24"/>
  <c r="H32" i="24"/>
  <c r="H33" i="24"/>
  <c r="H34" i="24"/>
  <c r="L16" i="24"/>
  <c r="L17" i="24"/>
  <c r="L18" i="24"/>
  <c r="L19" i="24"/>
  <c r="L20" i="24"/>
  <c r="L21" i="24"/>
  <c r="L22" i="24"/>
  <c r="L23" i="24"/>
  <c r="L24" i="24"/>
  <c r="L25" i="24"/>
  <c r="L26" i="24"/>
  <c r="L27" i="24"/>
  <c r="L28" i="24"/>
  <c r="L29" i="24"/>
  <c r="L30" i="24"/>
  <c r="L31" i="24"/>
  <c r="L32" i="24"/>
  <c r="L33" i="24"/>
  <c r="L34" i="24"/>
  <c r="M16" i="24"/>
  <c r="M17" i="24"/>
  <c r="M18" i="24"/>
  <c r="M19" i="24"/>
  <c r="M20" i="24"/>
  <c r="M21" i="24"/>
  <c r="M22" i="24"/>
  <c r="M23" i="24"/>
  <c r="M24" i="24"/>
  <c r="M25" i="24"/>
  <c r="M26" i="24"/>
  <c r="M27" i="24"/>
  <c r="M28" i="24"/>
  <c r="M29" i="24"/>
  <c r="M30" i="24"/>
  <c r="M31" i="24"/>
  <c r="M32" i="24"/>
  <c r="M33" i="24"/>
  <c r="M34" i="24"/>
  <c r="O19" i="24"/>
  <c r="O20" i="24"/>
  <c r="O21" i="24"/>
  <c r="O22" i="24"/>
  <c r="O23" i="24"/>
  <c r="O24" i="24"/>
  <c r="O25" i="24"/>
  <c r="O26" i="24"/>
  <c r="O27" i="24"/>
  <c r="O28" i="24"/>
  <c r="O29" i="24"/>
  <c r="O30" i="24"/>
  <c r="O31" i="24"/>
  <c r="O32" i="24"/>
  <c r="O33" i="24"/>
  <c r="O34" i="24"/>
  <c r="G16" i="24"/>
  <c r="G17" i="24"/>
  <c r="G18" i="24"/>
  <c r="G19" i="24"/>
  <c r="G20" i="24"/>
  <c r="G21" i="24"/>
  <c r="G22" i="24"/>
  <c r="G23" i="24"/>
  <c r="I16" i="24"/>
  <c r="I17" i="24"/>
  <c r="I18" i="24"/>
  <c r="I19" i="24"/>
  <c r="I20" i="24"/>
  <c r="I21" i="24"/>
  <c r="I22" i="24"/>
  <c r="I23" i="24"/>
  <c r="I24" i="24"/>
  <c r="I25" i="24"/>
  <c r="I26" i="24"/>
  <c r="I27" i="24"/>
  <c r="I28" i="24"/>
  <c r="I29" i="24"/>
  <c r="I30" i="24"/>
  <c r="I31" i="24"/>
  <c r="I32" i="24"/>
  <c r="I33" i="24"/>
  <c r="I34" i="24"/>
  <c r="J16" i="24"/>
  <c r="J17" i="24"/>
  <c r="J18" i="24"/>
  <c r="J19" i="24"/>
  <c r="J20" i="24"/>
  <c r="J21" i="24"/>
  <c r="J22" i="24"/>
  <c r="J23" i="24"/>
  <c r="J24" i="24"/>
  <c r="J25" i="24"/>
  <c r="J26" i="24"/>
  <c r="J27" i="24"/>
  <c r="J28" i="24"/>
  <c r="J29" i="24"/>
  <c r="J30" i="24"/>
  <c r="J31" i="24"/>
  <c r="J32" i="24"/>
  <c r="J33" i="24"/>
  <c r="J34" i="24"/>
  <c r="K16" i="24"/>
  <c r="K17" i="24"/>
  <c r="K18" i="24"/>
  <c r="K19" i="24"/>
  <c r="K20" i="24"/>
  <c r="K21" i="24"/>
  <c r="K22" i="24"/>
  <c r="K23" i="24"/>
  <c r="K24" i="24"/>
  <c r="K25" i="24"/>
  <c r="K26" i="24"/>
  <c r="K27" i="24"/>
  <c r="K28" i="24"/>
  <c r="K29" i="24"/>
  <c r="K30" i="24"/>
  <c r="K31" i="24"/>
  <c r="K32" i="24"/>
  <c r="K33" i="24"/>
  <c r="K34" i="24"/>
  <c r="N16" i="24"/>
  <c r="N17" i="24"/>
  <c r="N18" i="24"/>
  <c r="N19" i="24"/>
  <c r="N20" i="24"/>
  <c r="N21" i="24"/>
  <c r="N22" i="24"/>
  <c r="N23" i="24"/>
  <c r="N24" i="24"/>
  <c r="N25" i="24"/>
  <c r="N26" i="24"/>
  <c r="N27" i="24"/>
  <c r="N28" i="24"/>
  <c r="N29" i="24"/>
  <c r="N30" i="24"/>
  <c r="N31" i="24"/>
  <c r="N32" i="24"/>
  <c r="N33" i="24"/>
  <c r="N34" i="24"/>
  <c r="R16" i="24"/>
  <c r="R17" i="24"/>
  <c r="R18" i="24"/>
  <c r="R19" i="24"/>
  <c r="R20" i="24"/>
  <c r="R21" i="24"/>
  <c r="R22" i="24"/>
  <c r="R23" i="24"/>
  <c r="R24" i="24"/>
  <c r="R25" i="24"/>
  <c r="R26" i="24"/>
  <c r="R27" i="24"/>
  <c r="R28" i="24"/>
  <c r="R29" i="24"/>
  <c r="R30" i="24"/>
  <c r="R31" i="24"/>
  <c r="R32" i="24"/>
  <c r="R33" i="24"/>
  <c r="R34" i="24"/>
  <c r="B16" i="15"/>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16" i="6"/>
  <c r="B17" i="6" s="1"/>
  <c r="B18" i="6" s="1"/>
  <c r="B19" i="6" s="1"/>
  <c r="B20" i="6" s="1"/>
  <c r="B21" i="6" s="1"/>
  <c r="B22" i="6" s="1"/>
  <c r="B23" i="6" s="1"/>
  <c r="B24" i="6" s="1"/>
  <c r="B25" i="6" s="1"/>
  <c r="B26" i="6" s="1"/>
  <c r="B27" i="6" s="1"/>
  <c r="B28" i="6" s="1"/>
  <c r="B29" i="6" s="1"/>
  <c r="B30" i="6" s="1"/>
  <c r="B31" i="6" s="1"/>
  <c r="B32" i="6" s="1"/>
  <c r="B33" i="6" s="1"/>
  <c r="B34" i="6" s="1"/>
  <c r="B35" i="6" s="1"/>
  <c r="B36" i="6" s="1"/>
  <c r="B37" i="6" s="1"/>
  <c r="B38" i="6" s="1"/>
  <c r="B16" i="10"/>
  <c r="AB12" i="24"/>
  <c r="B16" i="4"/>
  <c r="B17" i="4" s="1"/>
  <c r="B18" i="4" s="1"/>
  <c r="B19" i="4" s="1"/>
  <c r="B20" i="4" s="1"/>
  <c r="B21" i="4" s="1"/>
  <c r="B22" i="4" s="1"/>
  <c r="B23" i="4" s="1"/>
  <c r="B24" i="4" s="1"/>
  <c r="B25" i="4" s="1"/>
  <c r="B26" i="4" s="1"/>
  <c r="B27" i="4" s="1"/>
  <c r="B28" i="4" s="1"/>
  <c r="B29" i="4" s="1"/>
  <c r="B30" i="4" s="1"/>
  <c r="B31" i="4" s="1"/>
  <c r="B16" i="11"/>
  <c r="B17" i="11" s="1"/>
  <c r="B18" i="11" s="1"/>
  <c r="B19" i="11" s="1"/>
  <c r="B20" i="11" s="1"/>
  <c r="B21" i="11" s="1"/>
  <c r="B22" i="11" s="1"/>
  <c r="B23" i="11" s="1"/>
  <c r="B24" i="11" s="1"/>
  <c r="B25" i="11" s="1"/>
  <c r="B26" i="11" s="1"/>
  <c r="B27" i="11" s="1"/>
  <c r="B28" i="11" s="1"/>
  <c r="B29" i="11" s="1"/>
  <c r="B30" i="11" s="1"/>
  <c r="B31" i="11" s="1"/>
  <c r="B16" i="8"/>
  <c r="B17" i="8" s="1"/>
  <c r="B18" i="8" s="1"/>
  <c r="B19" i="8" s="1"/>
  <c r="B20" i="8" s="1"/>
  <c r="B21" i="8" s="1"/>
  <c r="B22" i="8" s="1"/>
  <c r="B23" i="8" s="1"/>
  <c r="B24" i="8" s="1"/>
  <c r="B25" i="8" s="1"/>
  <c r="B26" i="8" s="1"/>
  <c r="B27" i="8" s="1"/>
  <c r="B28" i="8" s="1"/>
  <c r="B29" i="8" s="1"/>
  <c r="B30" i="8" s="1"/>
  <c r="B31" i="8" s="1"/>
  <c r="B16" i="7"/>
  <c r="B17" i="7" s="1"/>
  <c r="B18" i="7" s="1"/>
  <c r="B19" i="7" s="1"/>
  <c r="B20" i="7" s="1"/>
  <c r="B21" i="7" s="1"/>
  <c r="B22" i="7" s="1"/>
  <c r="B23" i="7" s="1"/>
  <c r="B24" i="7" s="1"/>
  <c r="B25" i="7" s="1"/>
  <c r="B26" i="7" s="1"/>
  <c r="B27" i="7" s="1"/>
  <c r="B28" i="7" s="1"/>
  <c r="B29" i="7" s="1"/>
  <c r="B30" i="7" s="1"/>
  <c r="B31" i="7" s="1"/>
  <c r="B16" i="5"/>
  <c r="B17" i="5" s="1"/>
  <c r="B18" i="5" s="1"/>
  <c r="B19" i="5" s="1"/>
  <c r="B20" i="5" s="1"/>
  <c r="B21" i="5" s="1"/>
  <c r="B22" i="5" s="1"/>
  <c r="B23" i="5" s="1"/>
  <c r="B24" i="5" s="1"/>
  <c r="B25" i="5" s="1"/>
  <c r="B26" i="5" s="1"/>
  <c r="B27" i="5" s="1"/>
  <c r="B28" i="5" s="1"/>
  <c r="B29" i="5" s="1"/>
  <c r="B30" i="5" s="1"/>
  <c r="B31" i="5" s="1"/>
  <c r="B16" i="2"/>
  <c r="B17" i="2" s="1"/>
  <c r="B18" i="2" s="1"/>
  <c r="B19" i="2" s="1"/>
  <c r="B20" i="2" s="1"/>
  <c r="B21" i="2" s="1"/>
  <c r="B22" i="2" s="1"/>
  <c r="B23" i="2" s="1"/>
  <c r="B24" i="2" s="1"/>
  <c r="B25" i="2" s="1"/>
  <c r="B26" i="2" s="1"/>
  <c r="B27" i="2" s="1"/>
  <c r="B28" i="2" s="1"/>
  <c r="B29" i="2" s="1"/>
  <c r="B30" i="2" s="1"/>
  <c r="B31" i="2" s="1"/>
  <c r="B17" i="10"/>
  <c r="B18" i="10" s="1"/>
  <c r="B19" i="10" s="1"/>
  <c r="B20" i="10" s="1"/>
  <c r="B21" i="10" s="1"/>
  <c r="B22" i="10" s="1"/>
  <c r="B23" i="10" s="1"/>
  <c r="B24" i="10" s="1"/>
  <c r="B25" i="10" s="1"/>
  <c r="B26" i="10" s="1"/>
  <c r="B27" i="10" s="1"/>
  <c r="B28" i="10" s="1"/>
  <c r="B29" i="10" s="1"/>
  <c r="B30" i="10" s="1"/>
  <c r="B31" i="10" s="1"/>
  <c r="B16" i="12"/>
  <c r="B17" i="12" s="1"/>
  <c r="B18" i="12" s="1"/>
  <c r="B19" i="12" s="1"/>
  <c r="B20" i="12" s="1"/>
  <c r="B21" i="12" s="1"/>
  <c r="B22" i="12" s="1"/>
  <c r="B23" i="12" s="1"/>
  <c r="B24" i="12" s="1"/>
  <c r="B25" i="12" s="1"/>
  <c r="B26" i="12" s="1"/>
  <c r="B27" i="12" s="1"/>
  <c r="B28" i="12" s="1"/>
  <c r="B29" i="12" s="1"/>
  <c r="B30" i="12" s="1"/>
  <c r="B31" i="12" s="1"/>
  <c r="AN69" i="11" l="1"/>
  <c r="H76" i="11"/>
  <c r="AN76" i="11" s="1"/>
  <c r="AN69" i="5"/>
  <c r="H76" i="5"/>
  <c r="AN76" i="5" s="1"/>
  <c r="AN69" i="2"/>
  <c r="H76" i="2"/>
  <c r="AN76" i="2" s="1"/>
  <c r="H76" i="10"/>
  <c r="AN76" i="10" s="1"/>
  <c r="AN69" i="10"/>
  <c r="AN69" i="8"/>
  <c r="H76" i="8"/>
  <c r="AN76" i="8" s="1"/>
  <c r="AN69" i="4"/>
  <c r="H76" i="4"/>
  <c r="AN76" i="4" s="1"/>
  <c r="AN69" i="15"/>
  <c r="H76" i="15"/>
  <c r="AN76" i="15" s="1"/>
  <c r="AN69" i="12"/>
  <c r="H76" i="12"/>
  <c r="AN76" i="12" s="1"/>
  <c r="AN69" i="7"/>
  <c r="H76" i="7"/>
  <c r="AN76" i="7" s="1"/>
  <c r="H76" i="6"/>
  <c r="AN76" i="6" s="1"/>
  <c r="AN69" i="6"/>
  <c r="L15" i="24"/>
  <c r="K15" i="24"/>
  <c r="N15" i="24"/>
  <c r="R15" i="24"/>
  <c r="AK11" i="24"/>
  <c r="O15" i="24"/>
  <c r="AH14" i="24"/>
  <c r="Z14" i="24"/>
  <c r="F68" i="12"/>
  <c r="AL68" i="12" s="1"/>
  <c r="F68" i="11"/>
  <c r="AL68" i="11" s="1"/>
  <c r="F68" i="15"/>
  <c r="AL68" i="15" s="1"/>
  <c r="F68" i="10"/>
  <c r="AL68" i="10" s="1"/>
  <c r="F68" i="2"/>
  <c r="AL68" i="2" s="1"/>
  <c r="F68" i="4"/>
  <c r="AL68" i="4" s="1"/>
  <c r="F68" i="5"/>
  <c r="AL68" i="5" s="1"/>
  <c r="F68" i="6"/>
  <c r="AL68" i="6" s="1"/>
  <c r="F68" i="7"/>
  <c r="AL68" i="7" s="1"/>
  <c r="F68" i="8"/>
  <c r="AL68" i="8" s="1"/>
  <c r="R13" i="24"/>
  <c r="R11" i="24"/>
  <c r="AK13" i="24"/>
  <c r="AK12" i="24"/>
  <c r="AA11" i="24"/>
  <c r="AB11" i="24"/>
  <c r="AH11" i="24"/>
  <c r="B39" i="15"/>
  <c r="B40" i="15" s="1"/>
  <c r="B41" i="15" s="1"/>
  <c r="B42" i="15" s="1"/>
  <c r="B43" i="15" s="1"/>
  <c r="B44" i="15" s="1"/>
  <c r="B45" i="15" s="1"/>
  <c r="B46" i="15" s="1"/>
  <c r="B47" i="15" s="1"/>
  <c r="B48" i="15" s="1"/>
  <c r="B49" i="15" s="1"/>
  <c r="B50" i="15" s="1"/>
  <c r="B51" i="15" s="1"/>
  <c r="B52" i="15" s="1"/>
  <c r="B53" i="15" s="1"/>
  <c r="B54" i="15" s="1"/>
  <c r="B55" i="15" s="1"/>
  <c r="B56" i="15" s="1"/>
  <c r="B57" i="15" s="1"/>
  <c r="B58" i="15" s="1"/>
  <c r="B59" i="15" s="1"/>
  <c r="B60" i="15" s="1"/>
  <c r="B61" i="15" s="1"/>
  <c r="B62" i="15" s="1"/>
  <c r="B63" i="15" s="1"/>
  <c r="B39" i="6"/>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AF12" i="24"/>
  <c r="AE12" i="24"/>
  <c r="Z12" i="24"/>
  <c r="AA12" i="24"/>
  <c r="AD12" i="24"/>
  <c r="AH12" i="24"/>
  <c r="AC12" i="24"/>
  <c r="W28" i="45"/>
  <c r="O12" i="24"/>
  <c r="B32" i="12"/>
  <c r="B33" i="12" s="1"/>
  <c r="B34" i="12" s="1"/>
  <c r="B35" i="12" s="1"/>
  <c r="B36" i="12" s="1"/>
  <c r="B37" i="12" s="1"/>
  <c r="B38" i="12" s="1"/>
  <c r="B32" i="10"/>
  <c r="B33" i="10" s="1"/>
  <c r="B34" i="10" s="1"/>
  <c r="B35" i="10" s="1"/>
  <c r="B36" i="10" s="1"/>
  <c r="B37" i="10" s="1"/>
  <c r="B38" i="10" s="1"/>
  <c r="B32" i="5"/>
  <c r="B33" i="5" s="1"/>
  <c r="B34" i="5" s="1"/>
  <c r="B35" i="5" s="1"/>
  <c r="B36" i="5" s="1"/>
  <c r="B37" i="5" s="1"/>
  <c r="B38" i="5" s="1"/>
  <c r="B32" i="7"/>
  <c r="B33" i="7" s="1"/>
  <c r="B34" i="7" s="1"/>
  <c r="B35" i="7" s="1"/>
  <c r="B36" i="7" s="1"/>
  <c r="B37" i="7" s="1"/>
  <c r="B38" i="7" s="1"/>
  <c r="B32" i="2"/>
  <c r="B33" i="2" s="1"/>
  <c r="B34" i="2" s="1"/>
  <c r="B35" i="2" s="1"/>
  <c r="B36" i="2" s="1"/>
  <c r="B37" i="2" s="1"/>
  <c r="B38" i="2" s="1"/>
  <c r="B32" i="8"/>
  <c r="B33" i="8" s="1"/>
  <c r="B34" i="8" s="1"/>
  <c r="B35" i="8" s="1"/>
  <c r="B36" i="8" s="1"/>
  <c r="B37" i="8" s="1"/>
  <c r="B38" i="8" s="1"/>
  <c r="B32" i="11"/>
  <c r="B33" i="11" s="1"/>
  <c r="B34" i="11" s="1"/>
  <c r="B35" i="11" s="1"/>
  <c r="B36" i="11" s="1"/>
  <c r="B37" i="11" s="1"/>
  <c r="B38" i="11" s="1"/>
  <c r="B32" i="4"/>
  <c r="B33" i="4" s="1"/>
  <c r="B34" i="4" s="1"/>
  <c r="B35" i="4" s="1"/>
  <c r="B36" i="4" s="1"/>
  <c r="B37" i="4" s="1"/>
  <c r="B38" i="4" s="1"/>
  <c r="M33" i="45" l="1"/>
  <c r="M10" i="45"/>
  <c r="W10" i="45"/>
  <c r="M28" i="45"/>
  <c r="N34" i="45"/>
  <c r="M38" i="45"/>
  <c r="M31" i="45"/>
  <c r="M11" i="45"/>
  <c r="W38" i="45"/>
  <c r="W32" i="45"/>
  <c r="W26" i="45"/>
  <c r="L22" i="46"/>
  <c r="J22" i="46"/>
  <c r="L28" i="46"/>
  <c r="R28" i="46"/>
  <c r="W23" i="45"/>
  <c r="W39" i="45"/>
  <c r="N29" i="45"/>
  <c r="M37" i="45"/>
  <c r="M26" i="45"/>
  <c r="X29" i="45"/>
  <c r="W37" i="45"/>
  <c r="W31" i="45"/>
  <c r="W21" i="45"/>
  <c r="K22" i="46"/>
  <c r="I22" i="46"/>
  <c r="H28" i="46"/>
  <c r="I28" i="46"/>
  <c r="W25" i="45"/>
  <c r="W34" i="45"/>
  <c r="M39" i="45"/>
  <c r="M35" i="45"/>
  <c r="M32" i="45"/>
  <c r="M21" i="45"/>
  <c r="X39" i="45"/>
  <c r="W36" i="45"/>
  <c r="W30" i="45"/>
  <c r="W16" i="45"/>
  <c r="M22" i="46"/>
  <c r="Q22" i="46"/>
  <c r="K28" i="46"/>
  <c r="M28" i="46"/>
  <c r="M23" i="45"/>
  <c r="M18" i="45"/>
  <c r="W18" i="45"/>
  <c r="M20" i="45"/>
  <c r="N39" i="45"/>
  <c r="M36" i="45"/>
  <c r="M30" i="45"/>
  <c r="M16" i="45"/>
  <c r="X34" i="45"/>
  <c r="W35" i="45"/>
  <c r="W33" i="45"/>
  <c r="W11" i="45"/>
  <c r="H22" i="46"/>
  <c r="R22" i="46"/>
  <c r="J28" i="46"/>
  <c r="Q28" i="46"/>
  <c r="W17" i="45"/>
  <c r="M27" i="45"/>
  <c r="W22" i="45"/>
  <c r="W12" i="45"/>
  <c r="M22" i="45"/>
  <c r="W27" i="45"/>
  <c r="M17" i="45"/>
  <c r="M12" i="45"/>
  <c r="M25" i="45"/>
  <c r="M15" i="45"/>
  <c r="W20" i="45"/>
  <c r="W15" i="45"/>
  <c r="AK65" i="24"/>
  <c r="AK63" i="24"/>
  <c r="AM11" i="48" s="1"/>
  <c r="AK64" i="24"/>
  <c r="AM6" i="48" s="1"/>
  <c r="AK62" i="24"/>
  <c r="AM9" i="48" s="1"/>
  <c r="H13" i="24"/>
  <c r="O17" i="24"/>
  <c r="M24" i="45"/>
  <c r="I13" i="24"/>
  <c r="G13" i="24"/>
  <c r="J13" i="24"/>
  <c r="M12" i="24"/>
  <c r="M14" i="24"/>
  <c r="G14" i="24"/>
  <c r="O18" i="24"/>
  <c r="L12" i="24"/>
  <c r="L14" i="24"/>
  <c r="R14" i="24"/>
  <c r="K13" i="24"/>
  <c r="O13" i="24"/>
  <c r="L13" i="24"/>
  <c r="W24" i="45"/>
  <c r="N13" i="24"/>
  <c r="AC13" i="24"/>
  <c r="AD13" i="24"/>
  <c r="Z13" i="24"/>
  <c r="AE13" i="24"/>
  <c r="AF13" i="24"/>
  <c r="X24" i="45"/>
  <c r="AG13" i="24"/>
  <c r="AH13" i="24"/>
  <c r="AH64" i="24" s="1"/>
  <c r="AJ6" i="48" s="1"/>
  <c r="N24" i="45"/>
  <c r="AB13" i="24"/>
  <c r="AB64" i="24" s="1"/>
  <c r="AD6" i="48" s="1"/>
  <c r="AA13" i="24"/>
  <c r="AA65" i="24" s="1"/>
  <c r="O16" i="24"/>
  <c r="B39" i="12"/>
  <c r="B40" i="12" s="1"/>
  <c r="B41" i="12" s="1"/>
  <c r="B42" i="12" s="1"/>
  <c r="B43" i="12" s="1"/>
  <c r="B44" i="12" s="1"/>
  <c r="B45" i="12" s="1"/>
  <c r="B46" i="12" s="1"/>
  <c r="B47" i="12" s="1"/>
  <c r="B48" i="12" s="1"/>
  <c r="B49" i="12" s="1"/>
  <c r="B50" i="12" s="1"/>
  <c r="B51" i="12" s="1"/>
  <c r="B52" i="12" s="1"/>
  <c r="B53" i="12" s="1"/>
  <c r="B54" i="12" s="1"/>
  <c r="B55" i="12" s="1"/>
  <c r="B56" i="12" s="1"/>
  <c r="B57" i="12" s="1"/>
  <c r="B58" i="12" s="1"/>
  <c r="B59" i="12" s="1"/>
  <c r="B60" i="12" s="1"/>
  <c r="B61" i="12" s="1"/>
  <c r="B62" i="12" s="1"/>
  <c r="B63" i="12" s="1"/>
  <c r="J12" i="24"/>
  <c r="J15" i="24"/>
  <c r="J14" i="24"/>
  <c r="M13" i="24"/>
  <c r="M15" i="24"/>
  <c r="G15" i="24"/>
  <c r="G12" i="24"/>
  <c r="I12" i="24"/>
  <c r="M34" i="45"/>
  <c r="I15" i="24"/>
  <c r="H12" i="24"/>
  <c r="H15" i="24"/>
  <c r="K12" i="24"/>
  <c r="W19" i="45"/>
  <c r="N12" i="24"/>
  <c r="W29" i="45"/>
  <c r="N14" i="24"/>
  <c r="AG12" i="24"/>
  <c r="R12" i="24"/>
  <c r="K14" i="24"/>
  <c r="O14" i="24"/>
  <c r="M29" i="45"/>
  <c r="I14" i="24"/>
  <c r="H14" i="24"/>
  <c r="G24" i="24"/>
  <c r="Z11" i="24"/>
  <c r="AD11" i="24"/>
  <c r="AE11" i="24"/>
  <c r="AF11" i="24"/>
  <c r="AG11" i="24"/>
  <c r="AC11" i="24"/>
  <c r="M11" i="24"/>
  <c r="B39" i="4"/>
  <c r="B40" i="4" s="1"/>
  <c r="B41" i="4" s="1"/>
  <c r="B42" i="4" s="1"/>
  <c r="B43" i="4" s="1"/>
  <c r="B44" i="4" s="1"/>
  <c r="B45" i="4" s="1"/>
  <c r="B46" i="4" s="1"/>
  <c r="B47" i="4" s="1"/>
  <c r="B48" i="4" s="1"/>
  <c r="B49" i="4" s="1"/>
  <c r="B50" i="4" s="1"/>
  <c r="B51" i="4" s="1"/>
  <c r="B52" i="4" s="1"/>
  <c r="B53" i="4" s="1"/>
  <c r="B54" i="4" s="1"/>
  <c r="B55" i="4" s="1"/>
  <c r="B56" i="4" s="1"/>
  <c r="B57" i="4" s="1"/>
  <c r="B58" i="4" s="1"/>
  <c r="B59" i="4" s="1"/>
  <c r="B60" i="4" s="1"/>
  <c r="B61" i="4" s="1"/>
  <c r="B62" i="4" s="1"/>
  <c r="B63" i="4" s="1"/>
  <c r="B39" i="8"/>
  <c r="B39" i="7"/>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K19" i="45" s="1"/>
  <c r="B39" i="10"/>
  <c r="M13" i="45"/>
  <c r="H27" i="35"/>
  <c r="W13" i="45"/>
  <c r="B39" i="11"/>
  <c r="B39" i="2"/>
  <c r="B40" i="2" s="1"/>
  <c r="B41" i="2" s="1"/>
  <c r="B42" i="2" s="1"/>
  <c r="B43" i="2" s="1"/>
  <c r="B44" i="2" s="1"/>
  <c r="B45" i="2" s="1"/>
  <c r="B46" i="2" s="1"/>
  <c r="B47" i="2" s="1"/>
  <c r="B48" i="2" s="1"/>
  <c r="B49" i="2" s="1"/>
  <c r="B50" i="2" s="1"/>
  <c r="B51" i="2" s="1"/>
  <c r="B52" i="2" s="1"/>
  <c r="B53" i="2" s="1"/>
  <c r="B54" i="2" s="1"/>
  <c r="B55" i="2" s="1"/>
  <c r="B56" i="2" s="1"/>
  <c r="B57" i="2" s="1"/>
  <c r="B58" i="2" s="1"/>
  <c r="B59" i="2" s="1"/>
  <c r="B60" i="2" s="1"/>
  <c r="B61" i="2" s="1"/>
  <c r="B62" i="2" s="1"/>
  <c r="B63" i="2" s="1"/>
  <c r="B39" i="5"/>
  <c r="AV46" i="24"/>
  <c r="AV54" i="24"/>
  <c r="AW54" i="24" s="1"/>
  <c r="F54" i="36" s="1"/>
  <c r="G54" i="36" s="1"/>
  <c r="L54" i="36" s="1"/>
  <c r="AV47" i="24"/>
  <c r="AV53" i="24"/>
  <c r="AW53" i="24" s="1"/>
  <c r="F53" i="36" s="1"/>
  <c r="G53" i="36" s="1"/>
  <c r="L53" i="36" s="1"/>
  <c r="AV42" i="24"/>
  <c r="AV58" i="24"/>
  <c r="AW58" i="24" s="1"/>
  <c r="F58" i="36" s="1"/>
  <c r="G58" i="36" s="1"/>
  <c r="L58" i="36" s="1"/>
  <c r="AV55" i="24"/>
  <c r="AW55" i="24" s="1"/>
  <c r="F55" i="36" s="1"/>
  <c r="G55" i="36" s="1"/>
  <c r="L55" i="36" s="1"/>
  <c r="AV44" i="24"/>
  <c r="AV52" i="24"/>
  <c r="AW52" i="24" s="1"/>
  <c r="F52" i="36" s="1"/>
  <c r="G52" i="36" s="1"/>
  <c r="L52" i="36" s="1"/>
  <c r="AV51" i="24"/>
  <c r="AW51" i="24" s="1"/>
  <c r="F51" i="36" s="1"/>
  <c r="G51" i="36" s="1"/>
  <c r="L51" i="36" s="1"/>
  <c r="AV57" i="24"/>
  <c r="AW57" i="24" s="1"/>
  <c r="F57" i="36" s="1"/>
  <c r="G57" i="36" s="1"/>
  <c r="L57" i="36" s="1"/>
  <c r="AV41" i="24"/>
  <c r="AV40" i="24"/>
  <c r="AV48" i="24"/>
  <c r="AW48" i="24" s="1"/>
  <c r="F48" i="36" s="1"/>
  <c r="G48" i="36" s="1"/>
  <c r="L48" i="36" s="1"/>
  <c r="AV56" i="24"/>
  <c r="AW56" i="24" s="1"/>
  <c r="F56" i="36" s="1"/>
  <c r="G56" i="36" s="1"/>
  <c r="L56" i="36" s="1"/>
  <c r="AV43" i="24"/>
  <c r="AV49" i="24"/>
  <c r="AW49" i="24" s="1"/>
  <c r="F49" i="36" s="1"/>
  <c r="G49" i="36" s="1"/>
  <c r="L49" i="36" s="1"/>
  <c r="AV45" i="24"/>
  <c r="H32" i="35" l="1"/>
  <c r="AF24" i="45"/>
  <c r="K34" i="45"/>
  <c r="T24" i="45"/>
  <c r="S24" i="45"/>
  <c r="J42" i="43"/>
  <c r="AF34" i="45"/>
  <c r="AE31" i="45"/>
  <c r="AE23" i="45"/>
  <c r="AE10" i="45"/>
  <c r="S30" i="45"/>
  <c r="S21" i="45"/>
  <c r="S10" i="45"/>
  <c r="K36" i="45"/>
  <c r="K25" i="45"/>
  <c r="K16" i="45"/>
  <c r="Q37" i="45"/>
  <c r="Q16" i="45"/>
  <c r="K26" i="46"/>
  <c r="L24" i="46"/>
  <c r="Q13" i="45"/>
  <c r="H40" i="35"/>
  <c r="AE29" i="45"/>
  <c r="S19" i="45"/>
  <c r="S34" i="45"/>
  <c r="AE36" i="45"/>
  <c r="AE28" i="45"/>
  <c r="AE17" i="45"/>
  <c r="T29" i="45"/>
  <c r="S33" i="45"/>
  <c r="S20" i="45"/>
  <c r="S11" i="45"/>
  <c r="K30" i="45"/>
  <c r="K20" i="45"/>
  <c r="K10" i="45"/>
  <c r="Q31" i="45"/>
  <c r="Q11" i="45"/>
  <c r="H26" i="46"/>
  <c r="M24" i="46"/>
  <c r="Q19" i="45"/>
  <c r="S39" i="45"/>
  <c r="AE37" i="45"/>
  <c r="AE26" i="45"/>
  <c r="AE16" i="45"/>
  <c r="S36" i="45"/>
  <c r="S25" i="45"/>
  <c r="S15" i="45"/>
  <c r="AE34" i="45"/>
  <c r="K33" i="45"/>
  <c r="K21" i="45"/>
  <c r="K12" i="45"/>
  <c r="Q25" i="45"/>
  <c r="R34" i="46"/>
  <c r="K21" i="46"/>
  <c r="G41" i="34"/>
  <c r="R24" i="45"/>
  <c r="Q24" i="45"/>
  <c r="S29" i="45"/>
  <c r="AF39" i="45"/>
  <c r="AE33" i="45"/>
  <c r="AE20" i="45"/>
  <c r="AE11" i="45"/>
  <c r="S37" i="45"/>
  <c r="S28" i="45"/>
  <c r="S18" i="45"/>
  <c r="K37" i="45"/>
  <c r="K26" i="45"/>
  <c r="K17" i="45"/>
  <c r="R39" i="45"/>
  <c r="Q23" i="45"/>
  <c r="H34" i="46"/>
  <c r="H21" i="46"/>
  <c r="B40" i="5"/>
  <c r="B41" i="5" s="1"/>
  <c r="B42" i="5" s="1"/>
  <c r="B43" i="5" s="1"/>
  <c r="B44" i="5" s="1"/>
  <c r="B45" i="5" s="1"/>
  <c r="B46" i="5" s="1"/>
  <c r="B47" i="5" s="1"/>
  <c r="B48" i="5" s="1"/>
  <c r="B49" i="5" s="1"/>
  <c r="B50" i="5" s="1"/>
  <c r="B51" i="5" s="1"/>
  <c r="B52" i="5" s="1"/>
  <c r="B53" i="5" s="1"/>
  <c r="B54" i="5" s="1"/>
  <c r="B55" i="5" s="1"/>
  <c r="B56" i="5" s="1"/>
  <c r="B57" i="5" s="1"/>
  <c r="B58" i="5" s="1"/>
  <c r="B59" i="5" s="1"/>
  <c r="B60" i="5" s="1"/>
  <c r="B61" i="5" s="1"/>
  <c r="B62" i="5" s="1"/>
  <c r="B63" i="5" s="1"/>
  <c r="O35" i="45" s="1"/>
  <c r="O18" i="45"/>
  <c r="O29" i="45"/>
  <c r="O15" i="45"/>
  <c r="O36" i="45"/>
  <c r="O31" i="45"/>
  <c r="I23" i="46"/>
  <c r="B40" i="8"/>
  <c r="P34" i="45"/>
  <c r="B40" i="11"/>
  <c r="B41" i="11" s="1"/>
  <c r="B42" i="11" s="1"/>
  <c r="B43" i="11" s="1"/>
  <c r="B44" i="11" s="1"/>
  <c r="B45" i="11" s="1"/>
  <c r="B46" i="11" s="1"/>
  <c r="B47" i="11" s="1"/>
  <c r="B48" i="11" s="1"/>
  <c r="B49" i="11" s="1"/>
  <c r="B50" i="11" s="1"/>
  <c r="B51" i="11" s="1"/>
  <c r="B52" i="11" s="1"/>
  <c r="B53" i="11" s="1"/>
  <c r="B54" i="11" s="1"/>
  <c r="B55" i="11" s="1"/>
  <c r="B56" i="11" s="1"/>
  <c r="B57" i="11" s="1"/>
  <c r="B58" i="11" s="1"/>
  <c r="B59" i="11" s="1"/>
  <c r="B60" i="11" s="1"/>
  <c r="B61" i="11" s="1"/>
  <c r="B62" i="11" s="1"/>
  <c r="B63" i="11" s="1"/>
  <c r="L29" i="46"/>
  <c r="Y27" i="45"/>
  <c r="Y38" i="45"/>
  <c r="Y39" i="45"/>
  <c r="Y17" i="45"/>
  <c r="Y25" i="45"/>
  <c r="Y35" i="45"/>
  <c r="I29" i="46"/>
  <c r="Y18" i="45"/>
  <c r="Y26" i="45"/>
  <c r="H29" i="46"/>
  <c r="Y20" i="45"/>
  <c r="O17" i="45"/>
  <c r="B40" i="10"/>
  <c r="Z24" i="45"/>
  <c r="P24" i="45"/>
  <c r="O24" i="45"/>
  <c r="Y37" i="45"/>
  <c r="Y15" i="45"/>
  <c r="Y30" i="45"/>
  <c r="Y12" i="45"/>
  <c r="O28" i="45"/>
  <c r="Q29" i="45"/>
  <c r="Q39" i="45"/>
  <c r="K39" i="45"/>
  <c r="AF29" i="45"/>
  <c r="AE38" i="45"/>
  <c r="AE30" i="45"/>
  <c r="AE25" i="45"/>
  <c r="AE21" i="45"/>
  <c r="AE15" i="45"/>
  <c r="AE13" i="45"/>
  <c r="T39" i="45"/>
  <c r="S38" i="45"/>
  <c r="S31" i="45"/>
  <c r="S26" i="45"/>
  <c r="S22" i="45"/>
  <c r="S16" i="45"/>
  <c r="Q34" i="45"/>
  <c r="K35" i="45"/>
  <c r="K31" i="45"/>
  <c r="K28" i="45"/>
  <c r="K22" i="45"/>
  <c r="K15" i="45"/>
  <c r="K11" i="45"/>
  <c r="R34" i="45"/>
  <c r="Q36" i="45"/>
  <c r="Q33" i="45"/>
  <c r="Q27" i="45"/>
  <c r="Q22" i="45"/>
  <c r="Q18" i="45"/>
  <c r="M34" i="46"/>
  <c r="I34" i="46"/>
  <c r="M26" i="46"/>
  <c r="I26" i="46"/>
  <c r="M21" i="46"/>
  <c r="I21" i="46"/>
  <c r="K24" i="46"/>
  <c r="I24" i="46"/>
  <c r="Q38" i="45"/>
  <c r="Q32" i="45"/>
  <c r="Q26" i="45"/>
  <c r="Q20" i="45"/>
  <c r="Q17" i="45"/>
  <c r="Q10" i="45"/>
  <c r="K34" i="46"/>
  <c r="Q34" i="46"/>
  <c r="L26" i="46"/>
  <c r="Q26" i="46"/>
  <c r="L21" i="46"/>
  <c r="Q21" i="46"/>
  <c r="R24" i="46"/>
  <c r="Q24" i="46"/>
  <c r="AE24" i="45"/>
  <c r="K29" i="45"/>
  <c r="AE19" i="45"/>
  <c r="K24" i="45"/>
  <c r="AE39" i="45"/>
  <c r="AE35" i="45"/>
  <c r="AE32" i="45"/>
  <c r="AE27" i="45"/>
  <c r="AE22" i="45"/>
  <c r="AE18" i="45"/>
  <c r="AE12" i="45"/>
  <c r="T34" i="45"/>
  <c r="S35" i="45"/>
  <c r="S32" i="45"/>
  <c r="S27" i="45"/>
  <c r="S23" i="45"/>
  <c r="S17" i="45"/>
  <c r="S12" i="45"/>
  <c r="K38" i="45"/>
  <c r="K32" i="45"/>
  <c r="K27" i="45"/>
  <c r="K23" i="45"/>
  <c r="K18" i="45"/>
  <c r="R29" i="45"/>
  <c r="Q35" i="45"/>
  <c r="Q30" i="45"/>
  <c r="Q28" i="45"/>
  <c r="Q21" i="45"/>
  <c r="Q15" i="45"/>
  <c r="Q12" i="45"/>
  <c r="J34" i="46"/>
  <c r="L34" i="46"/>
  <c r="R26" i="46"/>
  <c r="J26" i="46"/>
  <c r="R21" i="46"/>
  <c r="J21" i="46"/>
  <c r="H24" i="46"/>
  <c r="J24" i="46"/>
  <c r="H35" i="35"/>
  <c r="J33" i="43"/>
  <c r="Q6" i="48"/>
  <c r="Q33" i="48" s="1"/>
  <c r="G6" i="48"/>
  <c r="G33" i="48" s="1"/>
  <c r="M6" i="48"/>
  <c r="M33" i="48" s="1"/>
  <c r="P6" i="48"/>
  <c r="P33" i="48" s="1"/>
  <c r="O13" i="45"/>
  <c r="S13" i="45"/>
  <c r="K13" i="45"/>
  <c r="Y13" i="45"/>
  <c r="R65" i="24"/>
  <c r="M64" i="24"/>
  <c r="M62" i="24"/>
  <c r="M65" i="24"/>
  <c r="M63" i="24"/>
  <c r="AH10" i="48" s="1"/>
  <c r="AG65" i="24"/>
  <c r="AG63" i="24"/>
  <c r="AI11" i="48" s="1"/>
  <c r="AG64" i="24"/>
  <c r="AI6" i="48" s="1"/>
  <c r="AG62" i="24"/>
  <c r="AI9" i="48" s="1"/>
  <c r="AE65" i="24"/>
  <c r="AE63" i="24"/>
  <c r="AG11" i="48" s="1"/>
  <c r="AE64" i="24"/>
  <c r="AG6" i="48" s="1"/>
  <c r="AE62" i="24"/>
  <c r="AG9" i="48" s="1"/>
  <c r="Z64" i="24"/>
  <c r="AB6" i="48" s="1"/>
  <c r="Z62" i="24"/>
  <c r="AB9" i="48" s="1"/>
  <c r="Z65" i="24"/>
  <c r="Z63" i="24"/>
  <c r="AB11" i="48" s="1"/>
  <c r="R62" i="24"/>
  <c r="R63" i="24"/>
  <c r="AM10" i="48" s="1"/>
  <c r="AA62" i="24"/>
  <c r="AC9" i="48" s="1"/>
  <c r="AA63" i="24"/>
  <c r="AC11" i="48" s="1"/>
  <c r="AB63" i="24"/>
  <c r="AD11" i="48" s="1"/>
  <c r="AB62" i="24"/>
  <c r="AD9" i="48" s="1"/>
  <c r="AH63" i="24"/>
  <c r="AJ11" i="48" s="1"/>
  <c r="AH62" i="24"/>
  <c r="AJ9" i="48" s="1"/>
  <c r="AC65" i="24"/>
  <c r="AC63" i="24"/>
  <c r="AE11" i="48" s="1"/>
  <c r="AC64" i="24"/>
  <c r="AE6" i="48" s="1"/>
  <c r="AC62" i="24"/>
  <c r="AE9" i="48" s="1"/>
  <c r="AF64" i="24"/>
  <c r="AH6" i="48" s="1"/>
  <c r="AF62" i="24"/>
  <c r="AH9" i="48" s="1"/>
  <c r="AF65" i="24"/>
  <c r="AF63" i="24"/>
  <c r="AH11" i="48" s="1"/>
  <c r="AD64" i="24"/>
  <c r="AF6" i="48" s="1"/>
  <c r="AD62" i="24"/>
  <c r="AF9" i="48" s="1"/>
  <c r="AD65" i="24"/>
  <c r="AD63" i="24"/>
  <c r="AF11" i="48" s="1"/>
  <c r="R64" i="24"/>
  <c r="AA64" i="24"/>
  <c r="AC6" i="48" s="1"/>
  <c r="AB65" i="24"/>
  <c r="AH65" i="24"/>
  <c r="H30" i="35"/>
  <c r="H34" i="35"/>
  <c r="J32" i="43"/>
  <c r="J25" i="43"/>
  <c r="J28" i="43"/>
  <c r="H28" i="35"/>
  <c r="J26" i="43"/>
  <c r="I42" i="43"/>
  <c r="J27" i="43"/>
  <c r="J30" i="43"/>
  <c r="G35" i="34"/>
  <c r="G28" i="34"/>
  <c r="G33" i="34"/>
  <c r="G30" i="34"/>
  <c r="G31" i="34"/>
  <c r="G29" i="34"/>
  <c r="L11" i="24"/>
  <c r="J11" i="24"/>
  <c r="K11" i="24"/>
  <c r="O11" i="24"/>
  <c r="N11" i="24"/>
  <c r="I11" i="24"/>
  <c r="H11" i="24"/>
  <c r="G11" i="24"/>
  <c r="O33" i="45" l="1"/>
  <c r="Y19" i="45"/>
  <c r="G36" i="34"/>
  <c r="Y36" i="45"/>
  <c r="Z29" i="45"/>
  <c r="R29" i="46"/>
  <c r="Y16" i="45"/>
  <c r="Y24" i="45"/>
  <c r="O10" i="45"/>
  <c r="O38" i="45"/>
  <c r="J29" i="46"/>
  <c r="Y33" i="45"/>
  <c r="Y11" i="45"/>
  <c r="Z34" i="45"/>
  <c r="Y23" i="45"/>
  <c r="Y29" i="45"/>
  <c r="Y31" i="45"/>
  <c r="Y10" i="45"/>
  <c r="O23" i="45"/>
  <c r="K23" i="46"/>
  <c r="O37" i="45"/>
  <c r="O16" i="45"/>
  <c r="P39" i="45"/>
  <c r="O22" i="45"/>
  <c r="Q23" i="46"/>
  <c r="P29" i="45"/>
  <c r="O21" i="45"/>
  <c r="L23" i="46"/>
  <c r="B41" i="10"/>
  <c r="Z39" i="45"/>
  <c r="Y22" i="45"/>
  <c r="M29" i="46"/>
  <c r="Y32" i="45"/>
  <c r="K29" i="46"/>
  <c r="Y34" i="45"/>
  <c r="Y21" i="45"/>
  <c r="Q29" i="46"/>
  <c r="H29" i="35"/>
  <c r="O25" i="45"/>
  <c r="J23" i="46"/>
  <c r="O30" i="45"/>
  <c r="O12" i="45"/>
  <c r="O19" i="45"/>
  <c r="O32" i="45"/>
  <c r="O11" i="45"/>
  <c r="B41" i="8"/>
  <c r="O34" i="45"/>
  <c r="O20" i="45"/>
  <c r="M23" i="46"/>
  <c r="O27" i="45"/>
  <c r="R23" i="46"/>
  <c r="O39" i="45"/>
  <c r="O26" i="45"/>
  <c r="H23" i="46"/>
  <c r="Y28" i="45"/>
  <c r="F6" i="48"/>
  <c r="F33" i="48" s="1"/>
  <c r="I6" i="48"/>
  <c r="I33" i="48" s="1"/>
  <c r="K6" i="48"/>
  <c r="K33" i="48" s="1"/>
  <c r="H6" i="48"/>
  <c r="H33" i="48" s="1"/>
  <c r="E6" i="48"/>
  <c r="E33" i="48" s="1"/>
  <c r="J6" i="48"/>
  <c r="J33" i="48" s="1"/>
  <c r="L6" i="48"/>
  <c r="L33" i="48" s="1"/>
  <c r="AH8" i="48"/>
  <c r="AH5" i="48"/>
  <c r="AM8" i="48"/>
  <c r="AM5" i="48"/>
  <c r="N65" i="24"/>
  <c r="N63" i="24"/>
  <c r="AI10" i="48" s="1"/>
  <c r="N64" i="24"/>
  <c r="N62" i="24"/>
  <c r="G64" i="24"/>
  <c r="G62" i="24"/>
  <c r="G65" i="24"/>
  <c r="G63" i="24"/>
  <c r="AB10" i="48" s="1"/>
  <c r="I64" i="24"/>
  <c r="I62" i="24"/>
  <c r="I65" i="24"/>
  <c r="I63" i="24"/>
  <c r="AD10" i="48" s="1"/>
  <c r="O64" i="24"/>
  <c r="O62" i="24"/>
  <c r="O65" i="24"/>
  <c r="O63" i="24"/>
  <c r="AJ10" i="48" s="1"/>
  <c r="J65" i="24"/>
  <c r="J63" i="24"/>
  <c r="AE10" i="48" s="1"/>
  <c r="J64" i="24"/>
  <c r="J62" i="24"/>
  <c r="H65" i="24"/>
  <c r="H63" i="24"/>
  <c r="AC10" i="48" s="1"/>
  <c r="H64" i="24"/>
  <c r="H62" i="24"/>
  <c r="K64" i="24"/>
  <c r="K62" i="24"/>
  <c r="K65" i="24"/>
  <c r="K63" i="24"/>
  <c r="AF10" i="48" s="1"/>
  <c r="L65" i="24"/>
  <c r="L63" i="24"/>
  <c r="AG10" i="48" s="1"/>
  <c r="L64" i="24"/>
  <c r="L62" i="24"/>
  <c r="I30" i="43"/>
  <c r="I26" i="43"/>
  <c r="I28" i="43"/>
  <c r="I32" i="43"/>
  <c r="I33" i="43"/>
  <c r="I27" i="43"/>
  <c r="I25" i="43"/>
  <c r="H31" i="21"/>
  <c r="H30" i="21"/>
  <c r="H29" i="21"/>
  <c r="H28" i="21"/>
  <c r="H27" i="21"/>
  <c r="H25" i="21"/>
  <c r="H24" i="21"/>
  <c r="H20" i="21"/>
  <c r="H23" i="21"/>
  <c r="H22" i="21"/>
  <c r="H19" i="21"/>
  <c r="H17" i="21"/>
  <c r="H16" i="21"/>
  <c r="H15" i="21"/>
  <c r="H14" i="21"/>
  <c r="H13" i="21"/>
  <c r="H10" i="21"/>
  <c r="H12" i="21"/>
  <c r="J32" i="21"/>
  <c r="B42" i="10" l="1"/>
  <c r="B42" i="8"/>
  <c r="Q5" i="48"/>
  <c r="Q32" i="48" s="1"/>
  <c r="P5" i="48"/>
  <c r="P32" i="48" s="1"/>
  <c r="K5" i="48"/>
  <c r="K32" i="48" s="1"/>
  <c r="AM7" i="48"/>
  <c r="AH7" i="48"/>
  <c r="AG8" i="48"/>
  <c r="AG5" i="48"/>
  <c r="AF8" i="48"/>
  <c r="AF5" i="48"/>
  <c r="AC8" i="48"/>
  <c r="AC5" i="48"/>
  <c r="AE8" i="48"/>
  <c r="AE5" i="48"/>
  <c r="AJ8" i="48"/>
  <c r="AJ5" i="48"/>
  <c r="AD8" i="48"/>
  <c r="AD5" i="48"/>
  <c r="AB8" i="48"/>
  <c r="AB5" i="48"/>
  <c r="AI8" i="48"/>
  <c r="AI5" i="48"/>
  <c r="B43" i="8" l="1"/>
  <c r="B43" i="10"/>
  <c r="L5" i="48"/>
  <c r="L32" i="48" s="1"/>
  <c r="E5" i="48"/>
  <c r="E32" i="48" s="1"/>
  <c r="G5" i="48"/>
  <c r="G32" i="48" s="1"/>
  <c r="M5" i="48"/>
  <c r="M32" i="48" s="1"/>
  <c r="H5" i="48"/>
  <c r="H32" i="48" s="1"/>
  <c r="F5" i="48"/>
  <c r="F32" i="48" s="1"/>
  <c r="I5" i="48"/>
  <c r="I32" i="48" s="1"/>
  <c r="J5" i="48"/>
  <c r="J32" i="48" s="1"/>
  <c r="AI7" i="48"/>
  <c r="AB7" i="48"/>
  <c r="AD7" i="48"/>
  <c r="AJ7" i="48"/>
  <c r="AE7" i="48"/>
  <c r="AC7" i="48"/>
  <c r="AF7" i="48"/>
  <c r="AG7" i="48"/>
  <c r="F76" i="37"/>
  <c r="F76" i="38"/>
  <c r="F76" i="40"/>
  <c r="F76" i="41"/>
  <c r="F76" i="39"/>
  <c r="F76" i="11"/>
  <c r="F76" i="10"/>
  <c r="F76" i="4"/>
  <c r="F76" i="5"/>
  <c r="F76" i="6"/>
  <c r="F76" i="7"/>
  <c r="F76" i="8"/>
  <c r="F76" i="12"/>
  <c r="F76" i="15"/>
  <c r="F76" i="2"/>
  <c r="E11" i="16"/>
  <c r="D11" i="16"/>
  <c r="C11" i="16"/>
  <c r="E10" i="16"/>
  <c r="D10" i="16"/>
  <c r="B10" i="16" s="1"/>
  <c r="C10" i="16"/>
  <c r="E9" i="16"/>
  <c r="D9" i="16"/>
  <c r="C9" i="16"/>
  <c r="D4" i="16"/>
  <c r="B44" i="10" l="1"/>
  <c r="B45" i="10" s="1"/>
  <c r="B46" i="10" s="1"/>
  <c r="B47" i="10" s="1"/>
  <c r="B48" i="10" s="1"/>
  <c r="B49" i="10" s="1"/>
  <c r="B50" i="10" s="1"/>
  <c r="B51" i="10" s="1"/>
  <c r="B52" i="10" s="1"/>
  <c r="B53" i="10" s="1"/>
  <c r="B54" i="10" s="1"/>
  <c r="B55" i="10" s="1"/>
  <c r="B56" i="10" s="1"/>
  <c r="B57" i="10" s="1"/>
  <c r="B58" i="10" s="1"/>
  <c r="B59" i="10" s="1"/>
  <c r="B60" i="10" s="1"/>
  <c r="B61" i="10" s="1"/>
  <c r="B62" i="10" s="1"/>
  <c r="B63" i="10" s="1"/>
  <c r="U33" i="45" s="1"/>
  <c r="U26" i="45"/>
  <c r="U22" i="45"/>
  <c r="B44" i="8"/>
  <c r="U37" i="45"/>
  <c r="B7" i="5"/>
  <c r="AL76" i="5"/>
  <c r="B7" i="37"/>
  <c r="AL76" i="37"/>
  <c r="B7" i="8"/>
  <c r="AL76" i="8"/>
  <c r="B7" i="2"/>
  <c r="AL76" i="2"/>
  <c r="B7" i="7"/>
  <c r="AL76" i="7"/>
  <c r="B7" i="10"/>
  <c r="AL76" i="10"/>
  <c r="B7" i="40"/>
  <c r="AL76" i="40"/>
  <c r="B7" i="12"/>
  <c r="AL76" i="12"/>
  <c r="B7" i="39"/>
  <c r="AL76" i="39"/>
  <c r="B7" i="4"/>
  <c r="AL76" i="4"/>
  <c r="B7" i="41"/>
  <c r="AL76" i="41"/>
  <c r="B7" i="15"/>
  <c r="AL76" i="15"/>
  <c r="B7" i="6"/>
  <c r="AL76" i="6"/>
  <c r="B7" i="11"/>
  <c r="AL76" i="11"/>
  <c r="B7" i="38"/>
  <c r="AL76" i="38"/>
  <c r="F75" i="37"/>
  <c r="F75" i="38"/>
  <c r="F75" i="40"/>
  <c r="F75" i="41"/>
  <c r="F75" i="39"/>
  <c r="AR14" i="45"/>
  <c r="F75" i="8"/>
  <c r="F75" i="7"/>
  <c r="F75" i="6"/>
  <c r="F75" i="5"/>
  <c r="F75" i="4"/>
  <c r="F75" i="10"/>
  <c r="F75" i="11"/>
  <c r="F75" i="2"/>
  <c r="F75" i="15"/>
  <c r="F75" i="12"/>
  <c r="B11" i="16"/>
  <c r="B12" i="16" s="1"/>
  <c r="U19" i="45" l="1"/>
  <c r="J27" i="46"/>
  <c r="R27" i="46"/>
  <c r="U11" i="45"/>
  <c r="H27" i="46"/>
  <c r="U25" i="45"/>
  <c r="U20" i="45"/>
  <c r="U15" i="45"/>
  <c r="U39" i="45"/>
  <c r="H33" i="35"/>
  <c r="U24" i="45"/>
  <c r="U17" i="45"/>
  <c r="U34" i="45"/>
  <c r="V29" i="45"/>
  <c r="Q27" i="46"/>
  <c r="L27" i="46"/>
  <c r="V24" i="45"/>
  <c r="V39" i="45"/>
  <c r="U10" i="45"/>
  <c r="U32" i="45"/>
  <c r="I27" i="46"/>
  <c r="U35" i="45"/>
  <c r="J31" i="43"/>
  <c r="I31" i="43" s="1"/>
  <c r="U29" i="45"/>
  <c r="G34" i="34"/>
  <c r="U38" i="45"/>
  <c r="U16" i="45"/>
  <c r="U36" i="45"/>
  <c r="U18" i="45"/>
  <c r="U30" i="45"/>
  <c r="B45" i="8"/>
  <c r="K27" i="46"/>
  <c r="U27" i="45"/>
  <c r="U23" i="45"/>
  <c r="M27" i="46"/>
  <c r="U28" i="45"/>
  <c r="U13" i="45"/>
  <c r="U31" i="45"/>
  <c r="V34" i="45"/>
  <c r="U12" i="45"/>
  <c r="U21" i="45"/>
  <c r="B6" i="2"/>
  <c r="AL75" i="2"/>
  <c r="B6" i="5"/>
  <c r="AL75" i="5"/>
  <c r="B6" i="11"/>
  <c r="AL75" i="11"/>
  <c r="B6" i="6"/>
  <c r="AL75" i="6"/>
  <c r="B6" i="39"/>
  <c r="AL75" i="39"/>
  <c r="B6" i="37"/>
  <c r="AL75" i="37"/>
  <c r="B6" i="7"/>
  <c r="AL75" i="7"/>
  <c r="B6" i="12"/>
  <c r="AL75" i="12"/>
  <c r="B6" i="10"/>
  <c r="AL75" i="10"/>
  <c r="B6" i="41"/>
  <c r="AL75" i="41"/>
  <c r="B6" i="15"/>
  <c r="AL75" i="15"/>
  <c r="B6" i="4"/>
  <c r="AL75" i="4"/>
  <c r="B6" i="8"/>
  <c r="AL75" i="8"/>
  <c r="B6" i="40"/>
  <c r="AL75" i="40"/>
  <c r="B6" i="38"/>
  <c r="AL75" i="38"/>
  <c r="AH62" i="41"/>
  <c r="BK33" i="41"/>
  <c r="BK45" i="41"/>
  <c r="BK61" i="41"/>
  <c r="BK15" i="41"/>
  <c r="BK19" i="41"/>
  <c r="BK23" i="41"/>
  <c r="BK27" i="41"/>
  <c r="AG49" i="41"/>
  <c r="AG57" i="41"/>
  <c r="BK18" i="41"/>
  <c r="BK22" i="41"/>
  <c r="BK26" i="41"/>
  <c r="AH30" i="41"/>
  <c r="BJ14" i="41"/>
  <c r="BJ18" i="41"/>
  <c r="BJ22" i="41"/>
  <c r="BJ26" i="41"/>
  <c r="AG39" i="41"/>
  <c r="AG45" i="41"/>
  <c r="AG53" i="41"/>
  <c r="AG61" i="41"/>
  <c r="BJ16" i="41"/>
  <c r="BJ20" i="41"/>
  <c r="BJ24" i="41"/>
  <c r="BJ28" i="41"/>
  <c r="AG35" i="41"/>
  <c r="BJ36" i="41"/>
  <c r="BJ38" i="41"/>
  <c r="AG41" i="41"/>
  <c r="AH14" i="41"/>
  <c r="AH18" i="41"/>
  <c r="AH22" i="41"/>
  <c r="AH26" i="41"/>
  <c r="AG30" i="41"/>
  <c r="AG33" i="41"/>
  <c r="BK35" i="41"/>
  <c r="AG15" i="41"/>
  <c r="AG19" i="41"/>
  <c r="AG23" i="41"/>
  <c r="AG27" i="41"/>
  <c r="BK34" i="41"/>
  <c r="BK57" i="41"/>
  <c r="BK17" i="41"/>
  <c r="BK21" i="41"/>
  <c r="BK25" i="41"/>
  <c r="BK29" i="41"/>
  <c r="BK30" i="41"/>
  <c r="BK43" i="41"/>
  <c r="BK47" i="41"/>
  <c r="BK51" i="41"/>
  <c r="BK55" i="41"/>
  <c r="BK59" i="41"/>
  <c r="BK63" i="41"/>
  <c r="BJ41" i="41"/>
  <c r="BK37" i="41"/>
  <c r="BK39" i="41"/>
  <c r="AH42" i="41"/>
  <c r="BK53" i="41"/>
  <c r="AG34" i="41"/>
  <c r="BJ44" i="41"/>
  <c r="BJ52" i="41"/>
  <c r="BJ60" i="41"/>
  <c r="AG37" i="41"/>
  <c r="AH40" i="41"/>
  <c r="BJ48" i="41"/>
  <c r="BJ56" i="41"/>
  <c r="BK41" i="41"/>
  <c r="BK40" i="41"/>
  <c r="BJ32" i="41"/>
  <c r="AH34" i="41"/>
  <c r="AH36" i="41"/>
  <c r="AH15" i="41"/>
  <c r="AH19" i="41"/>
  <c r="AH23" i="41"/>
  <c r="AH27" i="41"/>
  <c r="BK31" i="41"/>
  <c r="BJ33" i="41"/>
  <c r="BK49" i="41"/>
  <c r="AG17" i="41"/>
  <c r="AG21" i="41"/>
  <c r="AG25" i="41"/>
  <c r="AG29" i="41"/>
  <c r="AG44" i="41"/>
  <c r="AG48" i="41"/>
  <c r="AG52" i="41"/>
  <c r="AG56" i="41"/>
  <c r="AG60" i="41"/>
  <c r="BJ35" i="41"/>
  <c r="BJ43" i="41"/>
  <c r="BJ51" i="41"/>
  <c r="BJ59" i="41"/>
  <c r="AG36" i="41"/>
  <c r="AH32" i="41"/>
  <c r="BJ55" i="41"/>
  <c r="BJ47" i="41"/>
  <c r="AH60" i="41"/>
  <c r="AH52" i="41"/>
  <c r="BJ25" i="41"/>
  <c r="BK62" i="41"/>
  <c r="BK58" i="41"/>
  <c r="BK54" i="41"/>
  <c r="BK50" i="41"/>
  <c r="BK46" i="41"/>
  <c r="BK42" i="41"/>
  <c r="AH29" i="41"/>
  <c r="BK24" i="41"/>
  <c r="AG16" i="41"/>
  <c r="AH46" i="41"/>
  <c r="AH24" i="41"/>
  <c r="BJ39" i="41"/>
  <c r="AH17" i="41"/>
  <c r="BJ21" i="41"/>
  <c r="AH63" i="41"/>
  <c r="AH59" i="41"/>
  <c r="AH55" i="41"/>
  <c r="AH51" i="41"/>
  <c r="AH47" i="41"/>
  <c r="AH43" i="41"/>
  <c r="BJ61" i="41"/>
  <c r="BJ53" i="41"/>
  <c r="BJ45" i="41"/>
  <c r="AH44" i="41"/>
  <c r="AH53" i="41"/>
  <c r="AH28" i="41"/>
  <c r="AG38" i="41"/>
  <c r="AG22" i="41"/>
  <c r="AG62" i="41"/>
  <c r="AG58" i="41"/>
  <c r="AG54" i="41"/>
  <c r="AG50" i="41"/>
  <c r="AG46" i="41"/>
  <c r="AG42" i="41"/>
  <c r="BJ31" i="41"/>
  <c r="AH45" i="41"/>
  <c r="BJ63" i="41"/>
  <c r="AH58" i="41"/>
  <c r="AH41" i="41"/>
  <c r="AH31" i="41"/>
  <c r="AH21" i="41"/>
  <c r="BK16" i="41"/>
  <c r="BJ17" i="41"/>
  <c r="BK38" i="41"/>
  <c r="AG40" i="41"/>
  <c r="BJ27" i="41"/>
  <c r="AH37" i="41"/>
  <c r="BK28" i="41"/>
  <c r="AG20" i="41"/>
  <c r="BJ15" i="41"/>
  <c r="BJ29" i="41"/>
  <c r="AG14" i="41"/>
  <c r="BJ57" i="41"/>
  <c r="BJ49" i="41"/>
  <c r="AG31" i="41"/>
  <c r="AH48" i="41"/>
  <c r="AH56" i="41"/>
  <c r="AH50" i="41"/>
  <c r="BK36" i="41"/>
  <c r="AH49" i="41"/>
  <c r="AH33" i="41"/>
  <c r="BK14" i="41"/>
  <c r="AG63" i="41"/>
  <c r="AG59" i="41"/>
  <c r="AG55" i="41"/>
  <c r="AG51" i="41"/>
  <c r="AG47" i="41"/>
  <c r="AG43" i="41"/>
  <c r="AH38" i="41"/>
  <c r="AG32" i="41"/>
  <c r="AH61" i="41"/>
  <c r="AH20" i="41"/>
  <c r="AG24" i="41"/>
  <c r="BJ19" i="41"/>
  <c r="AG18" i="41"/>
  <c r="BJ58" i="41"/>
  <c r="BJ50" i="41"/>
  <c r="BJ42" i="41"/>
  <c r="BJ37" i="41"/>
  <c r="BJ40" i="41"/>
  <c r="BJ34" i="41"/>
  <c r="AH54" i="41"/>
  <c r="BK44" i="41"/>
  <c r="BJ23" i="41"/>
  <c r="AH57" i="41"/>
  <c r="BK52" i="41"/>
  <c r="AH35" i="41"/>
  <c r="AG26" i="41"/>
  <c r="BJ62" i="41"/>
  <c r="BJ54" i="41"/>
  <c r="BJ46" i="41"/>
  <c r="BK32" i="41"/>
  <c r="AH39" i="41"/>
  <c r="AG28" i="41"/>
  <c r="BJ30" i="41"/>
  <c r="BK56" i="41"/>
  <c r="BK48" i="41"/>
  <c r="AH25" i="41"/>
  <c r="BK20" i="41"/>
  <c r="AH16" i="41"/>
  <c r="BK60" i="41"/>
  <c r="BK32" i="37"/>
  <c r="BK40" i="37"/>
  <c r="BK16" i="37"/>
  <c r="BJ47" i="37"/>
  <c r="AG20" i="37"/>
  <c r="AG28" i="37"/>
  <c r="AG36" i="37"/>
  <c r="AG52" i="37"/>
  <c r="BJ23" i="37"/>
  <c r="BJ31" i="37"/>
  <c r="AG44" i="37"/>
  <c r="AG60" i="37"/>
  <c r="BK20" i="37"/>
  <c r="BK44" i="37"/>
  <c r="BK24" i="37"/>
  <c r="AH17" i="37"/>
  <c r="AG48" i="37"/>
  <c r="BK38" i="37"/>
  <c r="BK42" i="37"/>
  <c r="BK46" i="37"/>
  <c r="BK50" i="37"/>
  <c r="BK54" i="37"/>
  <c r="BK58" i="37"/>
  <c r="BK62" i="37"/>
  <c r="AH19" i="37"/>
  <c r="AH35" i="37"/>
  <c r="AH51" i="37"/>
  <c r="BK36" i="37"/>
  <c r="BK56" i="37"/>
  <c r="BK48" i="37"/>
  <c r="AG40" i="37"/>
  <c r="AG56" i="37"/>
  <c r="AG24" i="37"/>
  <c r="AG32" i="37"/>
  <c r="BJ43" i="37"/>
  <c r="BJ59" i="37"/>
  <c r="BJ19" i="37"/>
  <c r="BJ27" i="37"/>
  <c r="BJ35" i="37"/>
  <c r="BJ51" i="37"/>
  <c r="AH15" i="37"/>
  <c r="AH31" i="37"/>
  <c r="AH47" i="37"/>
  <c r="BK52" i="37"/>
  <c r="BK28" i="37"/>
  <c r="BK60" i="37"/>
  <c r="AG16" i="37"/>
  <c r="BJ39" i="37"/>
  <c r="BJ55" i="37"/>
  <c r="AH63" i="37"/>
  <c r="AH27" i="37"/>
  <c r="AH43" i="37"/>
  <c r="AH59" i="37"/>
  <c r="BJ14" i="37"/>
  <c r="BJ18" i="37"/>
  <c r="BJ26" i="37"/>
  <c r="BJ34" i="37"/>
  <c r="BJ42" i="37"/>
  <c r="BJ50" i="37"/>
  <c r="BJ58" i="37"/>
  <c r="BK15" i="37"/>
  <c r="BJ20" i="37"/>
  <c r="BK31" i="37"/>
  <c r="BJ36" i="37"/>
  <c r="BK43" i="37"/>
  <c r="AG47" i="37"/>
  <c r="BK51" i="37"/>
  <c r="AG55" i="37"/>
  <c r="BK59" i="37"/>
  <c r="AG63" i="37"/>
  <c r="AH55" i="37"/>
  <c r="BJ30" i="37"/>
  <c r="BJ62" i="37"/>
  <c r="BK63" i="37"/>
  <c r="BK27" i="37"/>
  <c r="BJ40" i="37"/>
  <c r="BJ56" i="37"/>
  <c r="BJ22" i="37"/>
  <c r="BJ54" i="37"/>
  <c r="BJ16" i="37"/>
  <c r="BK35" i="37"/>
  <c r="BK39" i="37"/>
  <c r="AG43" i="37"/>
  <c r="BJ44" i="37"/>
  <c r="BK55" i="37"/>
  <c r="AG59" i="37"/>
  <c r="BJ60" i="37"/>
  <c r="BJ63" i="37"/>
  <c r="AH23" i="37"/>
  <c r="BJ46" i="37"/>
  <c r="BJ24" i="37"/>
  <c r="BJ48" i="37"/>
  <c r="AH39" i="37"/>
  <c r="BJ38" i="37"/>
  <c r="BK19" i="37"/>
  <c r="BK23" i="37"/>
  <c r="BJ28" i="37"/>
  <c r="BJ32" i="37"/>
  <c r="BK47" i="37"/>
  <c r="AG51" i="37"/>
  <c r="BJ52" i="37"/>
  <c r="AG34" i="37"/>
  <c r="AH30" i="37"/>
  <c r="BJ25" i="37"/>
  <c r="BK21" i="37"/>
  <c r="AG17" i="37"/>
  <c r="AH37" i="37"/>
  <c r="BJ15" i="37"/>
  <c r="AG26" i="37"/>
  <c r="AH22" i="37"/>
  <c r="BJ17" i="37"/>
  <c r="BK34" i="37"/>
  <c r="BK18" i="37"/>
  <c r="AH36" i="37"/>
  <c r="AG39" i="37"/>
  <c r="AH49" i="37"/>
  <c r="AH48" i="37"/>
  <c r="AH16" i="37"/>
  <c r="AG19" i="37"/>
  <c r="AG62" i="37"/>
  <c r="AG58" i="37"/>
  <c r="AG54" i="37"/>
  <c r="AG50" i="37"/>
  <c r="AG46" i="37"/>
  <c r="AG42" i="37"/>
  <c r="AG38" i="37"/>
  <c r="AH34" i="37"/>
  <c r="BJ29" i="37"/>
  <c r="BK25" i="37"/>
  <c r="AG21" i="37"/>
  <c r="AH60" i="37"/>
  <c r="AH28" i="37"/>
  <c r="AG31" i="37"/>
  <c r="AH57" i="37"/>
  <c r="AH25" i="37"/>
  <c r="BK22" i="37"/>
  <c r="BK26" i="37"/>
  <c r="BK14" i="37"/>
  <c r="BK61" i="37"/>
  <c r="BK57" i="37"/>
  <c r="BK53" i="37"/>
  <c r="BK49" i="37"/>
  <c r="BK45" i="37"/>
  <c r="BK41" i="37"/>
  <c r="BK37" i="37"/>
  <c r="AG33" i="37"/>
  <c r="AG18" i="37"/>
  <c r="AH53" i="37"/>
  <c r="AH21" i="37"/>
  <c r="AH62" i="37"/>
  <c r="AH58" i="37"/>
  <c r="AH54" i="37"/>
  <c r="AH50" i="37"/>
  <c r="AH46" i="37"/>
  <c r="AH42" i="37"/>
  <c r="AH38" i="37"/>
  <c r="BJ33" i="37"/>
  <c r="BK29" i="37"/>
  <c r="AG25" i="37"/>
  <c r="BK30" i="37"/>
  <c r="AH52" i="37"/>
  <c r="AH20" i="37"/>
  <c r="AG23" i="37"/>
  <c r="AH33" i="37"/>
  <c r="AH32" i="37"/>
  <c r="AG35" i="37"/>
  <c r="AG61" i="37"/>
  <c r="AG57" i="37"/>
  <c r="AG53" i="37"/>
  <c r="AG49" i="37"/>
  <c r="AG45" i="37"/>
  <c r="AG41" i="37"/>
  <c r="AG37" i="37"/>
  <c r="AG22" i="37"/>
  <c r="AH18" i="37"/>
  <c r="AH14" i="37"/>
  <c r="AH44" i="37"/>
  <c r="AG15" i="37"/>
  <c r="AH41" i="37"/>
  <c r="BJ61" i="37"/>
  <c r="BJ53" i="37"/>
  <c r="BJ45" i="37"/>
  <c r="BJ37" i="37"/>
  <c r="BK33" i="37"/>
  <c r="AG29" i="37"/>
  <c r="AG14" i="37"/>
  <c r="AG27" i="37"/>
  <c r="AH40" i="37"/>
  <c r="BJ57" i="37"/>
  <c r="BJ49" i="37"/>
  <c r="BJ41" i="37"/>
  <c r="AG30" i="37"/>
  <c r="AH26" i="37"/>
  <c r="BJ21" i="37"/>
  <c r="BK17" i="37"/>
  <c r="AH56" i="37"/>
  <c r="AH24" i="37"/>
  <c r="AH61" i="37"/>
  <c r="AH29" i="37"/>
  <c r="AH45" i="37"/>
  <c r="BK17" i="5"/>
  <c r="AH26" i="5"/>
  <c r="BK33" i="5"/>
  <c r="BJ38" i="5"/>
  <c r="BJ42" i="5"/>
  <c r="AH55" i="5"/>
  <c r="BJ15" i="5"/>
  <c r="BJ18" i="5"/>
  <c r="AG20" i="5"/>
  <c r="BJ23" i="5"/>
  <c r="BJ26" i="5"/>
  <c r="AG28" i="5"/>
  <c r="BJ31" i="5"/>
  <c r="BJ34" i="5"/>
  <c r="AG36" i="5"/>
  <c r="AH14" i="5"/>
  <c r="BK21" i="5"/>
  <c r="AH30" i="5"/>
  <c r="BK37" i="5"/>
  <c r="AH47" i="5"/>
  <c r="BK54" i="5"/>
  <c r="AH15" i="5"/>
  <c r="AH23" i="5"/>
  <c r="AH31" i="5"/>
  <c r="BK39" i="5"/>
  <c r="BJ41" i="5"/>
  <c r="AH51" i="5"/>
  <c r="AH16" i="5"/>
  <c r="BK19" i="5"/>
  <c r="AH25" i="5"/>
  <c r="AH32" i="5"/>
  <c r="BK35" i="5"/>
  <c r="AH19" i="5"/>
  <c r="AH27" i="5"/>
  <c r="AH35" i="5"/>
  <c r="BK50" i="5"/>
  <c r="AH18" i="5"/>
  <c r="BK25" i="5"/>
  <c r="AH34" i="5"/>
  <c r="AG38" i="5"/>
  <c r="AG42" i="5"/>
  <c r="BJ45" i="5"/>
  <c r="AG15" i="5"/>
  <c r="BK16" i="5"/>
  <c r="AG23" i="5"/>
  <c r="BK24" i="5"/>
  <c r="AG31" i="5"/>
  <c r="BK32" i="5"/>
  <c r="AH17" i="5"/>
  <c r="AH24" i="5"/>
  <c r="BK27" i="5"/>
  <c r="AH33" i="5"/>
  <c r="AH28" i="5"/>
  <c r="BJ49" i="5"/>
  <c r="AG19" i="5"/>
  <c r="BK20" i="5"/>
  <c r="BK26" i="5"/>
  <c r="AG32" i="5"/>
  <c r="BJ35" i="5"/>
  <c r="BJ53" i="5"/>
  <c r="BJ43" i="5"/>
  <c r="AH61" i="5"/>
  <c r="AH49" i="5"/>
  <c r="BJ58" i="5"/>
  <c r="AH62" i="5"/>
  <c r="AH57" i="5"/>
  <c r="AG62" i="5"/>
  <c r="BK22" i="5"/>
  <c r="BK38" i="5"/>
  <c r="BK15" i="5"/>
  <c r="AH21" i="5"/>
  <c r="AH36" i="5"/>
  <c r="BK18" i="5"/>
  <c r="AG24" i="5"/>
  <c r="BJ27" i="5"/>
  <c r="BJ30" i="5"/>
  <c r="AH44" i="5"/>
  <c r="AG46" i="5"/>
  <c r="BJ57" i="5"/>
  <c r="AG59" i="5"/>
  <c r="AH60" i="5"/>
  <c r="AG63" i="5"/>
  <c r="BK41" i="5"/>
  <c r="BK53" i="5"/>
  <c r="BK61" i="5"/>
  <c r="BK63" i="5"/>
  <c r="BK23" i="5"/>
  <c r="AH29" i="5"/>
  <c r="AG16" i="5"/>
  <c r="BJ19" i="5"/>
  <c r="BJ22" i="5"/>
  <c r="AG35" i="5"/>
  <c r="BK36" i="5"/>
  <c r="AH40" i="5"/>
  <c r="AH58" i="5"/>
  <c r="BK60" i="5"/>
  <c r="AH46" i="5"/>
  <c r="AG58" i="5"/>
  <c r="BK49" i="5"/>
  <c r="BJ62" i="5"/>
  <c r="BK14" i="5"/>
  <c r="BK30" i="5"/>
  <c r="AH20" i="5"/>
  <c r="AH22" i="5"/>
  <c r="BK29" i="5"/>
  <c r="BK31" i="5"/>
  <c r="AH37" i="5"/>
  <c r="BJ14" i="5"/>
  <c r="AG27" i="5"/>
  <c r="BK28" i="5"/>
  <c r="BK34" i="5"/>
  <c r="AH39" i="5"/>
  <c r="BK62" i="5"/>
  <c r="AH53" i="5"/>
  <c r="AH59" i="5"/>
  <c r="BJ61" i="5"/>
  <c r="BK57" i="5"/>
  <c r="BK59" i="5"/>
  <c r="AH63" i="5"/>
  <c r="BK58" i="5"/>
  <c r="BK43" i="5"/>
  <c r="BJ56" i="5"/>
  <c r="BJ32" i="5"/>
  <c r="AG21" i="5"/>
  <c r="AG43" i="5"/>
  <c r="AG54" i="5"/>
  <c r="BJ36" i="5"/>
  <c r="AG25" i="5"/>
  <c r="AG60" i="5"/>
  <c r="AG50" i="5"/>
  <c r="BJ24" i="5"/>
  <c r="AG30" i="5"/>
  <c r="AG22" i="5"/>
  <c r="AG14" i="5"/>
  <c r="AG57" i="5"/>
  <c r="AG33" i="5"/>
  <c r="AH54" i="5"/>
  <c r="BJ37" i="5"/>
  <c r="BJ29" i="5"/>
  <c r="BJ21" i="5"/>
  <c r="BK40" i="5"/>
  <c r="BK56" i="5"/>
  <c r="AG52" i="5"/>
  <c r="AH48" i="5"/>
  <c r="BJ50" i="5"/>
  <c r="AG44" i="5"/>
  <c r="AG55" i="5"/>
  <c r="BJ47" i="5"/>
  <c r="BJ44" i="5"/>
  <c r="AH45" i="5"/>
  <c r="BJ51" i="5"/>
  <c r="BK47" i="5"/>
  <c r="BJ54" i="5"/>
  <c r="BK44" i="5"/>
  <c r="BJ39" i="5"/>
  <c r="BJ40" i="5"/>
  <c r="AH42" i="5"/>
  <c r="BJ55" i="5"/>
  <c r="BK51" i="5"/>
  <c r="AG47" i="5"/>
  <c r="BJ60" i="5"/>
  <c r="BJ48" i="5"/>
  <c r="AG37" i="5"/>
  <c r="BJ16" i="5"/>
  <c r="BJ63" i="5"/>
  <c r="AG53" i="5"/>
  <c r="BJ20" i="5"/>
  <c r="AH50" i="5"/>
  <c r="BJ52" i="5"/>
  <c r="AG29" i="5"/>
  <c r="BK46" i="5"/>
  <c r="AH43" i="5"/>
  <c r="AG34" i="5"/>
  <c r="AG26" i="5"/>
  <c r="AG18" i="5"/>
  <c r="BJ59" i="5"/>
  <c r="AG61" i="5"/>
  <c r="AG49" i="5"/>
  <c r="AG39" i="5"/>
  <c r="BJ28" i="5"/>
  <c r="AG17" i="5"/>
  <c r="BK42" i="5"/>
  <c r="BJ33" i="5"/>
  <c r="BJ25" i="5"/>
  <c r="BJ17" i="5"/>
  <c r="BK55" i="5"/>
  <c r="AG51" i="5"/>
  <c r="BK45" i="5"/>
  <c r="BK52" i="5"/>
  <c r="AG45" i="5"/>
  <c r="AG56" i="5"/>
  <c r="AH52" i="5"/>
  <c r="AG41" i="5"/>
  <c r="AG40" i="5"/>
  <c r="BK48" i="5"/>
  <c r="AH56" i="5"/>
  <c r="AH41" i="5"/>
  <c r="AG48" i="5"/>
  <c r="AH38" i="5"/>
  <c r="BJ46" i="5"/>
  <c r="AH18" i="39"/>
  <c r="BK16" i="39"/>
  <c r="BK20" i="39"/>
  <c r="BK32" i="39"/>
  <c r="BK40" i="39"/>
  <c r="AH33" i="39"/>
  <c r="BJ27" i="39"/>
  <c r="AH41" i="39"/>
  <c r="AG20" i="39"/>
  <c r="AK20" i="39" s="1"/>
  <c r="BJ31" i="39"/>
  <c r="BJ35" i="39"/>
  <c r="BK24" i="39"/>
  <c r="AH37" i="39"/>
  <c r="BJ39" i="39"/>
  <c r="AG45" i="39"/>
  <c r="BJ48" i="39"/>
  <c r="AG53" i="39"/>
  <c r="BJ56" i="39"/>
  <c r="AG61" i="39"/>
  <c r="AG47" i="39"/>
  <c r="AK47" i="39" s="1"/>
  <c r="AH53" i="39"/>
  <c r="BJ62" i="39"/>
  <c r="BK43" i="39"/>
  <c r="BJ47" i="39"/>
  <c r="BK53" i="39"/>
  <c r="AG60" i="39"/>
  <c r="AH16" i="39"/>
  <c r="AG43" i="39"/>
  <c r="AK43" i="39" s="1"/>
  <c r="AH49" i="39"/>
  <c r="BJ58" i="39"/>
  <c r="BK60" i="39"/>
  <c r="AG16" i="39"/>
  <c r="AK16" i="39" s="1"/>
  <c r="BK17" i="39"/>
  <c r="BK36" i="39"/>
  <c r="AG25" i="39"/>
  <c r="AH28" i="39"/>
  <c r="AG31" i="39"/>
  <c r="AG41" i="39"/>
  <c r="BJ43" i="39"/>
  <c r="BN43" i="39" s="1"/>
  <c r="BK47" i="39"/>
  <c r="BJ51" i="39"/>
  <c r="BK55" i="39"/>
  <c r="BJ59" i="39"/>
  <c r="BK63" i="39"/>
  <c r="AG55" i="39"/>
  <c r="AH61" i="39"/>
  <c r="BK14" i="39"/>
  <c r="AG23" i="39"/>
  <c r="AK23" i="39" s="1"/>
  <c r="BJ26" i="39"/>
  <c r="AG33" i="39"/>
  <c r="AK33" i="39" s="1"/>
  <c r="BJ42" i="39"/>
  <c r="BK45" i="39"/>
  <c r="AG52" i="39"/>
  <c r="AH56" i="39"/>
  <c r="BJ60" i="39"/>
  <c r="AH40" i="39"/>
  <c r="AG51" i="39"/>
  <c r="AH57" i="39"/>
  <c r="AH17" i="39"/>
  <c r="BJ28" i="39"/>
  <c r="BK49" i="39"/>
  <c r="BK57" i="39"/>
  <c r="BJ14" i="39"/>
  <c r="BN14" i="39" s="1"/>
  <c r="BJ46" i="39"/>
  <c r="BK48" i="39"/>
  <c r="AG63" i="39"/>
  <c r="AG44" i="39"/>
  <c r="AH48" i="39"/>
  <c r="BJ52" i="39"/>
  <c r="AG57" i="39"/>
  <c r="BK59" i="39"/>
  <c r="BJ63" i="39"/>
  <c r="BJ21" i="39"/>
  <c r="BK44" i="39"/>
  <c r="AG59" i="39"/>
  <c r="BJ15" i="39"/>
  <c r="BJ16" i="39"/>
  <c r="BN16" i="39" s="1"/>
  <c r="BJ19" i="39"/>
  <c r="BJ23" i="39"/>
  <c r="AH29" i="39"/>
  <c r="BK31" i="39"/>
  <c r="BJ34" i="39"/>
  <c r="AH44" i="39"/>
  <c r="AG48" i="39"/>
  <c r="AK48" i="39" s="1"/>
  <c r="AH52" i="39"/>
  <c r="AG56" i="39"/>
  <c r="AH60" i="39"/>
  <c r="AH45" i="39"/>
  <c r="BJ54" i="39"/>
  <c r="BK56" i="39"/>
  <c r="BJ44" i="39"/>
  <c r="BN44" i="39" s="1"/>
  <c r="AG49" i="39"/>
  <c r="BK51" i="39"/>
  <c r="BJ55" i="39"/>
  <c r="BK61" i="39"/>
  <c r="AH24" i="39"/>
  <c r="BK27" i="39"/>
  <c r="BJ50" i="39"/>
  <c r="BK52" i="39"/>
  <c r="BK26" i="39"/>
  <c r="AG15" i="39"/>
  <c r="AH35" i="39"/>
  <c r="AG27" i="39"/>
  <c r="BJ18" i="39"/>
  <c r="BJ38" i="39"/>
  <c r="BJ29" i="39"/>
  <c r="AH58" i="39"/>
  <c r="BJ57" i="39"/>
  <c r="BJ49" i="39"/>
  <c r="BN49" i="39" s="1"/>
  <c r="AH22" i="39"/>
  <c r="AH36" i="39"/>
  <c r="AG14" i="39"/>
  <c r="AK14" i="39" s="1"/>
  <c r="BK35" i="39"/>
  <c r="AH20" i="39"/>
  <c r="BJ41" i="39"/>
  <c r="BJ25" i="39"/>
  <c r="BK28" i="39"/>
  <c r="AH54" i="39"/>
  <c r="BK58" i="39"/>
  <c r="BK50" i="39"/>
  <c r="AH38" i="39"/>
  <c r="AH14" i="39"/>
  <c r="AH26" i="39"/>
  <c r="AH63" i="39"/>
  <c r="AG58" i="39"/>
  <c r="AH47" i="39"/>
  <c r="BJ36" i="39"/>
  <c r="BN36" i="39" s="1"/>
  <c r="AH39" i="39"/>
  <c r="BJ37" i="39"/>
  <c r="BJ30" i="39"/>
  <c r="BJ20" i="39"/>
  <c r="BN20" i="39" s="1"/>
  <c r="AG40" i="39"/>
  <c r="AK40" i="39" s="1"/>
  <c r="AG24" i="39"/>
  <c r="AK24" i="39" s="1"/>
  <c r="AG36" i="39"/>
  <c r="AK36" i="39" s="1"/>
  <c r="AH25" i="39"/>
  <c r="BK42" i="39"/>
  <c r="AH31" i="39"/>
  <c r="AG39" i="39"/>
  <c r="BK23" i="39"/>
  <c r="BK18" i="39"/>
  <c r="BK30" i="39"/>
  <c r="AG22" i="39"/>
  <c r="AK22" i="39" s="1"/>
  <c r="BJ17" i="39"/>
  <c r="BN17" i="39" s="1"/>
  <c r="AH32" i="39"/>
  <c r="BJ22" i="39"/>
  <c r="AH50" i="39"/>
  <c r="BK62" i="39"/>
  <c r="BK54" i="39"/>
  <c r="BK46" i="39"/>
  <c r="AG32" i="39"/>
  <c r="BJ24" i="39"/>
  <c r="BN24" i="39" s="1"/>
  <c r="BJ33" i="39"/>
  <c r="AG30" i="39"/>
  <c r="AK30" i="39" s="1"/>
  <c r="AH19" i="39"/>
  <c r="AH62" i="39"/>
  <c r="AH46" i="39"/>
  <c r="BJ61" i="39"/>
  <c r="BJ53" i="39"/>
  <c r="BJ45" i="39"/>
  <c r="BN45" i="39" s="1"/>
  <c r="BJ40" i="39"/>
  <c r="BN40" i="39" s="1"/>
  <c r="AG37" i="39"/>
  <c r="AK37" i="39" s="1"/>
  <c r="AH34" i="39"/>
  <c r="AG21" i="39"/>
  <c r="BJ32" i="39"/>
  <c r="BN32" i="39" s="1"/>
  <c r="AH42" i="39"/>
  <c r="AH55" i="39"/>
  <c r="AG50" i="39"/>
  <c r="AH21" i="39"/>
  <c r="AG17" i="39"/>
  <c r="AK17" i="39" s="1"/>
  <c r="BK34" i="39"/>
  <c r="AH23" i="39"/>
  <c r="AG28" i="39"/>
  <c r="AK28" i="39" s="1"/>
  <c r="BK29" i="39"/>
  <c r="BK38" i="39"/>
  <c r="AH27" i="39"/>
  <c r="AG38" i="39"/>
  <c r="AH15" i="39"/>
  <c r="BK39" i="39"/>
  <c r="AG18" i="39"/>
  <c r="BK15" i="39"/>
  <c r="AG42" i="39"/>
  <c r="AK42" i="39" s="1"/>
  <c r="AG26" i="39"/>
  <c r="AK26" i="39" s="1"/>
  <c r="AG19" i="39"/>
  <c r="AH59" i="39"/>
  <c r="AG54" i="39"/>
  <c r="AH43" i="39"/>
  <c r="BK37" i="39"/>
  <c r="AG29" i="39"/>
  <c r="AK29" i="39" s="1"/>
  <c r="BK41" i="39"/>
  <c r="BK25" i="39"/>
  <c r="BK22" i="39"/>
  <c r="AG34" i="39"/>
  <c r="AK34" i="39" s="1"/>
  <c r="BK19" i="39"/>
  <c r="AG35" i="39"/>
  <c r="AK35" i="39" s="1"/>
  <c r="AG62" i="39"/>
  <c r="AH51" i="39"/>
  <c r="AG46" i="39"/>
  <c r="AK46" i="39" s="1"/>
  <c r="BK33" i="39"/>
  <c r="BK21" i="39"/>
  <c r="AH30" i="39"/>
  <c r="AH40" i="2"/>
  <c r="AH21" i="2"/>
  <c r="AH31" i="2"/>
  <c r="AH32" i="2"/>
  <c r="AH36" i="2"/>
  <c r="AG15" i="2"/>
  <c r="BJ18" i="2"/>
  <c r="BJ21" i="2"/>
  <c r="AG23" i="2"/>
  <c r="AK23" i="2" s="1"/>
  <c r="AH16" i="2"/>
  <c r="AH23" i="2"/>
  <c r="BK26" i="2"/>
  <c r="BJ14" i="2"/>
  <c r="BJ17" i="2"/>
  <c r="AG19" i="2"/>
  <c r="BJ22" i="2"/>
  <c r="BJ25" i="2"/>
  <c r="BK43" i="2"/>
  <c r="BJ49" i="2"/>
  <c r="AG54" i="2"/>
  <c r="BK59" i="2"/>
  <c r="BK41" i="2"/>
  <c r="AH46" i="2"/>
  <c r="AG48" i="2"/>
  <c r="AH52" i="2"/>
  <c r="BK57" i="2"/>
  <c r="AH62" i="2"/>
  <c r="BJ28" i="2"/>
  <c r="BK38" i="2"/>
  <c r="BJ41" i="2"/>
  <c r="BN41" i="2" s="1"/>
  <c r="AG46" i="2"/>
  <c r="AK46" i="2" s="1"/>
  <c r="BK51" i="2"/>
  <c r="BJ57" i="2"/>
  <c r="AG62" i="2"/>
  <c r="AH43" i="2"/>
  <c r="BJ51" i="2"/>
  <c r="BK56" i="2"/>
  <c r="AH59" i="2"/>
  <c r="BK14" i="2"/>
  <c r="AH20" i="2"/>
  <c r="AH14" i="2"/>
  <c r="AH22" i="2"/>
  <c r="BJ29" i="2"/>
  <c r="BJ30" i="2"/>
  <c r="BN30" i="2" s="1"/>
  <c r="BJ34" i="2"/>
  <c r="BK16" i="2"/>
  <c r="AH25" i="2"/>
  <c r="BK27" i="2"/>
  <c r="BK30" i="2"/>
  <c r="AH18" i="2"/>
  <c r="AH26" i="2"/>
  <c r="BJ35" i="2"/>
  <c r="AH42" i="2"/>
  <c r="AG44" i="2"/>
  <c r="AH48" i="2"/>
  <c r="BK53" i="2"/>
  <c r="AH58" i="2"/>
  <c r="AG60" i="2"/>
  <c r="AG38" i="2"/>
  <c r="BK42" i="2"/>
  <c r="BK58" i="2"/>
  <c r="BK45" i="2"/>
  <c r="AH50" i="2"/>
  <c r="AG52" i="2"/>
  <c r="AH56" i="2"/>
  <c r="BK61" i="2"/>
  <c r="BJ45" i="2"/>
  <c r="AG50" i="2"/>
  <c r="BK55" i="2"/>
  <c r="BJ61" i="2"/>
  <c r="BK20" i="2"/>
  <c r="BK31" i="2"/>
  <c r="BJ33" i="2"/>
  <c r="AG18" i="2"/>
  <c r="AK18" i="2" s="1"/>
  <c r="BK19" i="2"/>
  <c r="AG26" i="2"/>
  <c r="AH15" i="2"/>
  <c r="BK18" i="2"/>
  <c r="AH24" i="2"/>
  <c r="AG14" i="2"/>
  <c r="AK14" i="2" s="1"/>
  <c r="BK15" i="2"/>
  <c r="AG22" i="2"/>
  <c r="AK22" i="2" s="1"/>
  <c r="BK23" i="2"/>
  <c r="AG28" i="2"/>
  <c r="BK54" i="2"/>
  <c r="AG40" i="2"/>
  <c r="AK40" i="2" s="1"/>
  <c r="BJ43" i="2"/>
  <c r="BN43" i="2" s="1"/>
  <c r="BK48" i="2"/>
  <c r="AH51" i="2"/>
  <c r="BJ59" i="2"/>
  <c r="BK46" i="2"/>
  <c r="BK62" i="2"/>
  <c r="BJ39" i="2"/>
  <c r="AH44" i="2"/>
  <c r="BK49" i="2"/>
  <c r="AH54" i="2"/>
  <c r="AG56" i="2"/>
  <c r="AH60" i="2"/>
  <c r="AH19" i="2"/>
  <c r="BK22" i="2"/>
  <c r="BK17" i="2"/>
  <c r="BK25" i="2"/>
  <c r="BJ26" i="2"/>
  <c r="BN26" i="2" s="1"/>
  <c r="AH28" i="2"/>
  <c r="AG30" i="2"/>
  <c r="AG34" i="2"/>
  <c r="AK34" i="2" s="1"/>
  <c r="AH17" i="2"/>
  <c r="BK24" i="2"/>
  <c r="BK39" i="2"/>
  <c r="BK21" i="2"/>
  <c r="AH27" i="2"/>
  <c r="BK44" i="2"/>
  <c r="AH47" i="2"/>
  <c r="BJ55" i="2"/>
  <c r="BK60" i="2"/>
  <c r="AH63" i="2"/>
  <c r="AG42" i="2"/>
  <c r="AK42" i="2" s="1"/>
  <c r="BK47" i="2"/>
  <c r="BJ53" i="2"/>
  <c r="AG58" i="2"/>
  <c r="BK63" i="2"/>
  <c r="BK33" i="2"/>
  <c r="BJ47" i="2"/>
  <c r="BN47" i="2" s="1"/>
  <c r="BK52" i="2"/>
  <c r="AH55" i="2"/>
  <c r="BJ63" i="2"/>
  <c r="BK50" i="2"/>
  <c r="AH53" i="2"/>
  <c r="AG61" i="2"/>
  <c r="BJ48" i="2"/>
  <c r="BN48" i="2" s="1"/>
  <c r="BK40" i="2"/>
  <c r="AG24" i="2"/>
  <c r="AK24" i="2" s="1"/>
  <c r="BJ60" i="2"/>
  <c r="AG41" i="2"/>
  <c r="BJ23" i="2"/>
  <c r="BN23" i="2" s="1"/>
  <c r="AH49" i="2"/>
  <c r="BJ56" i="2"/>
  <c r="BK34" i="2"/>
  <c r="AG25" i="2"/>
  <c r="AK25" i="2" s="1"/>
  <c r="AG17" i="2"/>
  <c r="AK17" i="2" s="1"/>
  <c r="BJ52" i="2"/>
  <c r="BJ40" i="2"/>
  <c r="AG35" i="2"/>
  <c r="BJ27" i="2"/>
  <c r="BN27" i="2" s="1"/>
  <c r="BJ15" i="2"/>
  <c r="BN15" i="2" s="1"/>
  <c r="BJ20" i="2"/>
  <c r="BN20" i="2" s="1"/>
  <c r="BK35" i="2"/>
  <c r="AG51" i="2"/>
  <c r="AH34" i="2"/>
  <c r="BJ50" i="2"/>
  <c r="BN50" i="2" s="1"/>
  <c r="BK32" i="2"/>
  <c r="AH33" i="2"/>
  <c r="AG63" i="2"/>
  <c r="AG47" i="2"/>
  <c r="AK47" i="2" s="1"/>
  <c r="BK29" i="2"/>
  <c r="AH30" i="2"/>
  <c r="AH38" i="2"/>
  <c r="BJ54" i="2"/>
  <c r="AH37" i="2"/>
  <c r="BK37" i="2"/>
  <c r="AH29" i="2"/>
  <c r="AH61" i="2"/>
  <c r="AH45" i="2"/>
  <c r="AG45" i="2"/>
  <c r="AK45" i="2" s="1"/>
  <c r="AG31" i="2"/>
  <c r="AK31" i="2" s="1"/>
  <c r="BJ19" i="2"/>
  <c r="BN19" i="2" s="1"/>
  <c r="AG27" i="2"/>
  <c r="AK27" i="2" s="1"/>
  <c r="AG57" i="2"/>
  <c r="BJ44" i="2"/>
  <c r="BN44" i="2" s="1"/>
  <c r="BK28" i="2"/>
  <c r="BK36" i="2"/>
  <c r="BJ31" i="2"/>
  <c r="BN31" i="2" s="1"/>
  <c r="AH57" i="2"/>
  <c r="AH41" i="2"/>
  <c r="AG53" i="2"/>
  <c r="AG16" i="2"/>
  <c r="AK16" i="2" s="1"/>
  <c r="AG21" i="2"/>
  <c r="AK21" i="2" s="1"/>
  <c r="AG49" i="2"/>
  <c r="AK49" i="2" s="1"/>
  <c r="AG39" i="2"/>
  <c r="BJ38" i="2"/>
  <c r="BN38" i="2" s="1"/>
  <c r="AG20" i="2"/>
  <c r="AK20" i="2" s="1"/>
  <c r="BJ24" i="2"/>
  <c r="BN24" i="2" s="1"/>
  <c r="BJ16" i="2"/>
  <c r="BN16" i="2" s="1"/>
  <c r="AG59" i="2"/>
  <c r="AG43" i="2"/>
  <c r="AK43" i="2" s="1"/>
  <c r="BJ32" i="2"/>
  <c r="BN32" i="2" s="1"/>
  <c r="AG33" i="2"/>
  <c r="AK33" i="2" s="1"/>
  <c r="BJ36" i="2"/>
  <c r="BJ58" i="2"/>
  <c r="BJ42" i="2"/>
  <c r="BN42" i="2" s="1"/>
  <c r="AH39" i="2"/>
  <c r="AH35" i="2"/>
  <c r="AG55" i="2"/>
  <c r="AG37" i="2"/>
  <c r="AK37" i="2" s="1"/>
  <c r="BJ37" i="2"/>
  <c r="BN37" i="2" s="1"/>
  <c r="AG29" i="2"/>
  <c r="AK29" i="2" s="1"/>
  <c r="BJ62" i="2"/>
  <c r="BJ46" i="2"/>
  <c r="BN46" i="2" s="1"/>
  <c r="AG32" i="2"/>
  <c r="AK32" i="2" s="1"/>
  <c r="AG36" i="2"/>
  <c r="AK36" i="2" s="1"/>
  <c r="BK61" i="15"/>
  <c r="BK17" i="15"/>
  <c r="AH21" i="15"/>
  <c r="BK28" i="15"/>
  <c r="BK32" i="15"/>
  <c r="AG36" i="15"/>
  <c r="AG40" i="15"/>
  <c r="AG44" i="15"/>
  <c r="AG48" i="15"/>
  <c r="AG52" i="15"/>
  <c r="AG56" i="15"/>
  <c r="AG16" i="15"/>
  <c r="BK21" i="15"/>
  <c r="AH25" i="15"/>
  <c r="BK19" i="15"/>
  <c r="AH24" i="15"/>
  <c r="AG26" i="15"/>
  <c r="AK26" i="15" s="1"/>
  <c r="BJ63" i="15"/>
  <c r="AH18" i="15"/>
  <c r="BJ19" i="15"/>
  <c r="BN19" i="15" s="1"/>
  <c r="AG24" i="15"/>
  <c r="AK24" i="15" s="1"/>
  <c r="BK29" i="15"/>
  <c r="AH16" i="15"/>
  <c r="AG18" i="15"/>
  <c r="AK18" i="15" s="1"/>
  <c r="BJ29" i="15"/>
  <c r="BN29" i="15" s="1"/>
  <c r="BK35" i="15"/>
  <c r="BJ37" i="15"/>
  <c r="BJ41" i="15"/>
  <c r="BJ45" i="15"/>
  <c r="BJ49" i="15"/>
  <c r="BJ53" i="15"/>
  <c r="BJ57" i="15"/>
  <c r="BK15" i="15"/>
  <c r="AH20" i="15"/>
  <c r="AG22" i="15"/>
  <c r="BK20" i="15"/>
  <c r="AH30" i="15"/>
  <c r="AH34" i="15"/>
  <c r="AH38" i="15"/>
  <c r="AH42" i="15"/>
  <c r="AH46" i="15"/>
  <c r="AH50" i="15"/>
  <c r="AH54" i="15"/>
  <c r="AH58" i="15"/>
  <c r="AG14" i="15"/>
  <c r="AK14" i="15" s="1"/>
  <c r="BK23" i="15"/>
  <c r="AH28" i="15"/>
  <c r="AG30" i="15"/>
  <c r="AG60" i="15"/>
  <c r="AH62" i="15"/>
  <c r="BK63" i="15"/>
  <c r="AH22" i="15"/>
  <c r="BJ23" i="15"/>
  <c r="BN23" i="15" s="1"/>
  <c r="AG28" i="15"/>
  <c r="AG32" i="15"/>
  <c r="BK36" i="15"/>
  <c r="BK40" i="15"/>
  <c r="BK44" i="15"/>
  <c r="BK48" i="15"/>
  <c r="BK52" i="15"/>
  <c r="BK56" i="15"/>
  <c r="BK16" i="15"/>
  <c r="AH26" i="15"/>
  <c r="BJ27" i="15"/>
  <c r="BJ31" i="15"/>
  <c r="BJ35" i="15"/>
  <c r="BN35" i="15" s="1"/>
  <c r="BJ39" i="15"/>
  <c r="BJ43" i="15"/>
  <c r="BJ47" i="15"/>
  <c r="BJ51" i="15"/>
  <c r="BJ55" i="15"/>
  <c r="BJ59" i="15"/>
  <c r="BJ21" i="15"/>
  <c r="BN21" i="15" s="1"/>
  <c r="BK26" i="15"/>
  <c r="BK30" i="15"/>
  <c r="BK34" i="15"/>
  <c r="BK38" i="15"/>
  <c r="BK42" i="15"/>
  <c r="BK46" i="15"/>
  <c r="BK50" i="15"/>
  <c r="BK54" i="15"/>
  <c r="BK58" i="15"/>
  <c r="AH17" i="15"/>
  <c r="BK24" i="15"/>
  <c r="BK33" i="15"/>
  <c r="BK37" i="15"/>
  <c r="BK41" i="15"/>
  <c r="BK45" i="15"/>
  <c r="BK49" i="15"/>
  <c r="BK53" i="15"/>
  <c r="BK57" i="15"/>
  <c r="BK18" i="15"/>
  <c r="BK27" i="15"/>
  <c r="BK31" i="15"/>
  <c r="BJ33" i="15"/>
  <c r="BJ17" i="15"/>
  <c r="BN17" i="15" s="1"/>
  <c r="BK22" i="15"/>
  <c r="AH61" i="15"/>
  <c r="AH14" i="15"/>
  <c r="BJ15" i="15"/>
  <c r="BN15" i="15" s="1"/>
  <c r="AG20" i="15"/>
  <c r="AK20" i="15" s="1"/>
  <c r="BK25" i="15"/>
  <c r="AH29" i="15"/>
  <c r="AH33" i="15"/>
  <c r="AH37" i="15"/>
  <c r="AH41" i="15"/>
  <c r="AH45" i="15"/>
  <c r="AH49" i="15"/>
  <c r="AH53" i="15"/>
  <c r="AH57" i="15"/>
  <c r="BJ25" i="15"/>
  <c r="AH32" i="15"/>
  <c r="AG34" i="15"/>
  <c r="AK34" i="15" s="1"/>
  <c r="AG38" i="15"/>
  <c r="AK38" i="15" s="1"/>
  <c r="AG42" i="15"/>
  <c r="AK42" i="15" s="1"/>
  <c r="AG46" i="15"/>
  <c r="AG50" i="15"/>
  <c r="AK50" i="15" s="1"/>
  <c r="AG54" i="15"/>
  <c r="AG58" i="15"/>
  <c r="BK60" i="15"/>
  <c r="BJ62" i="15"/>
  <c r="AG49" i="15"/>
  <c r="AK49" i="15" s="1"/>
  <c r="AG33" i="15"/>
  <c r="AK33" i="15" s="1"/>
  <c r="AG17" i="15"/>
  <c r="AK17" i="15" s="1"/>
  <c r="AH43" i="15"/>
  <c r="BJ58" i="15"/>
  <c r="AH44" i="15"/>
  <c r="BK39" i="15"/>
  <c r="AG35" i="15"/>
  <c r="BJ22" i="15"/>
  <c r="AH55" i="15"/>
  <c r="AH27" i="15"/>
  <c r="AG51" i="15"/>
  <c r="BJ46" i="15"/>
  <c r="BN46" i="15" s="1"/>
  <c r="AG31" i="15"/>
  <c r="AK31" i="15" s="1"/>
  <c r="BJ18" i="15"/>
  <c r="BN18" i="15" s="1"/>
  <c r="AH35" i="15"/>
  <c r="AG55" i="15"/>
  <c r="BJ50" i="15"/>
  <c r="BN50" i="15" s="1"/>
  <c r="AH36" i="15"/>
  <c r="BJ30" i="15"/>
  <c r="BN30" i="15" s="1"/>
  <c r="AH31" i="15"/>
  <c r="AH15" i="15"/>
  <c r="AG59" i="15"/>
  <c r="BJ54" i="15"/>
  <c r="AH40" i="15"/>
  <c r="AG23" i="15"/>
  <c r="AG62" i="15"/>
  <c r="BK62" i="15"/>
  <c r="BJ48" i="15"/>
  <c r="BN48" i="15" s="1"/>
  <c r="BJ32" i="15"/>
  <c r="BN32" i="15" s="1"/>
  <c r="BJ16" i="15"/>
  <c r="BN16" i="15" s="1"/>
  <c r="AG53" i="15"/>
  <c r="AG37" i="15"/>
  <c r="AG21" i="15"/>
  <c r="AK21" i="15" s="1"/>
  <c r="BJ52" i="15"/>
  <c r="BJ36" i="15"/>
  <c r="BN36" i="15" s="1"/>
  <c r="BJ20" i="15"/>
  <c r="BN20" i="15" s="1"/>
  <c r="AH60" i="15"/>
  <c r="AG57" i="15"/>
  <c r="AG41" i="15"/>
  <c r="AK41" i="15" s="1"/>
  <c r="AG25" i="15"/>
  <c r="AK25" i="15" s="1"/>
  <c r="BK59" i="15"/>
  <c r="AH59" i="15"/>
  <c r="BK14" i="15"/>
  <c r="BK55" i="15"/>
  <c r="AG47" i="15"/>
  <c r="AK47" i="15" s="1"/>
  <c r="BJ42" i="15"/>
  <c r="BN42" i="15" s="1"/>
  <c r="AG19" i="15"/>
  <c r="AK19" i="15" s="1"/>
  <c r="AG61" i="15"/>
  <c r="AH39" i="15"/>
  <c r="AH19" i="15"/>
  <c r="AH48" i="15"/>
  <c r="BK43" i="15"/>
  <c r="BJ34" i="15"/>
  <c r="BN34" i="15" s="1"/>
  <c r="AG15" i="15"/>
  <c r="BJ60" i="15"/>
  <c r="AH47" i="15"/>
  <c r="AH23" i="15"/>
  <c r="AH56" i="15"/>
  <c r="BK51" i="15"/>
  <c r="AG43" i="15"/>
  <c r="BJ38" i="15"/>
  <c r="BN38" i="15" s="1"/>
  <c r="BJ26" i="15"/>
  <c r="BN26" i="15" s="1"/>
  <c r="BJ56" i="15"/>
  <c r="BJ40" i="15"/>
  <c r="BN40" i="15" s="1"/>
  <c r="BJ24" i="15"/>
  <c r="BN24" i="15" s="1"/>
  <c r="BJ61" i="15"/>
  <c r="AG45" i="15"/>
  <c r="AK45" i="15" s="1"/>
  <c r="AG29" i="15"/>
  <c r="AK29" i="15" s="1"/>
  <c r="AG63" i="15"/>
  <c r="BK47" i="15"/>
  <c r="AG39" i="15"/>
  <c r="AK39" i="15" s="1"/>
  <c r="BJ28" i="15"/>
  <c r="BN28" i="15" s="1"/>
  <c r="AH51" i="15"/>
  <c r="AH52" i="15"/>
  <c r="BJ44" i="15"/>
  <c r="BN44" i="15" s="1"/>
  <c r="AG27" i="15"/>
  <c r="AK27" i="15" s="1"/>
  <c r="BJ14" i="15"/>
  <c r="BN14" i="15" s="1"/>
  <c r="AH63" i="15"/>
  <c r="AG16" i="12"/>
  <c r="BJ19" i="12"/>
  <c r="BN19" i="12" s="1"/>
  <c r="AG24" i="12"/>
  <c r="BJ27" i="12"/>
  <c r="AG32" i="12"/>
  <c r="BJ35" i="12"/>
  <c r="BN35" i="12" s="1"/>
  <c r="AG40" i="12"/>
  <c r="BJ43" i="12"/>
  <c r="AG48" i="12"/>
  <c r="BJ51" i="12"/>
  <c r="AG56" i="12"/>
  <c r="BJ59" i="12"/>
  <c r="AH16" i="12"/>
  <c r="BJ17" i="12"/>
  <c r="BK19" i="12"/>
  <c r="AG26" i="12"/>
  <c r="AH32" i="12"/>
  <c r="BJ33" i="12"/>
  <c r="BK35" i="12"/>
  <c r="AG42" i="12"/>
  <c r="AH48" i="12"/>
  <c r="BJ49" i="12"/>
  <c r="BK51" i="12"/>
  <c r="AG58" i="12"/>
  <c r="AG15" i="12"/>
  <c r="AH19" i="12"/>
  <c r="AG23" i="12"/>
  <c r="AH27" i="12"/>
  <c r="AG31" i="12"/>
  <c r="AH35" i="12"/>
  <c r="AG39" i="12"/>
  <c r="AH43" i="12"/>
  <c r="AG47" i="12"/>
  <c r="AH51" i="12"/>
  <c r="AG55" i="12"/>
  <c r="AH59" i="12"/>
  <c r="AG63" i="12"/>
  <c r="BK15" i="12"/>
  <c r="AG22" i="12"/>
  <c r="AH28" i="12"/>
  <c r="BJ29" i="12"/>
  <c r="BK31" i="12"/>
  <c r="AG38" i="12"/>
  <c r="AH44" i="12"/>
  <c r="BJ45" i="12"/>
  <c r="BK47" i="12"/>
  <c r="AG54" i="12"/>
  <c r="AH60" i="12"/>
  <c r="BJ61" i="12"/>
  <c r="BK63" i="12"/>
  <c r="BK18" i="12"/>
  <c r="BJ22" i="12"/>
  <c r="BK26" i="12"/>
  <c r="BJ30" i="12"/>
  <c r="BK34" i="12"/>
  <c r="BJ38" i="12"/>
  <c r="BK42" i="12"/>
  <c r="BJ46" i="12"/>
  <c r="BK50" i="12"/>
  <c r="BJ54" i="12"/>
  <c r="BK58" i="12"/>
  <c r="BJ62" i="12"/>
  <c r="BJ15" i="12"/>
  <c r="AG20" i="12"/>
  <c r="BJ23" i="12"/>
  <c r="AG28" i="12"/>
  <c r="BJ31" i="12"/>
  <c r="AG36" i="12"/>
  <c r="BJ39" i="12"/>
  <c r="AG44" i="12"/>
  <c r="AK44" i="12" s="1"/>
  <c r="BJ47" i="12"/>
  <c r="AG52" i="12"/>
  <c r="BJ55" i="12"/>
  <c r="AG60" i="12"/>
  <c r="BJ63" i="12"/>
  <c r="BK20" i="12"/>
  <c r="BK28" i="12"/>
  <c r="BK36" i="12"/>
  <c r="BK44" i="12"/>
  <c r="BK52" i="12"/>
  <c r="BK60" i="12"/>
  <c r="AG18" i="12"/>
  <c r="AH24" i="12"/>
  <c r="BJ25" i="12"/>
  <c r="BK27" i="12"/>
  <c r="AG34" i="12"/>
  <c r="AH40" i="12"/>
  <c r="BJ41" i="12"/>
  <c r="BK43" i="12"/>
  <c r="AG50" i="12"/>
  <c r="AH56" i="12"/>
  <c r="BJ57" i="12"/>
  <c r="BK59" i="12"/>
  <c r="BK14" i="12"/>
  <c r="BJ18" i="12"/>
  <c r="BN18" i="12" s="1"/>
  <c r="BK22" i="12"/>
  <c r="BJ26" i="12"/>
  <c r="BN26" i="12" s="1"/>
  <c r="BK30" i="12"/>
  <c r="BJ34" i="12"/>
  <c r="BN34" i="12" s="1"/>
  <c r="BK38" i="12"/>
  <c r="BJ42" i="12"/>
  <c r="BN42" i="12" s="1"/>
  <c r="BK46" i="12"/>
  <c r="BJ50" i="12"/>
  <c r="BN50" i="12" s="1"/>
  <c r="BK54" i="12"/>
  <c r="BJ58" i="12"/>
  <c r="BK62" i="12"/>
  <c r="AG14" i="12"/>
  <c r="AH20" i="12"/>
  <c r="BJ21" i="12"/>
  <c r="BK23" i="12"/>
  <c r="AG30" i="12"/>
  <c r="AH36" i="12"/>
  <c r="BJ37" i="12"/>
  <c r="BN37" i="12" s="1"/>
  <c r="BK39" i="12"/>
  <c r="AG46" i="12"/>
  <c r="AH52" i="12"/>
  <c r="BJ53" i="12"/>
  <c r="BK55" i="12"/>
  <c r="AG62" i="12"/>
  <c r="AH15" i="12"/>
  <c r="AG19" i="12"/>
  <c r="AK19" i="12" s="1"/>
  <c r="AH23" i="12"/>
  <c r="AG27" i="12"/>
  <c r="AK27" i="12" s="1"/>
  <c r="AH31" i="12"/>
  <c r="AG35" i="12"/>
  <c r="AK35" i="12" s="1"/>
  <c r="AH39" i="12"/>
  <c r="AG43" i="12"/>
  <c r="AK43" i="12" s="1"/>
  <c r="AH47" i="12"/>
  <c r="AG51" i="12"/>
  <c r="AH55" i="12"/>
  <c r="AG59" i="12"/>
  <c r="AH63" i="12"/>
  <c r="BK16" i="12"/>
  <c r="BK24" i="12"/>
  <c r="BK32" i="12"/>
  <c r="BK40" i="12"/>
  <c r="BK48" i="12"/>
  <c r="BK56" i="12"/>
  <c r="BJ56" i="12"/>
  <c r="BJ48" i="12"/>
  <c r="BJ40" i="12"/>
  <c r="BN40" i="12" s="1"/>
  <c r="BJ32" i="12"/>
  <c r="BN32" i="12" s="1"/>
  <c r="BJ24" i="12"/>
  <c r="BN24" i="12" s="1"/>
  <c r="BJ16" i="12"/>
  <c r="BK57" i="12"/>
  <c r="BK49" i="12"/>
  <c r="BK41" i="12"/>
  <c r="BK33" i="12"/>
  <c r="BK25" i="12"/>
  <c r="BK17" i="12"/>
  <c r="AH49" i="12"/>
  <c r="AH33" i="12"/>
  <c r="AH17" i="12"/>
  <c r="AH54" i="12"/>
  <c r="AG49" i="12"/>
  <c r="AK49" i="12" s="1"/>
  <c r="AH38" i="12"/>
  <c r="AG33" i="12"/>
  <c r="AK33" i="12" s="1"/>
  <c r="AH22" i="12"/>
  <c r="AG17" i="12"/>
  <c r="AK17" i="12" s="1"/>
  <c r="BJ14" i="12"/>
  <c r="BK61" i="12"/>
  <c r="BK53" i="12"/>
  <c r="BK45" i="12"/>
  <c r="BK37" i="12"/>
  <c r="BK29" i="12"/>
  <c r="BK21" i="12"/>
  <c r="BJ60" i="12"/>
  <c r="BJ52" i="12"/>
  <c r="BJ44" i="12"/>
  <c r="BN44" i="12" s="1"/>
  <c r="BJ36" i="12"/>
  <c r="BN36" i="12" s="1"/>
  <c r="BJ28" i="12"/>
  <c r="BN28" i="12" s="1"/>
  <c r="BJ20" i="12"/>
  <c r="BN20" i="12" s="1"/>
  <c r="AH57" i="12"/>
  <c r="AH41" i="12"/>
  <c r="AH25" i="12"/>
  <c r="AH62" i="12"/>
  <c r="AG57" i="12"/>
  <c r="AH46" i="12"/>
  <c r="AG41" i="12"/>
  <c r="AK41" i="12" s="1"/>
  <c r="AH30" i="12"/>
  <c r="AG25" i="12"/>
  <c r="AH14" i="12"/>
  <c r="AH61" i="12"/>
  <c r="AH45" i="12"/>
  <c r="AH29" i="12"/>
  <c r="AH58" i="12"/>
  <c r="AG53" i="12"/>
  <c r="AH42" i="12"/>
  <c r="AG37" i="12"/>
  <c r="AH26" i="12"/>
  <c r="AG21" i="12"/>
  <c r="AK21" i="12" s="1"/>
  <c r="AH53" i="12"/>
  <c r="AH37" i="12"/>
  <c r="AH21" i="12"/>
  <c r="AG61" i="12"/>
  <c r="AH50" i="12"/>
  <c r="AG45" i="12"/>
  <c r="AK45" i="12" s="1"/>
  <c r="AH34" i="12"/>
  <c r="AG29" i="12"/>
  <c r="AK29" i="12" s="1"/>
  <c r="AH18" i="12"/>
  <c r="AH17" i="7"/>
  <c r="AH23" i="7"/>
  <c r="BK38" i="7"/>
  <c r="BK39" i="7"/>
  <c r="AH42" i="7"/>
  <c r="AG45" i="7"/>
  <c r="AH21" i="7"/>
  <c r="BJ23" i="7"/>
  <c r="AG25" i="7"/>
  <c r="AK25" i="7" s="1"/>
  <c r="BK28" i="7"/>
  <c r="AG32" i="7"/>
  <c r="AH38" i="7"/>
  <c r="AG41" i="7"/>
  <c r="AK41" i="7" s="1"/>
  <c r="AG20" i="7"/>
  <c r="BK21" i="7"/>
  <c r="AH26" i="7"/>
  <c r="AG29" i="7"/>
  <c r="AK29" i="7" s="1"/>
  <c r="BK32" i="7"/>
  <c r="AG36" i="7"/>
  <c r="BK20" i="7"/>
  <c r="BJ24" i="7"/>
  <c r="BK25" i="7"/>
  <c r="AH29" i="7"/>
  <c r="BJ31" i="7"/>
  <c r="BJ40" i="7"/>
  <c r="BJ45" i="7"/>
  <c r="AH54" i="7"/>
  <c r="BK58" i="7"/>
  <c r="AH61" i="7"/>
  <c r="BK53" i="7"/>
  <c r="BK52" i="7"/>
  <c r="AG60" i="7"/>
  <c r="BJ51" i="7"/>
  <c r="AH14" i="7"/>
  <c r="BK16" i="7"/>
  <c r="BJ19" i="7"/>
  <c r="AG21" i="7"/>
  <c r="AK21" i="7" s="1"/>
  <c r="BJ28" i="7"/>
  <c r="BN28" i="7" s="1"/>
  <c r="BK29" i="7"/>
  <c r="AH33" i="7"/>
  <c r="BJ35" i="7"/>
  <c r="AH24" i="7"/>
  <c r="BK26" i="7"/>
  <c r="BK27" i="7"/>
  <c r="AH46" i="7"/>
  <c r="BK49" i="7"/>
  <c r="BK19" i="7"/>
  <c r="BK30" i="7"/>
  <c r="BK31" i="7"/>
  <c r="BJ48" i="7"/>
  <c r="BN48" i="7" s="1"/>
  <c r="AG17" i="7"/>
  <c r="AH28" i="7"/>
  <c r="AH35" i="7"/>
  <c r="AH50" i="7"/>
  <c r="BK54" i="7"/>
  <c r="AH57" i="7"/>
  <c r="AG50" i="7"/>
  <c r="AK50" i="7" s="1"/>
  <c r="AG54" i="7"/>
  <c r="AG62" i="7"/>
  <c r="AG56" i="7"/>
  <c r="BK61" i="7"/>
  <c r="BJ63" i="7"/>
  <c r="BJ15" i="7"/>
  <c r="AH20" i="7"/>
  <c r="BK22" i="7"/>
  <c r="AH32" i="7"/>
  <c r="AH39" i="7"/>
  <c r="AH22" i="7"/>
  <c r="BJ32" i="7"/>
  <c r="BN32" i="7" s="1"/>
  <c r="BK33" i="7"/>
  <c r="AH37" i="7"/>
  <c r="BJ39" i="7"/>
  <c r="BN39" i="7" s="1"/>
  <c r="BJ20" i="7"/>
  <c r="BN20" i="7" s="1"/>
  <c r="AH25" i="7"/>
  <c r="BJ27" i="7"/>
  <c r="BN27" i="7" s="1"/>
  <c r="BJ36" i="7"/>
  <c r="BK37" i="7"/>
  <c r="AH41" i="7"/>
  <c r="AG24" i="7"/>
  <c r="AK24" i="7" s="1"/>
  <c r="AH30" i="7"/>
  <c r="AG33" i="7"/>
  <c r="AK33" i="7" s="1"/>
  <c r="BK36" i="7"/>
  <c r="AG40" i="7"/>
  <c r="AK40" i="7" s="1"/>
  <c r="BK50" i="7"/>
  <c r="AH53" i="7"/>
  <c r="AH62" i="7"/>
  <c r="AH44" i="7"/>
  <c r="AG52" i="7"/>
  <c r="BJ53" i="7"/>
  <c r="BK57" i="7"/>
  <c r="BK60" i="7"/>
  <c r="BJ59" i="7"/>
  <c r="BK24" i="7"/>
  <c r="AG28" i="7"/>
  <c r="AK28" i="7" s="1"/>
  <c r="AH34" i="7"/>
  <c r="AG37" i="7"/>
  <c r="BK40" i="7"/>
  <c r="AH27" i="7"/>
  <c r="AH36" i="7"/>
  <c r="BJ47" i="7"/>
  <c r="AH31" i="7"/>
  <c r="AH40" i="7"/>
  <c r="BJ44" i="7"/>
  <c r="BK23" i="7"/>
  <c r="BK34" i="7"/>
  <c r="BK35" i="7"/>
  <c r="AH58" i="7"/>
  <c r="BK62" i="7"/>
  <c r="AH48" i="7"/>
  <c r="AG58" i="7"/>
  <c r="BJ41" i="7"/>
  <c r="BK56" i="7"/>
  <c r="AH49" i="7"/>
  <c r="BJ55" i="7"/>
  <c r="BK45" i="7"/>
  <c r="AH63" i="7"/>
  <c r="AH60" i="7"/>
  <c r="BK55" i="7"/>
  <c r="AG34" i="7"/>
  <c r="AK34" i="7" s="1"/>
  <c r="BK48" i="7"/>
  <c r="AH45" i="7"/>
  <c r="BJ38" i="7"/>
  <c r="BN38" i="7" s="1"/>
  <c r="BJ30" i="7"/>
  <c r="BN30" i="7" s="1"/>
  <c r="BJ22" i="7"/>
  <c r="BJ61" i="7"/>
  <c r="BJ62" i="7"/>
  <c r="BJ33" i="7"/>
  <c r="BK63" i="7"/>
  <c r="AG55" i="7"/>
  <c r="BJ50" i="7"/>
  <c r="BN50" i="7" s="1"/>
  <c r="BJ49" i="7"/>
  <c r="BN49" i="7" s="1"/>
  <c r="BJ43" i="7"/>
  <c r="AG30" i="7"/>
  <c r="AK30" i="7" s="1"/>
  <c r="AG48" i="7"/>
  <c r="BJ57" i="7"/>
  <c r="AG59" i="7"/>
  <c r="BJ54" i="7"/>
  <c r="AG49" i="7"/>
  <c r="BJ29" i="7"/>
  <c r="BN29" i="7" s="1"/>
  <c r="AG44" i="7"/>
  <c r="AG35" i="7"/>
  <c r="AK35" i="7" s="1"/>
  <c r="AG27" i="7"/>
  <c r="AK27" i="7" s="1"/>
  <c r="AG19" i="7"/>
  <c r="BK43" i="7"/>
  <c r="BJ17" i="7"/>
  <c r="BN17" i="7" s="1"/>
  <c r="AG61" i="7"/>
  <c r="AG47" i="7"/>
  <c r="AG42" i="7"/>
  <c r="BJ60" i="7"/>
  <c r="AG18" i="7"/>
  <c r="BJ14" i="7"/>
  <c r="AH16" i="7"/>
  <c r="AG15" i="7"/>
  <c r="AK15" i="7" s="1"/>
  <c r="AG43" i="7"/>
  <c r="BK14" i="7"/>
  <c r="AH55" i="7"/>
  <c r="AG63" i="7"/>
  <c r="BJ58" i="7"/>
  <c r="AG26" i="7"/>
  <c r="AK26" i="7" s="1"/>
  <c r="BJ34" i="7"/>
  <c r="BJ26" i="7"/>
  <c r="BN26" i="7" s="1"/>
  <c r="BJ18" i="7"/>
  <c r="AG16" i="7"/>
  <c r="AK16" i="7" s="1"/>
  <c r="AH51" i="7"/>
  <c r="BK59" i="7"/>
  <c r="AG51" i="7"/>
  <c r="BK41" i="7"/>
  <c r="BJ25" i="7"/>
  <c r="BN25" i="7" s="1"/>
  <c r="BK44" i="7"/>
  <c r="AH59" i="7"/>
  <c r="AH52" i="7"/>
  <c r="AG38" i="7"/>
  <c r="AK38" i="7" s="1"/>
  <c r="AG22" i="7"/>
  <c r="AK22" i="7" s="1"/>
  <c r="AH56" i="7"/>
  <c r="BK51" i="7"/>
  <c r="BJ37" i="7"/>
  <c r="BJ21" i="7"/>
  <c r="BN21" i="7" s="1"/>
  <c r="AG39" i="7"/>
  <c r="AG31" i="7"/>
  <c r="AG23" i="7"/>
  <c r="AK23" i="7" s="1"/>
  <c r="BJ56" i="7"/>
  <c r="BJ42" i="7"/>
  <c r="BN42" i="7" s="1"/>
  <c r="AH43" i="7"/>
  <c r="BK47" i="7"/>
  <c r="BJ16" i="7"/>
  <c r="BN16" i="7" s="1"/>
  <c r="AG53" i="7"/>
  <c r="BK42" i="7"/>
  <c r="BK17" i="7"/>
  <c r="BK15" i="7"/>
  <c r="BK18" i="7"/>
  <c r="BJ52" i="7"/>
  <c r="BJ46" i="7"/>
  <c r="AH47" i="7"/>
  <c r="AG46" i="7"/>
  <c r="AG14" i="7"/>
  <c r="AK14" i="7" s="1"/>
  <c r="AG57" i="7"/>
  <c r="BK46" i="7"/>
  <c r="AH18" i="7"/>
  <c r="AH19" i="7"/>
  <c r="AH15" i="7"/>
  <c r="BK44" i="8"/>
  <c r="BK36" i="8"/>
  <c r="AH41" i="8"/>
  <c r="AG17" i="8"/>
  <c r="AG15" i="8"/>
  <c r="AH19" i="8"/>
  <c r="BK17" i="8"/>
  <c r="BK21" i="8"/>
  <c r="AG27" i="8"/>
  <c r="AG40" i="8"/>
  <c r="AH31" i="8"/>
  <c r="AH21" i="8"/>
  <c r="AH24" i="8"/>
  <c r="BJ28" i="8"/>
  <c r="BJ30" i="8"/>
  <c r="BK23" i="8"/>
  <c r="AH27" i="8"/>
  <c r="AH44" i="8"/>
  <c r="BJ50" i="8"/>
  <c r="BJ54" i="8"/>
  <c r="AH60" i="8"/>
  <c r="BK62" i="8"/>
  <c r="BK58" i="8"/>
  <c r="BK63" i="8"/>
  <c r="AG57" i="8"/>
  <c r="AG63" i="8"/>
  <c r="AG53" i="8"/>
  <c r="BJ16" i="8"/>
  <c r="BJ14" i="8"/>
  <c r="BN14" i="8" s="1"/>
  <c r="AH16" i="8"/>
  <c r="AG23" i="8"/>
  <c r="AG30" i="8"/>
  <c r="AG19" i="8"/>
  <c r="AK19" i="8" s="1"/>
  <c r="BJ24" i="8"/>
  <c r="BJ26" i="8"/>
  <c r="BJ29" i="8"/>
  <c r="BN29" i="8" s="1"/>
  <c r="BJ43" i="8"/>
  <c r="BN43" i="8" s="1"/>
  <c r="BK24" i="8"/>
  <c r="BK48" i="8"/>
  <c r="AG51" i="8"/>
  <c r="AG55" i="8"/>
  <c r="BK46" i="8"/>
  <c r="AG46" i="8"/>
  <c r="AG59" i="8"/>
  <c r="AG62" i="8"/>
  <c r="AH63" i="8"/>
  <c r="BJ60" i="8"/>
  <c r="BJ53" i="8"/>
  <c r="BK60" i="8"/>
  <c r="BJ61" i="8"/>
  <c r="BK15" i="8"/>
  <c r="AH18" i="8"/>
  <c r="AG26" i="8"/>
  <c r="BK29" i="8"/>
  <c r="AG36" i="8"/>
  <c r="BK22" i="8"/>
  <c r="BK26" i="8"/>
  <c r="BK30" i="8"/>
  <c r="AG32" i="8"/>
  <c r="BJ20" i="8"/>
  <c r="BN20" i="8" s="1"/>
  <c r="BJ22" i="8"/>
  <c r="BN22" i="8" s="1"/>
  <c r="BJ25" i="8"/>
  <c r="AH29" i="8"/>
  <c r="AH33" i="8"/>
  <c r="BJ39" i="8"/>
  <c r="AH23" i="8"/>
  <c r="BK27" i="8"/>
  <c r="BK31" i="8"/>
  <c r="BK34" i="8"/>
  <c r="AH49" i="8"/>
  <c r="BK52" i="8"/>
  <c r="BK56" i="8"/>
  <c r="BK35" i="8"/>
  <c r="AG48" i="8"/>
  <c r="BJ32" i="8"/>
  <c r="BK38" i="8"/>
  <c r="AH61" i="8"/>
  <c r="AH51" i="8"/>
  <c r="AH52" i="8"/>
  <c r="AG54" i="8"/>
  <c r="AH55" i="8"/>
  <c r="AH56" i="8"/>
  <c r="AG58" i="8"/>
  <c r="AH59" i="8"/>
  <c r="BK50" i="8"/>
  <c r="BJ57" i="8"/>
  <c r="BK51" i="8"/>
  <c r="AG56" i="8"/>
  <c r="BJ58" i="8"/>
  <c r="BK59" i="8"/>
  <c r="BK55" i="8"/>
  <c r="AG61" i="8"/>
  <c r="BK16" i="8"/>
  <c r="AH17" i="8"/>
  <c r="AG22" i="8"/>
  <c r="BK25" i="8"/>
  <c r="AG21" i="8"/>
  <c r="AK21" i="8" s="1"/>
  <c r="AG25" i="8"/>
  <c r="AG29" i="8"/>
  <c r="AK29" i="8" s="1"/>
  <c r="BK40" i="8"/>
  <c r="BJ18" i="8"/>
  <c r="BN18" i="8" s="1"/>
  <c r="BJ21" i="8"/>
  <c r="AH25" i="8"/>
  <c r="AH28" i="8"/>
  <c r="BJ35" i="8"/>
  <c r="BN35" i="8" s="1"/>
  <c r="BK20" i="8"/>
  <c r="BK28" i="8"/>
  <c r="AH35" i="8"/>
  <c r="BJ36" i="8"/>
  <c r="BN36" i="8" s="1"/>
  <c r="AG41" i="8"/>
  <c r="AK41" i="8" s="1"/>
  <c r="BJ44" i="8"/>
  <c r="AH47" i="8"/>
  <c r="AH45" i="8"/>
  <c r="AH39" i="8"/>
  <c r="BJ62" i="8"/>
  <c r="BJ51" i="8"/>
  <c r="BJ52" i="8"/>
  <c r="BJ55" i="8"/>
  <c r="BJ56" i="8"/>
  <c r="BK54" i="8"/>
  <c r="AG52" i="8"/>
  <c r="BK32" i="8"/>
  <c r="AH57" i="8"/>
  <c r="AG49" i="8"/>
  <c r="AK49" i="8" s="1"/>
  <c r="AH53" i="8"/>
  <c r="AG44" i="8"/>
  <c r="AK44" i="8" s="1"/>
  <c r="AH54" i="8"/>
  <c r="BJ38" i="8"/>
  <c r="BN38" i="8" s="1"/>
  <c r="BJ45" i="8"/>
  <c r="BN45" i="8" s="1"/>
  <c r="AG60" i="8"/>
  <c r="AH58" i="8"/>
  <c r="BJ48" i="8"/>
  <c r="BN48" i="8" s="1"/>
  <c r="BJ42" i="8"/>
  <c r="AG24" i="8"/>
  <c r="AK24" i="8" s="1"/>
  <c r="AH22" i="8"/>
  <c r="BK14" i="8"/>
  <c r="BJ63" i="8"/>
  <c r="BK61" i="8"/>
  <c r="AH40" i="8"/>
  <c r="AG35" i="8"/>
  <c r="AK35" i="8" s="1"/>
  <c r="BK39" i="8"/>
  <c r="BJ23" i="8"/>
  <c r="AH14" i="8"/>
  <c r="AG39" i="8"/>
  <c r="AK39" i="8" s="1"/>
  <c r="BJ34" i="8"/>
  <c r="BN34" i="8" s="1"/>
  <c r="BJ15" i="8"/>
  <c r="BN15" i="8" s="1"/>
  <c r="AH48" i="8"/>
  <c r="BJ46" i="8"/>
  <c r="BN46" i="8" s="1"/>
  <c r="AG42" i="8"/>
  <c r="AG33" i="8"/>
  <c r="AK33" i="8" s="1"/>
  <c r="BK47" i="8"/>
  <c r="BJ37" i="8"/>
  <c r="BN37" i="8" s="1"/>
  <c r="BJ33" i="8"/>
  <c r="BN33" i="8" s="1"/>
  <c r="BK19" i="8"/>
  <c r="AG47" i="8"/>
  <c r="AK47" i="8" s="1"/>
  <c r="BK41" i="8"/>
  <c r="BJ40" i="8"/>
  <c r="BN40" i="8" s="1"/>
  <c r="AG16" i="8"/>
  <c r="AK16" i="8" s="1"/>
  <c r="BK18" i="8"/>
  <c r="BK49" i="8"/>
  <c r="AG43" i="8"/>
  <c r="AH15" i="8"/>
  <c r="AH50" i="8"/>
  <c r="BJ47" i="8"/>
  <c r="BN47" i="8" s="1"/>
  <c r="AH62" i="8"/>
  <c r="BK53" i="8"/>
  <c r="AH46" i="8"/>
  <c r="AH36" i="8"/>
  <c r="BJ31" i="8"/>
  <c r="BN31" i="8" s="1"/>
  <c r="BK45" i="8"/>
  <c r="BJ59" i="8"/>
  <c r="BK57" i="8"/>
  <c r="AG31" i="8"/>
  <c r="AK31" i="8" s="1"/>
  <c r="AG28" i="8"/>
  <c r="AK28" i="8" s="1"/>
  <c r="BK43" i="8"/>
  <c r="AH37" i="8"/>
  <c r="AH26" i="8"/>
  <c r="AH32" i="8"/>
  <c r="BJ27" i="8"/>
  <c r="BN27" i="8" s="1"/>
  <c r="AH30" i="8"/>
  <c r="AG14" i="8"/>
  <c r="AK14" i="8" s="1"/>
  <c r="AH38" i="8"/>
  <c r="AH34" i="8"/>
  <c r="BJ19" i="8"/>
  <c r="BN19" i="8" s="1"/>
  <c r="BK42" i="8"/>
  <c r="AH42" i="8"/>
  <c r="BJ17" i="8"/>
  <c r="BN17" i="8" s="1"/>
  <c r="BJ49" i="8"/>
  <c r="BN49" i="8" s="1"/>
  <c r="AG50" i="8"/>
  <c r="AK50" i="8" s="1"/>
  <c r="BJ41" i="8"/>
  <c r="BK37" i="8"/>
  <c r="BK33" i="8"/>
  <c r="AG18" i="8"/>
  <c r="AK18" i="8" s="1"/>
  <c r="AG20" i="8"/>
  <c r="AK20" i="8" s="1"/>
  <c r="AG45" i="8"/>
  <c r="AK45" i="8" s="1"/>
  <c r="AG38" i="8"/>
  <c r="AG37" i="8"/>
  <c r="AK37" i="8" s="1"/>
  <c r="AH43" i="8"/>
  <c r="AG34" i="8"/>
  <c r="AK34" i="8" s="1"/>
  <c r="AH20" i="8"/>
  <c r="BK62" i="6"/>
  <c r="AH17" i="6"/>
  <c r="AH24" i="6"/>
  <c r="BK30" i="6"/>
  <c r="AH38" i="6"/>
  <c r="BK27" i="6"/>
  <c r="BK28" i="6"/>
  <c r="AG37" i="6"/>
  <c r="AH16" i="6"/>
  <c r="AH25" i="6"/>
  <c r="AH34" i="6"/>
  <c r="AH35" i="6"/>
  <c r="BK37" i="6"/>
  <c r="AH20" i="6"/>
  <c r="AH29" i="6"/>
  <c r="BJ33" i="6"/>
  <c r="AH41" i="6"/>
  <c r="BK43" i="6"/>
  <c r="BK44" i="6"/>
  <c r="BJ49" i="6"/>
  <c r="AH53" i="6"/>
  <c r="AH60" i="6"/>
  <c r="BK61" i="6"/>
  <c r="AH42" i="6"/>
  <c r="BJ44" i="6"/>
  <c r="BN44" i="6" s="1"/>
  <c r="AH59" i="6"/>
  <c r="AH45" i="6"/>
  <c r="AH52" i="6"/>
  <c r="AG57" i="6"/>
  <c r="AH63" i="6"/>
  <c r="BK40" i="6"/>
  <c r="BJ45" i="6"/>
  <c r="AH49" i="6"/>
  <c r="AH56" i="6"/>
  <c r="AG61" i="6"/>
  <c r="AH19" i="6"/>
  <c r="AG22" i="6"/>
  <c r="BK25" i="6"/>
  <c r="AG29" i="6"/>
  <c r="AK29" i="6" s="1"/>
  <c r="BJ17" i="6"/>
  <c r="BN17" i="6" s="1"/>
  <c r="BK18" i="6"/>
  <c r="AH22" i="6"/>
  <c r="BJ24" i="6"/>
  <c r="AG14" i="6"/>
  <c r="BK17" i="6"/>
  <c r="AG21" i="6"/>
  <c r="AK21" i="6" s="1"/>
  <c r="AH27" i="6"/>
  <c r="AH15" i="6"/>
  <c r="AG18" i="6"/>
  <c r="BK21" i="6"/>
  <c r="AG25" i="6"/>
  <c r="AH55" i="6"/>
  <c r="AG58" i="6"/>
  <c r="AH48" i="6"/>
  <c r="AG53" i="6"/>
  <c r="AH47" i="6"/>
  <c r="AG50" i="6"/>
  <c r="BK53" i="6"/>
  <c r="BK58" i="6"/>
  <c r="AH51" i="6"/>
  <c r="AG54" i="6"/>
  <c r="BK57" i="6"/>
  <c r="BK23" i="6"/>
  <c r="BK24" i="6"/>
  <c r="AH31" i="6"/>
  <c r="BK33" i="6"/>
  <c r="AH21" i="6"/>
  <c r="AH28" i="6"/>
  <c r="BK29" i="6"/>
  <c r="AG34" i="6"/>
  <c r="AK34" i="6" s="1"/>
  <c r="BJ37" i="6"/>
  <c r="BN37" i="6" s="1"/>
  <c r="BK15" i="6"/>
  <c r="BK16" i="6"/>
  <c r="BK34" i="6"/>
  <c r="BK19" i="6"/>
  <c r="BK20" i="6"/>
  <c r="AG33" i="6"/>
  <c r="AG38" i="6"/>
  <c r="AK38" i="6" s="1"/>
  <c r="BJ40" i="6"/>
  <c r="BN40" i="6" s="1"/>
  <c r="AH44" i="6"/>
  <c r="AG49" i="6"/>
  <c r="AK49" i="6" s="1"/>
  <c r="BK59" i="6"/>
  <c r="BK60" i="6"/>
  <c r="BK36" i="6"/>
  <c r="AH43" i="6"/>
  <c r="AG46" i="6"/>
  <c r="AK46" i="6" s="1"/>
  <c r="BK49" i="6"/>
  <c r="BK54" i="6"/>
  <c r="AH58" i="6"/>
  <c r="BJ60" i="6"/>
  <c r="BK51" i="6"/>
  <c r="BK52" i="6"/>
  <c r="BJ57" i="6"/>
  <c r="AH61" i="6"/>
  <c r="AG45" i="6"/>
  <c r="AK45" i="6" s="1"/>
  <c r="BK55" i="6"/>
  <c r="BK56" i="6"/>
  <c r="BJ61" i="6"/>
  <c r="BK14" i="6"/>
  <c r="AH18" i="6"/>
  <c r="BJ20" i="6"/>
  <c r="BJ29" i="6"/>
  <c r="BN29" i="6" s="1"/>
  <c r="AG17" i="6"/>
  <c r="AH23" i="6"/>
  <c r="AG26" i="6"/>
  <c r="AK26" i="6" s="1"/>
  <c r="BJ21" i="6"/>
  <c r="BN21" i="6" s="1"/>
  <c r="BK22" i="6"/>
  <c r="AH26" i="6"/>
  <c r="BJ28" i="6"/>
  <c r="BN28" i="6" s="1"/>
  <c r="AH14" i="6"/>
  <c r="BJ16" i="6"/>
  <c r="BN16" i="6" s="1"/>
  <c r="BJ25" i="6"/>
  <c r="BK26" i="6"/>
  <c r="BK45" i="6"/>
  <c r="BK50" i="6"/>
  <c r="AH54" i="6"/>
  <c r="BJ56" i="6"/>
  <c r="BK32" i="6"/>
  <c r="BK47" i="6"/>
  <c r="BK48" i="6"/>
  <c r="BJ53" i="6"/>
  <c r="AH57" i="6"/>
  <c r="AG62" i="6"/>
  <c r="BK42" i="6"/>
  <c r="AH46" i="6"/>
  <c r="BJ48" i="6"/>
  <c r="BN48" i="6" s="1"/>
  <c r="BJ41" i="6"/>
  <c r="BK46" i="6"/>
  <c r="AH50" i="6"/>
  <c r="BJ52" i="6"/>
  <c r="AG47" i="6"/>
  <c r="AK47" i="6" s="1"/>
  <c r="AG60" i="6"/>
  <c r="AG52" i="6"/>
  <c r="AG44" i="6"/>
  <c r="AK44" i="6" s="1"/>
  <c r="AG19" i="6"/>
  <c r="AK19" i="6" s="1"/>
  <c r="BJ46" i="6"/>
  <c r="BN46" i="6" s="1"/>
  <c r="BJ59" i="6"/>
  <c r="BJ51" i="6"/>
  <c r="BJ43" i="6"/>
  <c r="AG41" i="6"/>
  <c r="AK41" i="6" s="1"/>
  <c r="BJ18" i="6"/>
  <c r="BN18" i="6" s="1"/>
  <c r="AG51" i="6"/>
  <c r="AG23" i="6"/>
  <c r="AK23" i="6" s="1"/>
  <c r="AG24" i="6"/>
  <c r="AK24" i="6" s="1"/>
  <c r="AG16" i="6"/>
  <c r="AK16" i="6" s="1"/>
  <c r="BJ58" i="6"/>
  <c r="BJ42" i="6"/>
  <c r="BN42" i="6" s="1"/>
  <c r="AG40" i="6"/>
  <c r="AH30" i="6"/>
  <c r="BJ14" i="6"/>
  <c r="BN14" i="6" s="1"/>
  <c r="BJ36" i="6"/>
  <c r="BN36" i="6" s="1"/>
  <c r="BJ23" i="6"/>
  <c r="BN23" i="6" s="1"/>
  <c r="BJ15" i="6"/>
  <c r="BN15" i="6" s="1"/>
  <c r="BK63" i="6"/>
  <c r="BJ62" i="6"/>
  <c r="BJ31" i="6"/>
  <c r="BK39" i="6"/>
  <c r="AG36" i="6"/>
  <c r="AK36" i="6" s="1"/>
  <c r="AG30" i="6"/>
  <c r="AK30" i="6" s="1"/>
  <c r="BK31" i="6"/>
  <c r="AH36" i="6"/>
  <c r="AG35" i="6"/>
  <c r="AK35" i="6" s="1"/>
  <c r="BK35" i="6"/>
  <c r="AH32" i="6"/>
  <c r="BJ63" i="6"/>
  <c r="AH33" i="6"/>
  <c r="BJ30" i="6"/>
  <c r="BN30" i="6" s="1"/>
  <c r="AG55" i="6"/>
  <c r="AG56" i="6"/>
  <c r="AG48" i="6"/>
  <c r="AK48" i="6" s="1"/>
  <c r="BJ39" i="6"/>
  <c r="BN39" i="6" s="1"/>
  <c r="AG27" i="6"/>
  <c r="AK27" i="6" s="1"/>
  <c r="BJ32" i="6"/>
  <c r="BJ54" i="6"/>
  <c r="BJ55" i="6"/>
  <c r="BJ47" i="6"/>
  <c r="BN47" i="6" s="1"/>
  <c r="BJ26" i="6"/>
  <c r="BN26" i="6" s="1"/>
  <c r="AG59" i="6"/>
  <c r="AG43" i="6"/>
  <c r="AK43" i="6" s="1"/>
  <c r="AH62" i="6"/>
  <c r="AG15" i="6"/>
  <c r="AK15" i="6" s="1"/>
  <c r="AG28" i="6"/>
  <c r="AK28" i="6" s="1"/>
  <c r="AG20" i="6"/>
  <c r="BJ50" i="6"/>
  <c r="BN50" i="6" s="1"/>
  <c r="BJ22" i="6"/>
  <c r="BN22" i="6" s="1"/>
  <c r="BJ27" i="6"/>
  <c r="BN27" i="6" s="1"/>
  <c r="BJ19" i="6"/>
  <c r="BN19" i="6" s="1"/>
  <c r="BK41" i="6"/>
  <c r="AH37" i="6"/>
  <c r="BJ38" i="6"/>
  <c r="BN38" i="6" s="1"/>
  <c r="AG63" i="6"/>
  <c r="AG31" i="6"/>
  <c r="AK31" i="6" s="1"/>
  <c r="BJ35" i="6"/>
  <c r="BN35" i="6" s="1"/>
  <c r="AG42" i="6"/>
  <c r="AK42" i="6" s="1"/>
  <c r="BK38" i="6"/>
  <c r="AG32" i="6"/>
  <c r="AK32" i="6" s="1"/>
  <c r="AG39" i="6"/>
  <c r="BJ34" i="6"/>
  <c r="BN34" i="6" s="1"/>
  <c r="AH40" i="6"/>
  <c r="AH39" i="6"/>
  <c r="AH50" i="4"/>
  <c r="BK45" i="4"/>
  <c r="AH46" i="4"/>
  <c r="BK15" i="4"/>
  <c r="BK24" i="4"/>
  <c r="AH29" i="4"/>
  <c r="AG31" i="4"/>
  <c r="BJ47" i="4"/>
  <c r="BJ14" i="4"/>
  <c r="BK19" i="4"/>
  <c r="BK28" i="4"/>
  <c r="AH33" i="4"/>
  <c r="BK35" i="4"/>
  <c r="BK40" i="4"/>
  <c r="BK17" i="4"/>
  <c r="AH27" i="4"/>
  <c r="BJ28" i="4"/>
  <c r="BN28" i="4" s="1"/>
  <c r="AG33" i="4"/>
  <c r="AK33" i="4" s="1"/>
  <c r="BK34" i="4"/>
  <c r="AH39" i="4"/>
  <c r="BK41" i="4"/>
  <c r="BJ22" i="4"/>
  <c r="BK27" i="4"/>
  <c r="BK36" i="4"/>
  <c r="AH41" i="4"/>
  <c r="AH49" i="4"/>
  <c r="BJ51" i="4"/>
  <c r="BJ52" i="4"/>
  <c r="AH58" i="4"/>
  <c r="AG54" i="4"/>
  <c r="BK59" i="4"/>
  <c r="BK62" i="4"/>
  <c r="BJ53" i="4"/>
  <c r="BK14" i="4"/>
  <c r="AH18" i="4"/>
  <c r="BK25" i="4"/>
  <c r="AH42" i="4"/>
  <c r="BK18" i="4"/>
  <c r="AH22" i="4"/>
  <c r="BK29" i="4"/>
  <c r="AH38" i="4"/>
  <c r="BJ41" i="4"/>
  <c r="BJ18" i="4"/>
  <c r="BK23" i="4"/>
  <c r="BK32" i="4"/>
  <c r="AH37" i="4"/>
  <c r="BK39" i="4"/>
  <c r="BJ44" i="4"/>
  <c r="AH15" i="4"/>
  <c r="BJ16" i="4"/>
  <c r="AG21" i="4"/>
  <c r="BK26" i="4"/>
  <c r="AH30" i="4"/>
  <c r="BK37" i="4"/>
  <c r="AH56" i="4"/>
  <c r="BK58" i="4"/>
  <c r="AG56" i="4"/>
  <c r="BK57" i="4"/>
  <c r="AG61" i="4"/>
  <c r="AG15" i="4"/>
  <c r="AK15" i="4" s="1"/>
  <c r="BJ26" i="4"/>
  <c r="BN26" i="4" s="1"/>
  <c r="BK31" i="4"/>
  <c r="AG44" i="4"/>
  <c r="BJ48" i="4"/>
  <c r="BK52" i="4"/>
  <c r="AH17" i="4"/>
  <c r="AG19" i="4"/>
  <c r="BJ30" i="4"/>
  <c r="BK48" i="4"/>
  <c r="AG17" i="4"/>
  <c r="AK17" i="4" s="1"/>
  <c r="BK22" i="4"/>
  <c r="AH26" i="4"/>
  <c r="BK33" i="4"/>
  <c r="BJ40" i="4"/>
  <c r="BN40" i="4" s="1"/>
  <c r="BK20" i="4"/>
  <c r="AH25" i="4"/>
  <c r="AG27" i="4"/>
  <c r="AK27" i="4" s="1"/>
  <c r="AG48" i="4"/>
  <c r="AK48" i="4" s="1"/>
  <c r="AG52" i="4"/>
  <c r="BJ49" i="4"/>
  <c r="BK55" i="4"/>
  <c r="AH60" i="4"/>
  <c r="AH19" i="4"/>
  <c r="BJ20" i="4"/>
  <c r="BN20" i="4" s="1"/>
  <c r="AG25" i="4"/>
  <c r="BK30" i="4"/>
  <c r="AH34" i="4"/>
  <c r="BJ36" i="4"/>
  <c r="BN36" i="4" s="1"/>
  <c r="AH23" i="4"/>
  <c r="BJ24" i="4"/>
  <c r="BN24" i="4" s="1"/>
  <c r="AG29" i="4"/>
  <c r="AH35" i="4"/>
  <c r="AG41" i="4"/>
  <c r="AK41" i="4" s="1"/>
  <c r="BK42" i="4"/>
  <c r="BK16" i="4"/>
  <c r="AH21" i="4"/>
  <c r="AG23" i="4"/>
  <c r="AK23" i="4" s="1"/>
  <c r="AH40" i="4"/>
  <c r="AH53" i="4"/>
  <c r="AH14" i="4"/>
  <c r="BK21" i="4"/>
  <c r="AH31" i="4"/>
  <c r="BJ32" i="4"/>
  <c r="BN32" i="4" s="1"/>
  <c r="AG37" i="4"/>
  <c r="BK38" i="4"/>
  <c r="AG42" i="4"/>
  <c r="AK42" i="4" s="1"/>
  <c r="BJ45" i="4"/>
  <c r="BN45" i="4" s="1"/>
  <c r="BJ55" i="4"/>
  <c r="BJ63" i="4"/>
  <c r="AH61" i="4"/>
  <c r="AH63" i="4"/>
  <c r="BJ59" i="4"/>
  <c r="BK61" i="4"/>
  <c r="BK56" i="4"/>
  <c r="AG43" i="4"/>
  <c r="AH57" i="4"/>
  <c r="BK63" i="4"/>
  <c r="AG60" i="4"/>
  <c r="AH62" i="4"/>
  <c r="BK43" i="4"/>
  <c r="BK60" i="4"/>
  <c r="AG62" i="4"/>
  <c r="AH32" i="4"/>
  <c r="AH16" i="4"/>
  <c r="BK49" i="4"/>
  <c r="AG24" i="4"/>
  <c r="AK24" i="4" s="1"/>
  <c r="BJ57" i="4"/>
  <c r="AG63" i="4"/>
  <c r="BK53" i="4"/>
  <c r="AG39" i="4"/>
  <c r="AK39" i="4" s="1"/>
  <c r="AG49" i="4"/>
  <c r="AG36" i="4"/>
  <c r="BJ23" i="4"/>
  <c r="BN23" i="4" s="1"/>
  <c r="BJ58" i="4"/>
  <c r="BK54" i="4"/>
  <c r="AG53" i="4"/>
  <c r="AH43" i="4"/>
  <c r="BJ34" i="4"/>
  <c r="BN34" i="4" s="1"/>
  <c r="AH20" i="4"/>
  <c r="BJ35" i="4"/>
  <c r="BN35" i="4" s="1"/>
  <c r="AG16" i="4"/>
  <c r="AK16" i="4" s="1"/>
  <c r="AH59" i="4"/>
  <c r="AG28" i="4"/>
  <c r="BJ15" i="4"/>
  <c r="BN15" i="4" s="1"/>
  <c r="BJ33" i="4"/>
  <c r="BN33" i="4" s="1"/>
  <c r="BJ17" i="4"/>
  <c r="BN17" i="4" s="1"/>
  <c r="BK51" i="4"/>
  <c r="AG46" i="4"/>
  <c r="AK46" i="4" s="1"/>
  <c r="BJ56" i="4"/>
  <c r="AG51" i="4"/>
  <c r="AG47" i="4"/>
  <c r="AG30" i="4"/>
  <c r="AK30" i="4" s="1"/>
  <c r="AG14" i="4"/>
  <c r="AG50" i="4"/>
  <c r="AK50" i="4" s="1"/>
  <c r="AH44" i="4"/>
  <c r="AH47" i="4"/>
  <c r="BJ29" i="4"/>
  <c r="BN29" i="4" s="1"/>
  <c r="AG34" i="4"/>
  <c r="AK34" i="4" s="1"/>
  <c r="AG18" i="4"/>
  <c r="AK18" i="4" s="1"/>
  <c r="AH54" i="4"/>
  <c r="AG58" i="4"/>
  <c r="AH36" i="4"/>
  <c r="AH24" i="4"/>
  <c r="AG40" i="4"/>
  <c r="BJ27" i="4"/>
  <c r="BN27" i="4" s="1"/>
  <c r="BJ61" i="4"/>
  <c r="AG59" i="4"/>
  <c r="BJ54" i="4"/>
  <c r="AG45" i="4"/>
  <c r="BJ43" i="4"/>
  <c r="BN43" i="4" s="1"/>
  <c r="AG35" i="4"/>
  <c r="AK35" i="4" s="1"/>
  <c r="BJ39" i="4"/>
  <c r="BN39" i="4" s="1"/>
  <c r="AG20" i="4"/>
  <c r="AK20" i="4" s="1"/>
  <c r="BJ62" i="4"/>
  <c r="AG55" i="4"/>
  <c r="BJ38" i="4"/>
  <c r="BN38" i="4" s="1"/>
  <c r="AH28" i="4"/>
  <c r="AH45" i="4"/>
  <c r="AG32" i="4"/>
  <c r="AK32" i="4" s="1"/>
  <c r="BJ19" i="4"/>
  <c r="BN19" i="4" s="1"/>
  <c r="AH55" i="4"/>
  <c r="BJ42" i="4"/>
  <c r="BN42" i="4" s="1"/>
  <c r="BK44" i="4"/>
  <c r="BJ31" i="4"/>
  <c r="BN31" i="4" s="1"/>
  <c r="AH48" i="4"/>
  <c r="AG57" i="4"/>
  <c r="BJ25" i="4"/>
  <c r="BN25" i="4" s="1"/>
  <c r="BJ46" i="4"/>
  <c r="BN46" i="4" s="1"/>
  <c r="AG38" i="4"/>
  <c r="AK38" i="4" s="1"/>
  <c r="AG22" i="4"/>
  <c r="AK22" i="4" s="1"/>
  <c r="BJ50" i="4"/>
  <c r="AH52" i="4"/>
  <c r="BK46" i="4"/>
  <c r="AH51" i="4"/>
  <c r="BJ37" i="4"/>
  <c r="BN37" i="4" s="1"/>
  <c r="BJ21" i="4"/>
  <c r="BN21" i="4" s="1"/>
  <c r="BK50" i="4"/>
  <c r="BJ60" i="4"/>
  <c r="AG26" i="4"/>
  <c r="AK26" i="4" s="1"/>
  <c r="BK47" i="4"/>
  <c r="BK19" i="10"/>
  <c r="AH20" i="10"/>
  <c r="BK26" i="10"/>
  <c r="BK34" i="10"/>
  <c r="BK42" i="10"/>
  <c r="BK50" i="10"/>
  <c r="BK58" i="10"/>
  <c r="AH24" i="10"/>
  <c r="BK27" i="10"/>
  <c r="AH33" i="10"/>
  <c r="AH40" i="10"/>
  <c r="BK43" i="10"/>
  <c r="AH49" i="10"/>
  <c r="AH56" i="10"/>
  <c r="BK59" i="10"/>
  <c r="AG23" i="10"/>
  <c r="BK24" i="10"/>
  <c r="AG31" i="10"/>
  <c r="BK32" i="10"/>
  <c r="AG39" i="10"/>
  <c r="BK40" i="10"/>
  <c r="AG47" i="10"/>
  <c r="AK47" i="10" s="1"/>
  <c r="BK48" i="10"/>
  <c r="AG55" i="10"/>
  <c r="BK56" i="10"/>
  <c r="AG63" i="10"/>
  <c r="AG20" i="10"/>
  <c r="AH21" i="10"/>
  <c r="AH28" i="10"/>
  <c r="BK31" i="10"/>
  <c r="AH37" i="10"/>
  <c r="AH44" i="10"/>
  <c r="BK47" i="10"/>
  <c r="AH53" i="10"/>
  <c r="AH60" i="10"/>
  <c r="BK63" i="10"/>
  <c r="AG15" i="10"/>
  <c r="BK16" i="10"/>
  <c r="BJ18" i="10"/>
  <c r="BJ22" i="10"/>
  <c r="AG24" i="10"/>
  <c r="AK24" i="10" s="1"/>
  <c r="BJ27" i="10"/>
  <c r="BN27" i="10" s="1"/>
  <c r="BJ30" i="10"/>
  <c r="AG32" i="10"/>
  <c r="BJ35" i="10"/>
  <c r="BJ38" i="10"/>
  <c r="BN38" i="10" s="1"/>
  <c r="AG40" i="10"/>
  <c r="AK40" i="10" s="1"/>
  <c r="BJ43" i="10"/>
  <c r="BN43" i="10" s="1"/>
  <c r="BJ46" i="10"/>
  <c r="AG48" i="10"/>
  <c r="AK48" i="10" s="1"/>
  <c r="BJ51" i="10"/>
  <c r="BJ54" i="10"/>
  <c r="AG56" i="10"/>
  <c r="BJ59" i="10"/>
  <c r="BJ62" i="10"/>
  <c r="AH26" i="10"/>
  <c r="BK33" i="10"/>
  <c r="AH42" i="10"/>
  <c r="BK49" i="10"/>
  <c r="AH58" i="10"/>
  <c r="BK22" i="10"/>
  <c r="BK30" i="10"/>
  <c r="BK38" i="10"/>
  <c r="BK46" i="10"/>
  <c r="BK54" i="10"/>
  <c r="BK62" i="10"/>
  <c r="BK21" i="10"/>
  <c r="AH30" i="10"/>
  <c r="BK37" i="10"/>
  <c r="AH46" i="10"/>
  <c r="BK53" i="10"/>
  <c r="AH62" i="10"/>
  <c r="AH23" i="10"/>
  <c r="AH31" i="10"/>
  <c r="AH39" i="10"/>
  <c r="AH47" i="10"/>
  <c r="AH55" i="10"/>
  <c r="AH63" i="10"/>
  <c r="AH25" i="10"/>
  <c r="AH32" i="10"/>
  <c r="BK35" i="10"/>
  <c r="AH41" i="10"/>
  <c r="AH48" i="10"/>
  <c r="BK51" i="10"/>
  <c r="AH57" i="10"/>
  <c r="BJ19" i="10"/>
  <c r="BN19" i="10" s="1"/>
  <c r="BJ23" i="10"/>
  <c r="BJ26" i="10"/>
  <c r="BN26" i="10" s="1"/>
  <c r="AG28" i="10"/>
  <c r="AK28" i="10" s="1"/>
  <c r="BJ31" i="10"/>
  <c r="BN31" i="10" s="1"/>
  <c r="BJ34" i="10"/>
  <c r="BN34" i="10" s="1"/>
  <c r="AG36" i="10"/>
  <c r="AK36" i="10" s="1"/>
  <c r="BJ39" i="10"/>
  <c r="BJ42" i="10"/>
  <c r="BN42" i="10" s="1"/>
  <c r="AG44" i="10"/>
  <c r="AK44" i="10" s="1"/>
  <c r="BJ47" i="10"/>
  <c r="BN47" i="10" s="1"/>
  <c r="BJ50" i="10"/>
  <c r="BN50" i="10" s="1"/>
  <c r="AG52" i="10"/>
  <c r="BJ55" i="10"/>
  <c r="BJ58" i="10"/>
  <c r="AG60" i="10"/>
  <c r="BJ63" i="10"/>
  <c r="BK23" i="10"/>
  <c r="AH29" i="10"/>
  <c r="AH36" i="10"/>
  <c r="BK39" i="10"/>
  <c r="AH45" i="10"/>
  <c r="AH52" i="10"/>
  <c r="BK55" i="10"/>
  <c r="AH61" i="10"/>
  <c r="BJ14" i="10"/>
  <c r="BJ15" i="10"/>
  <c r="AG27" i="10"/>
  <c r="BK28" i="10"/>
  <c r="AG35" i="10"/>
  <c r="BK36" i="10"/>
  <c r="AG43" i="10"/>
  <c r="BK44" i="10"/>
  <c r="AG51" i="10"/>
  <c r="BK52" i="10"/>
  <c r="AG59" i="10"/>
  <c r="BK60" i="10"/>
  <c r="BK25" i="10"/>
  <c r="AH34" i="10"/>
  <c r="BK41" i="10"/>
  <c r="AH50" i="10"/>
  <c r="BK57" i="10"/>
  <c r="AH19" i="10"/>
  <c r="AH27" i="10"/>
  <c r="AH35" i="10"/>
  <c r="AH43" i="10"/>
  <c r="AH51" i="10"/>
  <c r="AH59" i="10"/>
  <c r="AH22" i="10"/>
  <c r="BK29" i="10"/>
  <c r="AH38" i="10"/>
  <c r="BK45" i="10"/>
  <c r="AH54" i="10"/>
  <c r="BK61" i="10"/>
  <c r="BK17" i="10"/>
  <c r="AG53" i="10"/>
  <c r="BJ32" i="10"/>
  <c r="BN32" i="10" s="1"/>
  <c r="AG21" i="10"/>
  <c r="AK21" i="10" s="1"/>
  <c r="AG58" i="10"/>
  <c r="AG50" i="10"/>
  <c r="AG42" i="10"/>
  <c r="AK42" i="10" s="1"/>
  <c r="AG34" i="10"/>
  <c r="AK34" i="10" s="1"/>
  <c r="AG26" i="10"/>
  <c r="AK26" i="10" s="1"/>
  <c r="BJ17" i="10"/>
  <c r="BN17" i="10" s="1"/>
  <c r="AH18" i="10"/>
  <c r="BJ61" i="10"/>
  <c r="BJ53" i="10"/>
  <c r="BJ45" i="10"/>
  <c r="BN45" i="10" s="1"/>
  <c r="BJ37" i="10"/>
  <c r="BN37" i="10" s="1"/>
  <c r="BJ29" i="10"/>
  <c r="BN29" i="10" s="1"/>
  <c r="BJ21" i="10"/>
  <c r="BN21" i="10" s="1"/>
  <c r="AG16" i="10"/>
  <c r="AG61" i="10"/>
  <c r="BJ40" i="10"/>
  <c r="BN40" i="10" s="1"/>
  <c r="AG29" i="10"/>
  <c r="AK29" i="10" s="1"/>
  <c r="AH16" i="10"/>
  <c r="BJ44" i="10"/>
  <c r="BN44" i="10" s="1"/>
  <c r="AG33" i="10"/>
  <c r="AG18" i="10"/>
  <c r="BK15" i="10"/>
  <c r="BK18" i="10"/>
  <c r="AG19" i="10"/>
  <c r="AK19" i="10" s="1"/>
  <c r="BJ16" i="10"/>
  <c r="BN16" i="10" s="1"/>
  <c r="AG57" i="10"/>
  <c r="BJ36" i="10"/>
  <c r="BN36" i="10" s="1"/>
  <c r="AG25" i="10"/>
  <c r="AK25" i="10" s="1"/>
  <c r="AH15" i="10"/>
  <c r="AG14" i="10"/>
  <c r="BJ48" i="10"/>
  <c r="BN48" i="10" s="1"/>
  <c r="AG37" i="10"/>
  <c r="AK37" i="10" s="1"/>
  <c r="AG62" i="10"/>
  <c r="AG54" i="10"/>
  <c r="AG46" i="10"/>
  <c r="AK46" i="10" s="1"/>
  <c r="AG38" i="10"/>
  <c r="AK38" i="10" s="1"/>
  <c r="AG30" i="10"/>
  <c r="AK30" i="10" s="1"/>
  <c r="AG22" i="10"/>
  <c r="AG17" i="10"/>
  <c r="BJ57" i="10"/>
  <c r="BJ49" i="10"/>
  <c r="BN49" i="10" s="1"/>
  <c r="BJ41" i="10"/>
  <c r="BN41" i="10" s="1"/>
  <c r="BJ33" i="10"/>
  <c r="BN33" i="10" s="1"/>
  <c r="BJ25" i="10"/>
  <c r="BN25" i="10" s="1"/>
  <c r="BJ56" i="10"/>
  <c r="AG45" i="10"/>
  <c r="AK45" i="10" s="1"/>
  <c r="BJ24" i="10"/>
  <c r="BN24" i="10" s="1"/>
  <c r="BJ60" i="10"/>
  <c r="AG49" i="10"/>
  <c r="AK49" i="10" s="1"/>
  <c r="BJ28" i="10"/>
  <c r="BN28" i="10" s="1"/>
  <c r="BK20" i="10"/>
  <c r="BJ52" i="10"/>
  <c r="AG41" i="10"/>
  <c r="AH14" i="10"/>
  <c r="AH17" i="10"/>
  <c r="BJ20" i="10"/>
  <c r="BK14" i="10"/>
  <c r="K33" i="43"/>
  <c r="BK26" i="11"/>
  <c r="BK14" i="11"/>
  <c r="BK18" i="11"/>
  <c r="BK22" i="11"/>
  <c r="BK41" i="11"/>
  <c r="BJ16" i="11"/>
  <c r="AG25" i="11"/>
  <c r="AH27" i="11"/>
  <c r="BK29" i="11"/>
  <c r="BJ36" i="11"/>
  <c r="AH15" i="11"/>
  <c r="AH22" i="11"/>
  <c r="BJ40" i="11"/>
  <c r="BK17" i="11"/>
  <c r="BJ24" i="11"/>
  <c r="BJ28" i="11"/>
  <c r="BK33" i="11"/>
  <c r="AH32" i="11"/>
  <c r="BJ44" i="11"/>
  <c r="AG46" i="11"/>
  <c r="BK52" i="11"/>
  <c r="BK54" i="11"/>
  <c r="AH59" i="11"/>
  <c r="AH46" i="11"/>
  <c r="BJ48" i="11"/>
  <c r="AG50" i="11"/>
  <c r="BK56" i="11"/>
  <c r="BK58" i="11"/>
  <c r="AH63" i="11"/>
  <c r="BK32" i="11"/>
  <c r="BK36" i="11"/>
  <c r="BK40" i="11"/>
  <c r="BJ45" i="11"/>
  <c r="AH56" i="11"/>
  <c r="AG61" i="11"/>
  <c r="AG49" i="11"/>
  <c r="BK50" i="11"/>
  <c r="AH55" i="11"/>
  <c r="BK61" i="11"/>
  <c r="AG21" i="11"/>
  <c r="AH23" i="11"/>
  <c r="BK37" i="11"/>
  <c r="AH45" i="11"/>
  <c r="BK47" i="11"/>
  <c r="BJ53" i="11"/>
  <c r="AH49" i="11"/>
  <c r="BK51" i="11"/>
  <c r="BJ57" i="11"/>
  <c r="AH50" i="11"/>
  <c r="BJ52" i="11"/>
  <c r="AG54" i="11"/>
  <c r="BK60" i="11"/>
  <c r="BK62" i="11"/>
  <c r="BJ41" i="11"/>
  <c r="BK48" i="11"/>
  <c r="AH60" i="11"/>
  <c r="AH18" i="11"/>
  <c r="BK25" i="11"/>
  <c r="AG29" i="11"/>
  <c r="AH34" i="11"/>
  <c r="BJ20" i="11"/>
  <c r="AH38" i="11"/>
  <c r="AG17" i="11"/>
  <c r="AH19" i="11"/>
  <c r="AH26" i="11"/>
  <c r="AH30" i="11"/>
  <c r="AH40" i="11"/>
  <c r="AH44" i="11"/>
  <c r="BK49" i="11"/>
  <c r="AH58" i="11"/>
  <c r="BJ60" i="11"/>
  <c r="AG62" i="11"/>
  <c r="BK16" i="11"/>
  <c r="BK20" i="11"/>
  <c r="BK24" i="11"/>
  <c r="BK28" i="11"/>
  <c r="AH47" i="11"/>
  <c r="BK53" i="11"/>
  <c r="AH62" i="11"/>
  <c r="AG45" i="11"/>
  <c r="AH53" i="11"/>
  <c r="BK55" i="11"/>
  <c r="BJ61" i="11"/>
  <c r="BJ49" i="11"/>
  <c r="AH54" i="11"/>
  <c r="BJ56" i="11"/>
  <c r="AG58" i="11"/>
  <c r="BK21" i="11"/>
  <c r="BJ32" i="11"/>
  <c r="AH42" i="11"/>
  <c r="AH36" i="11"/>
  <c r="AH48" i="11"/>
  <c r="AG53" i="11"/>
  <c r="AH61" i="11"/>
  <c r="BK63" i="11"/>
  <c r="AH52" i="11"/>
  <c r="AG57" i="11"/>
  <c r="BK44" i="11"/>
  <c r="BK46" i="11"/>
  <c r="AH51" i="11"/>
  <c r="BK57" i="11"/>
  <c r="BK45" i="11"/>
  <c r="AH57" i="11"/>
  <c r="BK59" i="11"/>
  <c r="BJ23" i="11"/>
  <c r="BJ15" i="11"/>
  <c r="BK39" i="11"/>
  <c r="BJ42" i="11"/>
  <c r="AG31" i="11"/>
  <c r="BJ26" i="11"/>
  <c r="AG16" i="11"/>
  <c r="AG59" i="11"/>
  <c r="BJ46" i="11"/>
  <c r="BJ63" i="11"/>
  <c r="BJ55" i="11"/>
  <c r="BJ47" i="11"/>
  <c r="AG32" i="11"/>
  <c r="AG37" i="11"/>
  <c r="BJ58" i="11"/>
  <c r="BJ31" i="11"/>
  <c r="AH33" i="11"/>
  <c r="AG26" i="11"/>
  <c r="AG18" i="11"/>
  <c r="AG33" i="11"/>
  <c r="AG55" i="11"/>
  <c r="AG44" i="11"/>
  <c r="BJ29" i="11"/>
  <c r="BJ21" i="11"/>
  <c r="BJ54" i="11"/>
  <c r="AG60" i="11"/>
  <c r="AG52" i="11"/>
  <c r="BJ43" i="11"/>
  <c r="AH37" i="11"/>
  <c r="AG41" i="11"/>
  <c r="BJ33" i="11"/>
  <c r="BK23" i="11"/>
  <c r="BK15" i="11"/>
  <c r="BK42" i="11"/>
  <c r="BK38" i="11"/>
  <c r="AG34" i="11"/>
  <c r="AG28" i="11"/>
  <c r="BJ22" i="11"/>
  <c r="AG15" i="11"/>
  <c r="AG43" i="11"/>
  <c r="AG39" i="11"/>
  <c r="AH35" i="11"/>
  <c r="AH28" i="11"/>
  <c r="BJ14" i="11"/>
  <c r="AG23" i="11"/>
  <c r="BJ27" i="11"/>
  <c r="BJ19" i="11"/>
  <c r="BJ38" i="11"/>
  <c r="BK34" i="11"/>
  <c r="AH20" i="11"/>
  <c r="AG51" i="11"/>
  <c r="BJ59" i="11"/>
  <c r="BJ51" i="11"/>
  <c r="AG40" i="11"/>
  <c r="BJ50" i="11"/>
  <c r="BJ39" i="11"/>
  <c r="AH41" i="11"/>
  <c r="AG30" i="11"/>
  <c r="AG22" i="11"/>
  <c r="AG14" i="11"/>
  <c r="BJ62" i="11"/>
  <c r="AG47" i="11"/>
  <c r="AG56" i="11"/>
  <c r="AG48" i="11"/>
  <c r="BJ35" i="11"/>
  <c r="AG19" i="11"/>
  <c r="BK27" i="11"/>
  <c r="BK19" i="11"/>
  <c r="BK35" i="11"/>
  <c r="AG35" i="11"/>
  <c r="AH31" i="11"/>
  <c r="AH16" i="11"/>
  <c r="BK31" i="11"/>
  <c r="AG42" i="11"/>
  <c r="AG38" i="11"/>
  <c r="BJ30" i="11"/>
  <c r="AG24" i="11"/>
  <c r="BJ18" i="11"/>
  <c r="AG63" i="11"/>
  <c r="BJ37" i="11"/>
  <c r="BJ25" i="11"/>
  <c r="BK43" i="11"/>
  <c r="AH29" i="11"/>
  <c r="AH21" i="11"/>
  <c r="AG36" i="11"/>
  <c r="AH14" i="11"/>
  <c r="AH39" i="11"/>
  <c r="AH24" i="11"/>
  <c r="AG27" i="11"/>
  <c r="AH25" i="11"/>
  <c r="AH17" i="11"/>
  <c r="BJ17" i="11"/>
  <c r="AH43" i="11"/>
  <c r="BJ34" i="11"/>
  <c r="BK30" i="11"/>
  <c r="AG20" i="11"/>
  <c r="AH57" i="40"/>
  <c r="BK14" i="40"/>
  <c r="BK30" i="40"/>
  <c r="BK46" i="40"/>
  <c r="AH53" i="40"/>
  <c r="BK60" i="40"/>
  <c r="BK15" i="40"/>
  <c r="BK20" i="40"/>
  <c r="AH28" i="40"/>
  <c r="AH36" i="40"/>
  <c r="AH44" i="40"/>
  <c r="AG16" i="40"/>
  <c r="BJ19" i="40"/>
  <c r="AG27" i="40"/>
  <c r="AG32" i="40"/>
  <c r="BJ35" i="40"/>
  <c r="BN35" i="40" s="1"/>
  <c r="AG43" i="40"/>
  <c r="AG48" i="40"/>
  <c r="BK16" i="40"/>
  <c r="AH24" i="40"/>
  <c r="AH25" i="40"/>
  <c r="BK27" i="40"/>
  <c r="AH33" i="40"/>
  <c r="BK35" i="40"/>
  <c r="AH41" i="40"/>
  <c r="BK43" i="40"/>
  <c r="AH49" i="40"/>
  <c r="AG15" i="40"/>
  <c r="AG20" i="40"/>
  <c r="BJ23" i="40"/>
  <c r="AG31" i="40"/>
  <c r="AG36" i="40"/>
  <c r="AK36" i="40" s="1"/>
  <c r="BJ39" i="40"/>
  <c r="AG47" i="40"/>
  <c r="BK63" i="40"/>
  <c r="BK26" i="40"/>
  <c r="BK42" i="40"/>
  <c r="BK59" i="40"/>
  <c r="BK51" i="40"/>
  <c r="AH56" i="40"/>
  <c r="BK22" i="40"/>
  <c r="BK38" i="40"/>
  <c r="AH20" i="40"/>
  <c r="AH21" i="40"/>
  <c r="BK23" i="40"/>
  <c r="AH29" i="40"/>
  <c r="BK31" i="40"/>
  <c r="AH37" i="40"/>
  <c r="BK39" i="40"/>
  <c r="AH45" i="40"/>
  <c r="BK47" i="40"/>
  <c r="AG19" i="40"/>
  <c r="AK19" i="40" s="1"/>
  <c r="AG24" i="40"/>
  <c r="BJ27" i="40"/>
  <c r="BN27" i="40" s="1"/>
  <c r="AG35" i="40"/>
  <c r="AG40" i="40"/>
  <c r="AK40" i="40" s="1"/>
  <c r="BJ43" i="40"/>
  <c r="BN43" i="40" s="1"/>
  <c r="AH61" i="40"/>
  <c r="AH17" i="40"/>
  <c r="BK19" i="40"/>
  <c r="BK24" i="40"/>
  <c r="AH32" i="40"/>
  <c r="AH40" i="40"/>
  <c r="AH48" i="40"/>
  <c r="BK52" i="40"/>
  <c r="BJ15" i="40"/>
  <c r="BN15" i="40" s="1"/>
  <c r="AG23" i="40"/>
  <c r="AG28" i="40"/>
  <c r="AK28" i="40" s="1"/>
  <c r="BJ31" i="40"/>
  <c r="BN31" i="40" s="1"/>
  <c r="AG39" i="40"/>
  <c r="AG44" i="40"/>
  <c r="AK44" i="40" s="1"/>
  <c r="BJ47" i="40"/>
  <c r="BN47" i="40" s="1"/>
  <c r="AH52" i="40"/>
  <c r="BK18" i="40"/>
  <c r="BK34" i="40"/>
  <c r="BK55" i="40"/>
  <c r="AH60" i="40"/>
  <c r="BJ56" i="40"/>
  <c r="BK56" i="40"/>
  <c r="BK61" i="40"/>
  <c r="BJ52" i="40"/>
  <c r="BK49" i="40"/>
  <c r="BK53" i="40"/>
  <c r="BK44" i="40"/>
  <c r="BK36" i="40"/>
  <c r="BK28" i="40"/>
  <c r="AH62" i="40"/>
  <c r="AG52" i="40"/>
  <c r="BJ42" i="40"/>
  <c r="BN42" i="40" s="1"/>
  <c r="BJ26" i="40"/>
  <c r="AH63" i="40"/>
  <c r="AG33" i="40"/>
  <c r="AK33" i="40" s="1"/>
  <c r="AG17" i="40"/>
  <c r="AK17" i="40" s="1"/>
  <c r="AG58" i="40"/>
  <c r="AG51" i="40"/>
  <c r="AH43" i="40"/>
  <c r="AH35" i="40"/>
  <c r="AH27" i="40"/>
  <c r="BK17" i="40"/>
  <c r="BJ54" i="40"/>
  <c r="AH46" i="40"/>
  <c r="AH38" i="40"/>
  <c r="AH30" i="40"/>
  <c r="AH22" i="40"/>
  <c r="BK62" i="40"/>
  <c r="AG45" i="40"/>
  <c r="AK45" i="40" s="1"/>
  <c r="AG29" i="40"/>
  <c r="AK29" i="40" s="1"/>
  <c r="BK45" i="40"/>
  <c r="BK37" i="40"/>
  <c r="BK29" i="40"/>
  <c r="AH19" i="40"/>
  <c r="AH42" i="40"/>
  <c r="AH34" i="40"/>
  <c r="AH26" i="40"/>
  <c r="AH18" i="40"/>
  <c r="BJ62" i="40"/>
  <c r="AH51" i="40"/>
  <c r="BJ17" i="40"/>
  <c r="BN17" i="40" s="1"/>
  <c r="BK54" i="40"/>
  <c r="BJ48" i="40"/>
  <c r="BN48" i="40" s="1"/>
  <c r="AG38" i="40"/>
  <c r="AK38" i="40" s="1"/>
  <c r="BJ32" i="40"/>
  <c r="AG22" i="40"/>
  <c r="BJ16" i="40"/>
  <c r="BN16" i="40" s="1"/>
  <c r="AG56" i="40"/>
  <c r="BJ51" i="40"/>
  <c r="BK57" i="40"/>
  <c r="AG60" i="40"/>
  <c r="BJ55" i="40"/>
  <c r="BK48" i="40"/>
  <c r="BK40" i="40"/>
  <c r="BK32" i="40"/>
  <c r="AG57" i="40"/>
  <c r="AH50" i="40"/>
  <c r="BJ34" i="40"/>
  <c r="BN34" i="40" s="1"/>
  <c r="BJ18" i="40"/>
  <c r="BN18" i="40" s="1"/>
  <c r="AG41" i="40"/>
  <c r="AK41" i="40" s="1"/>
  <c r="AG25" i="40"/>
  <c r="AK25" i="40" s="1"/>
  <c r="AH47" i="40"/>
  <c r="AH39" i="40"/>
  <c r="AH31" i="40"/>
  <c r="BJ21" i="40"/>
  <c r="BN21" i="40" s="1"/>
  <c r="BJ58" i="40"/>
  <c r="BJ53" i="40"/>
  <c r="AG37" i="40"/>
  <c r="AG21" i="40"/>
  <c r="BJ50" i="40"/>
  <c r="BK41" i="40"/>
  <c r="BK33" i="40"/>
  <c r="BK25" i="40"/>
  <c r="AG62" i="40"/>
  <c r="AG55" i="40"/>
  <c r="AG59" i="40"/>
  <c r="AG50" i="40"/>
  <c r="AK50" i="40" s="1"/>
  <c r="AG54" i="40"/>
  <c r="BJ57" i="40"/>
  <c r="AH23" i="40"/>
  <c r="BK58" i="40"/>
  <c r="AG46" i="40"/>
  <c r="AK46" i="40" s="1"/>
  <c r="BJ40" i="40"/>
  <c r="BN40" i="40" s="1"/>
  <c r="AG30" i="40"/>
  <c r="AK30" i="40" s="1"/>
  <c r="BJ24" i="40"/>
  <c r="BN24" i="40" s="1"/>
  <c r="AG14" i="40"/>
  <c r="AH54" i="40"/>
  <c r="AG49" i="40"/>
  <c r="AK49" i="40" s="1"/>
  <c r="BJ59" i="40"/>
  <c r="AG61" i="40"/>
  <c r="BK50" i="40"/>
  <c r="BJ41" i="40"/>
  <c r="BJ33" i="40"/>
  <c r="BN33" i="40" s="1"/>
  <c r="BJ25" i="40"/>
  <c r="AH15" i="40"/>
  <c r="BJ61" i="40"/>
  <c r="BJ49" i="40"/>
  <c r="BN49" i="40" s="1"/>
  <c r="AG18" i="40"/>
  <c r="AK18" i="40" s="1"/>
  <c r="AH16" i="40"/>
  <c r="AG53" i="40"/>
  <c r="BJ46" i="40"/>
  <c r="BJ30" i="40"/>
  <c r="BN30" i="40" s="1"/>
  <c r="BJ60" i="40"/>
  <c r="AG63" i="40"/>
  <c r="BJ45" i="40"/>
  <c r="BJ37" i="40"/>
  <c r="BN37" i="40" s="1"/>
  <c r="BJ29" i="40"/>
  <c r="BN29" i="40" s="1"/>
  <c r="BK21" i="40"/>
  <c r="AH55" i="40"/>
  <c r="AH59" i="40"/>
  <c r="AG42" i="40"/>
  <c r="AK42" i="40" s="1"/>
  <c r="BJ36" i="40"/>
  <c r="BN36" i="40" s="1"/>
  <c r="AG26" i="40"/>
  <c r="AK26" i="40" s="1"/>
  <c r="BJ20" i="40"/>
  <c r="AH58" i="40"/>
  <c r="BJ63" i="40"/>
  <c r="BJ38" i="40"/>
  <c r="BN38" i="40" s="1"/>
  <c r="BJ22" i="40"/>
  <c r="BN22" i="40" s="1"/>
  <c r="BJ44" i="40"/>
  <c r="BN44" i="40" s="1"/>
  <c r="AG34" i="40"/>
  <c r="AK34" i="40" s="1"/>
  <c r="BJ28" i="40"/>
  <c r="BN28" i="40" s="1"/>
  <c r="AH14" i="40"/>
  <c r="BJ14" i="40"/>
  <c r="BN14" i="40" s="1"/>
  <c r="AG15" i="38"/>
  <c r="BJ22" i="38"/>
  <c r="AG26" i="38"/>
  <c r="BK30" i="38"/>
  <c r="BJ41" i="38"/>
  <c r="BK43" i="38"/>
  <c r="AG47" i="38"/>
  <c r="AH55" i="38"/>
  <c r="AH60" i="38"/>
  <c r="AG16" i="38"/>
  <c r="BJ23" i="38"/>
  <c r="BK24" i="38"/>
  <c r="AH26" i="38"/>
  <c r="BK41" i="38"/>
  <c r="AH45" i="38"/>
  <c r="AG48" i="38"/>
  <c r="AK48" i="38" s="1"/>
  <c r="BK21" i="38"/>
  <c r="AH25" i="38"/>
  <c r="AG28" i="38"/>
  <c r="BJ35" i="38"/>
  <c r="BK36" i="38"/>
  <c r="AH38" i="38"/>
  <c r="BK53" i="38"/>
  <c r="BJ58" i="38"/>
  <c r="AG14" i="38"/>
  <c r="AG19" i="38"/>
  <c r="BJ26" i="38"/>
  <c r="AG30" i="38"/>
  <c r="AK30" i="38" s="1"/>
  <c r="BK34" i="38"/>
  <c r="BJ45" i="38"/>
  <c r="BK47" i="38"/>
  <c r="AG51" i="38"/>
  <c r="AH63" i="38"/>
  <c r="AH17" i="38"/>
  <c r="AG20" i="38"/>
  <c r="BJ27" i="38"/>
  <c r="BK28" i="38"/>
  <c r="AH30" i="38"/>
  <c r="BJ25" i="38"/>
  <c r="BK27" i="38"/>
  <c r="AG31" i="38"/>
  <c r="BJ38" i="38"/>
  <c r="AG42" i="38"/>
  <c r="BK46" i="38"/>
  <c r="AH54" i="38"/>
  <c r="AG58" i="38"/>
  <c r="BK25" i="38"/>
  <c r="AH29" i="38"/>
  <c r="AG32" i="38"/>
  <c r="BJ39" i="38"/>
  <c r="BK40" i="38"/>
  <c r="AH42" i="38"/>
  <c r="BJ17" i="38"/>
  <c r="BK19" i="38"/>
  <c r="AG23" i="38"/>
  <c r="BJ30" i="38"/>
  <c r="BN30" i="38" s="1"/>
  <c r="AG34" i="38"/>
  <c r="BK38" i="38"/>
  <c r="BJ49" i="38"/>
  <c r="BK51" i="38"/>
  <c r="BJ61" i="38"/>
  <c r="BJ18" i="38"/>
  <c r="AG22" i="38"/>
  <c r="AK22" i="38" s="1"/>
  <c r="BK26" i="38"/>
  <c r="BJ37" i="38"/>
  <c r="AH22" i="38"/>
  <c r="AH41" i="38"/>
  <c r="AH56" i="38"/>
  <c r="BK22" i="38"/>
  <c r="BK29" i="38"/>
  <c r="BJ43" i="38"/>
  <c r="BN43" i="38" s="1"/>
  <c r="BK44" i="38"/>
  <c r="AH46" i="38"/>
  <c r="AG50" i="38"/>
  <c r="AG52" i="38"/>
  <c r="BJ15" i="38"/>
  <c r="BK16" i="38"/>
  <c r="AH18" i="38"/>
  <c r="AG24" i="38"/>
  <c r="AG27" i="38"/>
  <c r="AK27" i="38" s="1"/>
  <c r="BJ34" i="38"/>
  <c r="BN34" i="38" s="1"/>
  <c r="AG40" i="38"/>
  <c r="AK40" i="38" s="1"/>
  <c r="BJ47" i="38"/>
  <c r="BN47" i="38" s="1"/>
  <c r="BK48" i="38"/>
  <c r="AH50" i="38"/>
  <c r="BJ56" i="38"/>
  <c r="AH61" i="38"/>
  <c r="BK59" i="38"/>
  <c r="BJ55" i="38"/>
  <c r="BJ19" i="38"/>
  <c r="BN19" i="38" s="1"/>
  <c r="BK20" i="38"/>
  <c r="AG44" i="38"/>
  <c r="AK44" i="38" s="1"/>
  <c r="BK61" i="38"/>
  <c r="BK18" i="38"/>
  <c r="BK31" i="38"/>
  <c r="AG46" i="38"/>
  <c r="AK46" i="38" s="1"/>
  <c r="AG36" i="38"/>
  <c r="AG39" i="38"/>
  <c r="BJ46" i="38"/>
  <c r="BN46" i="38" s="1"/>
  <c r="AH21" i="38"/>
  <c r="BK23" i="38"/>
  <c r="BK33" i="38"/>
  <c r="AH37" i="38"/>
  <c r="BK39" i="38"/>
  <c r="AG43" i="38"/>
  <c r="BJ50" i="38"/>
  <c r="AG54" i="38"/>
  <c r="BJ59" i="38"/>
  <c r="BK37" i="38"/>
  <c r="BJ29" i="38"/>
  <c r="BN29" i="38" s="1"/>
  <c r="AH62" i="38"/>
  <c r="AG18" i="38"/>
  <c r="AK18" i="38" s="1"/>
  <c r="AH33" i="38"/>
  <c r="BK35" i="38"/>
  <c r="BK45" i="38"/>
  <c r="AH49" i="38"/>
  <c r="AG55" i="38"/>
  <c r="BK17" i="38"/>
  <c r="BJ21" i="38"/>
  <c r="BN21" i="38" s="1"/>
  <c r="BK49" i="38"/>
  <c r="AH53" i="38"/>
  <c r="AG57" i="38"/>
  <c r="AG63" i="38"/>
  <c r="BJ51" i="38"/>
  <c r="BK52" i="38"/>
  <c r="AG35" i="38"/>
  <c r="AK35" i="38" s="1"/>
  <c r="BJ42" i="38"/>
  <c r="BN42" i="38" s="1"/>
  <c r="BK50" i="38"/>
  <c r="BJ33" i="38"/>
  <c r="BN33" i="38" s="1"/>
  <c r="BK54" i="38"/>
  <c r="BK57" i="38"/>
  <c r="BK58" i="38"/>
  <c r="BJ31" i="38"/>
  <c r="BN31" i="38" s="1"/>
  <c r="BK32" i="38"/>
  <c r="AH34" i="38"/>
  <c r="AG38" i="38"/>
  <c r="AK38" i="38" s="1"/>
  <c r="BK42" i="38"/>
  <c r="BJ53" i="38"/>
  <c r="BJ60" i="38"/>
  <c r="BK62" i="38"/>
  <c r="BJ63" i="38"/>
  <c r="AH57" i="38"/>
  <c r="AG45" i="38"/>
  <c r="AK45" i="38" s="1"/>
  <c r="AG29" i="38"/>
  <c r="AK29" i="38" s="1"/>
  <c r="AH14" i="38"/>
  <c r="BK60" i="38"/>
  <c r="BJ52" i="38"/>
  <c r="BJ36" i="38"/>
  <c r="BN36" i="38" s="1"/>
  <c r="BJ20" i="38"/>
  <c r="BN20" i="38" s="1"/>
  <c r="AG60" i="38"/>
  <c r="AG41" i="38"/>
  <c r="AK41" i="38" s="1"/>
  <c r="AG25" i="38"/>
  <c r="AK25" i="38" s="1"/>
  <c r="AG61" i="38"/>
  <c r="AH39" i="38"/>
  <c r="AH23" i="38"/>
  <c r="AH36" i="38"/>
  <c r="AH43" i="38"/>
  <c r="AH27" i="38"/>
  <c r="AH48" i="38"/>
  <c r="AH16" i="38"/>
  <c r="AH28" i="38"/>
  <c r="AG53" i="38"/>
  <c r="AG37" i="38"/>
  <c r="AK37" i="38" s="1"/>
  <c r="AG21" i="38"/>
  <c r="AK21" i="38" s="1"/>
  <c r="BK56" i="38"/>
  <c r="BK63" i="38"/>
  <c r="BK55" i="38"/>
  <c r="BJ44" i="38"/>
  <c r="BN44" i="38" s="1"/>
  <c r="BJ28" i="38"/>
  <c r="BN28" i="38" s="1"/>
  <c r="AG56" i="38"/>
  <c r="AG49" i="38"/>
  <c r="AG33" i="38"/>
  <c r="AK33" i="38" s="1"/>
  <c r="AG17" i="38"/>
  <c r="AK17" i="38" s="1"/>
  <c r="AH52" i="38"/>
  <c r="AH20" i="38"/>
  <c r="AH32" i="38"/>
  <c r="AG62" i="38"/>
  <c r="AH47" i="38"/>
  <c r="AH31" i="38"/>
  <c r="AH15" i="38"/>
  <c r="AH44" i="38"/>
  <c r="BK15" i="38"/>
  <c r="AG59" i="38"/>
  <c r="BJ48" i="38"/>
  <c r="BN48" i="38" s="1"/>
  <c r="BJ32" i="38"/>
  <c r="BN32" i="38" s="1"/>
  <c r="BJ16" i="38"/>
  <c r="BN16" i="38" s="1"/>
  <c r="AH24" i="38"/>
  <c r="AH59" i="38"/>
  <c r="BJ57" i="38"/>
  <c r="BK14" i="38"/>
  <c r="BJ62" i="38"/>
  <c r="BJ54" i="38"/>
  <c r="BJ40" i="38"/>
  <c r="BN40" i="38" s="1"/>
  <c r="BJ24" i="38"/>
  <c r="BN24" i="38" s="1"/>
  <c r="AH58" i="38"/>
  <c r="AH51" i="38"/>
  <c r="AH35" i="38"/>
  <c r="AH19" i="38"/>
  <c r="AH40" i="38"/>
  <c r="BJ14" i="38"/>
  <c r="BN14" i="38" s="1"/>
  <c r="I35" i="35"/>
  <c r="H36" i="34"/>
  <c r="AN14" i="45"/>
  <c r="AL14" i="45"/>
  <c r="AJ14" i="45"/>
  <c r="AH14" i="45"/>
  <c r="K42" i="43"/>
  <c r="AE14" i="45"/>
  <c r="Y14" i="45"/>
  <c r="K32" i="43"/>
  <c r="W14" i="45"/>
  <c r="K31" i="43"/>
  <c r="U14" i="45"/>
  <c r="K30" i="43"/>
  <c r="S14" i="45"/>
  <c r="K28" i="43"/>
  <c r="Q14" i="45"/>
  <c r="K27" i="43"/>
  <c r="O14" i="45"/>
  <c r="K25" i="43"/>
  <c r="K14" i="45"/>
  <c r="M45" i="43"/>
  <c r="H74" i="34"/>
  <c r="I72" i="35"/>
  <c r="O35" i="46"/>
  <c r="O41" i="46"/>
  <c r="AQ14" i="45"/>
  <c r="H78" i="34"/>
  <c r="M48" i="43"/>
  <c r="I76" i="35"/>
  <c r="O36" i="46"/>
  <c r="M46" i="43"/>
  <c r="H75" i="34"/>
  <c r="I73" i="35"/>
  <c r="M44" i="43"/>
  <c r="H73" i="34"/>
  <c r="I71" i="35"/>
  <c r="O38" i="46"/>
  <c r="H72" i="34"/>
  <c r="M43" i="43"/>
  <c r="I70" i="35"/>
  <c r="O37" i="46"/>
  <c r="M19" i="45"/>
  <c r="I40" i="35"/>
  <c r="H41" i="34"/>
  <c r="H28" i="34"/>
  <c r="I27" i="35"/>
  <c r="H30" i="34"/>
  <c r="I29" i="35"/>
  <c r="H31" i="34"/>
  <c r="I30" i="35"/>
  <c r="T19" i="45"/>
  <c r="I33" i="35"/>
  <c r="H34" i="34"/>
  <c r="X19" i="45"/>
  <c r="AF19" i="45"/>
  <c r="N19" i="45"/>
  <c r="P19" i="45"/>
  <c r="R19" i="45"/>
  <c r="H33" i="34"/>
  <c r="I32" i="35"/>
  <c r="V19" i="45"/>
  <c r="H35" i="34"/>
  <c r="I34" i="35"/>
  <c r="Z19" i="45"/>
  <c r="M33" i="43"/>
  <c r="O21" i="46"/>
  <c r="O22" i="46"/>
  <c r="O24" i="46"/>
  <c r="O27" i="46"/>
  <c r="O26" i="46"/>
  <c r="O28" i="46"/>
  <c r="O34" i="46"/>
  <c r="B13" i="16"/>
  <c r="BN20" i="40" l="1"/>
  <c r="BN25" i="40"/>
  <c r="BN50" i="40"/>
  <c r="BN45" i="40"/>
  <c r="BN46" i="40"/>
  <c r="BN32" i="40"/>
  <c r="BN26" i="40"/>
  <c r="BN23" i="40"/>
  <c r="BN41" i="40"/>
  <c r="BN39" i="40"/>
  <c r="BN19" i="40"/>
  <c r="AK15" i="40"/>
  <c r="AK14" i="40"/>
  <c r="AK22" i="40"/>
  <c r="AK23" i="40"/>
  <c r="AK35" i="40"/>
  <c r="AK31" i="40"/>
  <c r="AK32" i="40"/>
  <c r="AK21" i="40"/>
  <c r="AK39" i="40"/>
  <c r="AK47" i="40"/>
  <c r="AK48" i="40"/>
  <c r="AK27" i="40"/>
  <c r="AK16" i="40"/>
  <c r="AK37" i="40"/>
  <c r="AK24" i="40"/>
  <c r="AK20" i="40"/>
  <c r="AK43" i="40"/>
  <c r="BN15" i="38"/>
  <c r="BN27" i="38"/>
  <c r="BN35" i="38"/>
  <c r="BN49" i="38"/>
  <c r="BN25" i="38"/>
  <c r="BN26" i="38"/>
  <c r="BN23" i="38"/>
  <c r="BN50" i="38"/>
  <c r="BN18" i="38"/>
  <c r="BN39" i="38"/>
  <c r="BN38" i="38"/>
  <c r="BN45" i="38"/>
  <c r="BN22" i="38"/>
  <c r="BN37" i="38"/>
  <c r="BN17" i="38"/>
  <c r="BN41" i="38"/>
  <c r="AK49" i="38"/>
  <c r="AK24" i="38"/>
  <c r="AK23" i="38"/>
  <c r="AK42" i="38"/>
  <c r="AK20" i="38"/>
  <c r="AK28" i="38"/>
  <c r="AK47" i="38"/>
  <c r="AK26" i="38"/>
  <c r="AK50" i="38"/>
  <c r="AK19" i="38"/>
  <c r="AK16" i="38"/>
  <c r="AK39" i="38"/>
  <c r="AK43" i="38"/>
  <c r="AK36" i="38"/>
  <c r="AK34" i="38"/>
  <c r="AK32" i="38"/>
  <c r="AK31" i="38"/>
  <c r="AK14" i="38"/>
  <c r="AK15" i="38"/>
  <c r="BN22" i="39"/>
  <c r="BN37" i="39"/>
  <c r="BN38" i="39"/>
  <c r="BN21" i="39"/>
  <c r="BN26" i="39"/>
  <c r="BN33" i="39"/>
  <c r="BN25" i="39"/>
  <c r="BN18" i="39"/>
  <c r="BN15" i="39"/>
  <c r="BN46" i="39"/>
  <c r="BN28" i="39"/>
  <c r="BN47" i="39"/>
  <c r="BN48" i="39"/>
  <c r="BN41" i="39"/>
  <c r="BN23" i="39"/>
  <c r="BN42" i="39"/>
  <c r="BN35" i="39"/>
  <c r="BN27" i="39"/>
  <c r="BN30" i="39"/>
  <c r="BN29" i="39"/>
  <c r="BN50" i="39"/>
  <c r="BN34" i="39"/>
  <c r="BN19" i="39"/>
  <c r="BN39" i="39"/>
  <c r="BN31" i="39"/>
  <c r="AK38" i="39"/>
  <c r="AK49" i="39"/>
  <c r="AK15" i="39"/>
  <c r="AK19" i="39"/>
  <c r="AK18" i="39"/>
  <c r="AK50" i="39"/>
  <c r="AK21" i="39"/>
  <c r="AK27" i="39"/>
  <c r="AK44" i="39"/>
  <c r="AK25" i="39"/>
  <c r="AK45" i="39"/>
  <c r="AK31" i="39"/>
  <c r="AK32" i="39"/>
  <c r="AK39" i="39"/>
  <c r="AK41" i="39"/>
  <c r="BN21" i="12"/>
  <c r="BN39" i="12"/>
  <c r="BN23" i="12"/>
  <c r="BN45" i="12"/>
  <c r="BN29" i="12"/>
  <c r="BN14" i="12"/>
  <c r="BN16" i="12"/>
  <c r="BN48" i="12"/>
  <c r="BN41" i="12"/>
  <c r="BN25" i="12"/>
  <c r="BN38" i="12"/>
  <c r="BN22" i="12"/>
  <c r="BN43" i="12"/>
  <c r="BN27" i="12"/>
  <c r="BN47" i="12"/>
  <c r="BN31" i="12"/>
  <c r="BN15" i="12"/>
  <c r="BN46" i="12"/>
  <c r="BN30" i="12"/>
  <c r="BN49" i="12"/>
  <c r="BN33" i="12"/>
  <c r="BN17" i="12"/>
  <c r="AK37" i="12"/>
  <c r="AK25" i="12"/>
  <c r="AK47" i="12"/>
  <c r="AK31" i="12"/>
  <c r="AK15" i="12"/>
  <c r="AK48" i="12"/>
  <c r="AK32" i="12"/>
  <c r="AK16" i="12"/>
  <c r="AK36" i="12"/>
  <c r="AK20" i="12"/>
  <c r="AK42" i="12"/>
  <c r="AK26" i="12"/>
  <c r="AK46" i="12"/>
  <c r="AK30" i="12"/>
  <c r="AK14" i="12"/>
  <c r="AK38" i="12"/>
  <c r="AK22" i="12"/>
  <c r="AK39" i="12"/>
  <c r="AK23" i="12"/>
  <c r="AK40" i="12"/>
  <c r="AK24" i="12"/>
  <c r="AK50" i="12"/>
  <c r="AK34" i="12"/>
  <c r="AK18" i="12"/>
  <c r="AK28" i="12"/>
  <c r="BN47" i="15"/>
  <c r="BN31" i="15"/>
  <c r="BN45" i="15"/>
  <c r="BN43" i="15"/>
  <c r="BN27" i="15"/>
  <c r="BN41" i="15"/>
  <c r="BN25" i="15"/>
  <c r="BN33" i="15"/>
  <c r="BN39" i="15"/>
  <c r="BN37" i="15"/>
  <c r="BN22" i="15"/>
  <c r="BN49" i="15"/>
  <c r="AK35" i="15"/>
  <c r="AK48" i="15"/>
  <c r="AK15" i="15"/>
  <c r="AK46" i="15"/>
  <c r="AK30" i="15"/>
  <c r="AK16" i="15"/>
  <c r="AK44" i="15"/>
  <c r="AK23" i="15"/>
  <c r="AK32" i="15"/>
  <c r="AK22" i="15"/>
  <c r="AK40" i="15"/>
  <c r="AK43" i="15"/>
  <c r="AK37" i="15"/>
  <c r="AK28" i="15"/>
  <c r="AK36" i="15"/>
  <c r="BN39" i="10"/>
  <c r="BN46" i="10"/>
  <c r="BN35" i="10"/>
  <c r="BN15" i="10"/>
  <c r="BN22" i="10"/>
  <c r="BN20" i="10"/>
  <c r="BN14" i="10"/>
  <c r="BN23" i="10"/>
  <c r="BN30" i="10"/>
  <c r="BN18" i="10"/>
  <c r="AK22" i="10"/>
  <c r="AK14" i="10"/>
  <c r="AK16" i="10"/>
  <c r="AK50" i="10"/>
  <c r="AK43" i="10"/>
  <c r="AK27" i="10"/>
  <c r="AK15" i="10"/>
  <c r="AK41" i="10"/>
  <c r="AK18" i="10"/>
  <c r="AK32" i="10"/>
  <c r="AK39" i="10"/>
  <c r="AK23" i="10"/>
  <c r="AK17" i="10"/>
  <c r="AK31" i="10"/>
  <c r="AK33" i="10"/>
  <c r="AK35" i="10"/>
  <c r="AK20" i="10"/>
  <c r="BN39" i="2"/>
  <c r="BN33" i="2"/>
  <c r="BN34" i="2"/>
  <c r="BN25" i="2"/>
  <c r="BN14" i="2"/>
  <c r="BN36" i="2"/>
  <c r="BN35" i="2"/>
  <c r="BN28" i="2"/>
  <c r="BN22" i="2"/>
  <c r="BN21" i="2"/>
  <c r="BN45" i="2"/>
  <c r="BN29" i="2"/>
  <c r="BN49" i="2"/>
  <c r="BN18" i="2"/>
  <c r="BN40" i="2"/>
  <c r="BN17" i="2"/>
  <c r="AK30" i="2"/>
  <c r="AK28" i="2"/>
  <c r="AK26" i="2"/>
  <c r="AK50" i="2"/>
  <c r="AK48" i="2"/>
  <c r="AK39" i="2"/>
  <c r="AK35" i="2"/>
  <c r="AK38" i="2"/>
  <c r="AK19" i="2"/>
  <c r="AK41" i="2"/>
  <c r="AK44" i="2"/>
  <c r="AK15" i="2"/>
  <c r="BN14" i="4"/>
  <c r="BN49" i="4"/>
  <c r="BN30" i="4"/>
  <c r="BN48" i="4"/>
  <c r="BN44" i="4"/>
  <c r="BN47" i="4"/>
  <c r="BN50" i="4"/>
  <c r="BN18" i="4"/>
  <c r="BN16" i="4"/>
  <c r="BN41" i="4"/>
  <c r="BN22" i="4"/>
  <c r="AK45" i="4"/>
  <c r="AK25" i="4"/>
  <c r="AK40" i="4"/>
  <c r="AK36" i="4"/>
  <c r="AK37" i="4"/>
  <c r="AK47" i="4"/>
  <c r="AK28" i="4"/>
  <c r="AK49" i="4"/>
  <c r="AK43" i="4"/>
  <c r="AK29" i="4"/>
  <c r="AK19" i="4"/>
  <c r="AK44" i="4"/>
  <c r="AK21" i="4"/>
  <c r="AK31" i="4"/>
  <c r="BN32" i="6"/>
  <c r="BN20" i="6"/>
  <c r="BN31" i="6"/>
  <c r="BN25" i="6"/>
  <c r="BN45" i="6"/>
  <c r="BN49" i="6"/>
  <c r="BN33" i="6"/>
  <c r="BN43" i="6"/>
  <c r="BN41" i="6"/>
  <c r="BN24" i="6"/>
  <c r="AK39" i="6"/>
  <c r="AK33" i="6"/>
  <c r="AK50" i="6"/>
  <c r="AK18" i="6"/>
  <c r="AK22" i="6"/>
  <c r="AK40" i="6"/>
  <c r="AK14" i="6"/>
  <c r="AK37" i="6"/>
  <c r="AK20" i="6"/>
  <c r="AK17" i="6"/>
  <c r="AK25" i="6"/>
  <c r="BN35" i="7"/>
  <c r="BN40" i="7"/>
  <c r="BN24" i="7"/>
  <c r="BN46" i="7"/>
  <c r="BN37" i="7"/>
  <c r="BN34" i="7"/>
  <c r="BN43" i="7"/>
  <c r="BN22" i="7"/>
  <c r="BN47" i="7"/>
  <c r="BN36" i="7"/>
  <c r="BN19" i="7"/>
  <c r="BN31" i="7"/>
  <c r="BN23" i="7"/>
  <c r="BN14" i="7"/>
  <c r="BN33" i="7"/>
  <c r="BN41" i="7"/>
  <c r="BN44" i="7"/>
  <c r="BN15" i="7"/>
  <c r="BN18" i="7"/>
  <c r="BN45" i="7"/>
  <c r="AK42" i="7"/>
  <c r="AK44" i="7"/>
  <c r="AK37" i="7"/>
  <c r="AK31" i="7"/>
  <c r="AK47" i="7"/>
  <c r="AK19" i="7"/>
  <c r="AK17" i="7"/>
  <c r="AK36" i="7"/>
  <c r="AK32" i="7"/>
  <c r="AK46" i="7"/>
  <c r="AK39" i="7"/>
  <c r="AK43" i="7"/>
  <c r="AK18" i="7"/>
  <c r="AK49" i="7"/>
  <c r="AK48" i="7"/>
  <c r="AK20" i="7"/>
  <c r="AK45" i="7"/>
  <c r="BN42" i="8"/>
  <c r="BN16" i="8"/>
  <c r="BN39" i="8"/>
  <c r="BN44" i="8"/>
  <c r="BN32" i="8"/>
  <c r="BN26" i="8"/>
  <c r="BN50" i="8"/>
  <c r="BN30" i="8"/>
  <c r="BN41" i="8"/>
  <c r="BN23" i="8"/>
  <c r="BN21" i="8"/>
  <c r="BN25" i="8"/>
  <c r="BN24" i="8"/>
  <c r="BN28" i="8"/>
  <c r="B46" i="8"/>
  <c r="AK25" i="8"/>
  <c r="AK48" i="8"/>
  <c r="AK40" i="8"/>
  <c r="AK43" i="8"/>
  <c r="AK42" i="8"/>
  <c r="AK26" i="8"/>
  <c r="AK27" i="8"/>
  <c r="AK15" i="8"/>
  <c r="AK38" i="8"/>
  <c r="AK30" i="8"/>
  <c r="AK17" i="8"/>
  <c r="AK22" i="8"/>
  <c r="AK32" i="8"/>
  <c r="AK36" i="8"/>
  <c r="AK46" i="8"/>
  <c r="AK23" i="8"/>
  <c r="AK14" i="4"/>
  <c r="AF23" i="45"/>
  <c r="AF20" i="45"/>
  <c r="AF28" i="45"/>
  <c r="AF25" i="45"/>
  <c r="P28" i="46"/>
  <c r="H63" i="35"/>
  <c r="X13" i="45"/>
  <c r="G65" i="34"/>
  <c r="L32" i="43"/>
  <c r="N32" i="43" s="1"/>
  <c r="O32" i="43" s="1"/>
  <c r="X10" i="45"/>
  <c r="X18" i="45"/>
  <c r="X15" i="45"/>
  <c r="T23" i="45"/>
  <c r="T20" i="45"/>
  <c r="T30" i="45"/>
  <c r="T33" i="45"/>
  <c r="Z30" i="45"/>
  <c r="Z33" i="45"/>
  <c r="P27" i="46"/>
  <c r="V13" i="45"/>
  <c r="G64" i="34"/>
  <c r="V10" i="45"/>
  <c r="H62" i="35"/>
  <c r="L31" i="43"/>
  <c r="N31" i="43" s="1"/>
  <c r="O31" i="43" s="1"/>
  <c r="V25" i="45"/>
  <c r="V28" i="45"/>
  <c r="R23" i="45"/>
  <c r="R20" i="45"/>
  <c r="P38" i="45"/>
  <c r="P35" i="45"/>
  <c r="P23" i="46"/>
  <c r="P13" i="45"/>
  <c r="P10" i="45"/>
  <c r="H58" i="35"/>
  <c r="L27" i="43"/>
  <c r="N27" i="43" s="1"/>
  <c r="O27" i="43" s="1"/>
  <c r="G60" i="34"/>
  <c r="N20" i="45"/>
  <c r="N23" i="45"/>
  <c r="L35" i="45"/>
  <c r="L38" i="45"/>
  <c r="AL38" i="45"/>
  <c r="AL35" i="45"/>
  <c r="AN23" i="45"/>
  <c r="AN20" i="45"/>
  <c r="AN33" i="45"/>
  <c r="AN30" i="45"/>
  <c r="AJ20" i="45"/>
  <c r="AJ23" i="45"/>
  <c r="P36" i="46"/>
  <c r="AJ13" i="45"/>
  <c r="H71" i="35"/>
  <c r="G73" i="34"/>
  <c r="L44" i="43"/>
  <c r="N44" i="43" s="1"/>
  <c r="O44" i="43" s="1"/>
  <c r="AJ10" i="45"/>
  <c r="AJ35" i="45"/>
  <c r="AJ38" i="45"/>
  <c r="AR30" i="45"/>
  <c r="AR33" i="45"/>
  <c r="AR28" i="45"/>
  <c r="AR25" i="45"/>
  <c r="AH20" i="45"/>
  <c r="AH23" i="45"/>
  <c r="AH18" i="45"/>
  <c r="AH15" i="45"/>
  <c r="X38" i="45"/>
  <c r="X35" i="45"/>
  <c r="P26" i="46"/>
  <c r="T13" i="45"/>
  <c r="T10" i="45"/>
  <c r="G63" i="34"/>
  <c r="H61" i="35"/>
  <c r="L30" i="43"/>
  <c r="N30" i="43" s="1"/>
  <c r="O30" i="43" s="1"/>
  <c r="T18" i="45"/>
  <c r="T15" i="45"/>
  <c r="R30" i="45"/>
  <c r="R33" i="45"/>
  <c r="P24" i="46"/>
  <c r="R13" i="45"/>
  <c r="R10" i="45"/>
  <c r="H59" i="35"/>
  <c r="G61" i="34"/>
  <c r="L28" i="43"/>
  <c r="N28" i="43" s="1"/>
  <c r="O28" i="43" s="1"/>
  <c r="P25" i="45"/>
  <c r="P28" i="45"/>
  <c r="N35" i="45"/>
  <c r="N38" i="45"/>
  <c r="N25" i="45"/>
  <c r="N28" i="45"/>
  <c r="L15" i="45"/>
  <c r="L18" i="45"/>
  <c r="L20" i="45"/>
  <c r="L23" i="45"/>
  <c r="AL33" i="45"/>
  <c r="AL30" i="45"/>
  <c r="P38" i="46"/>
  <c r="AN13" i="45"/>
  <c r="AN10" i="45"/>
  <c r="H73" i="35"/>
  <c r="G75" i="34"/>
  <c r="L46" i="43"/>
  <c r="N46" i="43" s="1"/>
  <c r="O46" i="43" s="1"/>
  <c r="AJ30" i="45"/>
  <c r="AJ33" i="45"/>
  <c r="AR20" i="45"/>
  <c r="AR23" i="45"/>
  <c r="AR38" i="45"/>
  <c r="AR35" i="45"/>
  <c r="AH33" i="45"/>
  <c r="AH30" i="45"/>
  <c r="AF35" i="45"/>
  <c r="AF38" i="45"/>
  <c r="X28" i="45"/>
  <c r="X25" i="45"/>
  <c r="T35" i="45"/>
  <c r="T38" i="45"/>
  <c r="Z28" i="45"/>
  <c r="Z25" i="45"/>
  <c r="Z18" i="45"/>
  <c r="Z15" i="45"/>
  <c r="Z38" i="45"/>
  <c r="Z35" i="45"/>
  <c r="Z20" i="45"/>
  <c r="Z23" i="45"/>
  <c r="V23" i="45"/>
  <c r="V20" i="45"/>
  <c r="V18" i="45"/>
  <c r="V15" i="45"/>
  <c r="R18" i="45"/>
  <c r="R15" i="45"/>
  <c r="P30" i="45"/>
  <c r="P33" i="45"/>
  <c r="N15" i="45"/>
  <c r="N18" i="45"/>
  <c r="P22" i="46"/>
  <c r="N10" i="45"/>
  <c r="L26" i="43"/>
  <c r="N26" i="43" s="1"/>
  <c r="O26" i="43" s="1"/>
  <c r="H57" i="35"/>
  <c r="N13" i="45"/>
  <c r="G59" i="34"/>
  <c r="L30" i="45"/>
  <c r="L33" i="45"/>
  <c r="P21" i="46"/>
  <c r="L10" i="45"/>
  <c r="L13" i="45"/>
  <c r="L25" i="43"/>
  <c r="N25" i="43" s="1"/>
  <c r="O25" i="43" s="1"/>
  <c r="H56" i="35"/>
  <c r="G58" i="34"/>
  <c r="AL20" i="45"/>
  <c r="AL23" i="45"/>
  <c r="P37" i="46"/>
  <c r="AL13" i="45"/>
  <c r="AL10" i="45"/>
  <c r="G74" i="34"/>
  <c r="L45" i="43"/>
  <c r="N45" i="43" s="1"/>
  <c r="O45" i="43" s="1"/>
  <c r="H72" i="35"/>
  <c r="AN35" i="45"/>
  <c r="AN38" i="45"/>
  <c r="AN28" i="45"/>
  <c r="AN25" i="45"/>
  <c r="AH25" i="45"/>
  <c r="AH28" i="45"/>
  <c r="AH35" i="45"/>
  <c r="AH38" i="45"/>
  <c r="P34" i="46"/>
  <c r="AF13" i="45"/>
  <c r="G71" i="34"/>
  <c r="AF10" i="45"/>
  <c r="H69" i="35"/>
  <c r="L42" i="43"/>
  <c r="N42" i="43" s="1"/>
  <c r="O42" i="43" s="1"/>
  <c r="AF30" i="45"/>
  <c r="AF33" i="45"/>
  <c r="AF15" i="45"/>
  <c r="AF18" i="45"/>
  <c r="X23" i="45"/>
  <c r="X20" i="45"/>
  <c r="X30" i="45"/>
  <c r="X33" i="45"/>
  <c r="T28" i="45"/>
  <c r="T25" i="45"/>
  <c r="P29" i="46"/>
  <c r="H64" i="35"/>
  <c r="Z13" i="45"/>
  <c r="Z10" i="45"/>
  <c r="L33" i="43"/>
  <c r="N33" i="43" s="1"/>
  <c r="O33" i="43" s="1"/>
  <c r="G66" i="34"/>
  <c r="V30" i="45"/>
  <c r="V33" i="45"/>
  <c r="V38" i="45"/>
  <c r="V35" i="45"/>
  <c r="R28" i="45"/>
  <c r="R25" i="45"/>
  <c r="R35" i="45"/>
  <c r="R38" i="45"/>
  <c r="P18" i="45"/>
  <c r="P15" i="45"/>
  <c r="P23" i="45"/>
  <c r="P20" i="45"/>
  <c r="N33" i="45"/>
  <c r="N30" i="45"/>
  <c r="L28" i="45"/>
  <c r="L25" i="45"/>
  <c r="AL15" i="45"/>
  <c r="AL18" i="45"/>
  <c r="AL28" i="45"/>
  <c r="AL25" i="45"/>
  <c r="AN15" i="45"/>
  <c r="AN18" i="45"/>
  <c r="AJ18" i="45"/>
  <c r="AJ15" i="45"/>
  <c r="AJ25" i="45"/>
  <c r="AJ28" i="45"/>
  <c r="P41" i="46"/>
  <c r="L48" i="43"/>
  <c r="N48" i="43" s="1"/>
  <c r="O48" i="43" s="1"/>
  <c r="AR13" i="45"/>
  <c r="AR10" i="45"/>
  <c r="G78" i="34"/>
  <c r="H76" i="35"/>
  <c r="AR15" i="45"/>
  <c r="AR18" i="45"/>
  <c r="P35" i="46"/>
  <c r="AH10" i="45"/>
  <c r="AH13" i="45"/>
  <c r="H70" i="35"/>
  <c r="G72" i="34"/>
  <c r="L43" i="43"/>
  <c r="N43" i="43" s="1"/>
  <c r="O43" i="43" s="1"/>
  <c r="O23" i="46"/>
  <c r="O29" i="46"/>
  <c r="I72" i="43"/>
  <c r="N23" i="46"/>
  <c r="I87" i="43"/>
  <c r="N29" i="46"/>
  <c r="J35" i="35"/>
  <c r="I36" i="34"/>
  <c r="I64" i="35"/>
  <c r="H66" i="34"/>
  <c r="I73" i="43"/>
  <c r="H29" i="34"/>
  <c r="H45" i="34"/>
  <c r="AM14" i="45"/>
  <c r="AK14" i="45"/>
  <c r="AI14" i="45"/>
  <c r="AG14" i="45"/>
  <c r="AF14" i="45"/>
  <c r="Z14" i="45"/>
  <c r="I63" i="35"/>
  <c r="X14" i="45"/>
  <c r="V14" i="45"/>
  <c r="H63" i="34"/>
  <c r="T14" i="45"/>
  <c r="R14" i="45"/>
  <c r="P14" i="45"/>
  <c r="N14" i="45"/>
  <c r="M14" i="45"/>
  <c r="N36" i="46"/>
  <c r="N38" i="46"/>
  <c r="N37" i="46"/>
  <c r="K45" i="43"/>
  <c r="H44" i="34"/>
  <c r="K46" i="43"/>
  <c r="I43" i="35"/>
  <c r="I44" i="35"/>
  <c r="I98" i="43"/>
  <c r="K48" i="43"/>
  <c r="H48" i="34"/>
  <c r="I47" i="35"/>
  <c r="N41" i="46"/>
  <c r="I102" i="43"/>
  <c r="J44" i="35"/>
  <c r="K44" i="43"/>
  <c r="I42" i="35"/>
  <c r="H43" i="34"/>
  <c r="I99" i="43"/>
  <c r="J71" i="35"/>
  <c r="I73" i="34"/>
  <c r="I78" i="34"/>
  <c r="K43" i="43"/>
  <c r="I41" i="35"/>
  <c r="H42" i="34"/>
  <c r="N35" i="46"/>
  <c r="I62" i="35"/>
  <c r="M31" i="43"/>
  <c r="I59" i="35"/>
  <c r="M28" i="43"/>
  <c r="I58" i="35"/>
  <c r="M27" i="43"/>
  <c r="I57" i="35"/>
  <c r="M26" i="43"/>
  <c r="I56" i="35"/>
  <c r="M25" i="43"/>
  <c r="I69" i="35"/>
  <c r="M42" i="43"/>
  <c r="H65" i="34"/>
  <c r="M32" i="43"/>
  <c r="I61" i="35"/>
  <c r="M30" i="43"/>
  <c r="I28" i="35"/>
  <c r="K26" i="43"/>
  <c r="H59" i="34"/>
  <c r="F18" i="24"/>
  <c r="AT18" i="24" s="1"/>
  <c r="F24" i="24"/>
  <c r="AT24" i="24" s="1"/>
  <c r="F28" i="24"/>
  <c r="AT28" i="24" s="1"/>
  <c r="F34" i="24"/>
  <c r="AT34" i="24" s="1"/>
  <c r="F16" i="24"/>
  <c r="AT16" i="24" s="1"/>
  <c r="F20" i="24"/>
  <c r="AT20" i="24" s="1"/>
  <c r="F22" i="24"/>
  <c r="AT22" i="24" s="1"/>
  <c r="F26" i="24"/>
  <c r="AT26" i="24" s="1"/>
  <c r="F30" i="24"/>
  <c r="AT30" i="24" s="1"/>
  <c r="F32" i="24"/>
  <c r="AT32" i="24" s="1"/>
  <c r="F17" i="24"/>
  <c r="AT17" i="24" s="1"/>
  <c r="F19" i="24"/>
  <c r="AT19" i="24" s="1"/>
  <c r="F21" i="24"/>
  <c r="AT21" i="24" s="1"/>
  <c r="F23" i="24"/>
  <c r="AT23" i="24" s="1"/>
  <c r="F25" i="24"/>
  <c r="AT25" i="24" s="1"/>
  <c r="F27" i="24"/>
  <c r="AT27" i="24" s="1"/>
  <c r="F29" i="24"/>
  <c r="AT29" i="24" s="1"/>
  <c r="F31" i="24"/>
  <c r="AT31" i="24" s="1"/>
  <c r="F33" i="24"/>
  <c r="AT33" i="24" s="1"/>
  <c r="H58" i="34"/>
  <c r="I82" i="43"/>
  <c r="I69" i="43"/>
  <c r="H64" i="34"/>
  <c r="H61" i="34"/>
  <c r="H71" i="34"/>
  <c r="H60" i="34"/>
  <c r="I86" i="43"/>
  <c r="I88" i="43"/>
  <c r="I84" i="43"/>
  <c r="N27" i="46"/>
  <c r="I30" i="34"/>
  <c r="I71" i="43"/>
  <c r="J28" i="35"/>
  <c r="N26" i="46"/>
  <c r="N24" i="46"/>
  <c r="J63" i="35"/>
  <c r="J61" i="35"/>
  <c r="J58" i="35"/>
  <c r="J29" i="35"/>
  <c r="B14" i="16"/>
  <c r="B47" i="8" l="1"/>
  <c r="I68" i="43"/>
  <c r="N21" i="46"/>
  <c r="I85" i="43"/>
  <c r="N28" i="46"/>
  <c r="I70" i="43"/>
  <c r="N22" i="46"/>
  <c r="I94" i="43"/>
  <c r="N34" i="46"/>
  <c r="J64" i="35"/>
  <c r="I66" i="34"/>
  <c r="J76" i="35"/>
  <c r="I35" i="34"/>
  <c r="I45" i="34"/>
  <c r="J56" i="35"/>
  <c r="J34" i="35"/>
  <c r="I43" i="34"/>
  <c r="J42" i="35"/>
  <c r="I111" i="43"/>
  <c r="I65" i="34"/>
  <c r="I97" i="43"/>
  <c r="J70" i="35"/>
  <c r="I72" i="34"/>
  <c r="I110" i="43"/>
  <c r="I48" i="34"/>
  <c r="J47" i="35"/>
  <c r="I103" i="43"/>
  <c r="J73" i="35"/>
  <c r="I75" i="34"/>
  <c r="I44" i="34"/>
  <c r="I100" i="43"/>
  <c r="J43" i="35"/>
  <c r="I96" i="43"/>
  <c r="J41" i="35"/>
  <c r="I42" i="34"/>
  <c r="I101" i="43"/>
  <c r="I74" i="34"/>
  <c r="J72" i="35"/>
  <c r="J30" i="35"/>
  <c r="I74" i="43"/>
  <c r="J32" i="35"/>
  <c r="I81" i="43"/>
  <c r="J33" i="35"/>
  <c r="I83" i="43"/>
  <c r="J69" i="35"/>
  <c r="I95" i="43"/>
  <c r="I61" i="34"/>
  <c r="I75" i="43"/>
  <c r="J59" i="35"/>
  <c r="I33" i="34"/>
  <c r="J62" i="35"/>
  <c r="J27" i="35"/>
  <c r="J57" i="35"/>
  <c r="I31" i="34"/>
  <c r="J40" i="35"/>
  <c r="I41" i="34"/>
  <c r="I71" i="34"/>
  <c r="I28" i="34"/>
  <c r="I60" i="34"/>
  <c r="I59" i="34"/>
  <c r="I29" i="34"/>
  <c r="I64" i="34"/>
  <c r="I58" i="34"/>
  <c r="I63" i="34"/>
  <c r="I34" i="34"/>
  <c r="B15" i="16"/>
  <c r="B48" i="8" l="1"/>
  <c r="B16" i="16"/>
  <c r="B49" i="8" l="1"/>
  <c r="B17" i="16"/>
  <c r="B50" i="8" l="1"/>
  <c r="B18" i="16"/>
  <c r="B51" i="8" l="1"/>
  <c r="B19" i="16"/>
  <c r="B52" i="8" l="1"/>
  <c r="B20" i="16"/>
  <c r="F69" i="1"/>
  <c r="B53" i="8" l="1"/>
  <c r="H69" i="1"/>
  <c r="AL69" i="1"/>
  <c r="F76" i="1"/>
  <c r="B21" i="16"/>
  <c r="B54" i="8" l="1"/>
  <c r="AL76" i="1"/>
  <c r="AN69" i="1"/>
  <c r="H76" i="1"/>
  <c r="BK23" i="1" s="1"/>
  <c r="AG40" i="1"/>
  <c r="BJ31" i="1"/>
  <c r="BJ47" i="1"/>
  <c r="AG41" i="1"/>
  <c r="B22" i="16"/>
  <c r="B55" i="8" l="1"/>
  <c r="AG46" i="1"/>
  <c r="BJ50" i="1"/>
  <c r="AG49" i="1"/>
  <c r="AG19" i="1"/>
  <c r="BK32" i="1"/>
  <c r="AG48" i="1"/>
  <c r="AH57" i="1"/>
  <c r="BJ28" i="1"/>
  <c r="AG63" i="1"/>
  <c r="BJ36" i="1"/>
  <c r="AH30" i="1"/>
  <c r="BK33" i="1"/>
  <c r="AG53" i="1"/>
  <c r="AG47" i="1"/>
  <c r="AH61" i="1"/>
  <c r="AG56" i="1"/>
  <c r="BJ22" i="1"/>
  <c r="BJ51" i="1"/>
  <c r="AH17" i="1"/>
  <c r="BJ18" i="1"/>
  <c r="AG52" i="1"/>
  <c r="BK58" i="1"/>
  <c r="AH25" i="1"/>
  <c r="BJ43" i="1"/>
  <c r="BN43" i="1" s="1"/>
  <c r="AG51" i="1"/>
  <c r="AH48" i="1"/>
  <c r="AH29" i="1"/>
  <c r="BJ24" i="1"/>
  <c r="BN24" i="1" s="1"/>
  <c r="AG45" i="1"/>
  <c r="AG61" i="1"/>
  <c r="BJ35" i="1"/>
  <c r="BJ57" i="1"/>
  <c r="BJ27" i="1"/>
  <c r="BJ62" i="1"/>
  <c r="BK63" i="1"/>
  <c r="BJ48" i="1"/>
  <c r="BN48" i="1" s="1"/>
  <c r="AG23" i="1"/>
  <c r="BK47" i="1"/>
  <c r="BN47" i="1" s="1"/>
  <c r="BK43" i="1"/>
  <c r="AH62" i="1"/>
  <c r="BK56" i="1"/>
  <c r="BK36" i="1"/>
  <c r="AH36" i="1"/>
  <c r="AH31" i="1"/>
  <c r="AH58" i="1"/>
  <c r="BK62" i="1"/>
  <c r="AG39" i="1"/>
  <c r="AH55" i="1"/>
  <c r="BJ34" i="1"/>
  <c r="AH34" i="1"/>
  <c r="BK22" i="1"/>
  <c r="BK49" i="1"/>
  <c r="AH60" i="1"/>
  <c r="AH40" i="1"/>
  <c r="AK40" i="1" s="1"/>
  <c r="AG37" i="1"/>
  <c r="BJ32" i="1"/>
  <c r="BN32" i="1" s="1"/>
  <c r="BJ39" i="1"/>
  <c r="BJ54" i="1"/>
  <c r="BJ26" i="1"/>
  <c r="AG21" i="1"/>
  <c r="BK48" i="1"/>
  <c r="AH16" i="1"/>
  <c r="AG29" i="1"/>
  <c r="AK29" i="1" s="1"/>
  <c r="BK14" i="1"/>
  <c r="AG27" i="1"/>
  <c r="AG44" i="1"/>
  <c r="BJ45" i="1"/>
  <c r="AG36" i="1"/>
  <c r="AK36" i="1" s="1"/>
  <c r="AG31" i="1"/>
  <c r="AK31" i="1" s="1"/>
  <c r="BJ58" i="1"/>
  <c r="BJ56" i="1"/>
  <c r="BJ40" i="1"/>
  <c r="AH53" i="1"/>
  <c r="BJ59" i="1"/>
  <c r="BK59" i="1"/>
  <c r="AH52" i="1"/>
  <c r="AG50" i="1"/>
  <c r="AG42" i="1"/>
  <c r="AH45" i="1"/>
  <c r="BK40" i="1"/>
  <c r="BK24" i="1"/>
  <c r="AH63" i="1"/>
  <c r="BJ46" i="1"/>
  <c r="BK26" i="1"/>
  <c r="AG55" i="1"/>
  <c r="AH33" i="1"/>
  <c r="BJ55" i="1"/>
  <c r="AG17" i="1"/>
  <c r="AK17" i="1" s="1"/>
  <c r="AH49" i="1"/>
  <c r="AH21" i="1"/>
  <c r="AG25" i="1"/>
  <c r="AK25" i="1" s="1"/>
  <c r="BJ60" i="1"/>
  <c r="AG57" i="1"/>
  <c r="BJ44" i="1"/>
  <c r="AG15" i="1"/>
  <c r="BJ16" i="1"/>
  <c r="BN16" i="1" s="1"/>
  <c r="BJ20" i="1"/>
  <c r="AG14" i="1"/>
  <c r="BK46" i="1"/>
  <c r="AG32" i="1"/>
  <c r="AG33" i="1"/>
  <c r="AK33" i="1" s="1"/>
  <c r="BJ52" i="1"/>
  <c r="BK50" i="1"/>
  <c r="BJ63" i="1"/>
  <c r="AH54" i="1"/>
  <c r="BK60" i="1"/>
  <c r="AH46" i="1"/>
  <c r="BJ37" i="1"/>
  <c r="BN37" i="1" s="1"/>
  <c r="BK37" i="1"/>
  <c r="AH19" i="1"/>
  <c r="BK51" i="1"/>
  <c r="BJ53" i="1"/>
  <c r="AG38" i="1"/>
  <c r="BJ29" i="1"/>
  <c r="AH23" i="1"/>
  <c r="AH59" i="1"/>
  <c r="AG60" i="1"/>
  <c r="BK54" i="1"/>
  <c r="BK39" i="1"/>
  <c r="BK34" i="1"/>
  <c r="BK18" i="1"/>
  <c r="BK15" i="1"/>
  <c r="BJ19" i="1"/>
  <c r="AG54" i="1"/>
  <c r="BJ61" i="1"/>
  <c r="AH50" i="1"/>
  <c r="AH43" i="1"/>
  <c r="AG35" i="1"/>
  <c r="BK30" i="1"/>
  <c r="AG28" i="1"/>
  <c r="BK21" i="1"/>
  <c r="AH15" i="1"/>
  <c r="AH27" i="1"/>
  <c r="AH47" i="1"/>
  <c r="BJ33" i="1"/>
  <c r="BN33" i="1" s="1"/>
  <c r="AG20" i="1"/>
  <c r="AH26" i="1"/>
  <c r="BJ30" i="1"/>
  <c r="BN30" i="1" s="1"/>
  <c r="AH18" i="1"/>
  <c r="BK52" i="1"/>
  <c r="BJ42" i="1"/>
  <c r="BJ14" i="1"/>
  <c r="AG59" i="1"/>
  <c r="BK61" i="1"/>
  <c r="AH51" i="1"/>
  <c r="BJ17" i="1"/>
  <c r="AG58" i="1"/>
  <c r="BK44" i="1"/>
  <c r="AH20" i="1"/>
  <c r="BK19" i="1"/>
  <c r="BK53" i="1"/>
  <c r="BJ49" i="1"/>
  <c r="BN49" i="1" s="1"/>
  <c r="AH37" i="1"/>
  <c r="AG24" i="1"/>
  <c r="AG62" i="1"/>
  <c r="BK45" i="1"/>
  <c r="BK25" i="1"/>
  <c r="AH24" i="1"/>
  <c r="BK38" i="1"/>
  <c r="BK35" i="1"/>
  <c r="AH42" i="1"/>
  <c r="BK16" i="1"/>
  <c r="AH22" i="1"/>
  <c r="AH56" i="1"/>
  <c r="AG34" i="1"/>
  <c r="AK34" i="1" s="1"/>
  <c r="AH41" i="1"/>
  <c r="AK41" i="1" s="1"/>
  <c r="BK27" i="1"/>
  <c r="AH32" i="1"/>
  <c r="AH44" i="1"/>
  <c r="AG30" i="1"/>
  <c r="AK30" i="1" s="1"/>
  <c r="AG22" i="1"/>
  <c r="AK22" i="1" s="1"/>
  <c r="BK17" i="1"/>
  <c r="BK55" i="1"/>
  <c r="BJ38" i="1"/>
  <c r="BN38" i="1" s="1"/>
  <c r="BK42" i="1"/>
  <c r="BJ15" i="1"/>
  <c r="BN15" i="1" s="1"/>
  <c r="BK41" i="1"/>
  <c r="AH35" i="1"/>
  <c r="AH39" i="1"/>
  <c r="BK29" i="1"/>
  <c r="BK57" i="1"/>
  <c r="AH38" i="1"/>
  <c r="AG43" i="1"/>
  <c r="AK43" i="1" s="1"/>
  <c r="AH14" i="1"/>
  <c r="BJ21" i="1"/>
  <c r="BN21" i="1" s="1"/>
  <c r="BK31" i="1"/>
  <c r="BN31" i="1" s="1"/>
  <c r="AG18" i="1"/>
  <c r="AK18" i="1" s="1"/>
  <c r="BK28" i="1"/>
  <c r="AH28" i="1"/>
  <c r="BJ41" i="1"/>
  <c r="BN41" i="1" s="1"/>
  <c r="AG26" i="1"/>
  <c r="AK26" i="1" s="1"/>
  <c r="BJ23" i="1"/>
  <c r="BN23" i="1" s="1"/>
  <c r="AN76" i="1"/>
  <c r="AW14" i="1" s="1"/>
  <c r="T14" i="1"/>
  <c r="AG16" i="1"/>
  <c r="AK16" i="1" s="1"/>
  <c r="BJ25" i="1"/>
  <c r="BN25" i="1" s="1"/>
  <c r="BK20" i="1"/>
  <c r="B7" i="1"/>
  <c r="BN14" i="1"/>
  <c r="B23" i="16"/>
  <c r="B56" i="8" l="1"/>
  <c r="BN17" i="1"/>
  <c r="BN29" i="1"/>
  <c r="BN44" i="1"/>
  <c r="BN36" i="1"/>
  <c r="BN50" i="1"/>
  <c r="BN42" i="1"/>
  <c r="BN20" i="1"/>
  <c r="BN39" i="1"/>
  <c r="BN34" i="1"/>
  <c r="BN27" i="1"/>
  <c r="BN22" i="1"/>
  <c r="BN40" i="1"/>
  <c r="BN18" i="1"/>
  <c r="BN28" i="1"/>
  <c r="BN19" i="1"/>
  <c r="BN46" i="1"/>
  <c r="BN45" i="1"/>
  <c r="BN26" i="1"/>
  <c r="BN35" i="1"/>
  <c r="AK24" i="1"/>
  <c r="AK28" i="1"/>
  <c r="AK14" i="1"/>
  <c r="AK42" i="1"/>
  <c r="AK44" i="1"/>
  <c r="AK47" i="1"/>
  <c r="AK48" i="1"/>
  <c r="AK38" i="1"/>
  <c r="AK50" i="1"/>
  <c r="AK27" i="1"/>
  <c r="AK23" i="1"/>
  <c r="AK45" i="1"/>
  <c r="AK46" i="1"/>
  <c r="AK20" i="1"/>
  <c r="AK35" i="1"/>
  <c r="AK32" i="1"/>
  <c r="AK21" i="1"/>
  <c r="AK19" i="1"/>
  <c r="AK15" i="1"/>
  <c r="AK37" i="1"/>
  <c r="AK39" i="1"/>
  <c r="AK49" i="1"/>
  <c r="B24" i="16"/>
  <c r="B57" i="8" l="1"/>
  <c r="B58" i="8" s="1"/>
  <c r="B59" i="8" s="1"/>
  <c r="B60" i="8" s="1"/>
  <c r="B61" i="8" s="1"/>
  <c r="B62" i="8" s="1"/>
  <c r="B63" i="8" s="1"/>
  <c r="J26" i="35" s="1"/>
  <c r="B25" i="16"/>
  <c r="E37" i="1"/>
  <c r="C37" i="1"/>
  <c r="E36" i="1"/>
  <c r="C36" i="1"/>
  <c r="E35" i="1"/>
  <c r="C35" i="1"/>
  <c r="E34" i="1"/>
  <c r="C34" i="1"/>
  <c r="E33" i="1"/>
  <c r="C33" i="1"/>
  <c r="E32" i="1"/>
  <c r="C32" i="1"/>
  <c r="E31" i="1"/>
  <c r="C31" i="1"/>
  <c r="E30" i="1"/>
  <c r="C30" i="1"/>
  <c r="E29" i="1"/>
  <c r="C29" i="1"/>
  <c r="E28" i="1"/>
  <c r="C28" i="1"/>
  <c r="E27" i="1"/>
  <c r="C27" i="1"/>
  <c r="E26" i="1"/>
  <c r="C26" i="1"/>
  <c r="E25" i="1"/>
  <c r="C25" i="1"/>
  <c r="E24" i="1"/>
  <c r="C24" i="1"/>
  <c r="E23" i="1"/>
  <c r="C23" i="1"/>
  <c r="E22" i="1"/>
  <c r="C22" i="1"/>
  <c r="E21" i="1"/>
  <c r="C21" i="1"/>
  <c r="E20" i="1"/>
  <c r="C20" i="1"/>
  <c r="E19" i="1"/>
  <c r="C19" i="1"/>
  <c r="E18" i="1"/>
  <c r="C18" i="1"/>
  <c r="E17" i="1"/>
  <c r="C17" i="1"/>
  <c r="E16" i="1"/>
  <c r="C16" i="1"/>
  <c r="E14" i="1"/>
  <c r="C14" i="1"/>
  <c r="B15" i="1"/>
  <c r="C15" i="1"/>
  <c r="J55" i="35" l="1"/>
  <c r="N20" i="46"/>
  <c r="I57" i="34"/>
  <c r="I27" i="34"/>
  <c r="I22" i="45"/>
  <c r="I27" i="45"/>
  <c r="I20" i="45"/>
  <c r="Q20" i="46"/>
  <c r="J24" i="45"/>
  <c r="I37" i="45"/>
  <c r="I28" i="45"/>
  <c r="J29" i="45"/>
  <c r="I19" i="45"/>
  <c r="I39" i="45"/>
  <c r="J34" i="45"/>
  <c r="H20" i="46"/>
  <c r="K20" i="46"/>
  <c r="J24" i="43"/>
  <c r="I24" i="43" s="1"/>
  <c r="I25" i="45"/>
  <c r="I11" i="45"/>
  <c r="I16" i="45"/>
  <c r="R20" i="46"/>
  <c r="I38" i="45"/>
  <c r="I24" i="45"/>
  <c r="I35" i="45"/>
  <c r="I20" i="46"/>
  <c r="I12" i="45"/>
  <c r="I26" i="45"/>
  <c r="J39" i="45"/>
  <c r="M20" i="46"/>
  <c r="I21" i="45"/>
  <c r="J20" i="46"/>
  <c r="I34" i="45"/>
  <c r="L20" i="46"/>
  <c r="I33" i="45"/>
  <c r="I36" i="45"/>
  <c r="I29" i="45"/>
  <c r="I17" i="45"/>
  <c r="H26" i="35"/>
  <c r="I15" i="45"/>
  <c r="I30" i="45"/>
  <c r="I18" i="45"/>
  <c r="I32" i="45"/>
  <c r="I23" i="45"/>
  <c r="I10" i="45"/>
  <c r="I31" i="45"/>
  <c r="G27" i="34"/>
  <c r="I13" i="45"/>
  <c r="I26" i="35"/>
  <c r="M24" i="43"/>
  <c r="I14" i="45"/>
  <c r="O20" i="46"/>
  <c r="J19" i="45"/>
  <c r="K24" i="43"/>
  <c r="H27" i="34"/>
  <c r="G57" i="34"/>
  <c r="I67" i="43"/>
  <c r="J35" i="45"/>
  <c r="L24" i="43"/>
  <c r="N24" i="43" s="1"/>
  <c r="O24" i="43" s="1"/>
  <c r="J30" i="45"/>
  <c r="J25" i="45"/>
  <c r="J38" i="45"/>
  <c r="I66" i="43"/>
  <c r="J10" i="45"/>
  <c r="J33" i="45"/>
  <c r="J28" i="45"/>
  <c r="P20" i="46"/>
  <c r="J14" i="45"/>
  <c r="J15" i="45"/>
  <c r="J13" i="45"/>
  <c r="J20" i="45"/>
  <c r="J18" i="45"/>
  <c r="I55" i="35"/>
  <c r="H57" i="34"/>
  <c r="H55" i="35"/>
  <c r="J23" i="45"/>
  <c r="Y12" i="24"/>
  <c r="AU12" i="24" s="1"/>
  <c r="B26" i="16"/>
  <c r="B16" i="1"/>
  <c r="Y14" i="24" l="1"/>
  <c r="AU14" i="24" s="1"/>
  <c r="Y15" i="24"/>
  <c r="AU15" i="24" s="1"/>
  <c r="Y13" i="24"/>
  <c r="AU13" i="24" s="1"/>
  <c r="Y11" i="24"/>
  <c r="F12" i="24"/>
  <c r="AT12" i="24" s="1"/>
  <c r="F14" i="24"/>
  <c r="F15" i="24"/>
  <c r="B27" i="16"/>
  <c r="F13" i="24"/>
  <c r="AT13" i="24" s="1"/>
  <c r="B17" i="1"/>
  <c r="Y65" i="24" l="1"/>
  <c r="Y63" i="24"/>
  <c r="AA11" i="48" s="1"/>
  <c r="Y64" i="24"/>
  <c r="AA6" i="48" s="1"/>
  <c r="Y62" i="24"/>
  <c r="AA9" i="48" s="1"/>
  <c r="AU11" i="24"/>
  <c r="AT15" i="24"/>
  <c r="F50" i="24"/>
  <c r="AT50" i="24" s="1"/>
  <c r="AT14" i="24"/>
  <c r="F11" i="24"/>
  <c r="B28" i="16"/>
  <c r="B18" i="1"/>
  <c r="D6" i="48" l="1"/>
  <c r="D33" i="48" s="1"/>
  <c r="F65" i="24"/>
  <c r="F63" i="24"/>
  <c r="AA10" i="48" s="1"/>
  <c r="F64" i="24"/>
  <c r="F62" i="24"/>
  <c r="AT11" i="24"/>
  <c r="AV11" i="24" s="1"/>
  <c r="AV50" i="24"/>
  <c r="AW50" i="24" s="1"/>
  <c r="F50" i="36" s="1"/>
  <c r="G50" i="36" s="1"/>
  <c r="L50" i="36" s="1"/>
  <c r="B29" i="16"/>
  <c r="B19" i="1"/>
  <c r="AA8" i="48" l="1"/>
  <c r="AA5" i="48"/>
  <c r="AV15" i="24"/>
  <c r="AV13" i="24"/>
  <c r="AV12" i="24"/>
  <c r="AV36" i="24"/>
  <c r="AV32" i="24"/>
  <c r="AV28" i="24"/>
  <c r="AV24" i="24"/>
  <c r="AV20" i="24"/>
  <c r="AV16" i="24"/>
  <c r="AV37" i="24"/>
  <c r="AV33" i="24"/>
  <c r="AV29" i="24"/>
  <c r="AV25" i="24"/>
  <c r="AV21" i="24"/>
  <c r="AV17" i="24"/>
  <c r="AV38" i="24"/>
  <c r="AV34" i="24"/>
  <c r="AV30" i="24"/>
  <c r="AV26" i="24"/>
  <c r="AV22" i="24"/>
  <c r="AV18" i="24"/>
  <c r="AV14" i="24"/>
  <c r="AV39" i="24"/>
  <c r="AV35" i="24"/>
  <c r="AV31" i="24"/>
  <c r="AV27" i="24"/>
  <c r="AV23" i="24"/>
  <c r="AV19" i="24"/>
  <c r="B30" i="16"/>
  <c r="B20" i="1"/>
  <c r="AW31" i="24" l="1"/>
  <c r="F31" i="36" s="1"/>
  <c r="G31" i="36" s="1"/>
  <c r="L31" i="36" s="1"/>
  <c r="AW23" i="24"/>
  <c r="F23" i="36" s="1"/>
  <c r="G23" i="36" s="1"/>
  <c r="L23" i="36" s="1"/>
  <c r="AW19" i="24"/>
  <c r="F19" i="36" s="1"/>
  <c r="G19" i="36" s="1"/>
  <c r="L19" i="36" s="1"/>
  <c r="AW40" i="24"/>
  <c r="F40" i="36" s="1"/>
  <c r="G40" i="36" s="1"/>
  <c r="L40" i="36" s="1"/>
  <c r="AW27" i="24"/>
  <c r="F27" i="36" s="1"/>
  <c r="G27" i="36" s="1"/>
  <c r="L27" i="36" s="1"/>
  <c r="AW30" i="24"/>
  <c r="F30" i="36" s="1"/>
  <c r="G30" i="36" s="1"/>
  <c r="L30" i="36" s="1"/>
  <c r="AW21" i="24"/>
  <c r="F21" i="36" s="1"/>
  <c r="G21" i="36" s="1"/>
  <c r="L21" i="36" s="1"/>
  <c r="AW37" i="24"/>
  <c r="F37" i="36" s="1"/>
  <c r="G37" i="36" s="1"/>
  <c r="L37" i="36" s="1"/>
  <c r="AW28" i="24"/>
  <c r="F28" i="36" s="1"/>
  <c r="G28" i="36" s="1"/>
  <c r="L28" i="36" s="1"/>
  <c r="AW46" i="24"/>
  <c r="F46" i="36" s="1"/>
  <c r="G46" i="36" s="1"/>
  <c r="L46" i="36" s="1"/>
  <c r="AW45" i="24"/>
  <c r="F45" i="36" s="1"/>
  <c r="G45" i="36" s="1"/>
  <c r="L45" i="36" s="1"/>
  <c r="AW18" i="24"/>
  <c r="F18" i="36" s="1"/>
  <c r="G18" i="36" s="1"/>
  <c r="L18" i="36" s="1"/>
  <c r="AW34" i="24"/>
  <c r="F34" i="36" s="1"/>
  <c r="G34" i="36" s="1"/>
  <c r="L34" i="36" s="1"/>
  <c r="AW25" i="24"/>
  <c r="F25" i="36" s="1"/>
  <c r="G25" i="36" s="1"/>
  <c r="L25" i="36" s="1"/>
  <c r="AW16" i="24"/>
  <c r="F16" i="36" s="1"/>
  <c r="G16" i="36" s="1"/>
  <c r="L16" i="36" s="1"/>
  <c r="AW32" i="24"/>
  <c r="F32" i="36" s="1"/>
  <c r="G32" i="36" s="1"/>
  <c r="L32" i="36" s="1"/>
  <c r="AW44" i="24"/>
  <c r="F44" i="36" s="1"/>
  <c r="G44" i="36" s="1"/>
  <c r="L44" i="36" s="1"/>
  <c r="AW43" i="24"/>
  <c r="F43" i="36" s="1"/>
  <c r="G43" i="36" s="1"/>
  <c r="L43" i="36" s="1"/>
  <c r="AW35" i="24"/>
  <c r="F35" i="36" s="1"/>
  <c r="G35" i="36" s="1"/>
  <c r="L35" i="36" s="1"/>
  <c r="AW22" i="24"/>
  <c r="F22" i="36" s="1"/>
  <c r="G22" i="36" s="1"/>
  <c r="L22" i="36" s="1"/>
  <c r="AW38" i="24"/>
  <c r="F38" i="36" s="1"/>
  <c r="G38" i="36" s="1"/>
  <c r="L38" i="36" s="1"/>
  <c r="AW29" i="24"/>
  <c r="F29" i="36" s="1"/>
  <c r="G29" i="36" s="1"/>
  <c r="L29" i="36" s="1"/>
  <c r="AW20" i="24"/>
  <c r="F20" i="36" s="1"/>
  <c r="G20" i="36" s="1"/>
  <c r="L20" i="36" s="1"/>
  <c r="AW36" i="24"/>
  <c r="F36" i="36" s="1"/>
  <c r="G36" i="36" s="1"/>
  <c r="L36" i="36" s="1"/>
  <c r="AW42" i="24"/>
  <c r="F42" i="36" s="1"/>
  <c r="G42" i="36" s="1"/>
  <c r="L42" i="36" s="1"/>
  <c r="AW47" i="24"/>
  <c r="F47" i="36" s="1"/>
  <c r="G47" i="36" s="1"/>
  <c r="L47" i="36" s="1"/>
  <c r="AW26" i="24"/>
  <c r="F26" i="36" s="1"/>
  <c r="G26" i="36" s="1"/>
  <c r="L26" i="36" s="1"/>
  <c r="AW17" i="24"/>
  <c r="F17" i="36" s="1"/>
  <c r="G17" i="36" s="1"/>
  <c r="L17" i="36" s="1"/>
  <c r="AW33" i="24"/>
  <c r="F33" i="36" s="1"/>
  <c r="G33" i="36" s="1"/>
  <c r="L33" i="36" s="1"/>
  <c r="AW24" i="24"/>
  <c r="F24" i="36" s="1"/>
  <c r="G24" i="36" s="1"/>
  <c r="L24" i="36" s="1"/>
  <c r="AW41" i="24"/>
  <c r="F41" i="36" s="1"/>
  <c r="G41" i="36" s="1"/>
  <c r="L41" i="36" s="1"/>
  <c r="D5" i="48"/>
  <c r="D32" i="48" s="1"/>
  <c r="AA7" i="48"/>
  <c r="AW12" i="24"/>
  <c r="AW11" i="24"/>
  <c r="AW39" i="24"/>
  <c r="F39" i="36" s="1"/>
  <c r="G39" i="36" s="1"/>
  <c r="L39" i="36" s="1"/>
  <c r="AW15" i="24"/>
  <c r="F15" i="36" s="1"/>
  <c r="G15" i="36" s="1"/>
  <c r="L15" i="36" s="1"/>
  <c r="AW14" i="24"/>
  <c r="F14" i="36" s="1"/>
  <c r="G14" i="36" s="1"/>
  <c r="L14" i="36" s="1"/>
  <c r="AW13" i="24"/>
  <c r="F13" i="36" s="1"/>
  <c r="G13" i="36" s="1"/>
  <c r="L13" i="36" s="1"/>
  <c r="B31" i="16"/>
  <c r="B21" i="1"/>
  <c r="B104" i="35" l="1"/>
  <c r="F12" i="36"/>
  <c r="G12" i="36" s="1"/>
  <c r="L12" i="36" s="1"/>
  <c r="B102" i="34"/>
  <c r="F11" i="36"/>
  <c r="G11" i="36" s="1"/>
  <c r="L11" i="36" s="1"/>
  <c r="D128" i="43" s="1"/>
  <c r="B32" i="16"/>
  <c r="B22" i="1"/>
  <c r="D102" i="34" l="1"/>
  <c r="D104" i="35"/>
  <c r="B33" i="16"/>
  <c r="B23" i="1"/>
  <c r="B34" i="16" l="1"/>
  <c r="B24" i="1"/>
  <c r="B35" i="16" l="1"/>
  <c r="B25" i="1"/>
  <c r="B36" i="16" l="1"/>
  <c r="B37" i="16" s="1"/>
  <c r="B38" i="16" s="1"/>
  <c r="B39" i="16" s="1"/>
  <c r="B40" i="16" s="1"/>
  <c r="B41" i="16" s="1"/>
  <c r="B42" i="16" s="1"/>
  <c r="B43" i="16" s="1"/>
  <c r="B44" i="16" s="1"/>
  <c r="B45" i="16" s="1"/>
  <c r="B46" i="16" s="1"/>
  <c r="B47" i="16" s="1"/>
  <c r="B48" i="16" s="1"/>
  <c r="B49" i="16" s="1"/>
  <c r="B50" i="16" s="1"/>
  <c r="B51" i="16" s="1"/>
  <c r="B52" i="16" s="1"/>
  <c r="B53" i="16" s="1"/>
  <c r="B54" i="16" s="1"/>
  <c r="B55" i="16" s="1"/>
  <c r="B56" i="16" s="1"/>
  <c r="B57" i="16" s="1"/>
  <c r="B58" i="16" s="1"/>
  <c r="B26" i="1"/>
  <c r="AX34" i="45" l="1"/>
  <c r="BA35" i="45"/>
  <c r="AV14" i="45"/>
  <c r="AZ25" i="45"/>
  <c r="AZ10" i="45"/>
  <c r="AU39" i="45"/>
  <c r="AZ35" i="45"/>
  <c r="AZ20" i="45"/>
  <c r="Q47" i="46"/>
  <c r="AY10" i="45"/>
  <c r="AX19" i="45"/>
  <c r="BA20" i="45"/>
  <c r="AX29" i="45"/>
  <c r="AV29" i="45"/>
  <c r="AU19" i="45"/>
  <c r="BA15" i="45"/>
  <c r="BA25" i="45"/>
  <c r="AZ30" i="45"/>
  <c r="AU14" i="45"/>
  <c r="AW19" i="45"/>
  <c r="AY20" i="45"/>
  <c r="AY25" i="45"/>
  <c r="AW14" i="45"/>
  <c r="BA10" i="45"/>
  <c r="AW34" i="45"/>
  <c r="AU34" i="45"/>
  <c r="AY35" i="45"/>
  <c r="AV39" i="45"/>
  <c r="AU29" i="45"/>
  <c r="BA30" i="45"/>
  <c r="AW39" i="45"/>
  <c r="Q46" i="46"/>
  <c r="AX14" i="45"/>
  <c r="Q48" i="46"/>
  <c r="AY15" i="45"/>
  <c r="AV24" i="45"/>
  <c r="AZ15" i="45"/>
  <c r="AX24" i="45"/>
  <c r="AY30" i="45"/>
  <c r="AV34" i="45"/>
  <c r="AV19" i="45"/>
  <c r="AW24" i="45"/>
  <c r="AU24" i="45"/>
  <c r="AW29" i="45"/>
  <c r="AX39" i="45"/>
  <c r="E90" i="34"/>
  <c r="E93" i="35"/>
  <c r="E115" i="43"/>
  <c r="I117" i="43"/>
  <c r="J117" i="43" s="1"/>
  <c r="E89" i="34"/>
  <c r="E92" i="35"/>
  <c r="E114" i="43"/>
  <c r="I116" i="43"/>
  <c r="J116" i="43" s="1"/>
  <c r="E88" i="34"/>
  <c r="E91" i="35"/>
  <c r="I93" i="35"/>
  <c r="J93" i="35" s="1"/>
  <c r="I115" i="43"/>
  <c r="J115" i="43" s="1"/>
  <c r="H98" i="34"/>
  <c r="E90" i="35"/>
  <c r="I92" i="35"/>
  <c r="J92" i="35" s="1"/>
  <c r="I114" i="43"/>
  <c r="J114" i="43" s="1"/>
  <c r="H91" i="34"/>
  <c r="I91" i="34" s="1"/>
  <c r="I91" i="35"/>
  <c r="J91" i="35" s="1"/>
  <c r="I90" i="35"/>
  <c r="J90" i="35" s="1"/>
  <c r="I126" i="43"/>
  <c r="H90" i="34"/>
  <c r="I90" i="34" s="1"/>
  <c r="H100" i="34"/>
  <c r="I102" i="35"/>
  <c r="I124" i="43"/>
  <c r="H89" i="34"/>
  <c r="I89" i="34" s="1"/>
  <c r="H99" i="34"/>
  <c r="I101" i="35"/>
  <c r="E117" i="43"/>
  <c r="H88" i="34"/>
  <c r="I88" i="34" s="1"/>
  <c r="E91" i="34"/>
  <c r="I100" i="35"/>
  <c r="E116" i="43"/>
  <c r="I125" i="43"/>
  <c r="B27" i="1"/>
  <c r="B28" i="1" l="1"/>
  <c r="B29" i="1" l="1"/>
  <c r="B30" i="1" l="1"/>
  <c r="B31" i="1" l="1"/>
  <c r="B32" i="1" l="1"/>
  <c r="B33" i="1" l="1"/>
  <c r="B34" i="1" l="1"/>
  <c r="B35" i="1" l="1"/>
  <c r="B36" i="1" l="1"/>
  <c r="B37" i="1" l="1"/>
  <c r="B38" i="1" s="1"/>
  <c r="Q19" i="46" l="1"/>
  <c r="M19" i="46"/>
  <c r="I19" i="46"/>
  <c r="L19" i="46"/>
  <c r="R19" i="46"/>
  <c r="J19" i="46"/>
  <c r="K19" i="46"/>
  <c r="H19" i="46"/>
  <c r="B39" i="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L24" i="45" l="1"/>
  <c r="G38" i="45"/>
  <c r="G32" i="45"/>
  <c r="G25" i="45"/>
  <c r="G20" i="45"/>
  <c r="G18" i="45"/>
  <c r="G13" i="45"/>
  <c r="G34" i="45"/>
  <c r="H34" i="45"/>
  <c r="L34" i="45"/>
  <c r="G39" i="45"/>
  <c r="G37" i="45"/>
  <c r="G31" i="45"/>
  <c r="G27" i="45"/>
  <c r="G23" i="45"/>
  <c r="G17" i="45"/>
  <c r="G11" i="45"/>
  <c r="G14" i="45"/>
  <c r="G29" i="45"/>
  <c r="H29" i="45"/>
  <c r="H19" i="45"/>
  <c r="L29" i="45"/>
  <c r="L39" i="45"/>
  <c r="G36" i="45"/>
  <c r="G30" i="45"/>
  <c r="G26" i="45"/>
  <c r="G22" i="45"/>
  <c r="G16" i="45"/>
  <c r="G10" i="45"/>
  <c r="G24" i="45"/>
  <c r="L14" i="45"/>
  <c r="G19" i="45"/>
  <c r="L19" i="45"/>
  <c r="H24" i="45"/>
  <c r="H14" i="45"/>
  <c r="H39" i="45"/>
  <c r="G35" i="45"/>
  <c r="G33" i="45"/>
  <c r="G28" i="45"/>
  <c r="G21" i="45"/>
  <c r="G15" i="45"/>
  <c r="G12" i="45"/>
  <c r="H26" i="34"/>
  <c r="H56" i="34"/>
  <c r="I25" i="35"/>
  <c r="I54" i="35"/>
  <c r="K23" i="43"/>
  <c r="G26" i="34"/>
  <c r="H25" i="35"/>
  <c r="M23" i="43"/>
  <c r="J23" i="43"/>
  <c r="I23" i="43" l="1"/>
  <c r="I49" i="43" s="1"/>
  <c r="J49" i="43"/>
  <c r="F68" i="1" l="1"/>
  <c r="F75" i="1" l="1"/>
  <c r="AL68" i="1"/>
  <c r="O19" i="46"/>
  <c r="B6" i="1" l="1"/>
  <c r="AL75" i="1"/>
  <c r="H23" i="45"/>
  <c r="H20" i="45"/>
  <c r="H30" i="45"/>
  <c r="H33" i="45"/>
  <c r="H38" i="45"/>
  <c r="H35" i="45"/>
  <c r="P19" i="46"/>
  <c r="H10" i="45"/>
  <c r="H13" i="45"/>
  <c r="L23" i="43"/>
  <c r="H54" i="35"/>
  <c r="G56" i="34"/>
  <c r="H28" i="45"/>
  <c r="H25" i="45"/>
  <c r="H15" i="45"/>
  <c r="H18" i="45"/>
  <c r="I65" i="43"/>
  <c r="L49" i="43" l="1"/>
  <c r="N23" i="43"/>
  <c r="I64" i="43"/>
  <c r="N19" i="46"/>
  <c r="J25" i="35"/>
  <c r="J54" i="35"/>
  <c r="I56" i="34"/>
  <c r="I26" i="34"/>
  <c r="N49" i="43" l="1"/>
  <c r="O23" i="43"/>
  <c r="O49" i="43" s="1"/>
  <c r="I51" i="43" s="1"/>
  <c r="H40" i="34" l="1"/>
  <c r="I70" i="34"/>
  <c r="G70" i="34"/>
  <c r="H70" i="34"/>
  <c r="I40" i="34"/>
</calcChain>
</file>

<file path=xl/sharedStrings.xml><?xml version="1.0" encoding="utf-8"?>
<sst xmlns="http://schemas.openxmlformats.org/spreadsheetml/2006/main" count="4877" uniqueCount="1702">
  <si>
    <t>NO</t>
  </si>
  <si>
    <t>NIS/NISN</t>
  </si>
  <si>
    <t>NAMA</t>
  </si>
  <si>
    <t>MIN</t>
  </si>
  <si>
    <t>MAX</t>
  </si>
  <si>
    <t>-</t>
  </si>
  <si>
    <t>sangat baik</t>
  </si>
  <si>
    <t>baik</t>
  </si>
  <si>
    <t>predikat</t>
  </si>
  <si>
    <t>Alamat</t>
  </si>
  <si>
    <t>Pendidikan Agama dan Budi Pekerti</t>
  </si>
  <si>
    <t>Pendidikan Pancasila dan Kewarganegaraan</t>
  </si>
  <si>
    <t>MATA PELAJARAN</t>
  </si>
  <si>
    <t>Kelompok A</t>
  </si>
  <si>
    <t>Deskripsi</t>
  </si>
  <si>
    <t>Kegiatan Ekstrakurikuler</t>
  </si>
  <si>
    <t>Nilai</t>
  </si>
  <si>
    <t>Keterangan</t>
  </si>
  <si>
    <t>Sakit</t>
  </si>
  <si>
    <t>Izin</t>
  </si>
  <si>
    <t>Tanpa Keterangan</t>
  </si>
  <si>
    <t>hari</t>
  </si>
  <si>
    <t>Nama Sekolah</t>
  </si>
  <si>
    <t>Kelas</t>
  </si>
  <si>
    <t>Semester</t>
  </si>
  <si>
    <t>Tahun Pelajaran</t>
  </si>
  <si>
    <t>LP</t>
  </si>
  <si>
    <t>Interval Nilai</t>
  </si>
  <si>
    <t>Predikat</t>
  </si>
  <si>
    <t>Nama Wali Kelas</t>
  </si>
  <si>
    <t>DATA UMUM</t>
  </si>
  <si>
    <t>PREDIKAT NILAI PENGETAHUAN</t>
  </si>
  <si>
    <t>PREDIKAT NILAI KETRAMPILAN</t>
  </si>
  <si>
    <t>disiplin</t>
  </si>
  <si>
    <t>tanggung jawab</t>
  </si>
  <si>
    <t>toleransi</t>
  </si>
  <si>
    <t>gotong royong</t>
  </si>
  <si>
    <t>santun</t>
  </si>
  <si>
    <t>percaya diri</t>
  </si>
  <si>
    <t>Mata Pelajaran</t>
  </si>
  <si>
    <t>: ................................................</t>
  </si>
  <si>
    <t>Aspek</t>
  </si>
  <si>
    <t>Guru Mapel</t>
  </si>
  <si>
    <t>KET</t>
  </si>
  <si>
    <t>: .......................</t>
  </si>
  <si>
    <t>N-1</t>
  </si>
  <si>
    <t>N-2</t>
  </si>
  <si>
    <t>N-3</t>
  </si>
  <si>
    <t>N-4</t>
  </si>
  <si>
    <t>N-5</t>
  </si>
  <si>
    <t>N-6</t>
  </si>
  <si>
    <t>N-7</t>
  </si>
  <si>
    <t>N-8</t>
  </si>
  <si>
    <t>: KETERAMPILAN</t>
  </si>
  <si>
    <t>: PENGETAHUAN</t>
  </si>
  <si>
    <t>No</t>
  </si>
  <si>
    <t>Kode</t>
  </si>
  <si>
    <t>Rentang Nilai</t>
  </si>
  <si>
    <t>A</t>
  </si>
  <si>
    <t>B</t>
  </si>
  <si>
    <t>C</t>
  </si>
  <si>
    <t>D</t>
  </si>
  <si>
    <t>SB</t>
  </si>
  <si>
    <t>K</t>
  </si>
  <si>
    <t>Smt./ Th.Pelj.</t>
  </si>
  <si>
    <t>Wali Kls.</t>
  </si>
  <si>
    <t>N-0</t>
  </si>
  <si>
    <t>Contoh: mengidentifikasi gambar ilustrasi</t>
  </si>
  <si>
    <t>Contoh: menggambar ilustrasi</t>
  </si>
  <si>
    <t>PA</t>
  </si>
  <si>
    <t>PJS</t>
  </si>
  <si>
    <t>Nama</t>
  </si>
  <si>
    <t>Tanggal Raport</t>
  </si>
  <si>
    <t>Absent</t>
  </si>
  <si>
    <t>S</t>
  </si>
  <si>
    <t>I</t>
  </si>
  <si>
    <t>Palang Merah Remaja</t>
  </si>
  <si>
    <t>Drumband</t>
  </si>
  <si>
    <t>NIS/
NISN</t>
  </si>
  <si>
    <t>Sepak Bola</t>
  </si>
  <si>
    <t>Catur</t>
  </si>
  <si>
    <t>Kerohanian</t>
  </si>
  <si>
    <t>Mampu membaca Alquran dgn lancar</t>
  </si>
  <si>
    <t>NIP</t>
  </si>
  <si>
    <t>Agama</t>
  </si>
  <si>
    <t>Status</t>
  </si>
  <si>
    <t>Anak ke</t>
  </si>
  <si>
    <t>Alamat Siswa</t>
  </si>
  <si>
    <t>Sekolah Asal</t>
  </si>
  <si>
    <t>DATA WAJIB</t>
  </si>
  <si>
    <t>Diterima</t>
  </si>
  <si>
    <t>Tanggal</t>
  </si>
  <si>
    <t>Orang Tua</t>
  </si>
  <si>
    <t>Nama Ayah</t>
  </si>
  <si>
    <t>Nama Ibu</t>
  </si>
  <si>
    <t>Telepon</t>
  </si>
  <si>
    <t>Kerja Ayah</t>
  </si>
  <si>
    <t>Kerja Ibu</t>
  </si>
  <si>
    <t>No. Telepon</t>
  </si>
  <si>
    <t>Pekerjaan</t>
  </si>
  <si>
    <t>Wali Peserta Didik</t>
  </si>
  <si>
    <t>L</t>
  </si>
  <si>
    <t>SEX</t>
  </si>
  <si>
    <t>Tmp. Lahir</t>
  </si>
  <si>
    <t>Tgl Lahir</t>
  </si>
  <si>
    <t>Islam</t>
  </si>
  <si>
    <t>AK</t>
  </si>
  <si>
    <t>No.Telp.Rumah</t>
  </si>
  <si>
    <t>Di kls.</t>
  </si>
  <si>
    <t>KETERANGAN TENTANG DIRI PESERTA DIDIK</t>
  </si>
  <si>
    <t xml:space="preserve">Di kelas  </t>
  </si>
  <si>
    <t xml:space="preserve">Pada tanggal  </t>
  </si>
  <si>
    <t xml:space="preserve">Nomor Telepon Rumah  </t>
  </si>
  <si>
    <t xml:space="preserve">Nomor Telpon Rumah  </t>
  </si>
  <si>
    <t xml:space="preserve">Tempat Tanggal Lahir  </t>
  </si>
  <si>
    <t xml:space="preserve">Jenis Kelamin  </t>
  </si>
  <si>
    <t xml:space="preserve">Agama  </t>
  </si>
  <si>
    <t xml:space="preserve">Status dalam Keluarga  </t>
  </si>
  <si>
    <t xml:space="preserve">Anak ke  </t>
  </si>
  <si>
    <t>Diterima di sekolah ini</t>
  </si>
  <si>
    <t xml:space="preserve">Alamat Orang Tua  </t>
  </si>
  <si>
    <t xml:space="preserve">Pekerjaan Orang Tua  </t>
  </si>
  <si>
    <t>:</t>
  </si>
  <si>
    <t xml:space="preserve">a. Ayah  </t>
  </si>
  <si>
    <t xml:space="preserve">b. Ibu  </t>
  </si>
  <si>
    <t>1.</t>
  </si>
  <si>
    <t>2.</t>
  </si>
  <si>
    <t>3.</t>
  </si>
  <si>
    <t>4.</t>
  </si>
  <si>
    <t>5.</t>
  </si>
  <si>
    <t>6.</t>
  </si>
  <si>
    <t>7.</t>
  </si>
  <si>
    <t>8.</t>
  </si>
  <si>
    <t>9.</t>
  </si>
  <si>
    <t>10.</t>
  </si>
  <si>
    <t>11.</t>
  </si>
  <si>
    <t>12.</t>
  </si>
  <si>
    <t>13.</t>
  </si>
  <si>
    <t>14.</t>
  </si>
  <si>
    <t>15.</t>
  </si>
  <si>
    <t>16.</t>
  </si>
  <si>
    <t>17.</t>
  </si>
  <si>
    <t>Kepala Sekolah</t>
  </si>
  <si>
    <t>jujur</t>
  </si>
  <si>
    <t>Portofolio (Pf)</t>
  </si>
  <si>
    <t>Bobot Nilai Akhir :    Praktik (Pt)</t>
  </si>
  <si>
    <t>Proyek (Py)</t>
  </si>
  <si>
    <t>N.Praktik-N.Portofolio-N.Proyek</t>
  </si>
  <si>
    <t>K-1</t>
  </si>
  <si>
    <t>K-2</t>
  </si>
  <si>
    <t>K-3</t>
  </si>
  <si>
    <t>K-4</t>
  </si>
  <si>
    <t>K-5</t>
  </si>
  <si>
    <t>K-6</t>
  </si>
  <si>
    <t>K-7</t>
  </si>
  <si>
    <t>K-8</t>
  </si>
  <si>
    <t>Sangat Baik</t>
  </si>
  <si>
    <t>Baik</t>
  </si>
  <si>
    <t>Cukup</t>
  </si>
  <si>
    <t>Kurang</t>
  </si>
  <si>
    <t>Aktif dalam kelompok.</t>
  </si>
  <si>
    <t>Mampu mengolah bola dengan baik.</t>
  </si>
  <si>
    <t>Mampu menolong temannya yang sakit</t>
  </si>
  <si>
    <t>Juara OSN Tk. Kabupaten</t>
  </si>
  <si>
    <t>Nama Peserta Didik</t>
  </si>
  <si>
    <t>Kepala Sekolah,</t>
  </si>
  <si>
    <t>NIS/NSS/NDS</t>
  </si>
  <si>
    <t>Kecamatan</t>
  </si>
  <si>
    <t>Provinsi</t>
  </si>
  <si>
    <t>Website</t>
  </si>
  <si>
    <t>E-mail</t>
  </si>
  <si>
    <t>Kode Pos</t>
  </si>
  <si>
    <t>REPUBLIK INDONESIA</t>
  </si>
  <si>
    <t>08123456789</t>
  </si>
  <si>
    <t>Kabupaten/Kota</t>
  </si>
  <si>
    <t>Halaman ini bisa diperbanyak dengan difoto copy</t>
  </si>
  <si>
    <t>iii</t>
  </si>
  <si>
    <t>Hal.</t>
  </si>
  <si>
    <t>Tanggal Tanda tangan</t>
  </si>
  <si>
    <t>KD Pengetahuan-5</t>
  </si>
  <si>
    <t>KD Pengetahuan-6</t>
  </si>
  <si>
    <t>KD Pengetahuan-7</t>
  </si>
  <si>
    <t>KD Pengetahuan-8</t>
  </si>
  <si>
    <t>KD keterampilan-4</t>
  </si>
  <si>
    <t>KD keterampilan-5</t>
  </si>
  <si>
    <t>KD keterampilan-6</t>
  </si>
  <si>
    <t>KD keterampilan-7</t>
  </si>
  <si>
    <t>KD keterampilan-8</t>
  </si>
  <si>
    <t>P</t>
  </si>
  <si>
    <t>Py-0</t>
  </si>
  <si>
    <t>Ketrampilan</t>
  </si>
  <si>
    <t>RANKING</t>
  </si>
  <si>
    <t>YA</t>
  </si>
  <si>
    <t>Satuan Pendidikan</t>
  </si>
  <si>
    <t>DAFTAR KUMPULAN NILAI</t>
  </si>
  <si>
    <t>JML NILAI</t>
  </si>
  <si>
    <t>Penge tahuan</t>
  </si>
  <si>
    <t>jadwalsekolah@gmail.com</t>
  </si>
  <si>
    <t>Juara 1 LT tk. Kabupaten</t>
  </si>
  <si>
    <t>Tentang  |</t>
  </si>
  <si>
    <t>N-1, N-2 dst diperoleh melalui penilaian  kinerja:  Nilai Praktik,  Nilai Portofolio, Nilai Proyek. Penilaian dilakukan setiap menyelesaikan satu KD. Tuliskan kode nilai dikotak nilai paling atas. Bobot Nilai Praktik disarankan lebih tinggi.</t>
  </si>
  <si>
    <t>Ekstrakurikuler 1</t>
  </si>
  <si>
    <t>Ekstrakurikuler 2</t>
  </si>
  <si>
    <t>Ekstrakurikuler 3</t>
  </si>
  <si>
    <t>Ekstrakurikuler 4</t>
  </si>
  <si>
    <t>Nama Ekstra</t>
  </si>
  <si>
    <t>Dwarawati</t>
  </si>
  <si>
    <t>Wengker</t>
  </si>
  <si>
    <t>Astinapura</t>
  </si>
  <si>
    <t>Pedalangan</t>
  </si>
  <si>
    <t>www.jadwalku.wordpress.com</t>
  </si>
  <si>
    <t>Nomor Telepon</t>
  </si>
  <si>
    <t>Tempat, tanggal lahir</t>
  </si>
  <si>
    <t>Nama Orang Tua</t>
  </si>
  <si>
    <t>foto</t>
  </si>
  <si>
    <t>Buku 1 bagi Wali Kelas</t>
  </si>
  <si>
    <t>Max</t>
  </si>
  <si>
    <t>Matematika</t>
  </si>
  <si>
    <t>Bahasa Indonesia</t>
  </si>
  <si>
    <t>Bahasa Inggris</t>
  </si>
  <si>
    <t>Seni Budaya</t>
  </si>
  <si>
    <t>PPKn</t>
  </si>
  <si>
    <t>BIND</t>
  </si>
  <si>
    <t>MAT</t>
  </si>
  <si>
    <t>BING</t>
  </si>
  <si>
    <t>PKY</t>
  </si>
  <si>
    <t>DATA TAMBAHAN (Untuk cetak halaman depan Raport dan Buku 1/Daftar siswa)</t>
  </si>
  <si>
    <t>by. Pak Je | Phone. 082332381995</t>
  </si>
  <si>
    <t>|klik</t>
  </si>
  <si>
    <t>Langkah kerja</t>
  </si>
  <si>
    <t>Isi Data Sekolah dan data siswa sesuai isian yang ada</t>
  </si>
  <si>
    <t>DATA</t>
  </si>
  <si>
    <t>Pengisian Data bisa copy dari file yang ada, dengan langkah</t>
  </si>
  <si>
    <r>
      <t>buka file - pilih data -</t>
    </r>
    <r>
      <rPr>
        <sz val="12"/>
        <color theme="1"/>
        <rFont val="Calibri"/>
        <family val="2"/>
        <scheme val="minor"/>
      </rPr>
      <t xml:space="preserve"> </t>
    </r>
    <r>
      <rPr>
        <b/>
        <sz val="12"/>
        <color rgb="FF0000FF"/>
        <rFont val="Calibri"/>
        <family val="2"/>
        <scheme val="minor"/>
      </rPr>
      <t>copy - paste special - values</t>
    </r>
  </si>
  <si>
    <t>Cetak/Foto copy Daftar Nilai tersebut sesuai jumlah kebutuhan.</t>
  </si>
  <si>
    <t>Untuk mempercepat pencetakan bisa dilakukan dengan</t>
  </si>
  <si>
    <t>mengganti nama dan kelas dalam 1 file, tapi harus dengan</t>
  </si>
  <si>
    <t>Setiap pengisian Daftar Nilai untuk aspek Pengetahuan dan Keterampilan</t>
  </si>
  <si>
    <t>Jika semua nilai sudah diisikan, pekerjaan selanjutnya Wali Kelas</t>
  </si>
  <si>
    <t>adalah mengentry Daftar Hadir, Ekstra Kurikuler dan Catatan Tambahan</t>
  </si>
  <si>
    <t>(jika diperlukan).</t>
  </si>
  <si>
    <t>Cetak Blangko Daftar Nilai dan Buku-1 (Daftar Siswa)</t>
  </si>
  <si>
    <t>Buku-1</t>
  </si>
  <si>
    <t>Blangko</t>
  </si>
  <si>
    <t>Data2</t>
  </si>
  <si>
    <t>Setelah semua isian sudah selesai, Wali Kelas tinggal merasakan</t>
  </si>
  <si>
    <t>manfaatnya Aplikasi ini. Cetak semua yang diperlukan.....</t>
  </si>
  <si>
    <t>Simpan file pada folder khusus. Terutama Urusan kurikulum harus</t>
  </si>
  <si>
    <t>memiliki file Aplikasi ini dari semua wali kelas. Rename file dengan</t>
  </si>
  <si>
    <r>
      <t xml:space="preserve">langkah </t>
    </r>
    <r>
      <rPr>
        <b/>
        <sz val="11"/>
        <color rgb="FF0000FF"/>
        <rFont val="Calibri"/>
        <family val="2"/>
        <scheme val="minor"/>
      </rPr>
      <t>copy - paste special - values</t>
    </r>
  </si>
  <si>
    <t>Simpan Aplikasi master untuk kebutuhan mendatang.</t>
  </si>
  <si>
    <t>Copy Aplikasi Nilai K-13 ini ke semua Wali Kelas.</t>
  </si>
  <si>
    <t>Selanjutnya semua pekerjaan pada Aplikasi ada pada Wali Kelas.</t>
  </si>
  <si>
    <t>PREDIKAT NILAI</t>
  </si>
  <si>
    <t>HPTS</t>
  </si>
  <si>
    <t>HPAS</t>
  </si>
  <si>
    <t>HPA</t>
  </si>
  <si>
    <t>PRE</t>
  </si>
  <si>
    <t>menghormati orang lain yang menjalankan ibadah sesuai dengan agamanya</t>
  </si>
  <si>
    <t>berdoa sebelum dan sesudah melakukan kegiatan</t>
  </si>
  <si>
    <t>menjalankan ibadah sesuai dengan agamanya</t>
  </si>
  <si>
    <t>memberi salam pada saat awal dan akhir kegiatan</t>
  </si>
  <si>
    <t>bersyukur atas nikmat dan karunia Tuhan Yang Maha Esa</t>
  </si>
  <si>
    <t>mensyukuri kemampuan manusia dalam mengendalikan diri</t>
  </si>
  <si>
    <t>bersyukur ketika berhasil mengerjakan sesuatu</t>
  </si>
  <si>
    <t>berserah diri (tawakal) kepada Tuhan setelah berikhtiar atau melakukan usaha</t>
  </si>
  <si>
    <t>memelihara hubungan baik dengan sesama umat</t>
  </si>
  <si>
    <t>bersyukur sebagai bangsa Indonesia</t>
  </si>
  <si>
    <t>SELALU DILAKUKAN</t>
  </si>
  <si>
    <t>Sikap Spiritual</t>
  </si>
  <si>
    <t>Sikap Sosial</t>
  </si>
  <si>
    <t>Pramuka</t>
  </si>
  <si>
    <t>Pendidikan Kepramukaan</t>
  </si>
  <si>
    <t>PREDIKAT CAPAIAN KOMPETENSI</t>
  </si>
  <si>
    <t>NILAI SIKAP SPIRITUAL DAN SOSIAL</t>
  </si>
  <si>
    <t>Ketuntasan Belajar Minimal:</t>
  </si>
  <si>
    <t xml:space="preserve">Nama Orang Tua  </t>
  </si>
  <si>
    <t>Jumlah</t>
  </si>
  <si>
    <t>Absent dan Ekstrakurikuler</t>
  </si>
  <si>
    <t>Format raport akan berubah secara otomatis sesuai isian semester pada sheet Data</t>
  </si>
  <si>
    <t>Jika dengan tidak sengaja memindahkan nilai dengan di Cut/Move (terjadi mungkin</t>
  </si>
  <si>
    <t>karena terseret ke Cells lain) yg berakibat nilai akhir tidak sesuai ketentuan/rumus</t>
  </si>
  <si>
    <t>maka pakailah file master yg masih kosong, kemudian seluruh data dicopy per sheet</t>
  </si>
  <si>
    <r>
      <rPr>
        <b/>
        <sz val="11"/>
        <color rgb="FFFF0000"/>
        <rFont val="Calibri"/>
        <family val="2"/>
        <scheme val="minor"/>
      </rPr>
      <t>PENTING...!</t>
    </r>
    <r>
      <rPr>
        <sz val="11"/>
        <color theme="1"/>
        <rFont val="Calibri"/>
        <family val="2"/>
        <charset val="1"/>
        <scheme val="minor"/>
      </rPr>
      <t xml:space="preserve"> MEMPERBAIKI KERUSAKAN</t>
    </r>
  </si>
  <si>
    <r>
      <t>dengan langkah</t>
    </r>
    <r>
      <rPr>
        <b/>
        <sz val="11"/>
        <color rgb="FFFF0000"/>
        <rFont val="Calibri"/>
        <family val="2"/>
        <scheme val="minor"/>
      </rPr>
      <t xml:space="preserve"> </t>
    </r>
    <r>
      <rPr>
        <b/>
        <sz val="11"/>
        <color rgb="FF0066FF"/>
        <rFont val="Calibri"/>
        <family val="2"/>
        <scheme val="minor"/>
      </rPr>
      <t>copy-paste special-values</t>
    </r>
  </si>
  <si>
    <t>Tahun Pelj.:</t>
  </si>
  <si>
    <t>Wali Kelas:</t>
  </si>
  <si>
    <t>MULAI BERKEMBANG</t>
  </si>
  <si>
    <r>
      <t>NIS</t>
    </r>
    <r>
      <rPr>
        <sz val="8"/>
        <color theme="1"/>
        <rFont val="Tahoma"/>
        <family val="2"/>
      </rPr>
      <t>(wajib)</t>
    </r>
  </si>
  <si>
    <r>
      <t>NISN</t>
    </r>
    <r>
      <rPr>
        <sz val="8"/>
        <color theme="1"/>
        <rFont val="Tahoma"/>
        <family val="2"/>
      </rPr>
      <t xml:space="preserve"> (opsional)</t>
    </r>
  </si>
  <si>
    <t>TIDAK</t>
  </si>
  <si>
    <t>KEMENTERIAN PENDIDIKAN DAN KEBUDAYAAN</t>
  </si>
  <si>
    <t>Tambahan Nama Kabupaten/Kota</t>
  </si>
  <si>
    <t>HP
TS</t>
  </si>
  <si>
    <t>NIS</t>
  </si>
  <si>
    <t>NISN</t>
  </si>
  <si>
    <t>Contoh</t>
  </si>
  <si>
    <t>FORMAT PENULISAN NIS DAN NISN PADA RAPORT</t>
  </si>
  <si>
    <t>C-157</t>
  </si>
  <si>
    <r>
      <t xml:space="preserve">No. Seri Raport
</t>
    </r>
    <r>
      <rPr>
        <b/>
        <sz val="8"/>
        <color theme="3" tint="0.79998168889431442"/>
        <rFont val="Tahoma"/>
        <family val="2"/>
      </rPr>
      <t>(kosong tidak berpengaruh)</t>
    </r>
  </si>
  <si>
    <t>00000</t>
  </si>
  <si>
    <t>0000000000</t>
  </si>
  <si>
    <t>KKM TUNGGAL</t>
  </si>
  <si>
    <t>PILIH KKM YANG DIPAKAI</t>
  </si>
  <si>
    <t>MULTI KKM</t>
  </si>
  <si>
    <t>cukup</t>
  </si>
  <si>
    <t>perlu dimaksimalkan</t>
  </si>
  <si>
    <t>Penilaian Harian (PH)</t>
  </si>
  <si>
    <t>A. SIKAP</t>
  </si>
  <si>
    <t>PENCAPAIAN KOMPETENSI PESERTA DIDIK</t>
  </si>
  <si>
    <t>Nomor Induk</t>
  </si>
  <si>
    <t xml:space="preserve">Nama Peserta Didik (Lengkap)  </t>
  </si>
  <si>
    <t>Alamat Peserta Didik</t>
  </si>
  <si>
    <t>Nama Wali Peserta Didik</t>
  </si>
  <si>
    <t>Alamat Wali Peserta Didik</t>
  </si>
  <si>
    <t>Pekerjaan Wali  Peserta Didik</t>
  </si>
  <si>
    <t>RAPOR</t>
  </si>
  <si>
    <t>KKM</t>
  </si>
  <si>
    <t>NPSN</t>
  </si>
  <si>
    <t>Telp.</t>
  </si>
  <si>
    <t>Kelurahan/Desa</t>
  </si>
  <si>
    <t>Kota/Kabupaten</t>
  </si>
  <si>
    <t>PETUNJUK PENGISIAN</t>
  </si>
  <si>
    <t>No.</t>
  </si>
  <si>
    <t>Kurang (D)</t>
  </si>
  <si>
    <t>Cukup (C)</t>
  </si>
  <si>
    <t>Baik (B)</t>
  </si>
  <si>
    <t>Sangat Baik (A)</t>
  </si>
  <si>
    <t>Jenis Prestasi</t>
  </si>
  <si>
    <t>CATATAN WALI KELAS</t>
  </si>
  <si>
    <t>F.</t>
  </si>
  <si>
    <t>TANGGAPAN ORANGTUA/WALI</t>
  </si>
  <si>
    <t>G.</t>
  </si>
  <si>
    <t>mengidentifikasi jenis-jenis sarung dan kopyah</t>
  </si>
  <si>
    <t>menyebutkan 5 macam merk sarung dengan kualitas terbaik</t>
  </si>
  <si>
    <t xml:space="preserve"> "NILAI K-13, NAMA SEKOLAH dan ALAMAT EMAIL" kirim ke 082332381995</t>
  </si>
  <si>
    <t>Diharapkan merubah penampilannya menjadi lebih rapi. Seperti tentang potong rambut dan cara berpakaian.</t>
  </si>
  <si>
    <t>Selalu berusaha untuk mematuhi tata tertib sekolah dan patuh terhadap Guru.</t>
  </si>
  <si>
    <t>PRESTASI-1 (diisi manual)</t>
  </si>
  <si>
    <t>PRESTASI-2 (diisi manual)</t>
  </si>
  <si>
    <t>PRESTASI-3 (diisi manual)</t>
  </si>
  <si>
    <t>Diharapkan dapat meningkatkan komitmennya untuk lebih serius saat mengerjakan tugas dan tidak mudah menyerah.</t>
  </si>
  <si>
    <t>Selalu berusaha untuk mandiri dan tepat waktu dalam mengerjakan tugas.</t>
  </si>
  <si>
    <t>Mempunyai kemampuan dan motivasi yang tinggi untuk menggunakan waktu secara efisien.</t>
  </si>
  <si>
    <t>Masih perlu memperbanyak teman bergaul dan teman diskusi, kurangi aktifitas menyendiri.</t>
  </si>
  <si>
    <t>Bobot Nilai Akhir  :    P.Harian/Proses</t>
  </si>
  <si>
    <t>PTS</t>
  </si>
  <si>
    <t>PAS/PAT</t>
  </si>
  <si>
    <t>N-1, N-2 dst. Merupakan Penilaian Harian (PH) yang diperoleh  dari hasil ulangan harian  yang  terdiri  atas:  tes  tulis,  tes  lisan,  dan  penugasan  yang dilaksanakan  pada  setiap  akhir  pembelajaran  satu  Kompetensi  Dasar (KD)</t>
  </si>
  <si>
    <t>KD / Indikator KD / materi pengetahuan yang dinilai (maksimal 65 huruf)</t>
  </si>
  <si>
    <t>KD / Indikator KD / materi keterampilan yang dinilai (maksimal 65 huruf)</t>
  </si>
  <si>
    <r>
      <t>Penilaian Harian/PH</t>
    </r>
    <r>
      <rPr>
        <b/>
        <sz val="8"/>
        <color theme="1"/>
        <rFont val="Arial"/>
        <family val="2"/>
      </rPr>
      <t xml:space="preserve"> (</t>
    </r>
    <r>
      <rPr>
        <sz val="8"/>
        <color theme="1"/>
        <rFont val="Arial"/>
        <family val="2"/>
      </rPr>
      <t>Tes Tulis, Tes Lisan,Tugas</t>
    </r>
    <r>
      <rPr>
        <b/>
        <sz val="8"/>
        <color theme="1"/>
        <rFont val="Arial"/>
        <family val="2"/>
      </rPr>
      <t>)</t>
    </r>
  </si>
  <si>
    <r>
      <rPr>
        <b/>
        <sz val="11"/>
        <color theme="1"/>
        <rFont val="Arial"/>
        <family val="2"/>
      </rPr>
      <t>Penilaian Harian/PH</t>
    </r>
    <r>
      <rPr>
        <b/>
        <sz val="8"/>
        <color theme="1"/>
        <rFont val="Arial"/>
        <family val="2"/>
      </rPr>
      <t xml:space="preserve"> (</t>
    </r>
    <r>
      <rPr>
        <sz val="8"/>
        <color theme="1"/>
        <rFont val="Arial"/>
        <family val="2"/>
      </rPr>
      <t>Tes Tulis, Tes Lisan,Tugas</t>
    </r>
    <r>
      <rPr>
        <b/>
        <sz val="8"/>
        <color theme="1"/>
        <rFont val="Arial"/>
        <family val="2"/>
      </rPr>
      <t>)</t>
    </r>
  </si>
  <si>
    <t>RPH</t>
  </si>
  <si>
    <t>PAS</t>
  </si>
  <si>
    <t>peduli</t>
  </si>
  <si>
    <t>SIKAP</t>
  </si>
  <si>
    <t>A.</t>
  </si>
  <si>
    <t>B.</t>
  </si>
  <si>
    <t>C.</t>
  </si>
  <si>
    <t>EKSTRAKURIKULER</t>
  </si>
  <si>
    <t>D.</t>
  </si>
  <si>
    <t>KETIDAKHADIRAN</t>
  </si>
  <si>
    <t>KELUAR</t>
  </si>
  <si>
    <t>......., ...............................</t>
  </si>
  <si>
    <t>........................................</t>
  </si>
  <si>
    <t>Orang Tua/Wali,</t>
  </si>
  <si>
    <t>Kelas yang Ditinggalkan</t>
  </si>
  <si>
    <t>Sebab-sebab Keluar atau Atas Permintaan (Tertulis)</t>
  </si>
  <si>
    <t>Tanda Tangan Kepala Sekolah, Stempel Sekolah, dan Tanda Tangan Orang Tua/Wali</t>
  </si>
  <si>
    <t>Nama Peserta didik</t>
  </si>
  <si>
    <t>Masuk di Sekolah ini:</t>
  </si>
  <si>
    <t>a. Tanggal</t>
  </si>
  <si>
    <t>b. Di Kelas</t>
  </si>
  <si>
    <t>Nama Peserta Didik: ........................................</t>
  </si>
  <si>
    <t>.........................................</t>
  </si>
  <si>
    <t>MASUK</t>
  </si>
  <si>
    <t>KETERANGAN PINDAH SEKOLAH</t>
  </si>
  <si>
    <t>Catatan Prestasi yang Pernah Dicapai</t>
  </si>
  <si>
    <t>Prestasi yang Pernah Dicapai</t>
  </si>
  <si>
    <t>Kurikuler</t>
  </si>
  <si>
    <t>Ekstrakurikuler</t>
  </si>
  <si>
    <t>Catatan Khusus Lainnya</t>
  </si>
  <si>
    <t>: ..................................................</t>
  </si>
  <si>
    <t>i</t>
  </si>
  <si>
    <t>ii</t>
  </si>
  <si>
    <t>Sejarah Indonesia</t>
  </si>
  <si>
    <t>Pendidikan Jasmani Olahraga dan Kesehatan</t>
  </si>
  <si>
    <t>Prakarya dan Kewirausahaan</t>
  </si>
  <si>
    <t>Klp</t>
  </si>
  <si>
    <t xml:space="preserve"> Permendikbud No 23 Tahun 2016</t>
  </si>
  <si>
    <t>Kelompok A (Umum)</t>
  </si>
  <si>
    <t>Kelompok B (Umum)</t>
  </si>
  <si>
    <t>Kelompok C (Peminatan)</t>
  </si>
  <si>
    <t>Kelompok A (Umun)</t>
  </si>
  <si>
    <t>SEJ</t>
  </si>
  <si>
    <t>SMA NEGERI INDONESIA</t>
  </si>
  <si>
    <t>Romawi</t>
  </si>
  <si>
    <t xml:space="preserve">B. </t>
  </si>
  <si>
    <t>PENGETAHUAN</t>
  </si>
  <si>
    <t>KETERAMPILAN</t>
  </si>
  <si>
    <t>PRESTASI</t>
  </si>
  <si>
    <t>E.</t>
  </si>
  <si>
    <t>Option</t>
  </si>
  <si>
    <t>Penulisan kelas</t>
  </si>
  <si>
    <t>APLIKASI NILAI K-13|SMA</t>
  </si>
  <si>
    <t>MENU</t>
  </si>
  <si>
    <t>Spiritual</t>
  </si>
  <si>
    <t>Sosial</t>
  </si>
  <si>
    <t>SEKOLAH MENENGAH ATAS</t>
  </si>
  <si>
    <t>(SMA)</t>
  </si>
  <si>
    <t>SMA PGRI WENGKER</t>
  </si>
  <si>
    <t>BACA DAN PAHAMILAH</t>
  </si>
  <si>
    <t>Membajak karya cipta seseorang merupakan tindakan melanggar hukum.</t>
  </si>
  <si>
    <t>Yakinlah bahwa setiap perbuatan yang merugikan orang lain, pasti mendapat balasan.</t>
  </si>
  <si>
    <t>Hargailah karya orang lain, supaya karya Anda juga dihargai.</t>
  </si>
  <si>
    <t>Kesenian</t>
  </si>
  <si>
    <t>Keagamaan</t>
  </si>
  <si>
    <t>SMA NEGERI PAKISBARU</t>
  </si>
  <si>
    <t>SMA NEGERI 1 LINGSAR</t>
  </si>
  <si>
    <t>H.</t>
  </si>
  <si>
    <t>SMA NEGERI 1 TEUNOM</t>
  </si>
  <si>
    <t>SMA NEGERI 1 PAGUYAMAN</t>
  </si>
  <si>
    <t>SEKOLAH INDONESIA BANGKOK</t>
  </si>
  <si>
    <t>Edit nama pelajaran dan KKM sesuai yang diinginkan</t>
  </si>
  <si>
    <t>Jangan lupa menentukan KKM yang dipilih (KKM Tunggal atau Multi KKM)</t>
  </si>
  <si>
    <t>Khusus pelajaran Pendidikan Agama, ada halaman khusus untuk menuliskan</t>
  </si>
  <si>
    <t>deskripsi yang diperuntukkan bagi siswa penganut agama minoritas di kelasnya.</t>
  </si>
  <si>
    <r>
      <t xml:space="preserve">PETUNJUK </t>
    </r>
    <r>
      <rPr>
        <b/>
        <sz val="11"/>
        <color theme="0"/>
        <rFont val="Calibri"/>
        <family val="2"/>
        <scheme val="minor"/>
      </rPr>
      <t>(wajib dipelajari dan dimengerti)</t>
    </r>
  </si>
  <si>
    <t>harus menuliskan ringkasan materi/KD yang dinilai serta bobot Nilainya.</t>
  </si>
  <si>
    <t>memberikan nama file rangkaian nama kelas, semester dan tahun pelajaran</t>
  </si>
  <si>
    <t>Identitas Sekolah diisi dengan data yang sesuai dengan keberadaan Sekolah Menengah Atas.</t>
  </si>
  <si>
    <t>Keterangan tentang diri Peserta didik diisi lengkap.</t>
  </si>
  <si>
    <t>Rapor harus dilengkapi dengan pas foto berwarna (3 x 4).</t>
  </si>
  <si>
    <t>Deskripsi sikap spiritual dan sikap sosial ditulis menggunakan kalimat positif yang memotivasi</t>
  </si>
  <si>
    <t>untuk butir-butir nilai sikap yang sangat baik dan/atau kurang baik.</t>
  </si>
  <si>
    <t>Kolom KKM diisi dengan KKM mata pelajaran untuk pengetahuan dan keterampilan.</t>
  </si>
  <si>
    <t xml:space="preserve">Kolom nilai pada pengetahuan dan keterampilan ditulis dalam bentuk bilangan bulat pada </t>
  </si>
  <si>
    <t>skala 0 - 100.</t>
  </si>
  <si>
    <t>Kolom predikat pada pengetahuan dan keterampilan diisi berdasarkan interval predikat (D – A)</t>
  </si>
  <si>
    <t>yang ditetapkan satuan pendidikan.</t>
  </si>
  <si>
    <t>Kolom predikat pada ekstrakurikuler diisi dengan sangat baik, baik, cukup, kurang, yang</t>
  </si>
  <si>
    <t>Kolom keterangan pada prestasi diisi dengan tingkat wilayah. Contoh: Juara II Tingkat Kabupaten,</t>
  </si>
  <si>
    <t>Juara I Tingkat Provinsi, Anggota Pasukan Pengibar Bendera tingkat Nasional.</t>
  </si>
  <si>
    <t>Ketidakhadiran diisi dengan data akumulasi ketidakhadiran peserta didik karena sakit, izin, atau</t>
  </si>
  <si>
    <t>tanpa keterangan selama satu semester.</t>
  </si>
  <si>
    <t>Catatan wali kelas diisi dengan saran-saran bagi peserta didik dan orang tua untuk diperhatikan.</t>
  </si>
  <si>
    <t>Tanggapan orang tua/wali adalah komentar atas pencapaian hasil belajar peserta didik.</t>
  </si>
  <si>
    <t xml:space="preserve">Rapor merupakan ringkasan hasil penilaian terhadap seluruh aktivitas pembelajaran yang </t>
  </si>
  <si>
    <t>dilakukan peserta didik dalam satu semester. Rapor dipergunakan selama peserta didik</t>
  </si>
  <si>
    <t xml:space="preserve">mengikuti seluruh program pembelajaran di Sekolah Menengah Atas yang bersangkutan. </t>
  </si>
  <si>
    <t>Berikut petunjuk pengisian rapor.</t>
  </si>
  <si>
    <t>Sikap spiritual dan sikap sosial diisi dengan predikat ( Sangat Baik, Baik, Cukup, atau Kurang)</t>
  </si>
  <si>
    <t>dan dilengkapi dengan deskripsi berdasarkan rangkuman hasil penilaian sikap dari semua</t>
  </si>
  <si>
    <t>guru mata pelajaran, guru BK, dan wali kelas.</t>
  </si>
  <si>
    <t>kalimat positif untuk capaian tertinggi dan kalimat yang memotivasi untuk capaian terendah.</t>
  </si>
  <si>
    <t>Kolom deskripsi pada pengetahuan dan keterampilan ditulis dengan singkat menggunakan</t>
  </si>
  <si>
    <t>dan kecakapan yang dicapai.</t>
  </si>
  <si>
    <t>kriterianya ditetapkan oleh satuan pendidikan. Kolom deskripsi diisi dengan penjelasan sikap</t>
  </si>
  <si>
    <t>akademik dan non akademik pada kegiatan yang berkaitan dengan satuan pendidikan pada</t>
  </si>
  <si>
    <t>semester berjalan. Contoh: Olimpiade Biologi, Paduan Suara,Paskibra.</t>
  </si>
  <si>
    <t>Kolom jenis kegiatandiisi dengan kegiatan yang diikuti oleh peserta didik dalam bidang</t>
  </si>
  <si>
    <t>Sekolah Asal  (SMP/MTs)</t>
  </si>
  <si>
    <t>Ada 4 hal cetak. Halaman otomatis mulai:</t>
  </si>
  <si>
    <t>atau halaman ditentukan sendiri mulai:</t>
  </si>
  <si>
    <t>Juara I Adzan tingkat Kabupaten</t>
  </si>
  <si>
    <t>SMA NEGERI 1 WAIKABUBAK</t>
  </si>
  <si>
    <t>Pre
dikat</t>
  </si>
  <si>
    <t>JUMLAH</t>
  </si>
  <si>
    <t>JP
(B)</t>
  </si>
  <si>
    <t>Rata-rata(N)</t>
  </si>
  <si>
    <t>N x B</t>
  </si>
  <si>
    <t>PENGETAHUAN DAN KETERAMPILAN</t>
  </si>
  <si>
    <t>Indeks Prestasi</t>
  </si>
  <si>
    <t>DESKRIPSI PENGETAHUAN DAN KETERAMPILAN</t>
  </si>
  <si>
    <t>(Satu)</t>
  </si>
  <si>
    <t>(Dua)</t>
  </si>
  <si>
    <t>(Tiga)</t>
  </si>
  <si>
    <t>(Empat)</t>
  </si>
  <si>
    <t>(Lima)</t>
  </si>
  <si>
    <t>(Enam)</t>
  </si>
  <si>
    <r>
      <t>Semester (</t>
    </r>
    <r>
      <rPr>
        <b/>
        <sz val="10"/>
        <color rgb="FFFFFF00"/>
        <rFont val="Tahoma"/>
        <family val="2"/>
      </rPr>
      <t>SKS</t>
    </r>
    <r>
      <rPr>
        <b/>
        <sz val="9"/>
        <color rgb="FFFFFF00"/>
        <rFont val="Tahoma"/>
        <family val="2"/>
      </rPr>
      <t>)</t>
    </r>
  </si>
  <si>
    <t>(Tujuh)</t>
  </si>
  <si>
    <t>(Delapan)</t>
  </si>
  <si>
    <t>(Sembilan)</t>
  </si>
  <si>
    <t>(Sepuluh)</t>
  </si>
  <si>
    <t>(Sebelas)</t>
  </si>
  <si>
    <t>(Duabelas)</t>
  </si>
  <si>
    <t>CATATAN PEMBIMBING AKADEMIK</t>
  </si>
  <si>
    <t>Pembimbing Akademik</t>
  </si>
  <si>
    <t>Mengetahui</t>
  </si>
  <si>
    <t>..............................</t>
  </si>
  <si>
    <t>NILAI PENGETAHUAN dan KKM</t>
  </si>
  <si>
    <t>NILAI KETERAMPILAN dan KKM</t>
  </si>
  <si>
    <t>SISTEM SKS</t>
  </si>
  <si>
    <t>HALAMAN</t>
  </si>
  <si>
    <t>Rapor merupakan ringkasan hasil penilaian terhadap seluruh aktivitas pembelajaran yang dilakukan</t>
  </si>
  <si>
    <t>D = Kurang) dan dilengkapi dengan deskripsi berdasarkan rangkuman hasil penilaian sikap dari</t>
  </si>
  <si>
    <t>dan non akademik pada kegiatan yang berkaitan dengan satuan pendidikan pada semester berjalan.</t>
  </si>
  <si>
    <t>Contoh: Olimpiade Biologi, Paduan Suara, Paskibra.</t>
  </si>
  <si>
    <t>Bi : beban/sks</t>
  </si>
  <si>
    <t>ketentuan permendikbud tentang SKS yang berlaku dengan menyesuaikan skala penilaian</t>
  </si>
  <si>
    <t xml:space="preserve">a. IP &lt; 70 dapat mengambil beban belajar paling banyak 46 jam pelajaran. </t>
  </si>
  <si>
    <t xml:space="preserve">b. IP 70 – 80 dapat mengambil beban belajar paling banyak 54 jam pelajaran. </t>
  </si>
  <si>
    <t xml:space="preserve">guru mata pelajaran, guru BK, dan pembimbing akademik. </t>
  </si>
  <si>
    <t xml:space="preserve">untuk butir-butir nilai sikap yang sangat baik dan/atau kurang baik. </t>
  </si>
  <si>
    <t xml:space="preserve">positif untuk capaian tertinggi dan kalimat yang memotivasi untuk capaian terendah. </t>
  </si>
  <si>
    <t xml:space="preserve">tanpa keterangan selama satu semester. </t>
  </si>
  <si>
    <t xml:space="preserve">(N) dengan beban setiap mata pelajaran (jp). </t>
  </si>
  <si>
    <t>IP   =</t>
  </si>
  <si>
    <t xml:space="preserve">IP : indeks prestasi. </t>
  </si>
  <si>
    <t xml:space="preserve">Identitas Sekolah diisi dengan data yang sesuai dengan keberadaan Sekolah Menengah Atas. </t>
  </si>
  <si>
    <t xml:space="preserve">Keterangan tentang diri Peserta didik diisi lengkap. </t>
  </si>
  <si>
    <t xml:space="preserve">Rapor harus dilengkapi dengan pas foto berwarna (3 x 4). </t>
  </si>
  <si>
    <t>Sikap spiritual dan sikap sosial diisi dengan predikat (A = Sangat Baik, B = Baik, C = Cukup, atau</t>
  </si>
  <si>
    <t>Kolom deskripsi pada pengetahuan dan keterampilan ditulis dengan singkat menggunakan kalimat</t>
  </si>
  <si>
    <t>Kolom jenis kegiatan diisi dengan kegiatan yang diikuti oleh peserta didik dalam bidang akademik</t>
  </si>
  <si>
    <t>18.</t>
  </si>
  <si>
    <t xml:space="preserve">Tanggapan orang tua/wali adalah komentar atas pencapaian hasil belajar peserta didik. </t>
  </si>
  <si>
    <t>Pada kolom (N x B) diisi dengan cara mengalikan rerata nilai pengetahuan dan keterampilan</t>
  </si>
  <si>
    <t>Indeks prestasi diisi dengan menggunakan rumus</t>
  </si>
  <si>
    <t>19.</t>
  </si>
  <si>
    <t>Penggunaan IP untuk pengambilan beban belajar pada semester berikutnya mengacu kepada</t>
  </si>
  <si>
    <t xml:space="preserve">Kolom predikat pada pengetahuan dan keterampilan diisi berdasarkan interval predikat (D – A). </t>
  </si>
  <si>
    <t>Nilai Tertinggi</t>
  </si>
  <si>
    <t>Nilai Terendah</t>
  </si>
  <si>
    <t>Rata-rata Nilai</t>
  </si>
  <si>
    <t>Standar Deviasi</t>
  </si>
  <si>
    <t>SMA SWASTA KATOLIK SYURADIKARA</t>
  </si>
  <si>
    <t>Kolom nilai pada pengetahuan dan keterampilan ditulis dalam bentuk bilangan bulat pada skala0-100</t>
  </si>
  <si>
    <t>peserta didik dalam kurun waktu tertentu. Rapor dipergunakan selama peserta didik yang bersangkutan</t>
  </si>
  <si>
    <t>mengikuti seluruh program pembelajaran di Sekolah Menengah Atas yang bersangkutan.</t>
  </si>
  <si>
    <t xml:space="preserve">Berikut ini petunjuk untuk mengisi rapor. </t>
  </si>
  <si>
    <t>Pada kolom rata-rata (N) diisi dengan merata-ratakan nilai pada angka pengetahuan dan keterampilan</t>
  </si>
  <si>
    <t>Kolom nilai pada ekstrakurikuler diisi dengan sangat baik, baik, cukup, kurang, yang kriterianya ditetapkan</t>
  </si>
  <si>
    <t>oleh satuan pendidikan. Kolom deskripsi diisi dengan penjelasan sikap dan kecakapan yang dicapai.</t>
  </si>
  <si>
    <t>Catatan pembimbing akademik diisi dengan saran-saran bagi peserta didik dan orang tua untuk diperhatikan</t>
  </si>
  <si>
    <t>yang dilakukan oleh satuan pendidikan. Contoh:</t>
  </si>
  <si>
    <t>Ni : Nilai rata-rata pengetahuan dan keterampilan</t>
  </si>
  <si>
    <t>(NixBi)        Keterangan:</t>
  </si>
  <si>
    <t>Bi</t>
  </si>
  <si>
    <t>c. IP 81 – 90 dapat mengambil beban belajar paling banyak 62 jam pelajaran. Dan</t>
  </si>
  <si>
    <t>d. IP &gt; 90 dapat mengambil beban belajar paling banyak 70 jam pelajaran.</t>
  </si>
  <si>
    <t>SEBAGIAN PENDAPATAN DARI APLIKASI INI DIPERUNTUKAN BAGI MASJID DAN FAKIR MISKIN.</t>
  </si>
  <si>
    <t>JIKA ANDA MELAKUKAN PEMBAJAKAN, BERARTI ANDA TELAH MERAMPAS HAK MEREKA.</t>
  </si>
  <si>
    <t>Halaman lanjutan 25, atau tentukan sendiri sesuai kebutuhan</t>
  </si>
  <si>
    <t>“Sebaik-baiknya hartamu adalah yang bermanfaat bagimu dan orang lain”</t>
  </si>
  <si>
    <t>SMA NEGERI 1 CICURUG</t>
  </si>
  <si>
    <t>SMA PESANTREN TERPADU HAYATAN THAYYIBAH</t>
  </si>
  <si>
    <t>SMA YPM-4 DRIYOREJO</t>
  </si>
  <si>
    <t>SMAN 3 AESESA KAB. NAGEKEO</t>
  </si>
  <si>
    <t>SMA NEGERI 1 WAY TUBA</t>
  </si>
  <si>
    <t>SMA JUNI 2017</t>
  </si>
  <si>
    <t>SMA BUDI PANGUDI LUHUR JAKARTA</t>
  </si>
  <si>
    <t>SMA NEGERI 1 GUNUNG LABUHAN</t>
  </si>
  <si>
    <t>SMA NEGERI 1 SELAYAR</t>
  </si>
  <si>
    <t>SMA NUSANTARA BANDUNG</t>
  </si>
  <si>
    <t>SMA MUTIARA 17 AGUSTUS</t>
  </si>
  <si>
    <t>SMA NURUL YAQIN SEBULU</t>
  </si>
  <si>
    <t>DESKRPSI BERDASARKAN RANKING NILAI</t>
  </si>
  <si>
    <t>OPTION</t>
  </si>
  <si>
    <t>DESKRIPSI BERDASARKAN OPSI MANUAL</t>
  </si>
  <si>
    <t>Prestasinya sangat baik, perlu dipertahankan</t>
  </si>
  <si>
    <r>
      <t xml:space="preserve">Jika menyertakan </t>
    </r>
    <r>
      <rPr>
        <b/>
        <sz val="9"/>
        <color theme="1"/>
        <rFont val="Arial"/>
        <family val="2"/>
      </rPr>
      <t>catatan otomatis berdasarkan Ranking</t>
    </r>
    <r>
      <rPr>
        <sz val="9"/>
        <color theme="1"/>
        <rFont val="Arial"/>
        <family val="2"/>
      </rPr>
      <t xml:space="preserve"> Klik "YA", jika tidak klik "TDK".
</t>
    </r>
    <r>
      <rPr>
        <b/>
        <sz val="9"/>
        <color theme="1"/>
        <rFont val="Arial"/>
        <family val="2"/>
      </rPr>
      <t>Catatan berdasarkan option</t>
    </r>
    <r>
      <rPr>
        <sz val="9"/>
        <color theme="1"/>
        <rFont val="Arial"/>
        <family val="2"/>
      </rPr>
      <t xml:space="preserve"> bisa diisi satu atau dua opsi dan maksimal 3 pilihan.
Catatan bisa berdasarkan ranking saja, atau option saja atau gabungan keduanya</t>
    </r>
  </si>
  <si>
    <t>Prestasi baik, perlu dipertahankan dan dtingkatkan</t>
  </si>
  <si>
    <t>Prestasi cukup, perlu ditingkatkan belajar dan berdoa.</t>
  </si>
  <si>
    <t>Perlu ditingkatkan belajarnya, jangan lupa berdoa</t>
  </si>
  <si>
    <t>Perlu dimaksimalkan belajarnya, usaha keras dan berdoa</t>
  </si>
  <si>
    <t>Perlu usaha keras, maksimalkan belajarnya, lebih giat berdoa dan beribadah.</t>
  </si>
  <si>
    <t>DESKRIPSI RANKING</t>
  </si>
  <si>
    <t>DESKRIPSI OPSI</t>
  </si>
  <si>
    <t>Juara I Lomba Menyanyi antar kelas</t>
  </si>
  <si>
    <r>
      <t xml:space="preserve">Tulis jenis prestasi dan deskripsinya secara manual.
_____________
</t>
    </r>
    <r>
      <rPr>
        <b/>
        <i/>
        <sz val="9"/>
        <color theme="1"/>
        <rFont val="Arial"/>
        <family val="2"/>
      </rPr>
      <t>FOKUS PADA CELLS warna PUTIH dan atau FONT warna BIRU</t>
    </r>
  </si>
  <si>
    <t>Ubah Nama Mapel
sesuai kebutuhan sekolah disini</t>
  </si>
  <si>
    <t>Ke hal. mapel KLIK disini</t>
  </si>
  <si>
    <t>NAMA PESERTA DIDIK
Nomor Induk/NISN
Tempat dan Tanggal Lahir
Nama Orang Tua
Alamat</t>
  </si>
  <si>
    <t>Jenis Penilaian</t>
  </si>
  <si>
    <t>Absensi</t>
  </si>
  <si>
    <t>KETERANGAN</t>
  </si>
  <si>
    <t>Pend. Kepramukaan</t>
  </si>
  <si>
    <t>Keg. Ekstrakurikuler 2</t>
  </si>
  <si>
    <t>Keg. Ekstrakurikuler 3</t>
  </si>
  <si>
    <t>Keg. Ekstrakurikuler 4</t>
  </si>
  <si>
    <t>Ijin</t>
  </si>
  <si>
    <t>NP</t>
  </si>
  <si>
    <t>NK</t>
  </si>
  <si>
    <t>HPH</t>
  </si>
  <si>
    <t>NP = Nilai Pengetahuan   NK=Nilai Keterampilan</t>
  </si>
  <si>
    <t>HPAS = Hasil Penilaian Akhir Semester</t>
  </si>
  <si>
    <t>HPH = Hasil Penilaian Harian</t>
  </si>
  <si>
    <t>HPA = Hasil Penialain Akhir</t>
  </si>
  <si>
    <t>HPTS = Hasil Penilaian Tengah Semester</t>
  </si>
  <si>
    <t>PRE = Predikat</t>
  </si>
  <si>
    <r>
      <t xml:space="preserve">JP </t>
    </r>
    <r>
      <rPr>
        <b/>
        <sz val="8"/>
        <color theme="1" tint="0.14999847407452621"/>
        <rFont val="Arial"/>
        <family val="2"/>
      </rPr>
      <t>(SKS)</t>
    </r>
  </si>
  <si>
    <t>SMA NEGERI 6 CIMAHI</t>
  </si>
  <si>
    <t>SMA PLUS BUDI UTOMO MAKASSAR</t>
  </si>
  <si>
    <t>SMA NEGERI DETUSOKO</t>
  </si>
  <si>
    <t>SMAS MUHAMMADIYAH KALABAHI</t>
  </si>
  <si>
    <t>SMA NEGERI ANGGI</t>
  </si>
  <si>
    <t>ALLAH MAHA TAHU NIAT ANDA SAMPAI DI HALAMAN INI</t>
  </si>
  <si>
    <t>SMA NEGERI 1 TONGAUNA</t>
  </si>
  <si>
    <t>SMA NEGERI 1 SUKOHARJO</t>
  </si>
  <si>
    <t>SMA USDATARA KOTA SORONG</t>
  </si>
  <si>
    <t>SMA NEGERI 1 TOILI</t>
  </si>
  <si>
    <t>Menampilkan Peringkat Nilai pada Catatan Wali Kelas</t>
  </si>
  <si>
    <t>Ya</t>
  </si>
  <si>
    <t>SMA TUNAS BANGSA KUBU RAYA</t>
  </si>
  <si>
    <t>SMA SWASTA FREE METHODIST</t>
  </si>
  <si>
    <t>Hasil Penilaian Harian (HPH)</t>
  </si>
  <si>
    <t>Pengetahuan</t>
  </si>
  <si>
    <t>Keterampilan</t>
  </si>
  <si>
    <t>KUMPULAN NILAI TENGAH SEMESTER</t>
  </si>
  <si>
    <t>Tanggal:</t>
  </si>
  <si>
    <t>Ttd</t>
  </si>
  <si>
    <t>Wali Kelas</t>
  </si>
  <si>
    <t>Mengetahui:</t>
  </si>
  <si>
    <t>................................</t>
  </si>
  <si>
    <t>HPTS= Hasil Penilaian Tengah Semester</t>
  </si>
  <si>
    <t>Klik warna cells warna Biru untuk mengatus baris</t>
  </si>
  <si>
    <t>Insert Picture untukmengganti Logo</t>
  </si>
  <si>
    <t>Ranking Max yang ditampilkan</t>
  </si>
  <si>
    <t>atau halaman ditentukan mulai:</t>
  </si>
  <si>
    <t>SMA NEGERI 2 UNGARAN</t>
  </si>
  <si>
    <t>SMA NEGERI 1 WEWEWA SELATAN</t>
  </si>
  <si>
    <t>FOTO</t>
  </si>
  <si>
    <t>Penyetelan ukuran kertas pada aplikasi ditetapkan A4 Adjust to 100%. Jika sekolah menghendaki</t>
  </si>
  <si>
    <r>
      <t xml:space="preserve">cetak dengan kertas folio, maka ubah </t>
    </r>
    <r>
      <rPr>
        <b/>
        <sz val="11"/>
        <color rgb="FF1539EB"/>
        <rFont val="Calibri"/>
        <family val="2"/>
        <scheme val="minor"/>
      </rPr>
      <t>Adjust to 110%</t>
    </r>
    <r>
      <rPr>
        <b/>
        <sz val="11"/>
        <rFont val="Calibri"/>
        <family val="2"/>
        <scheme val="minor"/>
      </rPr>
      <t xml:space="preserve">, </t>
    </r>
    <r>
      <rPr>
        <b/>
        <sz val="11"/>
        <color rgb="FF1539EB"/>
        <rFont val="Calibri"/>
        <family val="2"/>
        <scheme val="minor"/>
      </rPr>
      <t>paper size folio atau 330mm x 215mm</t>
    </r>
  </si>
  <si>
    <t>SMA KRISTEN ATAMBUA</t>
  </si>
  <si>
    <t>SMA TUNAS BANGSA BONTANG</t>
  </si>
  <si>
    <t>SMA NEGERI 1 KALABAHI</t>
  </si>
  <si>
    <t>PILIHAN DESKRIPSI SIKAP SPIRITUAL</t>
  </si>
  <si>
    <t>SIKAP SOSIAL</t>
  </si>
  <si>
    <t>PETUNJUK</t>
  </si>
  <si>
    <t>Edit deskripsi sikap Spiritual maupun Sikap Sosial sesuai kebutuhan yang akan menjadi pilihan</t>
  </si>
  <si>
    <t>Edit deskripsi bagi siswa yang tidak menonjol atau siswa yang tidak dalam pengamatan, karena</t>
  </si>
  <si>
    <t>Isikan opsi (angka 1 s.d 10 baik untuk sikap Spiritual maupun sikap Sosial pada cells yang tersedia)</t>
  </si>
  <si>
    <t>dan tidak setiap kolom harus terisi. Boleh hanya 1 opsi saja, atau bahkan banyak opsi.</t>
  </si>
  <si>
    <t>nasionalis</t>
  </si>
  <si>
    <t>DESKRIPSI SISWA MENONJOL</t>
  </si>
  <si>
    <t>DESKRIPSI BAGI SISWA YANG TIDAK MENONJOL</t>
  </si>
  <si>
    <t>tulis nomor option sikap sosial</t>
  </si>
  <si>
    <t>Tambahan Catatan Manual jika dibutuhkan</t>
  </si>
  <si>
    <t>DESKRIPSI BAGI SISWA YANG TIDAK MENOJOL</t>
  </si>
  <si>
    <t>MULAI MENINGKAT</t>
  </si>
  <si>
    <t>kurang</t>
  </si>
  <si>
    <t>Perlu pendampingan dan pembinaan secara intensif</t>
  </si>
  <si>
    <t>demokratis</t>
  </si>
  <si>
    <r>
      <t>bagi deskripsi</t>
    </r>
    <r>
      <rPr>
        <b/>
        <sz val="9"/>
        <color theme="1"/>
        <rFont val="Tahoma"/>
        <family val="2"/>
      </rPr>
      <t xml:space="preserve"> siswa yang memiliki sikap menonjol</t>
    </r>
    <r>
      <rPr>
        <sz val="9"/>
        <color theme="1"/>
        <rFont val="Tahoma"/>
        <family val="2"/>
      </rPr>
      <t xml:space="preserve"> dalam hal </t>
    </r>
    <r>
      <rPr>
        <b/>
        <sz val="9"/>
        <color theme="1"/>
        <rFont val="Tahoma"/>
        <family val="2"/>
      </rPr>
      <t>Sangat Baik</t>
    </r>
    <r>
      <rPr>
        <sz val="9"/>
        <color theme="1"/>
        <rFont val="Tahoma"/>
        <family val="2"/>
      </rPr>
      <t xml:space="preserve"> atau sebaliknya.</t>
    </r>
  </si>
  <si>
    <r>
      <t>sudah dianggap Baik. (</t>
    </r>
    <r>
      <rPr>
        <b/>
        <sz val="9"/>
        <color theme="1"/>
        <rFont val="Tahoma"/>
        <family val="2"/>
      </rPr>
      <t>DESKRIPSI BAGI SISWA YANG TIDAK MENONJOL</t>
    </r>
    <r>
      <rPr>
        <sz val="9"/>
        <color theme="1"/>
        <rFont val="Tahoma"/>
        <family val="2"/>
      </rPr>
      <t>)</t>
    </r>
  </si>
  <si>
    <t xml:space="preserve">Isi kolom paling kiri terlebih dahulu untuk masing-masing kategori. Tidak setiap kategori harus diisi, </t>
  </si>
  <si>
    <t>Terkait siswa yang menonjol sebaiknya fokus sikap SANGAT BAIK, KURANG dan MULAI MENINGKAT</t>
  </si>
  <si>
    <t>Namun tidak menutup kmungkinan pada sikap BAIK karena pada kebanyakan siswa lain biasa saja</t>
  </si>
  <si>
    <t>Jika ada kerusakan cells, copykan cells yang sama dari cells Aplikasi Raport Master yang tersimpan.</t>
  </si>
  <si>
    <t>PREDIKAT
harus diisi</t>
  </si>
  <si>
    <t>SMA NEGERI 1 BONEHAU</t>
  </si>
  <si>
    <t>SMA NEGERI 1 STM HILIR DELI SERDANG</t>
  </si>
  <si>
    <t>SMA NEGERI 2 SARMI</t>
  </si>
  <si>
    <t>SMA SWASTA SULTAN ISKANDAR MUDA MEDAN</t>
  </si>
  <si>
    <t>SMA NEGERI 1 JETIS PONOROGO</t>
  </si>
  <si>
    <t>SMA BABTIS CENGKARENG INDAH</t>
  </si>
  <si>
    <t>SMA NEGERI 2 PELEPAT ILIR</t>
  </si>
  <si>
    <t>SMA NEGERI 9 RAJA AMPAT</t>
  </si>
  <si>
    <t>SMA ADVENT 1 MEDAN</t>
  </si>
  <si>
    <t>SMA TAMANSISWA</t>
  </si>
  <si>
    <t>SMA NEGERI 7 CIREBON</t>
  </si>
  <si>
    <t>SMA ADHYAKSA 1 JAMBI</t>
  </si>
  <si>
    <t>NAMA GURU</t>
  </si>
  <si>
    <t>Sansekerta</t>
  </si>
  <si>
    <t>Sapiento</t>
  </si>
  <si>
    <t>Adam,S.PdI</t>
  </si>
  <si>
    <t>Panca Susila,S.Pd</t>
  </si>
  <si>
    <t>Drs. Kalkulusa</t>
  </si>
  <si>
    <t>William</t>
  </si>
  <si>
    <t>Seniman,M.Pd.</t>
  </si>
  <si>
    <t>SMA FRANSISKUS BANDAR LAMPUNG</t>
  </si>
  <si>
    <t>SMA NEGERI 5 KOTA JAMBI</t>
  </si>
  <si>
    <t>SMA NEGERI 1 SINDANG</t>
  </si>
  <si>
    <t>Mengetahui;</t>
  </si>
  <si>
    <t>Pengisian Daftar Nilai dilakukan SECARA MANUAL oleh Guru setiap kali melakukan</t>
  </si>
  <si>
    <t>penilaian. Nilai dengan kertas bertujuan untuk membuat BUKTI OTENTIK yang tidak bisa</t>
  </si>
  <si>
    <t>dibajak. Bukti manual juga tidak akan rusak karena virus atau komputer yang rusak.</t>
  </si>
  <si>
    <t>Sehingga kapanpun dibutuhkan masih tetap sesuai keadaan aslinya.</t>
  </si>
  <si>
    <t>Jadi entry nilai ke Aplikasi dilakukan dengan 1 Aplikasi raport oleh Wali Kelas.</t>
  </si>
  <si>
    <t>SMA NEGERI 1 MELIAU</t>
  </si>
  <si>
    <t>SMA BAPTIS CENGKARENG INDAH</t>
  </si>
  <si>
    <t>SMA NEGERI 2 TARUTUNG</t>
  </si>
  <si>
    <t>SMA SWASTA AHMAD YANI BINJAI</t>
  </si>
  <si>
    <t>II. Lintas Minat dan/atau Pendalaman Minat</t>
  </si>
  <si>
    <t>Ekonomi</t>
  </si>
  <si>
    <t>I. Peminatan Ilmu-ilmu Keagamaan</t>
  </si>
  <si>
    <t>I. Peminatan Ilmu-ilmu Bahasa dan Budaya</t>
  </si>
  <si>
    <t>I. Peminatan Ilmu-ilmu Sosial</t>
  </si>
  <si>
    <t>I. Peminatan Matematika dan Ilmu Alam</t>
  </si>
  <si>
    <t>Muatan Lokal</t>
  </si>
  <si>
    <t>Edit nama mapel sesuai kebutuhan</t>
  </si>
  <si>
    <t>Kosongkan nama mata pelajaran</t>
  </si>
  <si>
    <t>Rentang Nilai otomatis tampil bersama</t>
  </si>
  <si>
    <t>dengan perubahan KKM. Rentang Nilai</t>
  </si>
  <si>
    <t>yg tampil di halaman ini, merupakan</t>
  </si>
  <si>
    <t>rentang KKM Tunggal</t>
  </si>
  <si>
    <t>Setiap Font Biru atau CELLS PUTIH bisa</t>
  </si>
  <si>
    <t>diedit sesuai kebutuhan sekolah.</t>
  </si>
  <si>
    <t>Namai Judul Grafik sesuai Keperluan</t>
  </si>
  <si>
    <t>Klik menampilkan data</t>
  </si>
  <si>
    <t>Data tampil pada cetak</t>
  </si>
  <si>
    <t>Rerata Pengetahuan</t>
  </si>
  <si>
    <t>Rerata Keterampilan</t>
  </si>
  <si>
    <t>Rata-rata</t>
  </si>
  <si>
    <t>GRAFIK DAYA SERAP</t>
  </si>
  <si>
    <t>N.Min Pengetahuan</t>
  </si>
  <si>
    <t>N.Min Keterampilan</t>
  </si>
  <si>
    <t>N.Max Pengetahuan</t>
  </si>
  <si>
    <t>N.Max Keterampilan</t>
  </si>
  <si>
    <t>Naik/Tidak Naik</t>
  </si>
  <si>
    <t>Tabel interval predikat berdasarkan KKM</t>
  </si>
  <si>
    <t>Klik data yang diperlukan</t>
  </si>
  <si>
    <t>Nama Guru tidak link ke sheet yg lain. Hanya untuk dokumentasi.</t>
  </si>
  <si>
    <t>SMA NEGERI 1 SILAU KAHEAN</t>
  </si>
  <si>
    <t>SMA NEGERI 5 TAKENGON</t>
  </si>
  <si>
    <t>SMA DUA MEI</t>
  </si>
  <si>
    <t>SMA NEGERI 1 KEPOHBARU</t>
  </si>
  <si>
    <t>SMA NEGERI 2 BANDA</t>
  </si>
  <si>
    <t>SMA NEGERI 1 SUNGAI LAUR</t>
  </si>
  <si>
    <t>SMA SWASTA ADVENT 1 MEDAN</t>
  </si>
  <si>
    <t>SMA SWASTA ADVENT AIR BERSIH MEDAN</t>
  </si>
  <si>
    <t>SMA YADIKA KALIJATI</t>
  </si>
  <si>
    <t>klik</t>
  </si>
  <si>
    <t>Predi
kat</t>
  </si>
  <si>
    <t>NSS</t>
  </si>
  <si>
    <t>201020812170</t>
  </si>
  <si>
    <t>Kristen</t>
  </si>
  <si>
    <t>dan KKM nya yang tidak diperlukan</t>
  </si>
  <si>
    <t>Jika mapel sudah ditentukan, buka</t>
  </si>
  <si>
    <t>sheet raport(NTS dan UAS), edit</t>
  </si>
  <si>
    <t>layout raport sesuai kebutuhan.</t>
  </si>
  <si>
    <t>Untuk memudahkan perpindahan antar sheet, sebaiknya lakukan dari klik HOME.dan klik tombol-tomboldisini</t>
  </si>
  <si>
    <t>SMA NEGERI 1 KENOHAN</t>
  </si>
  <si>
    <t>SMA NEGERI 1 PARONGPONG</t>
  </si>
  <si>
    <t>SEBELUM APLIKASI DIGANDAKAN</t>
  </si>
  <si>
    <t>Atur lebar baris dengan mempertimbangkan jumlah siswa yang ada. Hide rows dibawah nama jika jarak dengan teks bawah belum ideal.</t>
  </si>
  <si>
    <t>Penilaian secara manual sangat</t>
  </si>
  <si>
    <t>perlu dengan alasan sebagai bukti</t>
  </si>
  <si>
    <t>otentik nilai yang tidak bisa dipalsukan,</t>
  </si>
  <si>
    <t>tidak rusak karena virus atau kerusakan</t>
  </si>
  <si>
    <t>alat, satu-satunya alat penolong jika</t>
  </si>
  <si>
    <t>data pada aplikasi rusak karena virus</t>
  </si>
  <si>
    <t>atau komputer yang error.</t>
  </si>
  <si>
    <t>Setelah Data siswa terisi lengkap</t>
  </si>
  <si>
    <t>Cetak halaman ini, untuk setiap kelas</t>
  </si>
  <si>
    <t>Foto copy secukupnya untuk</t>
  </si>
  <si>
    <t>penilaian manual bagi Guru di kelas</t>
  </si>
  <si>
    <t>Serahkan ke wali kelas jika daftar</t>
  </si>
  <si>
    <t>Nilai ini sudah terisi, untuk dientry</t>
  </si>
  <si>
    <t>ke aplikasi Raport.</t>
  </si>
  <si>
    <t>Entry Nilai Harian ke Aplikasi Raport</t>
  </si>
  <si>
    <t>merupakan nilai Akhir masing-masing</t>
  </si>
  <si>
    <t>Nilai KD/Indikator KD. Jadi tidak</t>
  </si>
  <si>
    <t>termasuk Nilai Remidi atau Pengayaan</t>
  </si>
  <si>
    <t>Nilai Remidi dan Nilai Pengayaan</t>
  </si>
  <si>
    <t>terdokumentasi pada Daftar Nilai</t>
  </si>
  <si>
    <t>manual ini.</t>
  </si>
  <si>
    <t>SMAS SEMEN PADANG</t>
  </si>
  <si>
    <t>SMA NEGERI 2 PALEMBANG</t>
  </si>
  <si>
    <t>SMA TRISOKO</t>
  </si>
  <si>
    <t>SMA NEGERI 5 PADANGSIDIMPUAN</t>
  </si>
  <si>
    <t>SMA NEGERI 1 SUNGAI ARE</t>
  </si>
  <si>
    <t>SMA NEGERI 2 BANJARMASIN</t>
  </si>
  <si>
    <t>SMA SWASTA SETIABUDI ABADI PERBAUNGAN</t>
  </si>
  <si>
    <t>SMA NEGERI 1 PANTAI LUNSI</t>
  </si>
  <si>
    <t>SMA NEGERI 1 TANJUNG MUTIARA</t>
  </si>
  <si>
    <t>SMA NEGERI 2 SENTAJO RAYA</t>
  </si>
  <si>
    <t>SMA BINA CIPTA PALEMBANG</t>
  </si>
  <si>
    <t>SMA GAJAHMADA 3 PALEMBANG</t>
  </si>
  <si>
    <t>SMA SWASTA CERDAS MURNI</t>
  </si>
  <si>
    <t>SMA MARDI WACANA PALEMBANG</t>
  </si>
  <si>
    <t>SMA TARUNA BANGSA</t>
  </si>
  <si>
    <t>SMA NEGERI 1 WUNGU</t>
  </si>
  <si>
    <t>SMAIT NURUL FAJRI</t>
  </si>
  <si>
    <t>SMA KARTIKA XX-1 MAKASSAR</t>
  </si>
  <si>
    <t>SMA NEGERI 1 SUNGAI MANDAU</t>
  </si>
  <si>
    <t>SMA DHARMA BUDHI BHAKTI JAKARTA</t>
  </si>
  <si>
    <t>SMA YLPI PEKANBARU</t>
  </si>
  <si>
    <t>SMA MONTE SIENNA</t>
  </si>
  <si>
    <t>SMA NEGERI 9 KAB. TANGERANG</t>
  </si>
  <si>
    <t>SMA NEGERI 1 RAMBANG DANGKU</t>
  </si>
  <si>
    <t>JANGAN LAKUKAN CUT/MOVE/COPY-PASTE</t>
  </si>
  <si>
    <t>UNTUK ITU JANGAN AJARI MEREKA UNTUK MEMBAJAK KARYA ORANG LAIN</t>
  </si>
  <si>
    <t>Aplikasi by. Pak Je |Phone-WhatsApp (WA): 082332381995 | https://jadwalku.wordpress.com/</t>
  </si>
  <si>
    <t>SMA NEGERI 1 KARANG INTAN</t>
  </si>
  <si>
    <t>SMA NEGERI 1 LIMAU</t>
  </si>
  <si>
    <t>SMA NEGERI 5 BENGKULU SELATAN</t>
  </si>
  <si>
    <t>SMA SEKOLAH RAKYAT</t>
  </si>
  <si>
    <t>SMA ARIF RAHMAN HAKIM</t>
  </si>
  <si>
    <t>SMA SAPTA DHARMA SOREANG</t>
  </si>
  <si>
    <t>SMA NEGERI 1 JENAMAS</t>
  </si>
  <si>
    <t>SMA NEGERI 1 MONTA</t>
  </si>
  <si>
    <t>SMA AL WASHLIYAH 1 MEDAN</t>
  </si>
  <si>
    <t>SMA PGRI 1 BANJARMASIN</t>
  </si>
  <si>
    <t>SMA ISLAM AS SYAFI'IYAH</t>
  </si>
  <si>
    <t>SMA NEGERI 1 BELITANG JAYA</t>
  </si>
  <si>
    <t>SMA ISLAM TERPADU AL-HUSNA</t>
  </si>
  <si>
    <t>SMA KATOLIK CENDERAWASIH MAKASSAR</t>
  </si>
  <si>
    <t>SMA YPI DARUSSALAM CERME</t>
  </si>
  <si>
    <t>SMA ASY-SUJA'IYYAH CIWIDEY</t>
  </si>
  <si>
    <t>SMA BHAKTI MULYA BANJARAN</t>
  </si>
  <si>
    <t>SMA N 1 TOMBATU</t>
  </si>
  <si>
    <t>SMA NEGERI 1 INUMAN</t>
  </si>
  <si>
    <t>SMA NEGERI 1 PANTAI BARU</t>
  </si>
  <si>
    <t xml:space="preserve">SMA NEGERI 1 PANTAI BARU AL. </t>
  </si>
  <si>
    <t>SMA NEGERI 1 PENDOPO BARAT</t>
  </si>
  <si>
    <t>SMA NEGERI 1 SENTANI</t>
  </si>
  <si>
    <t>SMAN 1 BAKAUHENI</t>
  </si>
  <si>
    <t>SMAN 1 DAYUN</t>
  </si>
  <si>
    <t>SMAN 1 KOTO GASIB</t>
  </si>
  <si>
    <t>SMAN 2 SIAK</t>
  </si>
  <si>
    <t>SMAN 1 SIANTAN</t>
  </si>
  <si>
    <t>SMAN 1 BUNGA RAYA</t>
  </si>
  <si>
    <t>SMAN 1 PUSAKO</t>
  </si>
  <si>
    <t>SMAN 2 DAYUN</t>
  </si>
  <si>
    <t>SMA KATOLIK "SANTO THOMAS AQUINO" MOJOKERTO</t>
  </si>
  <si>
    <t>SMA NEGERI 1 FATULEU BARAT</t>
  </si>
  <si>
    <t>SMA NEGERI 1 KABANGKA</t>
  </si>
  <si>
    <t>SMA NUUR EL-BANTANYK</t>
  </si>
  <si>
    <t>SMAN 1 MOYO UTARA</t>
  </si>
  <si>
    <t>SMAS DON BOSCO III</t>
  </si>
  <si>
    <t>SMA NEGERI I TOMBATU</t>
  </si>
  <si>
    <t>SMAN 2 SUKATANI KAB. BEKASI</t>
  </si>
  <si>
    <t>SMAN 1 SUNGAI APIT</t>
  </si>
  <si>
    <t>SMAN 1 SABAK AUH</t>
  </si>
  <si>
    <t>SMAN 2 KERINCI KANAN</t>
  </si>
  <si>
    <t>SMAN 3 KANDIS</t>
  </si>
  <si>
    <t>SMAN 5 TUALANG</t>
  </si>
  <si>
    <t>SMAN 2  BUNGA RAYA</t>
  </si>
  <si>
    <t>SMAN 1 KERINCI KANAN</t>
  </si>
  <si>
    <t>SMA PGRI 1 KOTA MOJOKERTO</t>
  </si>
  <si>
    <t>SMA SWASTA KATOLIK ST. PETRUS</t>
  </si>
  <si>
    <t>SMA NEGERI 2 KOLAKA</t>
  </si>
  <si>
    <t>SMA NEGERI 10 KOTA BEKASI</t>
  </si>
  <si>
    <t>SMA NEGERI 1 KETAPANG</t>
  </si>
  <si>
    <t>SMA MARIA MEDIATRIX</t>
  </si>
  <si>
    <t>SMA NEGERI 1 ULU MUSI</t>
  </si>
  <si>
    <t>SMA NEGERI 1 AMPEL</t>
  </si>
  <si>
    <t>SMA NEGERI 1 NIMBORAN</t>
  </si>
  <si>
    <t>SMA NEGERI 1 NATAL</t>
  </si>
  <si>
    <t>SMA MANDIRI KADEMANGAN</t>
  </si>
  <si>
    <t>SMA NEGERI 3 SUNGAI APIT</t>
  </si>
  <si>
    <t>SMA NEGERI 2 KLUET UTARA</t>
  </si>
  <si>
    <t>SMA NEGERI 1 WOLOWAE</t>
  </si>
  <si>
    <t>SMA SWASTA SANTA MARIA KABANJAHE</t>
  </si>
  <si>
    <t>SMA AL MUNIROH UJUNGPANGKAH</t>
  </si>
  <si>
    <t>SMAN 1 LUBUK DALAM</t>
  </si>
  <si>
    <t>SMA NEGERI 1 HALMAHERA BARAT</t>
  </si>
  <si>
    <t>SMA AL FATAH YPKP SENTANI</t>
  </si>
  <si>
    <t>SMA YADIKA KALIJATI SUBANG</t>
  </si>
  <si>
    <t>SMA NEGERI 1 GUNUNG TULEH</t>
  </si>
  <si>
    <t>SMA NEGERI ORANSBARI</t>
  </si>
  <si>
    <t>SMAN 3 PANDEGLANG</t>
  </si>
  <si>
    <t>SMA NEGERI 1 PANGGUL</t>
  </si>
  <si>
    <t>SMA NEGERI 1 ROTE BARAT</t>
  </si>
  <si>
    <t>SMAS IT ASY SYAFI'IYYAH</t>
  </si>
  <si>
    <t>SMAK LAMAHOLOT WITIHAMA</t>
  </si>
  <si>
    <t>SMA NEGERI 1 KEMUSU BOYOLALI</t>
  </si>
  <si>
    <t>SMA NEGERI 1 PAYUNG</t>
  </si>
  <si>
    <t>SMA SWASTA DIPANEGARA TEBING TINGGI</t>
  </si>
  <si>
    <t>SMA SWASTA JOSUA MEDAN</t>
  </si>
  <si>
    <t>SMA NEGERI 1 DAMAI</t>
  </si>
  <si>
    <t>SMA NEGERI 2 SENDAWAR</t>
  </si>
  <si>
    <t>SMA Al Amanah Ciwidey</t>
  </si>
  <si>
    <t>SMA PGRI 1 KOTA SERANG</t>
  </si>
  <si>
    <t>SMA NEGERI 1 MEMPURA</t>
  </si>
  <si>
    <t>SMA NEGERI 3 BULUKUMBA</t>
  </si>
  <si>
    <t>SMA NEGERI 1 PONTANG</t>
  </si>
  <si>
    <t>SMA NEGERI 1 PANGURURAN</t>
  </si>
  <si>
    <t>SMA MUHAMMADIYAH KOTA GORONTALO</t>
  </si>
  <si>
    <t>SMAK TARUNA VIDYA ENDE</t>
  </si>
  <si>
    <t>SMA SWASTA ISLAM TERPADU AL-WAHDAH BOMBANA</t>
  </si>
  <si>
    <t>SMAN 2 BORONG</t>
  </si>
  <si>
    <t>SMAN 1 SINUNUKAN</t>
  </si>
  <si>
    <t>SMA NEGERI 2 KOTO BARU</t>
  </si>
  <si>
    <t>SMA BINA MAJU BANGSA</t>
  </si>
  <si>
    <t>SMA SWASTA AL-WASHLIYAH PASAR SENEN MEDAN</t>
  </si>
  <si>
    <t>SMA KRISTEN MANEK TO KUATNANA</t>
  </si>
  <si>
    <t>SMA PESANTREN DATOK SULAIMAN PALOPO</t>
  </si>
  <si>
    <t>SMA ISLAM RAUDHOTUT THOLIBIN</t>
  </si>
  <si>
    <t>SMA WIDYA MANGGALA</t>
  </si>
  <si>
    <t>SMA MAARIF 1 PAMEKASAN</t>
  </si>
  <si>
    <t>SMA MUHAMMADIYAH MARTAPURA</t>
  </si>
  <si>
    <t>SMA INDONESIA RAYA BANDUNG</t>
  </si>
  <si>
    <t>SMA NEGERI 1 BINTAN PESISIR</t>
  </si>
  <si>
    <t>SEKOLAH MENENGAH AGAMA KATOLIK (SMAK)</t>
  </si>
  <si>
    <t>SMA ISLAMI TERPADU QARDHAN HASANA</t>
  </si>
  <si>
    <t>SMA NEGERI 1 LINGGANG BIGUNG</t>
  </si>
  <si>
    <t>SMA NEGERI 1 TINOMBO</t>
  </si>
  <si>
    <t>SMA Negeri 1 Mangoli Barat</t>
  </si>
  <si>
    <t>SMAIT DARUT TAQWA PONOROGO</t>
  </si>
  <si>
    <t>SMA NEGERI 1 LONG IRAM</t>
  </si>
  <si>
    <t>SMA MUHAMMADIYAH ENDE</t>
  </si>
  <si>
    <t>SMA NEGERI MAUROLE</t>
  </si>
  <si>
    <t>SMA NEGERI 1 SERAM TIMUR</t>
  </si>
  <si>
    <t>SMA PGRI 4 KAIRATU</t>
  </si>
  <si>
    <t>SMA NAHDIYAT MAKASSAR</t>
  </si>
  <si>
    <t>SMA YPPK ASISI SENTANI</t>
  </si>
  <si>
    <t>SMA NEGERI 1 TANJUNGANOM</t>
  </si>
  <si>
    <t>SMA KRISTEN HARAPAN BANGSA BALIKPAPAN</t>
  </si>
  <si>
    <t>Petunjuk Pengerjaan</t>
  </si>
  <si>
    <r>
      <t xml:space="preserve">Ringkasan KD PENGETAHUAN yang di Nilai </t>
    </r>
    <r>
      <rPr>
        <b/>
        <sz val="10"/>
        <color theme="0"/>
        <rFont val="Arial Narrow"/>
        <family val="2"/>
      </rPr>
      <t>(Max 65 huruf)</t>
    </r>
  </si>
  <si>
    <t>Ringkasan KD KETERAMPILAN yang dinilai (Max 65 huruf)</t>
  </si>
  <si>
    <t>Tuliskan ringkasan KD/Indikator KD yang dinilai.</t>
  </si>
  <si>
    <t>P-1</t>
  </si>
  <si>
    <r>
      <t>Nilai KD</t>
    </r>
    <r>
      <rPr>
        <sz val="9"/>
        <color indexed="8"/>
        <rFont val="Arial"/>
        <family val="2"/>
      </rPr>
      <t xml:space="preserve"> yang dientry merupakan </t>
    </r>
    <r>
      <rPr>
        <b/>
        <sz val="9"/>
        <color indexed="8"/>
        <rFont val="Arial"/>
        <family val="2"/>
      </rPr>
      <t>Nilai Akhir</t>
    </r>
    <r>
      <rPr>
        <sz val="9"/>
        <color indexed="8"/>
        <rFont val="Arial"/>
        <family val="2"/>
      </rPr>
      <t xml:space="preserve"> (Jika perlu remidi maka Nilai setelah Remidi)</t>
    </r>
  </si>
  <si>
    <r>
      <t>Hasil Penilaian Harian (HPH)</t>
    </r>
    <r>
      <rPr>
        <sz val="9"/>
        <color indexed="8"/>
        <rFont val="Arial"/>
        <family val="2"/>
      </rPr>
      <t xml:space="preserve"> bisa Hasil Tes Tulis, Tes Lisan maupun Tugas. Setiap 1 KD dengan 1 Nilai. Jika dalam 1 KD melaksanakan proses penilaian lebih dari 1 jenis penilaian maka HPH merupakan hasil rata-ratanya.</t>
    </r>
  </si>
  <si>
    <t>P-2</t>
  </si>
  <si>
    <t>P-3</t>
  </si>
  <si>
    <r>
      <t xml:space="preserve">Fokuslah bekerja pada </t>
    </r>
    <r>
      <rPr>
        <b/>
        <sz val="9"/>
        <color indexed="8"/>
        <rFont val="Arial"/>
        <family val="2"/>
      </rPr>
      <t>cells warna putih dan/atau font warna biru</t>
    </r>
  </si>
  <si>
    <t>P-4</t>
  </si>
  <si>
    <t>P-5</t>
  </si>
  <si>
    <r>
      <t>Deskripsi otomatis</t>
    </r>
    <r>
      <rPr>
        <sz val="9"/>
        <color indexed="8"/>
        <rFont val="Arial"/>
        <family val="2"/>
      </rPr>
      <t xml:space="preserve"> tersusun dari NH yang dirangkai dengan predikat sesuai Interval Nilai</t>
    </r>
  </si>
  <si>
    <r>
      <t xml:space="preserve">Jika </t>
    </r>
    <r>
      <rPr>
        <b/>
        <sz val="9"/>
        <color theme="1"/>
        <rFont val="Arial"/>
        <family val="2"/>
      </rPr>
      <t>salah satu kolom Nilai Harian pada siswa</t>
    </r>
    <r>
      <rPr>
        <sz val="9"/>
        <color theme="1"/>
        <rFont val="Arial"/>
        <family val="2"/>
      </rPr>
      <t xml:space="preserve"> telah terisi pada KD tertentu maka akan </t>
    </r>
    <r>
      <rPr>
        <b/>
        <sz val="9"/>
        <color theme="1"/>
        <rFont val="Arial"/>
        <family val="2"/>
      </rPr>
      <t>ditandai dengan warna MERAH pada Kode KD</t>
    </r>
    <r>
      <rPr>
        <sz val="9"/>
        <color theme="1"/>
        <rFont val="Arial"/>
        <family val="2"/>
      </rPr>
      <t>. Jumlah kolom terisis sebagai pembagi untuk memperoleh Rerata Penilaian Harian (RPH)</t>
    </r>
  </si>
  <si>
    <t>P-6</t>
  </si>
  <si>
    <t>P-7</t>
  </si>
  <si>
    <r>
      <t xml:space="preserve">Jika ada </t>
    </r>
    <r>
      <rPr>
        <b/>
        <sz val="9"/>
        <color theme="1"/>
        <rFont val="Arial"/>
        <family val="2"/>
      </rPr>
      <t>kerusakan</t>
    </r>
    <r>
      <rPr>
        <sz val="9"/>
        <color theme="1"/>
        <rFont val="Arial"/>
        <family val="2"/>
      </rPr>
      <t xml:space="preserve"> pada Cells tertentu (ditandai adanya tanda pagar), sebaiknya copy seluruh data ke aplikasi baru (master) dengan </t>
    </r>
    <r>
      <rPr>
        <b/>
        <sz val="9"/>
        <color theme="1"/>
        <rFont val="Arial"/>
        <family val="2"/>
      </rPr>
      <t>Copy-Paste Special Values</t>
    </r>
  </si>
  <si>
    <t>P-8</t>
  </si>
  <si>
    <t>P-9</t>
  </si>
  <si>
    <t>KD Pengetahuan-9</t>
  </si>
  <si>
    <t>K-9</t>
  </si>
  <si>
    <t>KD keterampilan-9</t>
  </si>
  <si>
    <r>
      <rPr>
        <b/>
        <sz val="9"/>
        <color theme="1"/>
        <rFont val="Arial"/>
        <family val="2"/>
      </rPr>
      <t>Jika tidak ada PTS/PAS</t>
    </r>
    <r>
      <rPr>
        <sz val="9"/>
        <color theme="1"/>
        <rFont val="Arial"/>
        <family val="2"/>
      </rPr>
      <t xml:space="preserve">, maka pada </t>
    </r>
    <r>
      <rPr>
        <b/>
        <sz val="9"/>
        <color theme="1"/>
        <rFont val="Arial"/>
        <family val="2"/>
      </rPr>
      <t>bobot Nilai diisi 0 (Nol</t>
    </r>
    <r>
      <rPr>
        <sz val="9"/>
        <color theme="1"/>
        <rFont val="Arial"/>
        <family val="2"/>
      </rPr>
      <t>).</t>
    </r>
  </si>
  <si>
    <t>P-10</t>
  </si>
  <si>
    <t>KD Pengetahuan-10</t>
  </si>
  <si>
    <t>K-10</t>
  </si>
  <si>
    <t>KD keterampilan-10</t>
  </si>
  <si>
    <r>
      <t xml:space="preserve">DESKRIPSI OTOMATIS </t>
    </r>
    <r>
      <rPr>
        <b/>
        <sz val="11"/>
        <color theme="1"/>
        <rFont val="Arial"/>
        <family val="2"/>
      </rPr>
      <t>ASPEK PENGETAHUAN</t>
    </r>
  </si>
  <si>
    <r>
      <t xml:space="preserve">DESKRIPSI OTOMATIS </t>
    </r>
    <r>
      <rPr>
        <b/>
        <sz val="12"/>
        <color theme="1"/>
        <rFont val="Arial"/>
        <family val="2"/>
      </rPr>
      <t>ASPEK KETERAMPILAN</t>
    </r>
  </si>
  <si>
    <t>Boleh dengan langkah;
copy&gt; paste special values</t>
  </si>
  <si>
    <r>
      <rPr>
        <b/>
        <sz val="11"/>
        <color rgb="FFFFFF00"/>
        <rFont val="Calibri"/>
        <family val="2"/>
        <scheme val="minor"/>
      </rPr>
      <t>klik-</t>
    </r>
    <r>
      <rPr>
        <b/>
        <sz val="14"/>
        <color theme="0"/>
        <rFont val="Calibri"/>
        <family val="2"/>
        <scheme val="minor"/>
      </rPr>
      <t>HOME</t>
    </r>
  </si>
  <si>
    <t>Isi kode sesuai Agama yang dianut</t>
  </si>
  <si>
    <t>Tulis nama-nama Agama yang dianut siswa dalam satu kelas. Jika agama yang sudah tertulis ada yang belum sesuai, silahkan diedit.</t>
  </si>
  <si>
    <t>Setiap aspek tersedia 10 baris KD. Tidak perlu semua KD ditulis disini, tetapi cukup KD yang dinilai saja.</t>
  </si>
  <si>
    <t>Setiap font berwarna BIRU silahkan di edit.</t>
  </si>
  <si>
    <r>
      <t xml:space="preserve">RINGKASAN KD/INDIKATOR KD/TEMA </t>
    </r>
    <r>
      <rPr>
        <b/>
        <sz val="14"/>
        <color rgb="FFFFFF66"/>
        <rFont val="Arial"/>
        <family val="2"/>
      </rPr>
      <t>PENGETAHUAN</t>
    </r>
    <r>
      <rPr>
        <b/>
        <sz val="12"/>
        <color theme="0"/>
        <rFont val="Arial"/>
        <family val="2"/>
      </rPr>
      <t xml:space="preserve"> max 65 huruf</t>
    </r>
  </si>
  <si>
    <t>KODE</t>
  </si>
  <si>
    <t>AGAMA</t>
  </si>
  <si>
    <t>Katholik</t>
  </si>
  <si>
    <t>Hindu</t>
  </si>
  <si>
    <t>Budha</t>
  </si>
  <si>
    <t>kompetensi pengetahuan Hindu 1</t>
  </si>
  <si>
    <t>kompetensi pengetahuan Budha 1</t>
  </si>
  <si>
    <t>kompetensi pengetahuan Hindu 2</t>
  </si>
  <si>
    <t>kompetensi pengetahuan Budha 2</t>
  </si>
  <si>
    <t>menjelaskan contoh materi ngawur tetapi bermanfaat bagi manusia</t>
  </si>
  <si>
    <t>kompetensi pengetahuan Hindu 3</t>
  </si>
  <si>
    <t>kompetensi pengetahuan Budha 3</t>
  </si>
  <si>
    <t>kompetensi pengetahuan Islam 4</t>
  </si>
  <si>
    <t>kompetensi pengetahuan Hindu 4</t>
  </si>
  <si>
    <t>kompetensi pengetahuan Budha 4</t>
  </si>
  <si>
    <t>kompetensi pengetahuan Islam 5</t>
  </si>
  <si>
    <t>kompetensi pengetahuan Hindu 5</t>
  </si>
  <si>
    <t>kompetensi pengetahuan Budha 5</t>
  </si>
  <si>
    <t>kompetensi pengetahuan Islam 6</t>
  </si>
  <si>
    <t>kompetensi pengetahuan Kristen 6</t>
  </si>
  <si>
    <t>kompetensi pengetahuan Budha 6</t>
  </si>
  <si>
    <t>kompetensi pengetahuan Islam 7</t>
  </si>
  <si>
    <t>kompetensi pengetahuan Kristen 7</t>
  </si>
  <si>
    <t>kompetensi pengetahuan Budha 7</t>
  </si>
  <si>
    <t>kompetensi pengetahuan Islam 8</t>
  </si>
  <si>
    <t>kompetensi pengetahuan Katholik 8</t>
  </si>
  <si>
    <t>kompetensi pengetahuan Budha 8</t>
  </si>
  <si>
    <t>kompetensi pengetahuan Islam 9</t>
  </si>
  <si>
    <t>kompetensi pengetahuan Budha 9</t>
  </si>
  <si>
    <t>kompetensi pengetahuan Islam 10</t>
  </si>
  <si>
    <t>kompetensi pengetahuan Budha 10</t>
  </si>
  <si>
    <r>
      <t xml:space="preserve">RINGKASAN KD/INDIKATOR KD/TEMA </t>
    </r>
    <r>
      <rPr>
        <b/>
        <sz val="14"/>
        <color rgb="FFFFFF66"/>
        <rFont val="Arial"/>
        <family val="2"/>
      </rPr>
      <t>KETERAMPILAN</t>
    </r>
    <r>
      <rPr>
        <b/>
        <sz val="12"/>
        <color theme="0"/>
        <rFont val="Arial"/>
        <family val="2"/>
      </rPr>
      <t xml:space="preserve"> max 65 huruf</t>
    </r>
  </si>
  <si>
    <t>kompetensi keterampilan Islam 1</t>
  </si>
  <si>
    <t>kompetensi keterampilan Hindu 1</t>
  </si>
  <si>
    <t>kompetensi keterampilan Budha 1</t>
  </si>
  <si>
    <t>kompetensi keterampilan Islam 2</t>
  </si>
  <si>
    <t>kompetensi keterampilan Hindu 2</t>
  </si>
  <si>
    <t>kompetensi keterampilan Budha 2</t>
  </si>
  <si>
    <t>kompetensi keterampilan Islam 3</t>
  </si>
  <si>
    <t>kompetensi keterampilan Hindu 3</t>
  </si>
  <si>
    <t>kompetensi keterampilan Budha 3</t>
  </si>
  <si>
    <t>kompetensi keterampilan Islam 4</t>
  </si>
  <si>
    <t>kompetensi keterampilan Hindu 4</t>
  </si>
  <si>
    <t>kompetensi keterampilan Budha 4</t>
  </si>
  <si>
    <t>kompetensi keterampilan Islam 5</t>
  </si>
  <si>
    <t>kompetensi keterampilan Kristen 5</t>
  </si>
  <si>
    <t>kompetensi keterampilan Katholik 5</t>
  </si>
  <si>
    <t>kompetensi keterampilan Hindu 5</t>
  </si>
  <si>
    <t>kompetensi keterampilan Budha 5</t>
  </si>
  <si>
    <t>kompetensi keterampilan Islam 6</t>
  </si>
  <si>
    <t>kompetensi keterampilan Kristen 6</t>
  </si>
  <si>
    <t>kompetensi keterampilan Katholik 6</t>
  </si>
  <si>
    <t>kompetensi keterampilan Budha 6</t>
  </si>
  <si>
    <t>kompetensi keterampilan Islam 7</t>
  </si>
  <si>
    <t>kompetensi keterampilan Kristen 7</t>
  </si>
  <si>
    <t>kompetensi keterampilan Katholik 7</t>
  </si>
  <si>
    <t>kompetensi keterampilan Budha 7</t>
  </si>
  <si>
    <t>kompetensi keterampilan Islam 8</t>
  </si>
  <si>
    <t>kompetensi keterampilan Katholik 8</t>
  </si>
  <si>
    <t>kompetensi keterampilan Budha 8</t>
  </si>
  <si>
    <t>kompetensi keterampilan Islam 9</t>
  </si>
  <si>
    <t>kompetensi keterampilan Budha 9</t>
  </si>
  <si>
    <t>kompetensi keterampilan Islam 10</t>
  </si>
  <si>
    <t>kompetensi keterampilan Budha 10</t>
  </si>
  <si>
    <r>
      <t xml:space="preserve">Petunjuk Pengerjaan </t>
    </r>
    <r>
      <rPr>
        <sz val="10"/>
        <color theme="0"/>
        <rFont val="Arial"/>
        <family val="2"/>
      </rPr>
      <t>(baca dengan teliti)</t>
    </r>
  </si>
  <si>
    <t>Penilaian Harian untuk aspek Pengetahuan</t>
  </si>
  <si>
    <r>
      <rPr>
        <b/>
        <sz val="9"/>
        <color indexed="8"/>
        <rFont val="Arial"/>
        <family val="2"/>
      </rPr>
      <t>Nilai KD</t>
    </r>
    <r>
      <rPr>
        <sz val="9"/>
        <color indexed="8"/>
        <rFont val="Arial"/>
        <family val="2"/>
      </rPr>
      <t xml:space="preserve"> yang dientry merupakan </t>
    </r>
    <r>
      <rPr>
        <b/>
        <sz val="9"/>
        <color indexed="8"/>
        <rFont val="Arial"/>
        <family val="2"/>
      </rPr>
      <t>Nilai Akhir</t>
    </r>
    <r>
      <rPr>
        <sz val="9"/>
        <color indexed="8"/>
        <rFont val="Arial"/>
        <family val="2"/>
      </rPr>
      <t xml:space="preserve"> (Jika perlu remidi maka Nilai setelah Remidi)</t>
    </r>
  </si>
  <si>
    <t>Kriteria Ketuntasan Minimal,
KKM merupakan batas nilai terendah untuk predikat Nilai C</t>
  </si>
  <si>
    <r>
      <t xml:space="preserve">Rata-rata Penilaian Harian. </t>
    </r>
    <r>
      <rPr>
        <b/>
        <i/>
        <sz val="9"/>
        <rFont val="Arial"/>
        <family val="2"/>
      </rPr>
      <t>Khusus mapel Agama</t>
    </r>
    <r>
      <rPr>
        <i/>
        <sz val="9"/>
        <rFont val="Arial"/>
        <family val="2"/>
      </rPr>
      <t xml:space="preserve"> karena setiap agama jumlah KD yg dinilai berbeda, maka penghitungan rata-rata harian berlaku masing-masing siswa dengan fungsi AVERAGE. Jadi berapapun jmlah kolom terisi pada siswa lain tidak mempengaruhi nilai siswa yang bersangkutan.</t>
    </r>
  </si>
  <si>
    <t>atau rentang nilai dibuat otomatis sesuai pedoman penilaian. Bahwa untuk rentang terpanjang pada Predikat D dan rentang terpendek pada Predikat A</t>
  </si>
  <si>
    <r>
      <rPr>
        <b/>
        <sz val="9"/>
        <color indexed="8"/>
        <rFont val="Arial"/>
        <family val="2"/>
      </rPr>
      <t xml:space="preserve">Deskripsi </t>
    </r>
    <r>
      <rPr>
        <sz val="9"/>
        <color indexed="8"/>
        <rFont val="Arial"/>
        <family val="2"/>
      </rPr>
      <t>tersusun secara otomatis dengan memilih KD pada Nilai tertinggi dan terendah yang dirangkai dengan predikat Nilai yang diperoleh sesuai rentang Nilai.</t>
    </r>
  </si>
  <si>
    <r>
      <t xml:space="preserve">Angka di bawah Cells RPH-PTS-PAS merupakan </t>
    </r>
    <r>
      <rPr>
        <b/>
        <sz val="9"/>
        <color theme="1"/>
        <rFont val="Arial"/>
        <family val="2"/>
      </rPr>
      <t xml:space="preserve">Bobot Nilai </t>
    </r>
    <r>
      <rPr>
        <sz val="9"/>
        <color theme="1"/>
        <rFont val="Arial"/>
        <family val="2"/>
      </rPr>
      <t>untuk menetukan Rumus pengali masing-masing Nilai. Selanjutnya cek petunjuk no.5 tentang HPA</t>
    </r>
  </si>
  <si>
    <t>Penilaian Tengah Semester</t>
  </si>
  <si>
    <t>Kerusakan sistem</t>
  </si>
  <si>
    <t>Penilaian Akhir Semester</t>
  </si>
  <si>
    <t>Jika ada kerusakan pada Cells tertentu (ditandai adanya tanda pagar), sebaiknya copy seluruh data ke aplikasi baru (master) dengan Copy-Paste Special Values</t>
  </si>
  <si>
    <r>
      <t>Jika tidak ada Nilai untuk PTS dan PAS</t>
    </r>
    <r>
      <rPr>
        <sz val="9"/>
        <color theme="1"/>
        <rFont val="Arial"/>
        <family val="2"/>
      </rPr>
      <t xml:space="preserve">, maka pada </t>
    </r>
    <r>
      <rPr>
        <b/>
        <sz val="9"/>
        <color theme="1"/>
        <rFont val="Arial"/>
        <family val="2"/>
      </rPr>
      <t>bobot Nilai diisi 0 (Nol</t>
    </r>
    <r>
      <rPr>
        <sz val="9"/>
        <color theme="1"/>
        <rFont val="Arial"/>
        <family val="2"/>
      </rPr>
      <t>).</t>
    </r>
  </si>
  <si>
    <r>
      <t xml:space="preserve">Hasil Penilaian Akhir, dengan rumus
</t>
    </r>
    <r>
      <rPr>
        <b/>
        <sz val="9"/>
        <rFont val="Arial"/>
        <family val="2"/>
      </rPr>
      <t>((RPH x Bobot)+(PTS x Bobot)+(PAS x Bobot)) / Jumlah Bobot</t>
    </r>
  </si>
  <si>
    <t>Kode K merupakan Nilai Harian aspek Keterampilan (praktik, portopolio dan proyek)</t>
  </si>
  <si>
    <t>Remidi</t>
  </si>
  <si>
    <t>Ketidakhadiran</t>
  </si>
  <si>
    <t>Tanpa</t>
  </si>
  <si>
    <t xml:space="preserve"> Kelas</t>
  </si>
  <si>
    <t xml:space="preserve"> Semester</t>
  </si>
  <si>
    <t xml:space="preserve"> Tahun Pelajaran</t>
  </si>
  <si>
    <t>Bagi yang berminat kirim pesan melalui SMS atau WhatsApp</t>
  </si>
  <si>
    <t>KITA MENGAJARKAN ANAK DIDIK KITA UNTUK BERSIKAP JUJUR,</t>
  </si>
  <si>
    <t>KETELADANAN ADALAH CARA TERBAIK DALAM MENGAJARKAN SIKAP TERSEBUT</t>
  </si>
  <si>
    <t>Aplikasi Raport K13 ini berbayar. Komitmen kami bahwa sebagian pendapatan dari penjualan aplikasi ini diperuntukan bagi fakir miskin, tempat ibadah dan panti asuhan. Untuk itu, sekecil apapun tindakan pembajakan (mencontoh, mengcopy, mendistribusikan secara ilegal) telah mengurangi hak-hak mereka.</t>
  </si>
  <si>
    <t>Aplikasi Raport v.2018</t>
  </si>
  <si>
    <t>Pembaharuan dari versi sebelumnya</t>
  </si>
  <si>
    <t>1. Deskripsi Otomatis untuk semua mata pelajaran Agama dengan hanya menulis ringkasan KD</t>
  </si>
  <si>
    <t xml:space="preserve">2. Jumlah kolom Nilai Harian untuk Pendidikan Agama yang terisi boleh berbeda </t>
  </si>
  <si>
    <t>3. Menambah kolom Nilai dari 8 kolom menjadi 10 kolom setiap aspek</t>
  </si>
  <si>
    <t>4. Menghilangkan penulisan tambahan angka dibelakang koma setiap ada nilai yang sama.</t>
  </si>
  <si>
    <t xml:space="preserve">    dengan demikian angka yang sama untuk semua Nilai harian sudah bisa dientry lebih mudah.</t>
  </si>
  <si>
    <t>5. Mengubah tata letak KD dan Interval Nilai dari bawah ke baris atas, supaya lebih mudah terbaca.</t>
  </si>
  <si>
    <t>6. Memperbaiki panduan, oleh karenanya selalu cermati petunjuk di setiap halaman.</t>
  </si>
  <si>
    <t>7. Perubahan Raport tengah Semester dengan menambah kolom absensi siswa</t>
  </si>
  <si>
    <t>SETTING KERTAS</t>
  </si>
  <si>
    <r>
      <t xml:space="preserve">Pilih </t>
    </r>
    <r>
      <rPr>
        <b/>
        <sz val="11"/>
        <color rgb="FF0066FF"/>
        <rFont val="Calibri"/>
        <family val="2"/>
        <scheme val="minor"/>
      </rPr>
      <t xml:space="preserve">Page Layout - Page Setup, </t>
    </r>
    <r>
      <rPr>
        <b/>
        <sz val="11"/>
        <rFont val="Calibri"/>
        <family val="2"/>
        <scheme val="minor"/>
      </rPr>
      <t>aturlah pada masing-masing sheet warna merah</t>
    </r>
  </si>
  <si>
    <r>
      <t xml:space="preserve">Jika ingin </t>
    </r>
    <r>
      <rPr>
        <b/>
        <sz val="11"/>
        <color rgb="FFC00000"/>
        <rFont val="Calibri"/>
        <family val="2"/>
        <scheme val="minor"/>
      </rPr>
      <t>Pengisian Nilai oleh masing-masing Guru mapel dengan komputer</t>
    </r>
    <r>
      <rPr>
        <b/>
        <sz val="11"/>
        <rFont val="Calibri"/>
        <family val="2"/>
        <scheme val="minor"/>
      </rPr>
      <t xml:space="preserve"> maka;</t>
    </r>
  </si>
  <si>
    <t>Gunakan Aplikasi Untuk Guru Mapel yang menjadi satu paket dengan Aplikasi ini.</t>
  </si>
  <si>
    <t>UNTUK MEMUDAHKAN IDENTIFIKASI BAHWA;</t>
  </si>
  <si>
    <t>SHEET WARNA BIRU MERUPAKAN HALAMAN KERJA</t>
  </si>
  <si>
    <t>SHEET WARNA MERAH UNTUK DI CETAK.</t>
  </si>
  <si>
    <t>FONT WARNA BIRU UNTUK DI EDIT.</t>
  </si>
  <si>
    <r>
      <rPr>
        <sz val="11"/>
        <color rgb="FFFFFF00"/>
        <rFont val="Arial"/>
        <family val="2"/>
      </rPr>
      <t>versi.</t>
    </r>
    <r>
      <rPr>
        <sz val="18"/>
        <color rgb="FFFFFF00"/>
        <rFont val="Arial Black"/>
        <family val="2"/>
      </rPr>
      <t>2018</t>
    </r>
  </si>
  <si>
    <t>UNTUK DI PRINT</t>
  </si>
  <si>
    <t>HIDE INFO</t>
  </si>
  <si>
    <t>SMA NEGERI 17 BEKASI</t>
  </si>
  <si>
    <t>SMAN 1 BULUKUMBA</t>
  </si>
  <si>
    <t>SMA RADEN FATAH DRIYOREJO GRESIK</t>
  </si>
  <si>
    <t>SMA  AL  HASSAN</t>
  </si>
  <si>
    <t>SMA MAHANAIM</t>
  </si>
  <si>
    <t>SMA SCIENCE PLUS BAITUL QUR'AN BOARDING SCHOOL</t>
  </si>
  <si>
    <t>SMA PATRIOT BEKASI</t>
  </si>
  <si>
    <t>KD pengetahuan 3 Peminatan 1</t>
  </si>
  <si>
    <t>KD pengetahuan 4 Peminatan 1</t>
  </si>
  <si>
    <t>KD pengetahuan 5 Peminatan 1</t>
  </si>
  <si>
    <t>KD pengetahuan 6 Peminatan 1</t>
  </si>
  <si>
    <t>KD pengetahuan 7 Peminatan 1</t>
  </si>
  <si>
    <t>KD pengetahuan 8 Peminatan 1</t>
  </si>
  <si>
    <t>KD pengetahuan 9 Peminatan 1</t>
  </si>
  <si>
    <t>KD pengetahuan 10 Peminatan 1</t>
  </si>
  <si>
    <t>KD pengetahuan 6 Ekonomi</t>
  </si>
  <si>
    <t>KD pengetahuan 7 Ekonomi</t>
  </si>
  <si>
    <t>KD pengetahuan 8 Ekonomi</t>
  </si>
  <si>
    <t>KD pengetahuan 9 Ekonomi</t>
  </si>
  <si>
    <t>KD pengetahuan 10 Ekonomi</t>
  </si>
  <si>
    <t>KD pengetahuan 5 Bahasa Sansekerta</t>
  </si>
  <si>
    <t>KD pengetahuan 6 Bahasa Sansekerta</t>
  </si>
  <si>
    <t>KD pengetahuan 7 Bahasa Sansekerta</t>
  </si>
  <si>
    <t>KD pengetahuan 8 Bahasa Sansekerta</t>
  </si>
  <si>
    <t>KD pengetahuan 9 Bahasa Sansekerta</t>
  </si>
  <si>
    <t>KD pengetahuan 10 Bahasa Sansekerta</t>
  </si>
  <si>
    <t>KD pengetahuan 1 Peminatan 6</t>
  </si>
  <si>
    <t>KD pengetahuan 2 Peminatan 6</t>
  </si>
  <si>
    <t>KD pengetahuan 3 Peminatan 6</t>
  </si>
  <si>
    <t>KD pengetahuan 4 Peminatan 6</t>
  </si>
  <si>
    <t>KD pengetahuan 5 Peminatan 6</t>
  </si>
  <si>
    <t>KD pengetahuan 6 Peminatan 6</t>
  </si>
  <si>
    <t>KD pengetahuan 7 Peminatan 6</t>
  </si>
  <si>
    <t>KD pengetahuan 8 Peminatan 6</t>
  </si>
  <si>
    <t>KD pengetahuan 9 Peminatan 6</t>
  </si>
  <si>
    <t>KD pengetahuan 10 Peminatan 6</t>
  </si>
  <si>
    <t>KD pengetahuan 1 Peminatan 5</t>
  </si>
  <si>
    <t>KD pengetahuan 2 Peminatan 5</t>
  </si>
  <si>
    <t>KD pengetahuan 3 Peminatan 5</t>
  </si>
  <si>
    <t>KD pengetahuan 4 Peminatan 5</t>
  </si>
  <si>
    <t>KD pengetahuan 5 Peminatan 5</t>
  </si>
  <si>
    <t>KD pengetahuan 6 Peminatan 5</t>
  </si>
  <si>
    <t>KD pengetahuan 7 Peminatan 5</t>
  </si>
  <si>
    <t>KD pengetahuan 8 Peminatan 5</t>
  </si>
  <si>
    <t>KD pengetahuan 9 Peminatan 5</t>
  </si>
  <si>
    <t>KD pengetahuan 10 Peminatan 5</t>
  </si>
  <si>
    <t>KD pengetahuan 5 Peminatan 4</t>
  </si>
  <si>
    <t>KD pengetahuan 6 Peminatan 4</t>
  </si>
  <si>
    <t>KD pengetahuan 7 Peminatan 4</t>
  </si>
  <si>
    <t>KD pengetahuan 8 Peminatan 4</t>
  </si>
  <si>
    <t>KD pengetahuan 9 Peminatan 4</t>
  </si>
  <si>
    <t>KD pengetahuan 10 Peminatan 4</t>
  </si>
  <si>
    <t>KD pengetahuan 5 Peminatan 3</t>
  </si>
  <si>
    <t>KD pengetahuan 6 Peminatan 3</t>
  </si>
  <si>
    <t>KD pengetahuan 7 Peminatan 3</t>
  </si>
  <si>
    <t>KD pengetahuan 8 Peminatan 3</t>
  </si>
  <si>
    <t>KD pengetahuan 9 Peminatan 3</t>
  </si>
  <si>
    <t>KD pengetahuan 10 Peminatan 3</t>
  </si>
  <si>
    <t>KD pengetahuan 4 Peminatan 2</t>
  </si>
  <si>
    <t>KD pengetahuan 5 Peminatan 2</t>
  </si>
  <si>
    <t>KD pengetahuan 6 Peminatan 2</t>
  </si>
  <si>
    <t>KD pengetahuan 7 Peminatan 2</t>
  </si>
  <si>
    <t>KD pengetahuan 8 Peminatan 2</t>
  </si>
  <si>
    <t>KD pengetahuan 9 Peminatan 2</t>
  </si>
  <si>
    <t>KD pengetahuan 10 Peminatan 2</t>
  </si>
  <si>
    <t>KD pengetahuan 1 Mulok 2</t>
  </si>
  <si>
    <t>KD pengetahuan 2 Mulok 2</t>
  </si>
  <si>
    <t>KD pengetahuan 3 Mulok 2</t>
  </si>
  <si>
    <t>KD pengetahuan 4 Mulok 2</t>
  </si>
  <si>
    <t>KD pengetahuan 5 Mulok 2</t>
  </si>
  <si>
    <t>KD pengetahuan 6 Mulok 2</t>
  </si>
  <si>
    <t>KD pengetahuan 7 Mulok 2</t>
  </si>
  <si>
    <t>KD pengetahuan 8 Mulok 2</t>
  </si>
  <si>
    <t>KD pengetahuan 9 Mulok 2</t>
  </si>
  <si>
    <t>KD pengetahuan 10 Mulok 2</t>
  </si>
  <si>
    <t>KD pengetahuan 1 Muatan Lokal</t>
  </si>
  <si>
    <t>KD pengetahuan 2 Muatan Lokal</t>
  </si>
  <si>
    <t>KD pengetahuan 3 Muatan Lokal</t>
  </si>
  <si>
    <t>KD pengetahuan 4 Muatan Lokal</t>
  </si>
  <si>
    <t>KD pengetahuan 5 Muatan Lokal</t>
  </si>
  <si>
    <t>KD pengetahuan 6 Muatan Lokal</t>
  </si>
  <si>
    <t>KD pengetahuan 7 Muatan Lokal</t>
  </si>
  <si>
    <t>KD pengetahuan 8 Muatan Lokal</t>
  </si>
  <si>
    <t>KD pengetahuan 9 Muatan Lokal</t>
  </si>
  <si>
    <t>KD pengetahuan 10 Muatan Lokal</t>
  </si>
  <si>
    <t>KD pengetahuan 2 Prakarya dan Kewirausahaan</t>
  </si>
  <si>
    <t>KD pengetahuan 5 Prakarya dan Kewirausahaan</t>
  </si>
  <si>
    <t>KD pengetahuan 6 Prakarya dan Kewirausahaan</t>
  </si>
  <si>
    <t>KD pengetahuan 7 Prakarya dan Kewirausahaan</t>
  </si>
  <si>
    <t>KD pengetahuan 8 Prakarya dan Kewirausahaan</t>
  </si>
  <si>
    <t>KD pengetahuan 9 Prakarya dan Kewirausahaan</t>
  </si>
  <si>
    <t>KD pengetahuan 10 Prakarya dan Kewirausahaan</t>
  </si>
  <si>
    <t>KD pengetahuan 6 Pendidikan Jasmani Olahraga dan Kesehatan</t>
  </si>
  <si>
    <t>KD pengetahuan 7 Pendidikan Jasmani Olahraga dan Kesehatan</t>
  </si>
  <si>
    <t>KD pengetahuan 8 Pendidikan Jasmani Olahraga dan Kesehatan</t>
  </si>
  <si>
    <t>KD pengetahuan 9 Pendidikan Jasmani Olahraga dan Kesehatan</t>
  </si>
  <si>
    <t>KD pengetahuan 10 Pendidikan Jasmani Olahraga dan Kesehatan</t>
  </si>
  <si>
    <t>KD pengetahuan 4 Seni Budaya</t>
  </si>
  <si>
    <t>KD pengetahuan 5 Seni Budaya</t>
  </si>
  <si>
    <t>KD pengetahuan 6 Seni Budaya</t>
  </si>
  <si>
    <t>KD pengetahuan 7 Seni Budaya</t>
  </si>
  <si>
    <t>KD pengetahuan 8 Seni Budaya</t>
  </si>
  <si>
    <t>KD pengetahuan 9 Seni Budaya</t>
  </si>
  <si>
    <t>KD pengetahuan 10 Seni Budaya</t>
  </si>
  <si>
    <t>KD pengetahuan 5 Bahasa Inggris</t>
  </si>
  <si>
    <t>KD pengetahuan 6 Bahasa Inggris</t>
  </si>
  <si>
    <t>KD pengetahuan 7 Bahasa Inggris</t>
  </si>
  <si>
    <t>KD pengetahuan 8 Bahasa Inggris</t>
  </si>
  <si>
    <t>KD pengetahuan 9 Bahasa Inggris</t>
  </si>
  <si>
    <t>KD pengetahuan 10 Bahasa Inggris</t>
  </si>
  <si>
    <t>KD pengetahuan 1 Sejarah Indonesia</t>
  </si>
  <si>
    <t>KD pengetahuan 2 Sejarah Indonesia</t>
  </si>
  <si>
    <t>KD pengetahuan 3 Sejarah Indonesia</t>
  </si>
  <si>
    <t>KD pengetahuan 4 Sejarah Indonesia</t>
  </si>
  <si>
    <t>KD pengetahuan 5 Sejarah Indonesia</t>
  </si>
  <si>
    <t>KD pengetahuan 6 Sejarah Indonesia</t>
  </si>
  <si>
    <t>KD pengetahuan 7 Sejarah Indonesia</t>
  </si>
  <si>
    <t>KD pengetahuan 8 Sejarah Indonesia</t>
  </si>
  <si>
    <t>KD pengetahuan 9 Sejarah Indonesia</t>
  </si>
  <si>
    <t>KD pengetahuan 10 Sejarah Indonesia</t>
  </si>
  <si>
    <t>KD pengetahuan 6 Matematika</t>
  </si>
  <si>
    <t>KD pengetahuan 7 Matematika</t>
  </si>
  <si>
    <t>KD pengetahuan 8 Matematika</t>
  </si>
  <si>
    <t>KD pengetahuan 9 Matematika</t>
  </si>
  <si>
    <t>KD pengetahuan 10 Matematika</t>
  </si>
  <si>
    <t>KD pengetahuan 5 Bahasa Indonesia</t>
  </si>
  <si>
    <t>KD pengetahuan 6 Bahasa Indonesia</t>
  </si>
  <si>
    <t>KD pengetahuan 7 Bahasa Indonesia</t>
  </si>
  <si>
    <t>KD pengetahuan 8 Bahasa Indonesia</t>
  </si>
  <si>
    <t>KD pengetahuan 9 Bahasa Indonesia</t>
  </si>
  <si>
    <t>KD pengetahuan 10 Bahasa Indonesia</t>
  </si>
  <si>
    <t>KD keterampilan 3 Peminatan 1</t>
  </si>
  <si>
    <t>KD keterampilan 4 Peminatan 1</t>
  </si>
  <si>
    <t>KD keterampilan 5 Peminatan 1</t>
  </si>
  <si>
    <t>KD keterampilan 6 Peminatan 1</t>
  </si>
  <si>
    <t>KD keterampilan 7 Peminatan 1</t>
  </si>
  <si>
    <t>KD keterampilan 8 Peminatan 1</t>
  </si>
  <si>
    <t>KD keterampilan 9 Peminatan 1</t>
  </si>
  <si>
    <t>KD keterampilan 10 Peminatan 1</t>
  </si>
  <si>
    <t>KD keterampilan 2 Ekonomi</t>
  </si>
  <si>
    <t>KD keterampilan 3 Ekonomi</t>
  </si>
  <si>
    <t>KD keterampilan 4 Ekonomi</t>
  </si>
  <si>
    <t>KD keterampilan 5 Ekonomi</t>
  </si>
  <si>
    <t>KD keterampilan 6 Ekonomi</t>
  </si>
  <si>
    <t>KD keterampilan 7 Ekonomi</t>
  </si>
  <si>
    <t>KD keterampilan 8 Ekonomi</t>
  </si>
  <si>
    <t>KD keterampilan 9 Ekonomi</t>
  </si>
  <si>
    <t>KD keterampilan 10 Ekonomi</t>
  </si>
  <si>
    <t>KD keterampilan 5 Bahasa Sansekerta</t>
  </si>
  <si>
    <t>KD keterampilan 6 Bahasa Sansekerta</t>
  </si>
  <si>
    <t>KD keterampilan 7 Bahasa Sansekerta</t>
  </si>
  <si>
    <t>KD keterampilan 8 Bahasa Sansekerta</t>
  </si>
  <si>
    <t>KD keterampilan 9 Bahasa Sansekerta</t>
  </si>
  <si>
    <t>KD keterampilan 10 Bahasa Sansekerta</t>
  </si>
  <si>
    <t>KD keterampilan 1 Peminatan 6</t>
  </si>
  <si>
    <t>KD keterampilan 2 Peminatan 6</t>
  </si>
  <si>
    <t>KD keterampilan 3 Peminatan 6</t>
  </si>
  <si>
    <t>KD keterampilan 4 Peminatan 6</t>
  </si>
  <si>
    <t>KD keterampilan 5 Peminatan 6</t>
  </si>
  <si>
    <t>KD keterampilan 6 Peminatan 6</t>
  </si>
  <si>
    <t>KD keterampilan 7 Peminatan 6</t>
  </si>
  <si>
    <t>KD keterampilan 8 Peminatan 6</t>
  </si>
  <si>
    <t>KD keterampilan 9 Peminatan 6</t>
  </si>
  <si>
    <t>KD keterampilan 10 Peminatan 6</t>
  </si>
  <si>
    <t>KD keterampilan 1 Peminatan 5</t>
  </si>
  <si>
    <t>KD keterampilan 2 Peminatan 5</t>
  </si>
  <si>
    <t>KD keterampilan 3 Peminatan 5</t>
  </si>
  <si>
    <t>KD keterampilan 4 Peminatan 5</t>
  </si>
  <si>
    <t>KD keterampilan 5 Peminatan 5</t>
  </si>
  <si>
    <t>KD keterampilan 6 Peminatan 5</t>
  </si>
  <si>
    <t>KD keterampilan 7 Peminatan 5</t>
  </si>
  <si>
    <t>KD keterampilan 8 Peminatan 5</t>
  </si>
  <si>
    <t>KD keterampilan 9 Peminatan 5</t>
  </si>
  <si>
    <t>KD keterampilan 10 Peminatan 5</t>
  </si>
  <si>
    <t>KD keterampilan 5 Peminatan 4</t>
  </si>
  <si>
    <t>KD keterampilan 6 Peminatan 4</t>
  </si>
  <si>
    <t>KD keterampilan 7 Peminatan 4</t>
  </si>
  <si>
    <t>KD keterampilan 8 Peminatan 4</t>
  </si>
  <si>
    <t>KD keterampilan 9 Peminatan 4</t>
  </si>
  <si>
    <t>KD keterampilan 10 Peminatan 4</t>
  </si>
  <si>
    <t>KD keterampilan 5 Peminatan 3</t>
  </si>
  <si>
    <t>KD keterampilan 6 Peminatan 3</t>
  </si>
  <si>
    <t>KD keterampilan 7 Peminatan 3</t>
  </si>
  <si>
    <t>KD keterampilan 8 Peminatan 3</t>
  </si>
  <si>
    <t>KD keterampilan 9 Peminatan 3</t>
  </si>
  <si>
    <t>KD keterampilan 10 Peminatan 3</t>
  </si>
  <si>
    <t>KD keterampilan 4 Peminatan 2</t>
  </si>
  <si>
    <t>KD keterampilan 5 Peminatan 2</t>
  </si>
  <si>
    <t>KD keterampilan 6 Peminatan 2</t>
  </si>
  <si>
    <t>KD keterampilan 7 Peminatan 2</t>
  </si>
  <si>
    <t>KD keterampilan 8 Peminatan 2</t>
  </si>
  <si>
    <t>KD keterampilan 9 Peminatan 2</t>
  </si>
  <si>
    <t>KD keterampilan 10 Peminatan 2</t>
  </si>
  <si>
    <t>KD keterampilan 1 Mulok 2</t>
  </si>
  <si>
    <t>KD keterampilan 2 Mulok 2</t>
  </si>
  <si>
    <t>KD keterampilan 3 Mulok 2</t>
  </si>
  <si>
    <t>KD keterampilan 4 Mulok 2</t>
  </si>
  <si>
    <t>KD keterampilan 5 Mulok 2</t>
  </si>
  <si>
    <t>KD keterampilan 6 Mulok 2</t>
  </si>
  <si>
    <t>KD keterampilan 7 Mulok 2</t>
  </si>
  <si>
    <t>KD keterampilan 8 Mulok 2</t>
  </si>
  <si>
    <t>KD keterampilan 9 Mulok 2</t>
  </si>
  <si>
    <t>KD keterampilan 10 Mulok 2</t>
  </si>
  <si>
    <t>KD keterampilan 1 Muatan Lokal</t>
  </si>
  <si>
    <t>KD keterampilan 2 Muatan Lokal</t>
  </si>
  <si>
    <t>KD keterampilan 3 Muatan Lokal</t>
  </si>
  <si>
    <t>KD keterampilan 4 Muatan Lokal</t>
  </si>
  <si>
    <t>KD keterampilan 5 Muatan Lokal</t>
  </si>
  <si>
    <t>KD keterampilan 6 Muatan Lokal</t>
  </si>
  <si>
    <t>KD keterampilan 7 Muatan Lokal</t>
  </si>
  <si>
    <t>KD keterampilan 8 Muatan Lokal</t>
  </si>
  <si>
    <t>KD keterampilan 9 Muatan Lokal</t>
  </si>
  <si>
    <t>KD keterampilan 10 Muatan Lokal</t>
  </si>
  <si>
    <t>KD keterampilan 5 Prakarya dan Kewirausahaan</t>
  </si>
  <si>
    <t>KD keterampilan 6 Prakarya dan Kewirausahaan</t>
  </si>
  <si>
    <t>KD keterampilan 7 Prakarya dan Kewirausahaan</t>
  </si>
  <si>
    <t>KD keterampilan 8 Prakarya dan Kewirausahaan</t>
  </si>
  <si>
    <t>KD keterampilan 9 Prakarya dan Kewirausahaan</t>
  </si>
  <si>
    <t>KD keterampilan 10 Prakarya dan Kewirausahaan</t>
  </si>
  <si>
    <t>KD keterampilan 6 Pendidikan Jasmani Olahraga dan Kesehatan</t>
  </si>
  <si>
    <t>KD keterampilan 7 Pendidikan Jasmani Olahraga dan Kesehatan</t>
  </si>
  <si>
    <t>KD keterampilan 8 Pendidikan Jasmani Olahraga dan Kesehatan</t>
  </si>
  <si>
    <t>KD keterampilan 9 Pendidikan Jasmani Olahraga dan Kesehatan</t>
  </si>
  <si>
    <t>KD keterampilan 10 Pendidikan Jasmani Olahraga dan Kesehatan</t>
  </si>
  <si>
    <t>KD keterampilan 4 Seni Budaya</t>
  </si>
  <si>
    <t>KD keterampilan 5 Seni Budaya</t>
  </si>
  <si>
    <t>KD keterampilan 6 Seni Budaya</t>
  </si>
  <si>
    <t>KD keterampilan 7 Seni Budaya</t>
  </si>
  <si>
    <t>KD keterampilan 8 Seni Budaya</t>
  </si>
  <si>
    <t>KD keterampilan 9 Seni Budaya</t>
  </si>
  <si>
    <t>KD keterampilan 10 Seni Budaya</t>
  </si>
  <si>
    <t>KD keterampilan 5 Bahasa Inggris</t>
  </si>
  <si>
    <t>KD keterampilan 6 Bahasa Inggris</t>
  </si>
  <si>
    <t>KD keterampilan 7 Bahasa Inggris</t>
  </si>
  <si>
    <t>KD keterampilan 8 Bahasa Inggris</t>
  </si>
  <si>
    <t>KD keterampilan 9 Bahasa Inggris</t>
  </si>
  <si>
    <t>KD keterampilan 10 Bahasa Inggris</t>
  </si>
  <si>
    <t>KD keterampilan 1 Sejarah Indonesia</t>
  </si>
  <si>
    <t>KD keterampilan 2 Sejarah Indonesia</t>
  </si>
  <si>
    <t>KD keterampilan 3 Sejarah Indonesia</t>
  </si>
  <si>
    <t>KD keterampilan 4 Sejarah Indonesia</t>
  </si>
  <si>
    <t>KD keterampilan 5 Sejarah Indonesia</t>
  </si>
  <si>
    <t>KD keterampilan 6 Sejarah Indonesia</t>
  </si>
  <si>
    <t>KD keterampilan 7 Sejarah Indonesia</t>
  </si>
  <si>
    <t>KD keterampilan 8 Sejarah Indonesia</t>
  </si>
  <si>
    <t>KD keterampilan 9 Sejarah Indonesia</t>
  </si>
  <si>
    <t>KD keterampilan 10 Sejarah Indonesia</t>
  </si>
  <si>
    <t>KD keterampilan 6 Matematika</t>
  </si>
  <si>
    <t>KD keterampilan 7 Matematika</t>
  </si>
  <si>
    <t>KD keterampilan 8 Matematika</t>
  </si>
  <si>
    <t>KD keterampilan 9 Matematika</t>
  </si>
  <si>
    <t>KD keterampilan 10 Matematika</t>
  </si>
  <si>
    <t>KD keterampilan 3 Bahasa Indonesia</t>
  </si>
  <si>
    <t>KD keterampilan 4 Bahasa Indonesia</t>
  </si>
  <si>
    <t>KD keterampilan 5 Bahasa Indonesia</t>
  </si>
  <si>
    <t>KD keterampilan 6 Bahasa Indonesia</t>
  </si>
  <si>
    <t>KD keterampilan 7 Bahasa Indonesia</t>
  </si>
  <si>
    <t>KD keterampilan 8 Bahasa Indonesia</t>
  </si>
  <si>
    <t>KD keterampilan 9 Bahasa Indonesia</t>
  </si>
  <si>
    <t>KD keterampilan 10 Bahasa Indonesia</t>
  </si>
  <si>
    <t>SMA KRISTEN SAUMLAKI</t>
  </si>
  <si>
    <t>SMA KARUNA DIPA PALU</t>
  </si>
  <si>
    <t>SMA SWASTA ADVENT LAURAKIT</t>
  </si>
  <si>
    <t>SMA NEGERI 2 AIR SUGIHAN</t>
  </si>
  <si>
    <t>SMA NEGERI 5 LUWU</t>
  </si>
  <si>
    <t>SMAS MA'ARIF NU SOLOKURO</t>
  </si>
  <si>
    <t>SMA NEGERI 3 KOTAMOBAGU</t>
  </si>
  <si>
    <t>SMA YPK BETLEHEM WAMENA</t>
  </si>
  <si>
    <t>SMA NEGERI 13 MAROS</t>
  </si>
  <si>
    <t>SMAN 1 BAMBANG</t>
  </si>
  <si>
    <r>
      <t>TANYA JAWAB</t>
    </r>
    <r>
      <rPr>
        <b/>
        <sz val="12"/>
        <rFont val="Calibri"/>
        <family val="2"/>
        <scheme val="minor"/>
      </rPr>
      <t>, klik pertanyaan</t>
    </r>
  </si>
  <si>
    <t>Memulai KERJA APLIKASI Raport</t>
  </si>
  <si>
    <t>Simpan File yg kami kirim sebagai MASTER. Setiap memulai semester gunakan Aplikasi MASTER ini. Isian Data bisa copy dari file lain. Dengan catatan HARUS COPY-PASTE SPECIAL VALUES. Copy sejumlah kelas yang dibutuhkan, dan serahkan kepada Wali Kelas. (Bisa juga operator sekolah)
Kerja di Sheet warna BIRU, setiap FONT WARNA BIRU siap diedit dan Sheet warna MERAH untuk di CETAK.
Gunakan Tombol HOME dan mulai perpindahan antar sheet dengan memilih menu yang ada.</t>
  </si>
  <si>
    <t>Jumlah SISWA lebih 30</t>
  </si>
  <si>
    <t>Aplikasi bisa menampung 50 siswa setiap kelasnya. Isikan seluruh data siswa di sheet Data. Isian Data bisa copy dari file lain. Dengan catatan HARUS COPY-PASTE SPECIAL VALUES.</t>
  </si>
  <si>
    <t>?</t>
  </si>
  <si>
    <t>Merubah KKM dan RENTANG NILAI</t>
  </si>
  <si>
    <t>Untuk rentang Nilai itu sudah otomotis sesuai panduan dari Kementerian. Jadi setiap ditentukan KKM maka rentang atau intervalnya sudah otomatis. Semestinya paradigma lama bahwa KKM tinggi itu sebagai keharusan harus ditiadakan. Karena memang aturannya sudah berubah. Sebaiknya KKM nya jangan terlalu tinggi. 
Di Panduan pun untuk contoh2 KKM tidak lebih dari 70. Ini artinya bahwa KKM memang tdak dituntut setinggi aturan terdahulu. Kemudian untuk diketahui juga bahwa NILAI C itu sudah lulus/naik. Meskipun semua nilai C. Untuk tidak naik itu nilai D nya lebih dari 2, itupun setelah dirata-rata antara Semester 1 dan 2. Predikat D itu jika nilai dibawah KKM.</t>
  </si>
  <si>
    <t>ADA CELLS ERROR</t>
  </si>
  <si>
    <r>
      <t xml:space="preserve">Kemungkinan dengan sengaja/tidak sengaja telah melakukan CUT/MOVE/COPY PASTE. Pdhl ini tidak boleh dilakukan. Hampir tiap halaman sudah ada peringatan. Entah itu terjadi di sheet data atau Nilai atau dilembar manapun. Tandanya font yg seharusnya warna biru berubah hitam, cells kosong dan tanda pagar. </t>
    </r>
    <r>
      <rPr>
        <b/>
        <sz val="11"/>
        <color theme="1"/>
        <rFont val="Calibri"/>
        <family val="2"/>
        <scheme val="minor"/>
      </rPr>
      <t>Hanya boleh melakukan copy tapi saat paste harus dengan paste special value.</t>
    </r>
    <r>
      <rPr>
        <sz val="11"/>
        <color theme="1"/>
        <rFont val="Calibri"/>
        <family val="2"/>
        <scheme val="minor"/>
      </rPr>
      <t xml:space="preserve"> Solusinya, mengulang dari aplikasi kosong. Data yg sudah ada di copy special values.</t>
    </r>
  </si>
  <si>
    <t>Beda KKM Multi dgn KKM Tunggal</t>
  </si>
  <si>
    <t>KKM Multi jika masing-masing mapel KKM nya berbeda. Dengan demikian rentang/interval Nilai juga berbeda. 
KKM Tunggal jika KKM semua mapel angkanya sama. Berarti intervalnya juga sama. Untuk cetak raport dengan sheet yang berbeda pula.</t>
  </si>
  <si>
    <t>Untuk SEMESTER 1 atau 2</t>
  </si>
  <si>
    <t>Aplikasi bisa digunakan untuk semua semester dan semua kelas. Untuk mengawali kerja selalu lakukan dengan aplikasi master (aplikasi kosong yg kami kirim). 
Ubah semester dan kelasnya di sheet data. Setting rapot akan otomatis menyesuaikan. Data dari semester sebelumya yg dipakai cukup di copy tp harus diikuti paste special values</t>
  </si>
  <si>
    <t>BOBOT NILAI</t>
  </si>
  <si>
    <t>Prinsipnya untuk menentukan Nilai Akhir diperoleh dari Nilai Rata2 Harian (RPH) x Bobot+Nilai PTS x bobot+Nilai PAS x bobot dibagi jumlah bobot keseluruhan.
Klo ingin bobot seimbang berarti 1-1-1. Ini artinya sama 2-2-2, atau 5-5-5. Tp kalau 5-2-1 maka Nilai PAS seperti tdak memberi kontribusi. Karena bobotnya dibebankan pada harian yg terlalu tinggi. 
Begitu jg sebaliknya. Jk Bobot PAS terlalu tinggi sementara RPH rendah maka, nilai harian seakan tidak berkontribusi. 
Jadi idealnya 1-1-1, 2-1-1, 2-1-2</t>
  </si>
  <si>
    <t>Ringkasan KD HANYA 65 KARAKTER</t>
  </si>
  <si>
    <t>Tujuan pembatasannya 65 karakter. Jika itu ditambah resikonya halaman raport bertambah. Menambah 1 lembar saja penambahan minimal 6 lembar. Berarti budget bertambah, belum lgi jumlah tempat raport. 
Jika mau jujur, semakin panjang deskripsi nampaknya orang tua dan siswa juga semakin malas untuk membaca. Oleh karena itu kami batasi supaya efektif dan efisien. Rekomendasi dari Kemendiknas hanya 60 karakter, berarti aplikasi ini sudah lebih 5 karakter dari yg direkomendasikan.</t>
  </si>
  <si>
    <t>CARA MENGISI KD</t>
  </si>
  <si>
    <t>Ringkasan KD bisa dari KD/Indikator KD (jika kd gemuk)/Tema/Inti materi/Judul materi dengan maksimal 65 karakter. Kalimat disusun dari kata kerja diikuti subyek materi yang dinilai.</t>
  </si>
  <si>
    <t>Catatan WALI KELAS TIDAK MUNCUL</t>
  </si>
  <si>
    <t>Cek isian NIS di sheet Data harus legkap. Semua Siswa harus memiliki NIS sebagai DATA WAJIB</t>
  </si>
  <si>
    <t>Menyembunyikan KOLOM/BARIS di Raport</t>
  </si>
  <si>
    <t>Blok cells warna BIRU yang akan disembunyikan kemudian klik Home-Format-Hide&amp;Unhide-Hide Rows</t>
  </si>
  <si>
    <t>Memunculkan KOLOM/BARIS di Raport</t>
  </si>
  <si>
    <t>Cek angka di cells Warna Biru. Jika nomornya terjadi loncatan berarti ada baris yg tersembunyi.
Untuk menampakan Blok cells warna BIRU dari atas cells yg tersembunyi sampai bawahnya kemudian klik Home-Format-Hide&amp;Unhide-UnHide Rows</t>
  </si>
  <si>
    <t>Kolom tidak bisa menampung deskripsi</t>
  </si>
  <si>
    <t xml:space="preserve">Untuk baris dengan cells warna Biru disebelah kanannya silahkan diatur lebarnya. Tetapi jika tidak ada cels Bitu disebelah kanan, artinya cell itu dikunci. Asumsinya Mapel tersebut sebagai mapel Wajib dan untuk kecukupan layout cetak/print dalam lembaran kertas. 
Solusinya jika ada nama Siswa (untuk SD/MI) non aktifkan saja pencantuman nama.  </t>
  </si>
  <si>
    <t>SMA STELLA MARIS</t>
  </si>
  <si>
    <t>SMA NEGERI 2 LAIS</t>
  </si>
  <si>
    <t>SMA DARUT TAFSIR</t>
  </si>
  <si>
    <t>SMA DON BOSCO 3 CIKARANG</t>
  </si>
  <si>
    <t>SMAN 1 RIUNG BARAT</t>
  </si>
  <si>
    <t>SMAN 1 IX KOTO</t>
  </si>
  <si>
    <t>SMA SWASTA KRISTEN ATAMBUA</t>
  </si>
  <si>
    <t>SMA NEGERI 2 BAMBANG</t>
  </si>
  <si>
    <t>SMA NEGERI 1 OKBIBAB</t>
  </si>
  <si>
    <t>SMA AN-NURONIYAH</t>
  </si>
  <si>
    <t>SMA DARUL HIJRAH PUTRA</t>
  </si>
  <si>
    <t>SMA DAARUTTAQWA</t>
  </si>
  <si>
    <t>SMA SANTA MARIA 1</t>
  </si>
  <si>
    <t>SMA DARUL HIJRAH PUTERI MARTAPURA</t>
  </si>
  <si>
    <t>SMA GRACIA</t>
  </si>
  <si>
    <t>SMA NURUL HIDAYAH KARANG PUCUNG</t>
  </si>
  <si>
    <t>SMA NEGERI 1 MA'U</t>
  </si>
  <si>
    <t>SMA SWASTA BUDI UTOMO</t>
  </si>
  <si>
    <t>SMA NEGERI 1 SUMBER BARITO</t>
  </si>
  <si>
    <t>SMA NEGERI 1 CIKARANG BARAT</t>
  </si>
  <si>
    <t>SMA KI HAJAR DEWANTORO</t>
  </si>
  <si>
    <t>SMAK 3 BINA BAKTI</t>
  </si>
  <si>
    <t>SMA IT INSAN CENDEKIA MADANI</t>
  </si>
  <si>
    <t>SMA NEGERI 6 PINGGIR</t>
  </si>
  <si>
    <t>SMA NEGERI 1 SARIWANGI</t>
  </si>
  <si>
    <t>SMA NEGERI 1 PAKU</t>
  </si>
  <si>
    <t>SMA BINA DHARMA MANDIRA</t>
  </si>
  <si>
    <t>SMA NEGERI 11 PURWOREJO</t>
  </si>
  <si>
    <t>Naik/Lulus</t>
  </si>
  <si>
    <t>Tidak Naik/Lulus</t>
  </si>
  <si>
    <r>
      <rPr>
        <b/>
        <sz val="10"/>
        <color theme="1"/>
        <rFont val="Tahoma"/>
        <family val="2"/>
      </rPr>
      <t>Petunjuk;</t>
    </r>
    <r>
      <rPr>
        <sz val="9"/>
        <color theme="1"/>
        <rFont val="Tahoma"/>
        <family val="2"/>
      </rPr>
      <t xml:space="preserve">
1. Ukuran baris/row bisa diubah sesuai kebutuhan dengan langkah klik cells warna Biru pilih Home-Format-Row Height-tentukan angka-Enter
2. Silahkan insert gambar tanda tangan jika diperlukan. Tanda tangan bisa juga dibuat langsung dengan Insert Shapes.
3.Cara Print: ganti nomor di pojok kiri atas, kemudian perintah Print (Ctrl+P)-Enter. Ulangi untuk cetak nomor berikutnya.
4. Jika ingin menyembunyikan Row karena dianggap tidak bermanfaat maka klik cells biru pada row/baris yg akan disembunyikan kemudian Pilih Home-Format-Hide&amp;Unhide-Hide Row
5. Ada atau tidaknya rows yang tersembunyi bisa di cek pada urutan angka dibawah ini. Jika ada lomptan angka berarti ada row yang tersembuni. Jika ingin memunculkan kembali rows yang tersembunyi maka blok no atas dan bawahnya, kemudian Unhide Row atau tentukan Height Row nya.</t>
    </r>
  </si>
  <si>
    <t>Menunjukkan sikap jujur, disiplin, gotong royong, santun dan percaya diri.</t>
  </si>
  <si>
    <t>menunjukkan sikap bersyukur, selalu memberi salam, menghormati orang yang menjalankan ibadah sesuai agamanya.</t>
  </si>
  <si>
    <t>SMA NEGERI 1 HALMAHERA SELATAN</t>
  </si>
  <si>
    <t>SMA NEGERI KEMTUK GRESI</t>
  </si>
  <si>
    <t>SMA INTEGRAL LUQMAN AL-HAKIM KUARO</t>
  </si>
  <si>
    <t>SMA PGRI 4 BANJARMASIN</t>
  </si>
  <si>
    <t>SMAS AL MUHADJIRIN BEKASI</t>
  </si>
  <si>
    <t>SMA NEGERI KUANFATU</t>
  </si>
  <si>
    <t>SMAS AL FALAH</t>
  </si>
  <si>
    <t>SMA NEGERI 7 MANDAU</t>
  </si>
  <si>
    <t>SMA NEGERI 7 KEPAHIANG</t>
  </si>
  <si>
    <t>SMA MUSLIMIN CILILIN</t>
  </si>
  <si>
    <t>SMA PLUS RIYADUSSYIFA</t>
  </si>
  <si>
    <t>SMA ISLAM BRAWIJAYA</t>
  </si>
  <si>
    <t>SMAS KRISTEN 1 TOMOHON</t>
  </si>
  <si>
    <t>SMA NEGERI 3 ATAMBUA</t>
  </si>
  <si>
    <t>SMA SWASTA YP.  UTAMA MEDAN</t>
  </si>
  <si>
    <t>SMA NURUL HUDA</t>
  </si>
  <si>
    <t>SMA NEGERI 2 BOAWAE</t>
  </si>
  <si>
    <t>SMA MUHAMMADIYAH TULANGAN</t>
  </si>
  <si>
    <t>SMAN 22 KOTA BEKASI</t>
  </si>
  <si>
    <t>SMA NEGERI 1 AMFOANG BARAT DAYA</t>
  </si>
  <si>
    <t>kupang</t>
  </si>
  <si>
    <t>SMA Negeri 1 Amabi Efeto</t>
  </si>
  <si>
    <t>Jl. Dusun V Hunaek Desa Fatukanutu</t>
  </si>
  <si>
    <t>Nelson Nome, S.Pd</t>
  </si>
  <si>
    <t>19781107201001 1 022</t>
  </si>
  <si>
    <t>10 IIS 2</t>
  </si>
  <si>
    <t>2022-2023</t>
  </si>
  <si>
    <t>Sendi Laura Kee, S.Pd</t>
  </si>
  <si>
    <t>198410062022212020</t>
  </si>
  <si>
    <t>Kupang</t>
  </si>
  <si>
    <t xml:space="preserve">0066338468  </t>
  </si>
  <si>
    <t>Aldo Alfinus Pakae</t>
  </si>
  <si>
    <t>KRISTEN</t>
  </si>
  <si>
    <t>Desa Niunbaun</t>
  </si>
  <si>
    <t>SMP N 3 Amabi Oefeto</t>
  </si>
  <si>
    <t>X</t>
  </si>
  <si>
    <t>15 JULI 2022</t>
  </si>
  <si>
    <t>Urbanus Pakae</t>
  </si>
  <si>
    <t>Albertina Nitti</t>
  </si>
  <si>
    <t>PETANI</t>
  </si>
  <si>
    <t>IRT</t>
  </si>
  <si>
    <t xml:space="preserve">0063406816 </t>
  </si>
  <si>
    <t>Aprianus Bira</t>
  </si>
  <si>
    <t>Tapasab</t>
  </si>
  <si>
    <t>06/0/42006</t>
  </si>
  <si>
    <t>Desa Raknamo</t>
  </si>
  <si>
    <t xml:space="preserve">0064279978  </t>
  </si>
  <si>
    <t>Asri Aldina Baksuni</t>
  </si>
  <si>
    <t>Raknamo</t>
  </si>
  <si>
    <t>SMP N 2 Amabi oefeto</t>
  </si>
  <si>
    <t>Daud Baksuni</t>
  </si>
  <si>
    <t xml:space="preserve">0073463161  </t>
  </si>
  <si>
    <t>Asti Welmince Welkis</t>
  </si>
  <si>
    <t>Sem Welkis</t>
  </si>
  <si>
    <t>Oma F.Y.Boys</t>
  </si>
  <si>
    <t xml:space="preserve">0074941855  </t>
  </si>
  <si>
    <t>Aulya Noviyanti Mbura</t>
  </si>
  <si>
    <t>Monokwari</t>
  </si>
  <si>
    <t>Nong Burah</t>
  </si>
  <si>
    <t>Agustina Benuf</t>
  </si>
  <si>
    <t>Bertolomeus Bira</t>
  </si>
  <si>
    <t>Petani</t>
  </si>
  <si>
    <t xml:space="preserve">0065667244  </t>
  </si>
  <si>
    <t>Ayu Oliberta Ranboki</t>
  </si>
  <si>
    <t>Oekona</t>
  </si>
  <si>
    <t>Apolos Ranboki</t>
  </si>
  <si>
    <t>Yohana</t>
  </si>
  <si>
    <t xml:space="preserve">0052051452  </t>
  </si>
  <si>
    <t>Benediktus Faot</t>
  </si>
  <si>
    <t>To'oh</t>
  </si>
  <si>
    <t>Desa Fatukanutu</t>
  </si>
  <si>
    <t>SMP N 4 Amabi Oefeto</t>
  </si>
  <si>
    <t>Arkilaus Faot</t>
  </si>
  <si>
    <t>Martha Manggoa</t>
  </si>
  <si>
    <t>PNS</t>
  </si>
  <si>
    <t xml:space="preserve">0057156758  </t>
  </si>
  <si>
    <t>Betron Imanuel Kuni</t>
  </si>
  <si>
    <t xml:space="preserve">'0056857683 </t>
  </si>
  <si>
    <t>Demrianus Ton</t>
  </si>
  <si>
    <t xml:space="preserve">0039895242  </t>
  </si>
  <si>
    <t>Desti Manggoa</t>
  </si>
  <si>
    <t>Yusak Manggoa</t>
  </si>
  <si>
    <t>Yusmina</t>
  </si>
  <si>
    <t xml:space="preserve">0079420321  </t>
  </si>
  <si>
    <t>Dorkas Meliana Talita Kesnay</t>
  </si>
  <si>
    <t>Yolis Kesnay</t>
  </si>
  <si>
    <t xml:space="preserve">Admi </t>
  </si>
  <si>
    <t xml:space="preserve">0076153630 / </t>
  </si>
  <si>
    <t>Erto Seprianto Leukune</t>
  </si>
  <si>
    <t>Kotolin</t>
  </si>
  <si>
    <t>Terianus Leokuna</t>
  </si>
  <si>
    <t>Elisabet Oloh</t>
  </si>
  <si>
    <t>Idial Bira</t>
  </si>
  <si>
    <t xml:space="preserve">0052456698 / </t>
  </si>
  <si>
    <t>Feli Tipnoni</t>
  </si>
  <si>
    <t>Fatukanutu</t>
  </si>
  <si>
    <t>Joni Tipnoni</t>
  </si>
  <si>
    <t>Belsemina Loemnanu</t>
  </si>
  <si>
    <t xml:space="preserve">0052520364 / </t>
  </si>
  <si>
    <t xml:space="preserve">Ferdinandes Sakbana </t>
  </si>
  <si>
    <t>KATOLIK</t>
  </si>
  <si>
    <t>Yosua Sakbana</t>
  </si>
  <si>
    <t xml:space="preserve">0058941177 / </t>
  </si>
  <si>
    <t>Fitri Novani Nitbani</t>
  </si>
  <si>
    <t>15JULI 2022</t>
  </si>
  <si>
    <t>Hendrik Nitbani</t>
  </si>
  <si>
    <t>Katarina knoaan</t>
  </si>
  <si>
    <t xml:space="preserve">0062460100 / </t>
  </si>
  <si>
    <t>Helsina Benu</t>
  </si>
  <si>
    <t>Bertimeus Benu</t>
  </si>
  <si>
    <t xml:space="preserve">0051114906 / </t>
  </si>
  <si>
    <t xml:space="preserve">Hezron Nubatonis </t>
  </si>
  <si>
    <t>Kobe Kumah</t>
  </si>
  <si>
    <t>SMP N Supul</t>
  </si>
  <si>
    <t>Sepri Talan</t>
  </si>
  <si>
    <t xml:space="preserve">0077165657 / </t>
  </si>
  <si>
    <t>Jelita Anita Boimau</t>
  </si>
  <si>
    <t>Kefas Boimau</t>
  </si>
  <si>
    <t>Dorenci Bois</t>
  </si>
  <si>
    <t xml:space="preserve">0069086494 / </t>
  </si>
  <si>
    <t>Jidon Nubatonis</t>
  </si>
  <si>
    <t>Sefnat Nubatonis</t>
  </si>
  <si>
    <t>Beatris Loemnanu</t>
  </si>
  <si>
    <t xml:space="preserve">0045266152 / </t>
  </si>
  <si>
    <t>Jitro Andro Baran</t>
  </si>
  <si>
    <t>Kuanheum</t>
  </si>
  <si>
    <t>Desa Kuanheum</t>
  </si>
  <si>
    <t>SMP N 1 Amabi Oefeto</t>
  </si>
  <si>
    <t>Oktofianus Baran</t>
  </si>
  <si>
    <t>Oranci Baok</t>
  </si>
  <si>
    <t xml:space="preserve">0062407662 / </t>
  </si>
  <si>
    <t>Juan Manuel Boys</t>
  </si>
  <si>
    <t>Rafael Boys</t>
  </si>
  <si>
    <t>Orpa Paijo</t>
  </si>
  <si>
    <t xml:space="preserve">0066650606 / </t>
  </si>
  <si>
    <t>Krisyanti Ernela Kesnay</t>
  </si>
  <si>
    <t>Kristofel Kesnay</t>
  </si>
  <si>
    <t>Yuliana Namo</t>
  </si>
  <si>
    <t xml:space="preserve">0061698485 / </t>
  </si>
  <si>
    <t>Leni Aknesia Knoan</t>
  </si>
  <si>
    <t>Tapasb</t>
  </si>
  <si>
    <t>Leonardus Knoan</t>
  </si>
  <si>
    <t>Tersiana Sora</t>
  </si>
  <si>
    <t xml:space="preserve">0055558503 / </t>
  </si>
  <si>
    <t>Marlon Dioninsius Lalus</t>
  </si>
  <si>
    <t>Nikolas Lalus</t>
  </si>
  <si>
    <t xml:space="preserve">0063347581 / </t>
  </si>
  <si>
    <t>Maya Trifena Niobe</t>
  </si>
  <si>
    <t xml:space="preserve">0072539238 / </t>
  </si>
  <si>
    <t>Misel Miranda Sora</t>
  </si>
  <si>
    <t>Sumba</t>
  </si>
  <si>
    <t>Debora Bili</t>
  </si>
  <si>
    <t xml:space="preserve">0065554560 / </t>
  </si>
  <si>
    <t>Nofianti Tainmeta</t>
  </si>
  <si>
    <t>Sakarias Tainmeta</t>
  </si>
  <si>
    <t>Susana Kesnai</t>
  </si>
  <si>
    <t xml:space="preserve">0056840520 / </t>
  </si>
  <si>
    <t>Ofni Antrikus Banun</t>
  </si>
  <si>
    <t xml:space="preserve">0063720329 / </t>
  </si>
  <si>
    <t>Roiyandi Saebesi</t>
  </si>
  <si>
    <t>Bileno</t>
  </si>
  <si>
    <t>Fransiskus Saebesi</t>
  </si>
  <si>
    <t>Meriyanti</t>
  </si>
  <si>
    <t xml:space="preserve">0056269061 / </t>
  </si>
  <si>
    <t>Roni Yohanis Bira</t>
  </si>
  <si>
    <t>Mesak Bira</t>
  </si>
  <si>
    <t>Oranci Ranboki</t>
  </si>
  <si>
    <t>Desa raknamo</t>
  </si>
  <si>
    <t xml:space="preserve">0064574658 / </t>
  </si>
  <si>
    <t>Sinta Norliana Funan</t>
  </si>
  <si>
    <t>SMP N 2 Amabi Oefeto</t>
  </si>
  <si>
    <t>Abraham Funan</t>
  </si>
  <si>
    <t>Aplonia Ranboki</t>
  </si>
  <si>
    <t xml:space="preserve">0061957895 / </t>
  </si>
  <si>
    <t>Stevi Otnial Loemnanu</t>
  </si>
  <si>
    <t>Surabaya</t>
  </si>
  <si>
    <t>Jon Loemnanu</t>
  </si>
  <si>
    <t>Dece Mamo</t>
  </si>
  <si>
    <t xml:space="preserve">0076298320 / </t>
  </si>
  <si>
    <t>Venciani Sefrianti Sufnera</t>
  </si>
  <si>
    <t>Soleman Sufmera</t>
  </si>
  <si>
    <t xml:space="preserve">0082379364 / </t>
  </si>
  <si>
    <t>Yangres Nitti</t>
  </si>
  <si>
    <t xml:space="preserve">Oepura </t>
  </si>
  <si>
    <t>SMP N 7 Fatuleu Satap</t>
  </si>
  <si>
    <t>Eliasar Nitti</t>
  </si>
  <si>
    <t xml:space="preserve">0068810488 / </t>
  </si>
  <si>
    <t>Yefta Trianus Mau</t>
  </si>
  <si>
    <t>Yosben Mau</t>
  </si>
  <si>
    <t>yuiana Bira</t>
  </si>
  <si>
    <t xml:space="preserve">0054545912 / </t>
  </si>
  <si>
    <t>Yuliana Febriyanti Nggeon</t>
  </si>
  <si>
    <t xml:space="preserve">Lasiana </t>
  </si>
  <si>
    <t>SMP N 3 Amabi oefeto</t>
  </si>
  <si>
    <t xml:space="preserve">Faredik Nggeon </t>
  </si>
  <si>
    <t>Nuerwata</t>
  </si>
  <si>
    <t>Fransina Pakae</t>
  </si>
  <si>
    <t>Niunbaun</t>
  </si>
  <si>
    <t xml:space="preserve">0066070162 / </t>
  </si>
  <si>
    <t>Yuninda Pono</t>
  </si>
  <si>
    <t>Yunus Pono</t>
  </si>
  <si>
    <t>Pitronela Tamonob</t>
  </si>
  <si>
    <t>TIK</t>
  </si>
  <si>
    <t>Sosiologi</t>
  </si>
  <si>
    <t>SOS</t>
  </si>
  <si>
    <t>Geografi</t>
  </si>
  <si>
    <t>GEO</t>
  </si>
  <si>
    <t>EKO</t>
  </si>
  <si>
    <t>Sejarah Peminatan</t>
  </si>
  <si>
    <t>Sej.P</t>
  </si>
  <si>
    <t>Biologi</t>
  </si>
  <si>
    <t>BIO</t>
  </si>
  <si>
    <t>Fisika</t>
  </si>
  <si>
    <t>Sem Bira</t>
  </si>
  <si>
    <t>Arnonci Boys</t>
  </si>
  <si>
    <t>Yuliana Sain</t>
  </si>
  <si>
    <t>SMP N 6 Amabi oefeto</t>
  </si>
  <si>
    <t>Nelci Kause</t>
  </si>
  <si>
    <t>Batceba Tipnoni</t>
  </si>
  <si>
    <t>Maxen Sora</t>
  </si>
  <si>
    <t>Oksiana Taek</t>
  </si>
  <si>
    <t>Yublina  .T .Bira</t>
  </si>
  <si>
    <t>Menganalisis dinamika litosfer dan dampaknya terhadap kehidupan</t>
  </si>
  <si>
    <t>Menganalisis dinamika atmosfer dan dampaknya terhadap kehidupan</t>
  </si>
  <si>
    <t>Menganalisis dinamika hidrosfer dan dampaknya terhadap kehidupani</t>
  </si>
  <si>
    <t>Menyajikan proses dinamika litosfer dengan menggunakan peta</t>
  </si>
  <si>
    <t>Menyajikan proses dinamika atmosfer menggunakan peta</t>
  </si>
  <si>
    <t>Menyajikan proses dinamika hidrosfer menggunakan peta</t>
  </si>
  <si>
    <t>Menganalisis  isi, struktur dan kebahasaan teks  negosiasi.</t>
  </si>
  <si>
    <t>Menganalisis  isi debat</t>
  </si>
  <si>
    <t>Menilai hal yang dapat diteladani dari teks biografi</t>
  </si>
  <si>
    <t>Menganalisis  unsur pembangun puisi.</t>
  </si>
  <si>
    <t>Menyampaikan penawaran dalam teks negosiasi secara lisan.</t>
  </si>
  <si>
    <t>mengembangkan permasalahan isu dan berbagai sudut pandang</t>
  </si>
  <si>
    <t>Menjelaskan dan menentukan fungsi (terutama fungsi linear, fungsi kuadrat, dan fungsi rasional) secara formal yang meliputi notasi, daerah asal, daerah hasil, dan ekspresi simbolik, serta sketsa grafiknya</t>
  </si>
  <si>
    <t>Menjelaskan operasi komposisi pada fungsi dan operasi invers pada fungsi invers serta sifat-sifatnya serta menentukan eksistensinya</t>
  </si>
  <si>
    <t>Menjelaskan rasio trigonometri (sinus, cosinus, tangen, cosecan, secan, dan cotangen) pada segitiga siku-siku</t>
  </si>
  <si>
    <t>Menggeneralisasi rasio trigonometri untuk sudut-sudut di berbagai kuadran dan sudut-sudut berelasi</t>
  </si>
  <si>
    <t>Menjelaskan aturan sinus dan cosinus</t>
  </si>
  <si>
    <r>
      <t>Menganalisa karakteristik masing – masing grafik (titik potong dengan sumbu, titik puncak, asimtot) dan perubahan grafik fungsinya akibat transformasi f</t>
    </r>
    <r>
      <rPr>
        <vertAlign val="superscript"/>
        <sz val="10"/>
        <color theme="1"/>
        <rFont val="Times New Roman"/>
        <family val="1"/>
      </rPr>
      <t>2</t>
    </r>
    <r>
      <rPr>
        <sz val="10"/>
        <color theme="1"/>
        <rFont val="Times New Roman"/>
        <family val="1"/>
      </rPr>
      <t>(x), 1/f(x), |f(x)| dsb</t>
    </r>
  </si>
  <si>
    <t>Menyelesaikan masalah yang berkaitan dengan operasi komposisi dan operasi invers suatu fungsi</t>
  </si>
  <si>
    <t>Menyelesaikan masalah kontekstual yang berkaitan dengan rasio trigonometri (sinus, cosinus, tangen, cosecan, secan, dan cotangen) pada segitiga siku-siku</t>
  </si>
  <si>
    <t>Menyelesaikan masalah yang berkaitan dengan aturan sinus dan cosinus</t>
  </si>
  <si>
    <t>Menganalisa perubahan grafik fungsi trigonometri akibat perubahan pada konstanta pada fungsi y = a sin b(x + c) + d.</t>
  </si>
  <si>
    <t>Memahami teks memberi dan meminta informasi di masa lalu</t>
  </si>
  <si>
    <t>Memahami fungsi dan struktur teks Recount</t>
  </si>
  <si>
    <t>Memahami unsur-unsur penting dalam menyusun teks naratif</t>
  </si>
  <si>
    <t xml:space="preserve">Menafsirkan unsur dan fungsi dari sebuah lirik lagu </t>
  </si>
  <si>
    <t>Menyusun teks tentang Past Event</t>
  </si>
  <si>
    <t>Menulis sebuah teks recount sederhana</t>
  </si>
  <si>
    <t>Membuat sebuah teks naratif kemudian membacanya</t>
  </si>
  <si>
    <t>Menyayikan sebuah lagu bahasa inggris sederhana</t>
  </si>
  <si>
    <t>memahami karya seni rupa dua dimensi dan tiga dimensi</t>
  </si>
  <si>
    <t>Memahami jenis dan fungsi alat musik tradisional</t>
  </si>
  <si>
    <t>Memahami dan merancang naskah dan peran dalam teater</t>
  </si>
  <si>
    <t>Membuat karya seni rupa dua dimensi menggunakan berbagai media</t>
  </si>
  <si>
    <t>memainkan alat musik tradisional</t>
  </si>
  <si>
    <t>memeragakan seni teater tradisional</t>
  </si>
  <si>
    <t>Menganalisis aktifitas gerak senam lantai</t>
  </si>
  <si>
    <t>Mengidentifikasi variasi gerak ritmik</t>
  </si>
  <si>
    <t>Menganalisis aktifitas renang gaya bebas</t>
  </si>
  <si>
    <t>Mengidentifikasi konsep pergaulan sehat</t>
  </si>
  <si>
    <t>Menganalisis bahaya penyala gunaan narkoba</t>
  </si>
  <si>
    <t>Mempraktikan gerak senam lantai</t>
  </si>
  <si>
    <t>Memeragakan gerak ritmik</t>
  </si>
  <si>
    <t>Memeragakan renang gaya bebas</t>
  </si>
  <si>
    <t>Menyajikan cara remaja bergaul sehat</t>
  </si>
  <si>
    <t>Menyajikan bahaya penyala gunaan narkoba</t>
  </si>
  <si>
    <t>memahami perencanaan usaha kerajinan dengan inspirasi artefak</t>
  </si>
  <si>
    <t>memahami perhitungan biaya produksi berdasarkan daya dukung</t>
  </si>
  <si>
    <t>memahami strategi pemasaran produk kerajina dengan inspirasi</t>
  </si>
  <si>
    <t>menyusun perencanaan usaha kerajinan dengan inspirasi artefak</t>
  </si>
  <si>
    <t>memproduksi kerajinan dengan insprasi artefak/objek budaya</t>
  </si>
  <si>
    <t>menghitung biaya produksi (harga pokok produksi )kerajinan</t>
  </si>
  <si>
    <t>memasarkan produk kerajinan dengan inspirasi artefak/objek budaya</t>
  </si>
  <si>
    <t xml:space="preserve">menganalisis permasalahan sosial di masyarakat </t>
  </si>
  <si>
    <t>memahami berbagai metode penelitian di masyarakat</t>
  </si>
  <si>
    <t>memberiakan respon dalam mengatasi permasalahan sosial</t>
  </si>
  <si>
    <t>melakukan penelitian sederhana yang terjadi di masyarakat</t>
  </si>
  <si>
    <t>Memahami kebijakan pemerintah dalam bidang ekonomi</t>
  </si>
  <si>
    <t>Memahami produk domistik bruto, pendapatan nasional bruto</t>
  </si>
  <si>
    <t>Memahami konsumsi dan investasi</t>
  </si>
  <si>
    <t>Memahami uang dan perbankkan</t>
  </si>
  <si>
    <t xml:space="preserve">Mendeskripsikan masalah masalah yang di hadapi pemerintah </t>
  </si>
  <si>
    <t>Menjelaskan mamfaat perhitungan pendapatan nasional</t>
  </si>
  <si>
    <t>Mendiskripsikan indeks Harga</t>
  </si>
  <si>
    <t>Menbedakan peran bank Umum</t>
  </si>
  <si>
    <t>Menganalisis berbagai bentuk/jenis sumber Sejarah</t>
  </si>
  <si>
    <t>Menganalisis langkah-langkah penelitian Sejarah terhadap berbagai peristiwa Sejarah</t>
  </si>
  <si>
    <t>Menganalisis perbedaan ciri-ciri dari historiografi tradisional, kolonial dan modern</t>
  </si>
  <si>
    <t>Menganalisis keterkaitan antara manusia purba Indonesia dan Dunia dengan manusia modern dalam fisik dan budaya</t>
  </si>
  <si>
    <t>Menyajikan hasil analisis jenis sumber, peran sumber dan keterkaitannya dengan kejadian sejarah, dalam berbagai bentuk presentasi.</t>
  </si>
  <si>
    <t xml:space="preserve">Melakukan  penelitian sejarah secara sederhana dan menyajikanya dalam bentuk laporan penelitian.
</t>
  </si>
  <si>
    <t>Menyajikan hasil mengklasifikasi ciri-ciri historiografi tradisional, kolonial dan modern dari sumber yag ditentukan guru, dalam berbagai bentuk presentasi.</t>
  </si>
  <si>
    <t>Menyajikan hasil analisis mengenai keterkaitan antara Manusia Purba Indonesia dan Dunia dengan manusia modern secara fisik dan budaya, dalam berbagai bentuk presentasi.</t>
  </si>
  <si>
    <t>mengelompokkan jamur berdasarkan ciri, reproduksi dan peranannya</t>
  </si>
  <si>
    <t>mengelompokkan tumbuhan dalam divisio berdasarkan ciri dan peranan</t>
  </si>
  <si>
    <t>mengenal berbagai jenis hewan berdasarkan filum</t>
  </si>
  <si>
    <t>menyajikan hasil pengamatan dari berbagai jenis hewan di lingkungan</t>
  </si>
  <si>
    <t>menjelaskan kelompok jamur berdasarkan ciri, reproduksi dan peran</t>
  </si>
  <si>
    <t>menemukan jenis tumbuhan berdasarkan divisiso</t>
  </si>
  <si>
    <t>menjelaskan kelompok hewan berdasarkan ciri, reproduksi dan peran</t>
  </si>
  <si>
    <t>menyajikan hasil pengamatan jenis hewan di lingkunagn sekitar</t>
  </si>
  <si>
    <t>Menganalisis besaran fisis pada gerak melimgkar</t>
  </si>
  <si>
    <t>Menganalisis interaksi hubungan antar gaya</t>
  </si>
  <si>
    <t>Menganalisis keteraturan gerak planet dan satelit</t>
  </si>
  <si>
    <t>Menganalisis konsep energi, usaha dan perubahan energi</t>
  </si>
  <si>
    <t>Menganalisi hubungan antara gaya dan getaran</t>
  </si>
  <si>
    <t>Melakukan percobaan getaran harmonis pada ayunan sederhana</t>
  </si>
  <si>
    <t>Menjelaskan makna kebersamaan dengan orang lain</t>
  </si>
  <si>
    <t xml:space="preserve">Memahami keberadaan Allah sebagai pembaharu kehidupan </t>
  </si>
  <si>
    <t xml:space="preserve">Menunjukkan hal-hal yang positif dan negatif manusia </t>
  </si>
  <si>
    <t>Melaksanakan buah-buah Roh dalam surat Paulus di jemaat Galatia</t>
  </si>
  <si>
    <t>Memahami sikap kritis dan tanggung jawab terhadap mass media</t>
  </si>
  <si>
    <t>Memahami tentang kitab suci dan tradisi sebagai dasar iman</t>
  </si>
  <si>
    <t xml:space="preserve">Memahami makna kedatangan yesus kristus </t>
  </si>
  <si>
    <t>Memahami pribadi yesus kristus yang rela menderita</t>
  </si>
  <si>
    <t>Bersifat kritis dan bertanggung jawab terhadap mass media</t>
  </si>
  <si>
    <t>Memahami kitab suci dan tradisi sebagai dasar iman kristiani</t>
  </si>
  <si>
    <t xml:space="preserve">Bersaksi tentang yesus kristus yang datang mewartakan </t>
  </si>
  <si>
    <t>Bersaksi tentang pribadi yesus kristus yang rela menderita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</si>
</sst>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_);_(* \(#,##0\);_(* &quot;-&quot;_);_(@_)"/>
    <numFmt numFmtId="165" formatCode="d\-m\-yyyy"/>
  </numFmts>
  <fonts count="285">
    <font>
      <sz val="11"/>
      <color theme="1"/>
      <name val="Calibri"/>
      <family val="2"/>
      <charset val="1"/>
      <scheme val="minor"/>
    </font>
    <font>
      <sz val="11"/>
      <color theme="1"/>
      <name val="Calibri"/>
      <family val="2"/>
      <scheme val="minor"/>
    </font>
    <font>
      <sz val="9"/>
      <color theme="1"/>
      <name val="Arial"/>
      <family val="2"/>
    </font>
    <font>
      <sz val="9"/>
      <color rgb="FFFF0000"/>
      <name val="Arial"/>
      <family val="2"/>
    </font>
    <font>
      <sz val="10"/>
      <color theme="1"/>
      <name val="Arial"/>
      <family val="2"/>
    </font>
    <font>
      <b/>
      <sz val="10"/>
      <color rgb="FF0000FF"/>
      <name val="Arial"/>
      <family val="2"/>
    </font>
    <font>
      <sz val="10"/>
      <color rgb="FF0000FF"/>
      <name val="Arial"/>
      <family val="2"/>
    </font>
    <font>
      <sz val="9"/>
      <name val="Arial"/>
      <family val="2"/>
    </font>
    <font>
      <sz val="9"/>
      <color rgb="FF0000FF"/>
      <name val="Arial"/>
      <family val="2"/>
    </font>
    <font>
      <b/>
      <sz val="9"/>
      <color theme="1"/>
      <name val="Arial"/>
      <family val="2"/>
    </font>
    <font>
      <b/>
      <sz val="8"/>
      <color theme="1"/>
      <name val="Arial"/>
      <family val="2"/>
    </font>
    <font>
      <b/>
      <sz val="9"/>
      <color rgb="FFFF0000"/>
      <name val="Arial"/>
      <family val="2"/>
    </font>
    <font>
      <sz val="11"/>
      <color theme="1"/>
      <name val="Calibri"/>
      <family val="2"/>
      <charset val="1"/>
      <scheme val="minor"/>
    </font>
    <font>
      <b/>
      <sz val="11"/>
      <color theme="1"/>
      <name val="Arial"/>
      <family val="2"/>
    </font>
    <font>
      <b/>
      <sz val="10"/>
      <color theme="1"/>
      <name val="Arial"/>
      <family val="2"/>
    </font>
    <font>
      <sz val="9"/>
      <color theme="0"/>
      <name val="Arial"/>
      <family val="2"/>
    </font>
    <font>
      <b/>
      <sz val="11"/>
      <color rgb="FFC00000"/>
      <name val="Arial"/>
      <family val="2"/>
    </font>
    <font>
      <b/>
      <sz val="9"/>
      <color rgb="FFFFFF00"/>
      <name val="Arial"/>
      <family val="2"/>
    </font>
    <font>
      <sz val="10"/>
      <color rgb="FFC00000"/>
      <name val="Arial"/>
      <family val="2"/>
    </font>
    <font>
      <b/>
      <sz val="9"/>
      <color rgb="FF0000FF"/>
      <name val="Arial"/>
      <family val="2"/>
    </font>
    <font>
      <b/>
      <sz val="10"/>
      <color rgb="FFFF0000"/>
      <name val="Arial"/>
      <family val="2"/>
    </font>
    <font>
      <u/>
      <sz val="11"/>
      <color theme="10"/>
      <name val="Calibri"/>
      <family val="2"/>
      <charset val="1"/>
      <scheme val="minor"/>
    </font>
    <font>
      <sz val="8"/>
      <color theme="1"/>
      <name val="Arial"/>
      <family val="2"/>
    </font>
    <font>
      <sz val="8"/>
      <name val="Arial"/>
      <family val="2"/>
    </font>
    <font>
      <b/>
      <sz val="11"/>
      <color theme="1"/>
      <name val="Calibri"/>
      <family val="2"/>
      <charset val="1"/>
      <scheme val="minor"/>
    </font>
    <font>
      <sz val="8"/>
      <color theme="9" tint="-0.499984740745262"/>
      <name val="Arial"/>
      <family val="2"/>
    </font>
    <font>
      <i/>
      <sz val="9"/>
      <color theme="1"/>
      <name val="Arial"/>
      <family val="2"/>
    </font>
    <font>
      <sz val="10"/>
      <name val="Arial"/>
      <family val="2"/>
    </font>
    <font>
      <sz val="10"/>
      <color rgb="FFFF0000"/>
      <name val="Arial"/>
      <family val="2"/>
    </font>
    <font>
      <sz val="13"/>
      <color theme="1"/>
      <name val="Arial"/>
      <family val="2"/>
    </font>
    <font>
      <b/>
      <sz val="13"/>
      <color theme="1"/>
      <name val="Arial"/>
      <family val="2"/>
    </font>
    <font>
      <sz val="11"/>
      <name val="Calibri"/>
      <family val="2"/>
      <charset val="1"/>
      <scheme val="minor"/>
    </font>
    <font>
      <i/>
      <sz val="9"/>
      <name val="Arial"/>
      <family val="2"/>
    </font>
    <font>
      <i/>
      <sz val="11"/>
      <color theme="1"/>
      <name val="Calibri"/>
      <family val="2"/>
      <charset val="1"/>
      <scheme val="minor"/>
    </font>
    <font>
      <i/>
      <sz val="9"/>
      <color theme="1"/>
      <name val="Calibri"/>
      <family val="2"/>
      <scheme val="minor"/>
    </font>
    <font>
      <b/>
      <sz val="10"/>
      <name val="Arial"/>
      <family val="2"/>
    </font>
    <font>
      <sz val="10"/>
      <color theme="1"/>
      <name val="Tahoma"/>
      <family val="2"/>
    </font>
    <font>
      <b/>
      <sz val="10"/>
      <color theme="1"/>
      <name val="Tahoma"/>
      <family val="2"/>
    </font>
    <font>
      <b/>
      <sz val="9"/>
      <color theme="0"/>
      <name val="Arial"/>
      <family val="2"/>
    </font>
    <font>
      <sz val="11"/>
      <color theme="0"/>
      <name val="Calibri"/>
      <family val="2"/>
      <charset val="1"/>
      <scheme val="minor"/>
    </font>
    <font>
      <b/>
      <sz val="10"/>
      <color theme="0"/>
      <name val="Arial"/>
      <family val="2"/>
    </font>
    <font>
      <sz val="9"/>
      <color theme="1"/>
      <name val="Tahoma"/>
      <family val="2"/>
    </font>
    <font>
      <b/>
      <sz val="9"/>
      <color rgb="FF0000FF"/>
      <name val="Tahoma"/>
      <family val="2"/>
    </font>
    <font>
      <b/>
      <sz val="9"/>
      <color theme="1"/>
      <name val="Tahoma"/>
      <family val="2"/>
    </font>
    <font>
      <sz val="9"/>
      <color rgb="FF0000FF"/>
      <name val="Tahoma"/>
      <family val="2"/>
    </font>
    <font>
      <b/>
      <sz val="9"/>
      <color theme="1" tint="0.34998626667073579"/>
      <name val="Tahoma"/>
      <family val="2"/>
    </font>
    <font>
      <b/>
      <sz val="11"/>
      <color theme="1"/>
      <name val="Tahoma"/>
      <family val="2"/>
    </font>
    <font>
      <b/>
      <i/>
      <sz val="8"/>
      <color theme="1"/>
      <name val="Arial"/>
      <family val="2"/>
    </font>
    <font>
      <sz val="10"/>
      <name val="Tahoma"/>
      <family val="2"/>
    </font>
    <font>
      <sz val="9"/>
      <name val="Tahoma"/>
      <family val="2"/>
    </font>
    <font>
      <b/>
      <sz val="9"/>
      <name val="Tahoma"/>
      <family val="2"/>
    </font>
    <font>
      <sz val="24"/>
      <color rgb="FFFFFF00"/>
      <name val="Berlin Sans FB Demi"/>
      <family val="2"/>
    </font>
    <font>
      <b/>
      <sz val="11"/>
      <color rgb="FF0000FF"/>
      <name val="Arial"/>
      <family val="2"/>
    </font>
    <font>
      <sz val="11"/>
      <color rgb="FF0000FF"/>
      <name val="Arial"/>
      <family val="2"/>
    </font>
    <font>
      <b/>
      <sz val="10"/>
      <name val="Tahoma"/>
      <family val="2"/>
    </font>
    <font>
      <sz val="9"/>
      <color theme="0" tint="-0.34998626667073579"/>
      <name val="Arial"/>
      <family val="2"/>
    </font>
    <font>
      <sz val="8"/>
      <color theme="1"/>
      <name val="Tahoma"/>
      <family val="2"/>
    </font>
    <font>
      <sz val="9"/>
      <color theme="5" tint="0.39997558519241921"/>
      <name val="Arial"/>
      <family val="2"/>
    </font>
    <font>
      <sz val="9"/>
      <color theme="8" tint="0.39997558519241921"/>
      <name val="Arial"/>
      <family val="2"/>
    </font>
    <font>
      <b/>
      <sz val="20"/>
      <color rgb="FF0000FF"/>
      <name val="Arial"/>
      <family val="2"/>
    </font>
    <font>
      <sz val="8"/>
      <color rgb="FFFFC000"/>
      <name val="Arial"/>
      <family val="2"/>
    </font>
    <font>
      <b/>
      <sz val="14"/>
      <color theme="1"/>
      <name val="Arial"/>
      <family val="2"/>
    </font>
    <font>
      <sz val="14"/>
      <color theme="1"/>
      <name val="Arial"/>
      <family val="2"/>
    </font>
    <font>
      <sz val="14"/>
      <color theme="1"/>
      <name val="Arial Narrow"/>
      <family val="2"/>
    </font>
    <font>
      <sz val="12"/>
      <color rgb="FFFFC000"/>
      <name val="Calibri"/>
      <family val="2"/>
      <scheme val="minor"/>
    </font>
    <font>
      <sz val="9"/>
      <color theme="2" tint="-9.9978637043366805E-2"/>
      <name val="Arial"/>
      <family val="2"/>
    </font>
    <font>
      <sz val="11"/>
      <color theme="2" tint="-9.9978637043366805E-2"/>
      <name val="Calibri"/>
      <family val="2"/>
      <charset val="1"/>
      <scheme val="minor"/>
    </font>
    <font>
      <sz val="12"/>
      <color theme="1"/>
      <name val="Cambria"/>
      <family val="1"/>
      <scheme val="major"/>
    </font>
    <font>
      <sz val="14"/>
      <color theme="1"/>
      <name val="Cambria"/>
      <family val="1"/>
      <scheme val="major"/>
    </font>
    <font>
      <sz val="11"/>
      <color theme="1"/>
      <name val="Arial"/>
      <family val="2"/>
    </font>
    <font>
      <sz val="11"/>
      <color rgb="FF000000"/>
      <name val="Arial"/>
      <family val="2"/>
    </font>
    <font>
      <b/>
      <sz val="18"/>
      <color theme="1"/>
      <name val="Cambria"/>
      <family val="1"/>
      <scheme val="major"/>
    </font>
    <font>
      <i/>
      <sz val="11"/>
      <color theme="1"/>
      <name val="Cambria"/>
      <family val="1"/>
      <scheme val="major"/>
    </font>
    <font>
      <sz val="11"/>
      <name val="Cambria"/>
      <family val="1"/>
      <scheme val="major"/>
    </font>
    <font>
      <sz val="14"/>
      <color rgb="FF0000FF"/>
      <name val="Arial"/>
      <family val="2"/>
    </font>
    <font>
      <sz val="11"/>
      <color theme="1"/>
      <name val="Tahoma"/>
      <family val="2"/>
    </font>
    <font>
      <sz val="11"/>
      <name val="Tahoma"/>
      <family val="2"/>
    </font>
    <font>
      <b/>
      <sz val="11"/>
      <name val="Tahoma"/>
      <family val="2"/>
    </font>
    <font>
      <b/>
      <sz val="8"/>
      <color theme="1"/>
      <name val="Tahoma"/>
      <family val="2"/>
    </font>
    <font>
      <sz val="10"/>
      <color rgb="FFC00000"/>
      <name val="Tahoma"/>
      <family val="2"/>
    </font>
    <font>
      <b/>
      <sz val="10"/>
      <color rgb="FF0000FF"/>
      <name val="Tahoma"/>
      <family val="2"/>
    </font>
    <font>
      <sz val="10"/>
      <color theme="9" tint="-0.499984740745262"/>
      <name val="Tahoma"/>
      <family val="2"/>
    </font>
    <font>
      <sz val="12"/>
      <color theme="1"/>
      <name val="Calibri"/>
      <family val="2"/>
      <charset val="1"/>
      <scheme val="minor"/>
    </font>
    <font>
      <sz val="12"/>
      <color theme="1"/>
      <name val="Calibri"/>
      <family val="2"/>
      <scheme val="minor"/>
    </font>
    <font>
      <b/>
      <sz val="15"/>
      <color rgb="FF000000"/>
      <name val="Arial"/>
      <family val="2"/>
    </font>
    <font>
      <sz val="10"/>
      <color rgb="FF0000FF"/>
      <name val="Tahoma"/>
      <family val="2"/>
    </font>
    <font>
      <b/>
      <i/>
      <sz val="12"/>
      <color theme="1"/>
      <name val="Cambria"/>
      <family val="1"/>
      <scheme val="major"/>
    </font>
    <font>
      <sz val="9"/>
      <color theme="1"/>
      <name val="Calibri"/>
      <family val="2"/>
      <scheme val="minor"/>
    </font>
    <font>
      <b/>
      <sz val="20"/>
      <color rgb="FF0000FF"/>
      <name val="Calibri"/>
      <family val="2"/>
      <scheme val="minor"/>
    </font>
    <font>
      <sz val="12"/>
      <color theme="0" tint="-0.34998626667073579"/>
      <name val="Cambria"/>
      <family val="1"/>
      <scheme val="major"/>
    </font>
    <font>
      <sz val="10"/>
      <color theme="0" tint="-0.249977111117893"/>
      <name val="Arial"/>
      <family val="2"/>
    </font>
    <font>
      <b/>
      <sz val="11"/>
      <color theme="3" tint="0.79998168889431442"/>
      <name val="Arial"/>
      <family val="2"/>
    </font>
    <font>
      <b/>
      <sz val="11"/>
      <color theme="3" tint="0.79998168889431442"/>
      <name val="Tahoma"/>
      <family val="2"/>
    </font>
    <font>
      <sz val="10"/>
      <color theme="3" tint="0.79998168889431442"/>
      <name val="Tahoma"/>
      <family val="2"/>
    </font>
    <font>
      <b/>
      <sz val="10"/>
      <color theme="3" tint="0.79998168889431442"/>
      <name val="Arial"/>
      <family val="2"/>
    </font>
    <font>
      <b/>
      <sz val="9"/>
      <name val="Arial"/>
      <family val="2"/>
    </font>
    <font>
      <sz val="24"/>
      <color rgb="FFFFC000"/>
      <name val="Berlin Sans FB Demi"/>
      <family val="2"/>
    </font>
    <font>
      <b/>
      <sz val="12"/>
      <color theme="1" tint="0.14999847407452621"/>
      <name val="Arial"/>
      <family val="2"/>
    </font>
    <font>
      <b/>
      <sz val="10"/>
      <color theme="1" tint="0.14999847407452621"/>
      <name val="Arial"/>
      <family val="2"/>
    </font>
    <font>
      <sz val="12"/>
      <color theme="0"/>
      <name val="Calibri"/>
      <family val="2"/>
      <charset val="1"/>
      <scheme val="minor"/>
    </font>
    <font>
      <b/>
      <sz val="11"/>
      <color rgb="FF0000FF"/>
      <name val="Calibri"/>
      <family val="2"/>
      <scheme val="minor"/>
    </font>
    <font>
      <b/>
      <sz val="12"/>
      <color rgb="FF0000FF"/>
      <name val="Calibri"/>
      <family val="2"/>
      <scheme val="minor"/>
    </font>
    <font>
      <sz val="12"/>
      <color theme="5" tint="-0.499984740745262"/>
      <name val="Calibri"/>
      <family val="2"/>
      <charset val="1"/>
      <scheme val="minor"/>
    </font>
    <font>
      <b/>
      <sz val="12"/>
      <color theme="5" tint="-0.499984740745262"/>
      <name val="Calibri"/>
      <family val="2"/>
      <charset val="1"/>
      <scheme val="minor"/>
    </font>
    <font>
      <sz val="12"/>
      <color rgb="FF0000FF"/>
      <name val="Cambria"/>
      <family val="1"/>
      <scheme val="major"/>
    </font>
    <font>
      <b/>
      <sz val="10"/>
      <color rgb="FFFFFF00"/>
      <name val="Arial"/>
      <family val="2"/>
    </font>
    <font>
      <b/>
      <sz val="8"/>
      <color theme="0"/>
      <name val="Arial"/>
      <family val="2"/>
    </font>
    <font>
      <b/>
      <sz val="18"/>
      <color rgb="FF00EA6A"/>
      <name val="Arial"/>
      <family val="2"/>
    </font>
    <font>
      <b/>
      <sz val="9"/>
      <color theme="1" tint="0.14999847407452621"/>
      <name val="Arial"/>
      <family val="2"/>
    </font>
    <font>
      <sz val="10"/>
      <color rgb="FFFFFF00"/>
      <name val="Calibri"/>
      <family val="2"/>
      <scheme val="minor"/>
    </font>
    <font>
      <b/>
      <sz val="18"/>
      <color rgb="FF1539EB"/>
      <name val="Arial"/>
      <family val="2"/>
    </font>
    <font>
      <sz val="12"/>
      <color theme="1"/>
      <name val="Arial"/>
      <family val="2"/>
    </font>
    <font>
      <b/>
      <sz val="18"/>
      <color theme="1"/>
      <name val="Arial"/>
      <family val="2"/>
    </font>
    <font>
      <b/>
      <sz val="8"/>
      <name val="Arial"/>
      <family val="2"/>
    </font>
    <font>
      <b/>
      <sz val="11"/>
      <color rgb="FFFF0000"/>
      <name val="Calibri"/>
      <family val="2"/>
      <scheme val="minor"/>
    </font>
    <font>
      <sz val="11"/>
      <color theme="1"/>
      <name val="Calibri"/>
      <family val="2"/>
      <scheme val="minor"/>
    </font>
    <font>
      <b/>
      <sz val="11"/>
      <color rgb="FF0066FF"/>
      <name val="Calibri"/>
      <family val="2"/>
      <scheme val="minor"/>
    </font>
    <font>
      <b/>
      <sz val="14"/>
      <color theme="1"/>
      <name val="Tahoma"/>
      <family val="2"/>
    </font>
    <font>
      <b/>
      <sz val="20"/>
      <color theme="1"/>
      <name val="Arial"/>
      <family val="2"/>
    </font>
    <font>
      <b/>
      <sz val="15"/>
      <color theme="1"/>
      <name val="Arial"/>
      <family val="2"/>
    </font>
    <font>
      <sz val="14"/>
      <color rgb="FF0066FF"/>
      <name val="Arial"/>
      <family val="2"/>
    </font>
    <font>
      <b/>
      <sz val="10"/>
      <color theme="3" tint="0.79998168889431442"/>
      <name val="Tahoma"/>
      <family val="2"/>
    </font>
    <font>
      <b/>
      <sz val="8"/>
      <color theme="3" tint="0.79998168889431442"/>
      <name val="Tahoma"/>
      <family val="2"/>
    </font>
    <font>
      <sz val="14"/>
      <name val="Arial"/>
      <family val="2"/>
    </font>
    <font>
      <b/>
      <sz val="14"/>
      <name val="Arial"/>
      <family val="2"/>
    </font>
    <font>
      <sz val="12"/>
      <color rgb="FFFFFF00"/>
      <name val="Arial"/>
      <family val="2"/>
    </font>
    <font>
      <i/>
      <sz val="11"/>
      <color theme="1"/>
      <name val="Arial"/>
      <family val="2"/>
    </font>
    <font>
      <sz val="11"/>
      <color rgb="FF1539EB"/>
      <name val="Arial"/>
      <family val="2"/>
    </font>
    <font>
      <u/>
      <sz val="11"/>
      <color theme="1"/>
      <name val="Arial"/>
      <family val="2"/>
    </font>
    <font>
      <sz val="12"/>
      <color rgb="FFFF0000"/>
      <name val="Arial"/>
      <family val="2"/>
    </font>
    <font>
      <sz val="8"/>
      <color rgb="FF0000FF"/>
      <name val="Arial"/>
      <family val="2"/>
    </font>
    <font>
      <b/>
      <sz val="14"/>
      <color rgb="FF1539EB"/>
      <name val="Arial"/>
      <family val="2"/>
    </font>
    <font>
      <sz val="11"/>
      <color rgb="FFFFFFCC"/>
      <name val="Calibri"/>
      <family val="2"/>
      <charset val="1"/>
      <scheme val="minor"/>
    </font>
    <font>
      <b/>
      <sz val="11"/>
      <color rgb="FFFFFFCC"/>
      <name val="Calibri"/>
      <family val="2"/>
      <charset val="1"/>
      <scheme val="minor"/>
    </font>
    <font>
      <b/>
      <sz val="16"/>
      <color theme="0"/>
      <name val="Calibri"/>
      <family val="2"/>
      <scheme val="minor"/>
    </font>
    <font>
      <sz val="16"/>
      <color theme="0"/>
      <name val="Calibri"/>
      <family val="2"/>
      <scheme val="minor"/>
    </font>
    <font>
      <sz val="14"/>
      <color theme="0"/>
      <name val="Calibri"/>
      <family val="2"/>
      <charset val="1"/>
      <scheme val="minor"/>
    </font>
    <font>
      <b/>
      <sz val="20"/>
      <color rgb="FF0000FF"/>
      <name val="Tahoma"/>
      <family val="2"/>
    </font>
    <font>
      <b/>
      <sz val="12"/>
      <color rgb="FF0000FF"/>
      <name val="Tahoma"/>
      <family val="2"/>
    </font>
    <font>
      <b/>
      <sz val="14"/>
      <color rgb="FFFF0000"/>
      <name val="Tahoma"/>
      <family val="2"/>
    </font>
    <font>
      <sz val="8"/>
      <color theme="0" tint="-0.34998626667073579"/>
      <name val="Tahoma"/>
      <family val="2"/>
    </font>
    <font>
      <sz val="9"/>
      <color rgb="FF000000"/>
      <name val="Tahoma"/>
      <family val="2"/>
    </font>
    <font>
      <b/>
      <sz val="10"/>
      <color rgb="FF000000"/>
      <name val="Tahoma"/>
      <family val="2"/>
    </font>
    <font>
      <sz val="10"/>
      <color theme="0" tint="-0.34998626667073579"/>
      <name val="Tahoma"/>
      <family val="2"/>
    </font>
    <font>
      <sz val="8"/>
      <name val="Tahoma"/>
      <family val="2"/>
    </font>
    <font>
      <sz val="10"/>
      <color rgb="FFFFFF00"/>
      <name val="Tahoma"/>
      <family val="2"/>
    </font>
    <font>
      <b/>
      <i/>
      <sz val="10"/>
      <color theme="1"/>
      <name val="Tahoma"/>
      <family val="2"/>
    </font>
    <font>
      <sz val="12"/>
      <color rgb="FF000000"/>
      <name val="Arial"/>
      <family val="2"/>
    </font>
    <font>
      <b/>
      <sz val="12"/>
      <color theme="1"/>
      <name val="Arial"/>
      <family val="2"/>
    </font>
    <font>
      <sz val="12"/>
      <color rgb="FF0000FF"/>
      <name val="Arial"/>
      <family val="2"/>
    </font>
    <font>
      <sz val="12"/>
      <color theme="10"/>
      <name val="Arial"/>
      <family val="2"/>
    </font>
    <font>
      <b/>
      <sz val="16"/>
      <color theme="1"/>
      <name val="Arial"/>
      <family val="2"/>
    </font>
    <font>
      <sz val="11"/>
      <name val="Arial"/>
      <family val="2"/>
    </font>
    <font>
      <sz val="9"/>
      <color theme="0" tint="-4.9989318521683403E-2"/>
      <name val="Arial"/>
      <family val="2"/>
    </font>
    <font>
      <sz val="24"/>
      <color rgb="FF47CFFF"/>
      <name val="Berlin Sans FB Demi"/>
      <family val="2"/>
    </font>
    <font>
      <sz val="11"/>
      <color rgb="FF0000FF"/>
      <name val="Tahoma"/>
      <family val="2"/>
    </font>
    <font>
      <i/>
      <sz val="10"/>
      <color theme="1"/>
      <name val="Tahoma"/>
      <family val="2"/>
    </font>
    <font>
      <b/>
      <sz val="9"/>
      <color theme="3"/>
      <name val="Arial"/>
      <family val="2"/>
    </font>
    <font>
      <sz val="10"/>
      <color theme="0" tint="-0.14999847407452621"/>
      <name val="Calibri"/>
      <family val="2"/>
      <charset val="1"/>
      <scheme val="minor"/>
    </font>
    <font>
      <sz val="11"/>
      <color rgb="FFFF0000"/>
      <name val="Calibri"/>
      <family val="2"/>
      <charset val="1"/>
      <scheme val="minor"/>
    </font>
    <font>
      <b/>
      <sz val="11"/>
      <color theme="1"/>
      <name val="Calibri"/>
      <family val="2"/>
      <scheme val="minor"/>
    </font>
    <font>
      <b/>
      <sz val="11"/>
      <name val="Calibri"/>
      <family val="2"/>
      <scheme val="minor"/>
    </font>
    <font>
      <sz val="11"/>
      <name val="Calibri"/>
      <family val="2"/>
      <scheme val="minor"/>
    </font>
    <font>
      <b/>
      <sz val="14"/>
      <color theme="1"/>
      <name val="Calibri"/>
      <family val="2"/>
      <scheme val="minor"/>
    </font>
    <font>
      <b/>
      <sz val="11"/>
      <color theme="0"/>
      <name val="Calibri"/>
      <family val="2"/>
      <scheme val="minor"/>
    </font>
    <font>
      <sz val="10"/>
      <color rgb="FF1539EB"/>
      <name val="Tahoma"/>
      <family val="2"/>
    </font>
    <font>
      <sz val="11"/>
      <color rgb="FF1539EB"/>
      <name val="Calibri"/>
      <family val="2"/>
      <scheme val="minor"/>
    </font>
    <font>
      <b/>
      <sz val="12"/>
      <color theme="0"/>
      <name val="Tahoma"/>
      <family val="2"/>
    </font>
    <font>
      <b/>
      <sz val="11"/>
      <color theme="0"/>
      <name val="Arial"/>
      <family val="2"/>
    </font>
    <font>
      <sz val="11"/>
      <color rgb="FF000000"/>
      <name val="Tahoma"/>
      <family val="2"/>
    </font>
    <font>
      <b/>
      <sz val="9"/>
      <color rgb="FFFFFF00"/>
      <name val="Tahoma"/>
      <family val="2"/>
    </font>
    <font>
      <b/>
      <sz val="10"/>
      <color rgb="FFFFFF00"/>
      <name val="Tahoma"/>
      <family val="2"/>
    </font>
    <font>
      <b/>
      <sz val="10"/>
      <color rgb="FF1539EB"/>
      <name val="Tahoma"/>
      <family val="2"/>
    </font>
    <font>
      <b/>
      <sz val="8"/>
      <color theme="1" tint="0.14999847407452621"/>
      <name val="Arial"/>
      <family val="2"/>
    </font>
    <font>
      <b/>
      <sz val="12"/>
      <color rgb="FF2D2DFF"/>
      <name val="Arial"/>
      <family val="2"/>
    </font>
    <font>
      <sz val="11"/>
      <color theme="0"/>
      <name val="Arial"/>
      <family val="2"/>
    </font>
    <font>
      <b/>
      <sz val="12"/>
      <name val="Calibri"/>
      <family val="2"/>
      <scheme val="minor"/>
    </font>
    <font>
      <sz val="10"/>
      <color rgb="FFFFFF99"/>
      <name val="Calibri"/>
      <family val="2"/>
      <scheme val="minor"/>
    </font>
    <font>
      <b/>
      <sz val="12"/>
      <color indexed="8"/>
      <name val="Arial"/>
      <family val="2"/>
    </font>
    <font>
      <b/>
      <sz val="11"/>
      <name val="Arial"/>
      <family val="2"/>
    </font>
    <font>
      <b/>
      <i/>
      <sz val="9"/>
      <color theme="1"/>
      <name val="Arial"/>
      <family val="2"/>
    </font>
    <font>
      <b/>
      <sz val="9"/>
      <color indexed="9"/>
      <name val="Arial"/>
      <family val="2"/>
    </font>
    <font>
      <b/>
      <sz val="12"/>
      <color theme="1"/>
      <name val="Cambria"/>
      <family val="1"/>
      <scheme val="major"/>
    </font>
    <font>
      <sz val="11"/>
      <color theme="1"/>
      <name val="Cambria"/>
      <family val="1"/>
      <scheme val="major"/>
    </font>
    <font>
      <sz val="10"/>
      <color theme="1"/>
      <name val="Cambria"/>
      <family val="1"/>
      <scheme val="major"/>
    </font>
    <font>
      <sz val="9"/>
      <color theme="1"/>
      <name val="Cambria"/>
      <family val="1"/>
      <scheme val="major"/>
    </font>
    <font>
      <i/>
      <sz val="12"/>
      <color theme="1"/>
      <name val="Cambria"/>
      <family val="1"/>
      <scheme val="major"/>
    </font>
    <font>
      <i/>
      <sz val="10"/>
      <color theme="1"/>
      <name val="Cambria"/>
      <family val="1"/>
      <scheme val="major"/>
    </font>
    <font>
      <i/>
      <sz val="8"/>
      <color theme="0" tint="-0.14999847407452621"/>
      <name val="Arial"/>
      <family val="2"/>
    </font>
    <font>
      <sz val="8"/>
      <color theme="0" tint="-0.14999847407452621"/>
      <name val="Arial"/>
      <family val="2"/>
    </font>
    <font>
      <sz val="10"/>
      <color rgb="FFFFC000"/>
      <name val="Calibri"/>
      <family val="2"/>
      <scheme val="minor"/>
    </font>
    <font>
      <sz val="10"/>
      <color rgb="FFFFC000"/>
      <name val="Arial"/>
      <family val="2"/>
    </font>
    <font>
      <b/>
      <sz val="16"/>
      <color theme="1"/>
      <name val="Arial Narrow"/>
      <family val="2"/>
    </font>
    <font>
      <b/>
      <sz val="13"/>
      <color theme="1"/>
      <name val="Cambria"/>
      <family val="1"/>
      <scheme val="major"/>
    </font>
    <font>
      <b/>
      <sz val="14"/>
      <color rgb="FFFFC000"/>
      <name val="Arial"/>
      <family val="2"/>
    </font>
    <font>
      <sz val="14"/>
      <color rgb="FFFFFF00"/>
      <name val="Arial"/>
      <family val="2"/>
    </font>
    <font>
      <b/>
      <sz val="14"/>
      <color rgb="FFFFFF00"/>
      <name val="Arial"/>
      <family val="2"/>
    </font>
    <font>
      <sz val="18"/>
      <color rgb="FFFFFF00"/>
      <name val="Arial Black"/>
      <family val="2"/>
    </font>
    <font>
      <sz val="11"/>
      <color rgb="FFFFFF00"/>
      <name val="Arial"/>
      <family val="2"/>
    </font>
    <font>
      <b/>
      <sz val="8"/>
      <color rgb="FFFFC000"/>
      <name val="Arial"/>
      <family val="2"/>
    </font>
    <font>
      <b/>
      <sz val="18"/>
      <color theme="1"/>
      <name val="Calibri"/>
      <family val="2"/>
      <scheme val="minor"/>
    </font>
    <font>
      <sz val="9"/>
      <color theme="2" tint="-0.499984740745262"/>
      <name val="Tahoma"/>
      <family val="2"/>
    </font>
    <font>
      <sz val="9"/>
      <color rgb="FFFFFF00"/>
      <name val="Tahoma"/>
      <family val="2"/>
    </font>
    <font>
      <sz val="11"/>
      <color rgb="FF1539EB"/>
      <name val="Tahoma"/>
      <family val="2"/>
    </font>
    <font>
      <sz val="10"/>
      <color rgb="FF00B0F0"/>
      <name val="Tahoma"/>
      <family val="2"/>
    </font>
    <font>
      <i/>
      <sz val="8"/>
      <color theme="1"/>
      <name val="Calibri"/>
      <family val="2"/>
      <scheme val="minor"/>
    </font>
    <font>
      <b/>
      <sz val="12"/>
      <color rgb="FF00EA6A"/>
      <name val="Arial"/>
      <family val="2"/>
    </font>
    <font>
      <b/>
      <sz val="20"/>
      <name val="Arial"/>
      <family val="2"/>
    </font>
    <font>
      <b/>
      <sz val="18"/>
      <name val="Arial"/>
      <family val="2"/>
    </font>
    <font>
      <b/>
      <sz val="11"/>
      <color rgb="FF1539EB"/>
      <name val="Calibri"/>
      <family val="2"/>
      <scheme val="minor"/>
    </font>
    <font>
      <sz val="8"/>
      <color theme="1"/>
      <name val="Calibri"/>
      <family val="2"/>
      <charset val="1"/>
      <scheme val="minor"/>
    </font>
    <font>
      <b/>
      <sz val="12"/>
      <name val="Arial"/>
      <family val="2"/>
    </font>
    <font>
      <b/>
      <sz val="11"/>
      <color rgb="FFC00000"/>
      <name val="Calibri"/>
      <family val="2"/>
      <scheme val="minor"/>
    </font>
    <font>
      <b/>
      <sz val="10"/>
      <color theme="0"/>
      <name val="Calibri"/>
      <family val="2"/>
      <scheme val="minor"/>
    </font>
    <font>
      <b/>
      <sz val="12"/>
      <color theme="0"/>
      <name val="Calibri"/>
      <family val="2"/>
      <scheme val="minor"/>
    </font>
    <font>
      <sz val="10"/>
      <name val="Calibri"/>
      <family val="2"/>
      <scheme val="minor"/>
    </font>
    <font>
      <sz val="12"/>
      <color rgb="FF0000FF"/>
      <name val="Calibri"/>
      <family val="2"/>
      <charset val="1"/>
      <scheme val="minor"/>
    </font>
    <font>
      <sz val="11"/>
      <color rgb="FF0000FF"/>
      <name val="Calibri"/>
      <family val="2"/>
      <charset val="1"/>
      <scheme val="minor"/>
    </font>
    <font>
      <b/>
      <sz val="18"/>
      <color rgb="FF0000FF"/>
      <name val="Calibri"/>
      <family val="2"/>
      <scheme val="minor"/>
    </font>
    <font>
      <b/>
      <sz val="11"/>
      <name val="Calibri"/>
      <family val="2"/>
      <charset val="1"/>
      <scheme val="minor"/>
    </font>
    <font>
      <sz val="10"/>
      <color theme="1" tint="0.34998626667073579"/>
      <name val="Tahoma"/>
      <family val="2"/>
    </font>
    <font>
      <sz val="10"/>
      <color theme="0"/>
      <name val="Calibri"/>
      <family val="2"/>
      <charset val="1"/>
      <scheme val="minor"/>
    </font>
    <font>
      <sz val="9"/>
      <color rgb="FFFFFF00"/>
      <name val="Arial"/>
      <family val="2"/>
    </font>
    <font>
      <b/>
      <sz val="11"/>
      <color theme="1"/>
      <name val="Arial Narrow"/>
      <family val="2"/>
    </font>
    <font>
      <sz val="11"/>
      <color theme="1"/>
      <name val="Arial Narrow"/>
      <family val="2"/>
    </font>
    <font>
      <sz val="14"/>
      <color rgb="FF0000FF"/>
      <name val="Cambria"/>
      <family val="1"/>
      <scheme val="major"/>
    </font>
    <font>
      <sz val="12"/>
      <name val="Arial"/>
      <family val="2"/>
    </font>
    <font>
      <b/>
      <sz val="10"/>
      <name val="Calibri"/>
      <family val="2"/>
      <scheme val="minor"/>
    </font>
    <font>
      <i/>
      <sz val="11"/>
      <color theme="1"/>
      <name val="Calibri"/>
      <family val="2"/>
      <scheme val="minor"/>
    </font>
    <font>
      <sz val="8"/>
      <color theme="0" tint="-0.249977111117893"/>
      <name val="Arial"/>
      <family val="2"/>
    </font>
    <font>
      <i/>
      <sz val="9"/>
      <color theme="0" tint="-0.249977111117893"/>
      <name val="Arial"/>
      <family val="2"/>
    </font>
    <font>
      <b/>
      <sz val="14"/>
      <color indexed="8"/>
      <name val="Arial Narrow"/>
      <family val="2"/>
    </font>
    <font>
      <b/>
      <sz val="10"/>
      <color rgb="FFC00000"/>
      <name val="Calibri"/>
      <family val="2"/>
      <scheme val="minor"/>
    </font>
    <font>
      <b/>
      <sz val="9"/>
      <color theme="10"/>
      <name val="Arial"/>
      <family val="2"/>
    </font>
    <font>
      <b/>
      <sz val="11"/>
      <color theme="0"/>
      <name val="Arial Narrow"/>
      <family val="2"/>
    </font>
    <font>
      <b/>
      <sz val="10"/>
      <name val="Arial Narrow"/>
      <family val="2"/>
    </font>
    <font>
      <b/>
      <sz val="10"/>
      <color theme="0"/>
      <name val="Arial Narrow"/>
      <family val="2"/>
    </font>
    <font>
      <sz val="9"/>
      <color indexed="8"/>
      <name val="Arial"/>
      <family val="2"/>
    </font>
    <font>
      <b/>
      <sz val="9"/>
      <color indexed="8"/>
      <name val="Arial"/>
      <family val="2"/>
    </font>
    <font>
      <b/>
      <sz val="11"/>
      <color indexed="8"/>
      <name val="Arial"/>
      <family val="2"/>
    </font>
    <font>
      <b/>
      <sz val="12"/>
      <color theme="1"/>
      <name val="Arial Narrow"/>
      <family val="2"/>
    </font>
    <font>
      <sz val="10"/>
      <color indexed="9"/>
      <name val="Arial Black"/>
      <family val="2"/>
    </font>
    <font>
      <b/>
      <sz val="14"/>
      <color theme="0"/>
      <name val="Calibri"/>
      <family val="2"/>
      <scheme val="minor"/>
    </font>
    <font>
      <b/>
      <sz val="11"/>
      <color rgb="FFFFFF00"/>
      <name val="Calibri"/>
      <family val="2"/>
      <scheme val="minor"/>
    </font>
    <font>
      <sz val="10"/>
      <color theme="0"/>
      <name val="Arial Black"/>
      <family val="2"/>
    </font>
    <font>
      <sz val="10"/>
      <color theme="0"/>
      <name val="Arial"/>
      <family val="2"/>
    </font>
    <font>
      <b/>
      <sz val="12"/>
      <color theme="0"/>
      <name val="Arial"/>
      <family val="2"/>
    </font>
    <font>
      <b/>
      <sz val="14"/>
      <color rgb="FFFFFF66"/>
      <name val="Arial"/>
      <family val="2"/>
    </font>
    <font>
      <sz val="12"/>
      <color theme="0"/>
      <name val="Arial"/>
      <family val="2"/>
    </font>
    <font>
      <b/>
      <sz val="12"/>
      <color rgb="FF0000FF"/>
      <name val="Arial"/>
      <family val="2"/>
    </font>
    <font>
      <b/>
      <i/>
      <sz val="9"/>
      <name val="Arial"/>
      <family val="2"/>
    </font>
    <font>
      <b/>
      <sz val="20"/>
      <color rgb="FFFFFF00"/>
      <name val="Calibri"/>
      <family val="2"/>
      <scheme val="minor"/>
    </font>
    <font>
      <b/>
      <sz val="22"/>
      <color theme="1"/>
      <name val="Bookman Old Style"/>
      <family val="1"/>
    </font>
    <font>
      <b/>
      <sz val="12"/>
      <color rgb="FFFFFF00"/>
      <name val="Arial"/>
      <family val="2"/>
    </font>
    <font>
      <sz val="11"/>
      <color rgb="FFFFFF9B"/>
      <name val="Arial"/>
      <family val="2"/>
    </font>
    <font>
      <sz val="10"/>
      <color rgb="FFFFFF9B"/>
      <name val="Tahoma"/>
      <family val="2"/>
    </font>
    <font>
      <sz val="11"/>
      <color theme="0"/>
      <name val="Tahoma"/>
      <family val="2"/>
    </font>
    <font>
      <sz val="12"/>
      <color theme="10"/>
      <name val="Calibri"/>
      <family val="2"/>
      <charset val="1"/>
      <scheme val="minor"/>
    </font>
    <font>
      <b/>
      <sz val="20"/>
      <name val="Calibri"/>
      <family val="2"/>
      <scheme val="minor"/>
    </font>
    <font>
      <b/>
      <sz val="14"/>
      <color rgb="FFFFFF00"/>
      <name val="Calibri"/>
      <family val="2"/>
      <scheme val="minor"/>
    </font>
    <font>
      <sz val="22"/>
      <color rgb="FFFFFF00"/>
      <name val="Calibri"/>
      <family val="2"/>
      <charset val="1"/>
      <scheme val="minor"/>
    </font>
    <font>
      <i/>
      <sz val="14"/>
      <color theme="1"/>
      <name val="Calibri"/>
      <family val="2"/>
      <scheme val="minor"/>
    </font>
    <font>
      <sz val="11"/>
      <color rgb="FF0000FF"/>
      <name val="Calibri"/>
      <family val="2"/>
      <scheme val="minor"/>
    </font>
    <font>
      <b/>
      <sz val="9"/>
      <color theme="1" tint="0.34998626667073579"/>
      <name val="Arial"/>
      <family val="2"/>
    </font>
    <font>
      <b/>
      <sz val="14"/>
      <color theme="1"/>
      <name val="Arial Narrow"/>
      <family val="2"/>
    </font>
    <font>
      <sz val="10"/>
      <color rgb="FFFFC000"/>
      <name val="Tahoma"/>
      <family val="2"/>
    </font>
    <font>
      <b/>
      <sz val="10"/>
      <color rgb="FFFFC000"/>
      <name val="Tahoma"/>
      <family val="2"/>
    </font>
    <font>
      <b/>
      <sz val="9"/>
      <color rgb="FFFFC000"/>
      <name val="Tahoma"/>
      <family val="2"/>
    </font>
    <font>
      <sz val="11"/>
      <color rgb="FFFFC000"/>
      <name val="Tahoma"/>
      <family val="2"/>
    </font>
    <font>
      <sz val="8"/>
      <color rgb="FFFFC000"/>
      <name val="Tahoma"/>
      <family val="2"/>
    </font>
    <font>
      <sz val="9"/>
      <color rgb="FFFFC000"/>
      <name val="Tahoma"/>
      <family val="2"/>
    </font>
    <font>
      <b/>
      <sz val="8"/>
      <color rgb="FFFFC000"/>
      <name val="Tahoma"/>
      <family val="2"/>
    </font>
    <font>
      <b/>
      <sz val="9"/>
      <color rgb="FFFFC000"/>
      <name val="Arial Narrow"/>
      <family val="2"/>
    </font>
    <font>
      <i/>
      <sz val="8"/>
      <color rgb="FFFFC000"/>
      <name val="Tahoma"/>
      <family val="2"/>
    </font>
    <font>
      <i/>
      <sz val="9"/>
      <color rgb="FFFFC000"/>
      <name val="Tahoma"/>
      <family val="2"/>
    </font>
    <font>
      <sz val="10"/>
      <color indexed="8"/>
      <name val="Calibri"/>
      <family val="2"/>
    </font>
    <font>
      <sz val="11"/>
      <color rgb="FF000000"/>
      <name val="Calibri"/>
      <family val="2"/>
    </font>
    <font>
      <sz val="11"/>
      <name val="Calibri"/>
    </font>
    <font>
      <sz val="9"/>
      <color rgb="FF0000FF"/>
      <name val="Arial"/>
    </font>
    <font>
      <sz val="10"/>
      <color theme="1"/>
      <name val="Times New Roman"/>
      <family val="1"/>
    </font>
    <font>
      <vertAlign val="superscript"/>
      <sz val="10"/>
      <color theme="1"/>
      <name val="Times New Roman"/>
      <family val="1"/>
    </font>
    <font>
      <sz val="10"/>
      <color rgb="FF1539EB"/>
      <name val="Calibri"/>
      <family val="2"/>
      <charset val="1"/>
      <scheme val="minor"/>
    </font>
    <font>
      <sz val="11"/>
      <color rgb="FF1539EB"/>
      <name val="Calibri"/>
      <family val="2"/>
      <charset val="1"/>
      <scheme val="minor"/>
    </font>
    <font>
      <sz val="10"/>
      <color rgb="FF1539EB"/>
      <name val="Book Antiqua"/>
      <family val="1"/>
    </font>
    <font>
      <sz val="9"/>
      <color rgb="FF0000FF"/>
      <name val="Arial"/>
      <charset val="134"/>
    </font>
  </fonts>
  <fills count="56">
    <fill>
      <patternFill patternType="none"/>
    </fill>
    <fill>
      <patternFill patternType="gray125"/>
    </fill>
    <fill>
      <patternFill patternType="solid">
        <fgColor theme="0" tint="-0.14999847407452621"/>
        <bgColor indexed="64"/>
      </patternFill>
    </fill>
    <fill>
      <patternFill patternType="solid">
        <fgColor theme="1" tint="0.499984740745262"/>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0" tint="-0.34998626667073579"/>
        <bgColor indexed="64"/>
      </patternFill>
    </fill>
    <fill>
      <patternFill patternType="solid">
        <fgColor theme="9"/>
        <bgColor indexed="64"/>
      </patternFill>
    </fill>
    <fill>
      <patternFill patternType="solid">
        <fgColor theme="6" tint="0.39997558519241921"/>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C000"/>
        <bgColor indexed="64"/>
      </patternFill>
    </fill>
    <fill>
      <patternFill patternType="solid">
        <fgColor theme="2" tint="-9.9978637043366805E-2"/>
        <bgColor indexed="64"/>
      </patternFill>
    </fill>
    <fill>
      <patternFill patternType="solid">
        <fgColor rgb="FFFFFFCC"/>
        <bgColor indexed="64"/>
      </patternFill>
    </fill>
    <fill>
      <patternFill patternType="solid">
        <fgColor rgb="FF92D050"/>
        <bgColor indexed="64"/>
      </patternFill>
    </fill>
    <fill>
      <patternFill patternType="solid">
        <fgColor theme="0" tint="-0.499984740745262"/>
        <bgColor indexed="64"/>
      </patternFill>
    </fill>
    <fill>
      <patternFill patternType="solid">
        <fgColor theme="3" tint="-0.499984740745262"/>
        <bgColor indexed="64"/>
      </patternFill>
    </fill>
    <fill>
      <patternFill patternType="solid">
        <fgColor theme="0"/>
        <bgColor indexed="64"/>
      </patternFill>
    </fill>
    <fill>
      <patternFill patternType="solid">
        <fgColor theme="1" tint="0.249977111117893"/>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1"/>
        <bgColor indexed="64"/>
      </patternFill>
    </fill>
    <fill>
      <patternFill patternType="solid">
        <fgColor theme="5"/>
        <bgColor indexed="64"/>
      </patternFill>
    </fill>
    <fill>
      <patternFill patternType="solid">
        <fgColor rgb="FFF4F7ED"/>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47CFFF"/>
        <bgColor indexed="64"/>
      </patternFill>
    </fill>
    <fill>
      <patternFill patternType="solid">
        <fgColor rgb="FFC00000"/>
        <bgColor indexed="64"/>
      </patternFill>
    </fill>
    <fill>
      <patternFill patternType="solid">
        <fgColor rgb="FFFF0000"/>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3" tint="-0.249977111117893"/>
        <bgColor indexed="64"/>
      </patternFill>
    </fill>
    <fill>
      <patternFill patternType="solid">
        <fgColor rgb="FF8ED2FC"/>
        <bgColor indexed="64"/>
      </patternFill>
    </fill>
    <fill>
      <patternFill patternType="solid">
        <fgColor theme="9" tint="-0.249977111117893"/>
        <bgColor indexed="64"/>
      </patternFill>
    </fill>
    <fill>
      <patternFill patternType="solid">
        <fgColor rgb="FF002060"/>
        <bgColor indexed="64"/>
      </patternFill>
    </fill>
    <fill>
      <patternFill patternType="solid">
        <fgColor theme="6"/>
        <bgColor indexed="64"/>
      </patternFill>
    </fill>
    <fill>
      <patternFill patternType="solid">
        <fgColor rgb="FF1539EB"/>
        <bgColor indexed="64"/>
      </patternFill>
    </fill>
    <fill>
      <patternFill patternType="solid">
        <fgColor rgb="FF086C30"/>
        <bgColor indexed="64"/>
      </patternFill>
    </fill>
    <fill>
      <patternFill patternType="solid">
        <fgColor rgb="FFFFD653"/>
        <bgColor indexed="64"/>
      </patternFill>
    </fill>
    <fill>
      <patternFill patternType="solid">
        <fgColor theme="4" tint="-0.249977111117893"/>
        <bgColor indexed="64"/>
      </patternFill>
    </fill>
    <fill>
      <patternFill patternType="solid">
        <fgColor theme="9" tint="0.39997558519241921"/>
        <bgColor indexed="64"/>
      </patternFill>
    </fill>
    <fill>
      <patternFill patternType="solid">
        <fgColor theme="2" tint="-0.74999237037263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66"/>
        <bgColor indexed="64"/>
      </patternFill>
    </fill>
    <fill>
      <patternFill patternType="solid">
        <fgColor rgb="FFFFFF9B"/>
        <bgColor indexed="64"/>
      </patternFill>
    </fill>
    <fill>
      <patternFill patternType="solid">
        <fgColor rgb="FFFFFF99"/>
        <bgColor indexed="64"/>
      </patternFill>
    </fill>
    <fill>
      <patternFill patternType="solid">
        <fgColor rgb="FFFF9933"/>
        <bgColor indexed="64"/>
      </patternFill>
    </fill>
  </fills>
  <borders count="25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auto="1"/>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bottom style="medium">
        <color indexed="64"/>
      </bottom>
      <diagonal/>
    </border>
    <border>
      <left/>
      <right/>
      <top/>
      <bottom style="thin">
        <color indexed="64"/>
      </bottom>
      <diagonal/>
    </border>
    <border>
      <left style="medium">
        <color indexed="64"/>
      </left>
      <right style="thin">
        <color indexed="64"/>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style="medium">
        <color indexed="64"/>
      </right>
      <top/>
      <bottom/>
      <diagonal/>
    </border>
    <border>
      <left/>
      <right style="thin">
        <color auto="1"/>
      </right>
      <top/>
      <bottom/>
      <diagonal/>
    </border>
    <border>
      <left style="thin">
        <color auto="1"/>
      </left>
      <right/>
      <top/>
      <bottom/>
      <diagonal/>
    </border>
    <border>
      <left style="medium">
        <color indexed="64"/>
      </left>
      <right style="thin">
        <color indexed="64"/>
      </right>
      <top style="thin">
        <color theme="0" tint="-0.499984740745262"/>
      </top>
      <bottom style="thin">
        <color theme="0" tint="-0.499984740745262"/>
      </bottom>
      <diagonal/>
    </border>
    <border>
      <left style="thin">
        <color auto="1"/>
      </left>
      <right style="thin">
        <color auto="1"/>
      </right>
      <top style="thin">
        <color theme="0" tint="-0.499984740745262"/>
      </top>
      <bottom style="thin">
        <color theme="0" tint="-0.499984740745262"/>
      </bottom>
      <diagonal/>
    </border>
    <border>
      <left style="thin">
        <color indexed="64"/>
      </left>
      <right style="medium">
        <color indexed="64"/>
      </right>
      <top style="thin">
        <color theme="0" tint="-0.499984740745262"/>
      </top>
      <bottom style="thin">
        <color theme="0" tint="-0.499984740745262"/>
      </bottom>
      <diagonal/>
    </border>
    <border>
      <left/>
      <right style="thin">
        <color auto="1"/>
      </right>
      <top style="thin">
        <color theme="0" tint="-0.499984740745262"/>
      </top>
      <bottom style="thin">
        <color theme="0" tint="-0.499984740745262"/>
      </bottom>
      <diagonal/>
    </border>
    <border>
      <left style="thin">
        <color auto="1"/>
      </left>
      <right/>
      <top style="thin">
        <color theme="0" tint="-0.499984740745262"/>
      </top>
      <bottom style="thin">
        <color theme="0" tint="-0.499984740745262"/>
      </bottom>
      <diagonal/>
    </border>
    <border>
      <left style="medium">
        <color indexed="64"/>
      </left>
      <right style="medium">
        <color indexed="64"/>
      </right>
      <top style="thin">
        <color theme="0" tint="-0.499984740745262"/>
      </top>
      <bottom style="thin">
        <color theme="0" tint="-0.499984740745262"/>
      </bottom>
      <diagonal/>
    </border>
    <border>
      <left style="thin">
        <color auto="1"/>
      </left>
      <right style="thin">
        <color auto="1"/>
      </right>
      <top style="thin">
        <color theme="0" tint="-0.499984740745262"/>
      </top>
      <bottom style="thin">
        <color auto="1"/>
      </bottom>
      <diagonal/>
    </border>
    <border>
      <left style="thin">
        <color auto="1"/>
      </left>
      <right/>
      <top style="thin">
        <color theme="0" tint="-0.499984740745262"/>
      </top>
      <bottom style="thin">
        <color auto="1"/>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right/>
      <top/>
      <bottom style="thin">
        <color theme="0" tint="-0.499984740745262"/>
      </bottom>
      <diagonal/>
    </border>
    <border>
      <left style="thin">
        <color auto="1"/>
      </left>
      <right style="thin">
        <color auto="1"/>
      </right>
      <top/>
      <bottom style="thin">
        <color theme="0" tint="-0.499984740745262"/>
      </bottom>
      <diagonal/>
    </border>
    <border>
      <left/>
      <right style="thin">
        <color indexed="64"/>
      </right>
      <top style="thin">
        <color indexed="64"/>
      </top>
      <bottom/>
      <diagonal/>
    </border>
    <border>
      <left/>
      <right style="thin">
        <color indexed="64"/>
      </right>
      <top/>
      <bottom style="medium">
        <color indexed="64"/>
      </bottom>
      <diagonal/>
    </border>
    <border>
      <left style="medium">
        <color indexed="64"/>
      </left>
      <right style="medium">
        <color indexed="64"/>
      </right>
      <top/>
      <bottom style="medium">
        <color indexed="64"/>
      </bottom>
      <diagonal/>
    </border>
    <border>
      <left/>
      <right/>
      <top style="thin">
        <color theme="0" tint="-0.499984740745262"/>
      </top>
      <bottom style="thin">
        <color theme="0" tint="-0.499984740745262"/>
      </bottom>
      <diagonal/>
    </border>
    <border>
      <left style="thin">
        <color auto="1"/>
      </left>
      <right/>
      <top/>
      <bottom style="thin">
        <color theme="0" tint="-0.499984740745262"/>
      </bottom>
      <diagonal/>
    </border>
    <border>
      <left/>
      <right style="thin">
        <color auto="1"/>
      </right>
      <top/>
      <bottom style="thin">
        <color theme="0" tint="-0.499984740745262"/>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top style="hair">
        <color auto="1"/>
      </top>
      <bottom/>
      <diagonal/>
    </border>
    <border>
      <left style="medium">
        <color indexed="64"/>
      </left>
      <right style="thin">
        <color indexed="64"/>
      </right>
      <top/>
      <bottom style="thin">
        <color theme="0" tint="-0.499984740745262"/>
      </bottom>
      <diagonal/>
    </border>
    <border>
      <left style="thin">
        <color indexed="64"/>
      </left>
      <right/>
      <top style="thin">
        <color indexed="64"/>
      </top>
      <bottom/>
      <diagonal/>
    </border>
    <border>
      <left/>
      <right/>
      <top style="thin">
        <color indexed="64"/>
      </top>
      <bottom/>
      <diagonal/>
    </border>
    <border>
      <left/>
      <right/>
      <top style="thin">
        <color indexed="64"/>
      </top>
      <bottom style="medium">
        <color indexed="64"/>
      </bottom>
      <diagonal/>
    </border>
    <border>
      <left style="double">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auto="1"/>
      </left>
      <right style="medium">
        <color indexed="64"/>
      </right>
      <top/>
      <bottom style="thin">
        <color theme="0" tint="-0.499984740745262"/>
      </bottom>
      <diagonal/>
    </border>
    <border>
      <left style="double">
        <color indexed="64"/>
      </left>
      <right style="thin">
        <color indexed="64"/>
      </right>
      <top/>
      <bottom style="thin">
        <color theme="0" tint="-0.499984740745262"/>
      </bottom>
      <diagonal/>
    </border>
    <border>
      <left style="thin">
        <color indexed="64"/>
      </left>
      <right style="double">
        <color indexed="64"/>
      </right>
      <top/>
      <bottom style="thin">
        <color theme="0" tint="-0.499984740745262"/>
      </bottom>
      <diagonal/>
    </border>
    <border>
      <left style="double">
        <color indexed="64"/>
      </left>
      <right style="thin">
        <color indexed="64"/>
      </right>
      <top style="thin">
        <color theme="0" tint="-0.499984740745262"/>
      </top>
      <bottom style="thin">
        <color theme="0" tint="-0.499984740745262"/>
      </bottom>
      <diagonal/>
    </border>
    <border>
      <left style="thin">
        <color indexed="64"/>
      </left>
      <right style="double">
        <color indexed="64"/>
      </right>
      <top style="thin">
        <color theme="0" tint="-0.499984740745262"/>
      </top>
      <bottom style="thin">
        <color theme="0" tint="-0.499984740745262"/>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medium">
        <color indexed="64"/>
      </top>
      <bottom style="thin">
        <color indexed="64"/>
      </bottom>
      <diagonal/>
    </border>
    <border>
      <left style="thin">
        <color theme="5"/>
      </left>
      <right style="thin">
        <color theme="5"/>
      </right>
      <top style="thin">
        <color theme="5"/>
      </top>
      <bottom style="thin">
        <color theme="5"/>
      </bottom>
      <diagonal/>
    </border>
    <border>
      <left style="medium">
        <color indexed="64"/>
      </left>
      <right style="medium">
        <color indexed="64"/>
      </right>
      <top/>
      <bottom style="thin">
        <color theme="0" tint="-0.499984740745262"/>
      </bottom>
      <diagonal/>
    </border>
    <border>
      <left style="thin">
        <color theme="0" tint="-4.9989318521683403E-2"/>
      </left>
      <right style="thin">
        <color theme="0" tint="-4.9989318521683403E-2"/>
      </right>
      <top/>
      <bottom/>
      <diagonal/>
    </border>
    <border>
      <left style="medium">
        <color indexed="64"/>
      </left>
      <right/>
      <top/>
      <bottom/>
      <diagonal/>
    </border>
    <border>
      <left style="medium">
        <color indexed="64"/>
      </left>
      <right/>
      <top/>
      <bottom style="thin">
        <color indexed="64"/>
      </bottom>
      <diagonal/>
    </border>
    <border>
      <left style="thin">
        <color rgb="FFFFC000"/>
      </left>
      <right style="thin">
        <color rgb="FFFFC000"/>
      </right>
      <top style="thin">
        <color rgb="FFFFC000"/>
      </top>
      <bottom style="thin">
        <color rgb="FFFFC000"/>
      </bottom>
      <diagonal/>
    </border>
    <border>
      <left style="double">
        <color indexed="64"/>
      </left>
      <right/>
      <top style="medium">
        <color indexed="64"/>
      </top>
      <bottom style="thin">
        <color indexed="64"/>
      </bottom>
      <diagonal/>
    </border>
    <border>
      <left style="thin">
        <color theme="4" tint="-0.24994659260841701"/>
      </left>
      <right/>
      <top/>
      <bottom style="medium">
        <color indexed="64"/>
      </bottom>
      <diagonal/>
    </border>
    <border>
      <left style="medium">
        <color indexed="64"/>
      </left>
      <right/>
      <top style="thin">
        <color indexed="64"/>
      </top>
      <bottom style="medium">
        <color indexed="64"/>
      </bottom>
      <diagonal/>
    </border>
    <border>
      <left style="thin">
        <color theme="2" tint="-0.749961851863155"/>
      </left>
      <right style="thin">
        <color theme="2" tint="-0.749961851863155"/>
      </right>
      <top style="thin">
        <color theme="2" tint="-0.749961851863155"/>
      </top>
      <bottom style="thin">
        <color theme="2" tint="-0.749961851863155"/>
      </bottom>
      <diagonal/>
    </border>
    <border>
      <left style="thin">
        <color theme="2" tint="-0.749961851863155"/>
      </left>
      <right style="thin">
        <color theme="2" tint="-0.749961851863155"/>
      </right>
      <top/>
      <bottom style="thin">
        <color theme="2" tint="-0.749961851863155"/>
      </bottom>
      <diagonal/>
    </border>
    <border>
      <left/>
      <right style="medium">
        <color indexed="64"/>
      </right>
      <top style="medium">
        <color indexed="64"/>
      </top>
      <bottom/>
      <diagonal/>
    </border>
    <border>
      <left/>
      <right/>
      <top/>
      <bottom style="hair">
        <color indexed="64"/>
      </bottom>
      <diagonal/>
    </border>
    <border>
      <left style="thin">
        <color indexed="64"/>
      </left>
      <right style="thin">
        <color indexed="64"/>
      </right>
      <top style="medium">
        <color indexed="64"/>
      </top>
      <bottom/>
      <diagonal/>
    </border>
    <border>
      <left/>
      <right style="double">
        <color indexed="64"/>
      </right>
      <top style="medium">
        <color indexed="64"/>
      </top>
      <bottom style="thin">
        <color indexed="64"/>
      </bottom>
      <diagonal/>
    </border>
    <border>
      <left style="double">
        <color indexed="64"/>
      </left>
      <right style="thin">
        <color theme="8" tint="-0.24994659260841701"/>
      </right>
      <top style="medium">
        <color indexed="64"/>
      </top>
      <bottom style="thin">
        <color theme="8" tint="-0.24994659260841701"/>
      </bottom>
      <diagonal/>
    </border>
    <border>
      <left style="thin">
        <color theme="8" tint="-0.24994659260841701"/>
      </left>
      <right style="thin">
        <color theme="8" tint="-0.24994659260841701"/>
      </right>
      <top style="medium">
        <color indexed="64"/>
      </top>
      <bottom style="thin">
        <color theme="8" tint="-0.24994659260841701"/>
      </bottom>
      <diagonal/>
    </border>
    <border>
      <left style="thin">
        <color theme="8" tint="-0.24994659260841701"/>
      </left>
      <right style="medium">
        <color indexed="64"/>
      </right>
      <top style="medium">
        <color indexed="64"/>
      </top>
      <bottom style="thin">
        <color theme="8" tint="-0.24994659260841701"/>
      </bottom>
      <diagonal/>
    </border>
    <border>
      <left style="double">
        <color indexed="64"/>
      </left>
      <right style="thin">
        <color theme="8" tint="-0.24994659260841701"/>
      </right>
      <top style="thin">
        <color theme="8" tint="-0.24994659260841701"/>
      </top>
      <bottom style="medium">
        <color indexed="64"/>
      </bottom>
      <diagonal/>
    </border>
    <border>
      <left style="thin">
        <color theme="8" tint="-0.24994659260841701"/>
      </left>
      <right style="thin">
        <color theme="8" tint="-0.24994659260841701"/>
      </right>
      <top style="thin">
        <color theme="8" tint="-0.24994659260841701"/>
      </top>
      <bottom style="medium">
        <color indexed="64"/>
      </bottom>
      <diagonal/>
    </border>
    <border>
      <left style="thin">
        <color theme="8" tint="-0.24994659260841701"/>
      </left>
      <right style="medium">
        <color indexed="64"/>
      </right>
      <top style="thin">
        <color theme="8" tint="-0.24994659260841701"/>
      </top>
      <bottom style="medium">
        <color indexed="64"/>
      </bottom>
      <diagonal/>
    </border>
    <border>
      <left style="medium">
        <color indexed="64"/>
      </left>
      <right style="thin">
        <color theme="8" tint="-0.24994659260841701"/>
      </right>
      <top style="medium">
        <color indexed="64"/>
      </top>
      <bottom style="thin">
        <color theme="8" tint="-0.24994659260841701"/>
      </bottom>
      <diagonal/>
    </border>
    <border>
      <left style="medium">
        <color indexed="64"/>
      </left>
      <right style="thin">
        <color theme="8" tint="-0.24994659260841701"/>
      </right>
      <top style="thin">
        <color theme="8" tint="-0.24994659260841701"/>
      </top>
      <bottom style="medium">
        <color indexed="64"/>
      </bottom>
      <diagonal/>
    </border>
    <border>
      <left style="double">
        <color indexed="64"/>
      </left>
      <right style="thin">
        <color theme="2" tint="-0.749961851863155"/>
      </right>
      <top style="medium">
        <color indexed="64"/>
      </top>
      <bottom/>
      <diagonal/>
    </border>
    <border>
      <left style="thin">
        <color theme="2" tint="-0.749961851863155"/>
      </left>
      <right style="thin">
        <color theme="2" tint="-0.749961851863155"/>
      </right>
      <top style="medium">
        <color indexed="64"/>
      </top>
      <bottom/>
      <diagonal/>
    </border>
    <border>
      <left style="thin">
        <color theme="2" tint="-0.749961851863155"/>
      </left>
      <right style="medium">
        <color indexed="64"/>
      </right>
      <top style="medium">
        <color indexed="64"/>
      </top>
      <bottom/>
      <diagonal/>
    </border>
    <border>
      <left style="double">
        <color indexed="64"/>
      </left>
      <right style="thin">
        <color theme="2" tint="-0.749961851863155"/>
      </right>
      <top style="thin">
        <color theme="0" tint="-0.499984740745262"/>
      </top>
      <bottom style="thin">
        <color theme="0" tint="-0.499984740745262"/>
      </bottom>
      <diagonal/>
    </border>
    <border>
      <left style="thin">
        <color theme="2" tint="-0.749961851863155"/>
      </left>
      <right style="thin">
        <color theme="2" tint="-0.749961851863155"/>
      </right>
      <top style="thin">
        <color theme="0" tint="-0.499984740745262"/>
      </top>
      <bottom style="thin">
        <color theme="0" tint="-0.499984740745262"/>
      </bottom>
      <diagonal/>
    </border>
    <border>
      <left style="thin">
        <color theme="2" tint="-0.749961851863155"/>
      </left>
      <right style="medium">
        <color indexed="64"/>
      </right>
      <top style="thin">
        <color theme="0" tint="-0.499984740745262"/>
      </top>
      <bottom style="thin">
        <color theme="0" tint="-0.499984740745262"/>
      </bottom>
      <diagonal/>
    </border>
    <border>
      <left style="double">
        <color indexed="64"/>
      </left>
      <right style="thin">
        <color theme="2" tint="-0.749961851863155"/>
      </right>
      <top/>
      <bottom style="medium">
        <color indexed="64"/>
      </bottom>
      <diagonal/>
    </border>
    <border>
      <left style="thin">
        <color theme="2" tint="-0.749961851863155"/>
      </left>
      <right style="thin">
        <color theme="2" tint="-0.749961851863155"/>
      </right>
      <top/>
      <bottom style="medium">
        <color indexed="64"/>
      </bottom>
      <diagonal/>
    </border>
    <border>
      <left style="thin">
        <color theme="2" tint="-0.749961851863155"/>
      </left>
      <right style="medium">
        <color indexed="64"/>
      </right>
      <top/>
      <bottom style="medium">
        <color indexed="64"/>
      </bottom>
      <diagonal/>
    </border>
    <border>
      <left style="medium">
        <color indexed="64"/>
      </left>
      <right style="thin">
        <color theme="2" tint="-0.749961851863155"/>
      </right>
      <top style="medium">
        <color indexed="64"/>
      </top>
      <bottom/>
      <diagonal/>
    </border>
    <border>
      <left style="medium">
        <color indexed="64"/>
      </left>
      <right style="thin">
        <color theme="2" tint="-0.749961851863155"/>
      </right>
      <top style="thin">
        <color theme="0" tint="-0.499984740745262"/>
      </top>
      <bottom style="thin">
        <color theme="0" tint="-0.499984740745262"/>
      </bottom>
      <diagonal/>
    </border>
    <border>
      <left style="medium">
        <color indexed="64"/>
      </left>
      <right style="thin">
        <color theme="2" tint="-0.749961851863155"/>
      </right>
      <top/>
      <bottom style="medium">
        <color indexed="64"/>
      </bottom>
      <diagonal/>
    </border>
    <border>
      <left style="medium">
        <color indexed="64"/>
      </left>
      <right/>
      <top style="thin">
        <color indexed="64"/>
      </top>
      <bottom/>
      <diagonal/>
    </border>
    <border>
      <left style="medium">
        <color indexed="64"/>
      </left>
      <right style="medium">
        <color indexed="64"/>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8" tint="0.79998168889431442"/>
      </bottom>
      <diagonal/>
    </border>
    <border>
      <left/>
      <right/>
      <top style="thin">
        <color theme="8" tint="0.79998168889431442"/>
      </top>
      <bottom style="thin">
        <color theme="8" tint="0.79998168889431442"/>
      </bottom>
      <diagonal/>
    </border>
    <border>
      <left style="medium">
        <color indexed="64"/>
      </left>
      <right style="medium">
        <color indexed="64"/>
      </right>
      <top style="medium">
        <color indexed="64"/>
      </top>
      <bottom style="thin">
        <color indexed="64"/>
      </bottom>
      <diagonal/>
    </border>
    <border>
      <left style="thin">
        <color auto="1"/>
      </left>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diagonal/>
    </border>
    <border>
      <left style="thin">
        <color auto="1"/>
      </left>
      <right style="thin">
        <color theme="1" tint="0.499984740745262"/>
      </right>
      <top style="thin">
        <color auto="1"/>
      </top>
      <bottom style="thin">
        <color theme="1" tint="0.499984740745262"/>
      </bottom>
      <diagonal/>
    </border>
    <border>
      <left style="thin">
        <color theme="1" tint="0.499984740745262"/>
      </left>
      <right style="thin">
        <color auto="1"/>
      </right>
      <top style="thin">
        <color auto="1"/>
      </top>
      <bottom style="thin">
        <color theme="1" tint="0.499984740745262"/>
      </bottom>
      <diagonal/>
    </border>
    <border>
      <left style="thin">
        <color auto="1"/>
      </left>
      <right style="thin">
        <color theme="1" tint="0.499984740745262"/>
      </right>
      <top style="thin">
        <color theme="1" tint="0.499984740745262"/>
      </top>
      <bottom style="thin">
        <color theme="1" tint="0.499984740745262"/>
      </bottom>
      <diagonal/>
    </border>
    <border>
      <left style="thin">
        <color theme="1" tint="0.499984740745262"/>
      </left>
      <right style="thin">
        <color auto="1"/>
      </right>
      <top style="thin">
        <color theme="1" tint="0.499984740745262"/>
      </top>
      <bottom style="thin">
        <color theme="1" tint="0.499984740745262"/>
      </bottom>
      <diagonal/>
    </border>
    <border>
      <left style="thin">
        <color auto="1"/>
      </left>
      <right style="thin">
        <color theme="1" tint="0.499984740745262"/>
      </right>
      <top style="thin">
        <color theme="1" tint="0.499984740745262"/>
      </top>
      <bottom style="thin">
        <color auto="1"/>
      </bottom>
      <diagonal/>
    </border>
    <border>
      <left style="thin">
        <color theme="1" tint="0.499984740745262"/>
      </left>
      <right style="thin">
        <color auto="1"/>
      </right>
      <top style="thin">
        <color theme="1" tint="0.499984740745262"/>
      </top>
      <bottom style="thin">
        <color auto="1"/>
      </bottom>
      <diagonal/>
    </border>
    <border>
      <left/>
      <right style="medium">
        <color indexed="64"/>
      </right>
      <top/>
      <bottom style="medium">
        <color indexed="64"/>
      </bottom>
      <diagonal/>
    </border>
    <border>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auto="1"/>
      </right>
      <top style="medium">
        <color indexed="64"/>
      </top>
      <bottom/>
      <diagonal/>
    </border>
    <border>
      <left/>
      <right style="medium">
        <color indexed="64"/>
      </right>
      <top/>
      <bottom style="thin">
        <color theme="0" tint="-0.499984740745262"/>
      </bottom>
      <diagonal/>
    </border>
    <border>
      <left/>
      <right/>
      <top style="thin">
        <color theme="9"/>
      </top>
      <bottom/>
      <diagonal/>
    </border>
    <border>
      <left/>
      <right/>
      <top/>
      <bottom style="thin">
        <color theme="9"/>
      </bottom>
      <diagonal/>
    </border>
    <border>
      <left style="thin">
        <color rgb="FF0066FF"/>
      </left>
      <right style="thin">
        <color rgb="FF0066FF"/>
      </right>
      <top style="thin">
        <color rgb="FF0066FF"/>
      </top>
      <bottom style="thin">
        <color rgb="FF0066FF"/>
      </bottom>
      <diagonal/>
    </border>
    <border>
      <left style="medium">
        <color indexed="64"/>
      </left>
      <right style="thin">
        <color indexed="64"/>
      </right>
      <top style="thin">
        <color theme="0" tint="-0.499984740745262"/>
      </top>
      <bottom/>
      <diagonal/>
    </border>
    <border>
      <left style="thin">
        <color auto="1"/>
      </left>
      <right style="thin">
        <color auto="1"/>
      </right>
      <top style="thin">
        <color theme="0" tint="-0.499984740745262"/>
      </top>
      <bottom/>
      <diagonal/>
    </border>
    <border>
      <left style="thin">
        <color indexed="64"/>
      </left>
      <right style="medium">
        <color indexed="64"/>
      </right>
      <top style="thin">
        <color theme="0" tint="-0.499984740745262"/>
      </top>
      <bottom/>
      <diagonal/>
    </border>
    <border>
      <left style="medium">
        <color indexed="64"/>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medium">
        <color indexed="64"/>
      </right>
      <top style="thin">
        <color theme="0" tint="-0.34998626667073579"/>
      </top>
      <bottom style="thin">
        <color theme="0" tint="-0.34998626667073579"/>
      </bottom>
      <diagonal/>
    </border>
    <border>
      <left/>
      <right style="medium">
        <color indexed="64"/>
      </right>
      <top/>
      <bottom style="thin">
        <color indexed="64"/>
      </bottom>
      <diagonal/>
    </border>
    <border>
      <left/>
      <right style="thin">
        <color indexed="64"/>
      </right>
      <top style="medium">
        <color indexed="64"/>
      </top>
      <bottom style="thin">
        <color indexed="64"/>
      </bottom>
      <diagonal/>
    </border>
    <border>
      <left style="thin">
        <color theme="0" tint="-0.499984740745262"/>
      </left>
      <right/>
      <top style="thin">
        <color indexed="64"/>
      </top>
      <bottom style="thin">
        <color theme="0" tint="-0.34998626667073579"/>
      </bottom>
      <diagonal/>
    </border>
    <border>
      <left/>
      <right/>
      <top style="thin">
        <color indexed="64"/>
      </top>
      <bottom style="thin">
        <color theme="0" tint="-0.34998626667073579"/>
      </bottom>
      <diagonal/>
    </border>
    <border>
      <left style="thin">
        <color theme="0" tint="-0.499984740745262"/>
      </left>
      <right/>
      <top style="thin">
        <color theme="0" tint="-0.34998626667073579"/>
      </top>
      <bottom style="thin">
        <color theme="0" tint="-0.34998626667073579"/>
      </bottom>
      <diagonal/>
    </border>
    <border>
      <left style="thin">
        <color theme="0" tint="-0.499984740745262"/>
      </left>
      <right/>
      <top style="thin">
        <color theme="0" tint="-0.34998626667073579"/>
      </top>
      <bottom style="thin">
        <color indexed="64"/>
      </bottom>
      <diagonal/>
    </border>
    <border>
      <left/>
      <right/>
      <top style="thin">
        <color theme="0" tint="-0.34998626667073579"/>
      </top>
      <bottom style="thin">
        <color indexed="64"/>
      </bottom>
      <diagonal/>
    </border>
    <border>
      <left style="thin">
        <color indexed="64"/>
      </left>
      <right/>
      <top style="thin">
        <color indexed="64"/>
      </top>
      <bottom style="thin">
        <color theme="0" tint="-0.34998626667073579"/>
      </bottom>
      <diagonal/>
    </border>
    <border>
      <left/>
      <right style="medium">
        <color indexed="64"/>
      </right>
      <top style="thin">
        <color indexed="64"/>
      </top>
      <bottom style="thin">
        <color theme="0" tint="-0.34998626667073579"/>
      </bottom>
      <diagonal/>
    </border>
    <border>
      <left style="thin">
        <color indexed="64"/>
      </left>
      <right/>
      <top style="thin">
        <color theme="0" tint="-0.34998626667073579"/>
      </top>
      <bottom style="thin">
        <color theme="0" tint="-0.34998626667073579"/>
      </bottom>
      <diagonal/>
    </border>
    <border>
      <left style="thin">
        <color indexed="64"/>
      </left>
      <right/>
      <top style="thin">
        <color theme="0" tint="-0.34998626667073579"/>
      </top>
      <bottom style="thin">
        <color indexed="64"/>
      </bottom>
      <diagonal/>
    </border>
    <border>
      <left/>
      <right style="medium">
        <color indexed="64"/>
      </right>
      <top style="thin">
        <color theme="0" tint="-0.34998626667073579"/>
      </top>
      <bottom style="thin">
        <color indexed="64"/>
      </bottom>
      <diagonal/>
    </border>
    <border>
      <left style="thin">
        <color theme="0" tint="-0.499984740745262"/>
      </left>
      <right/>
      <top/>
      <bottom/>
      <diagonal/>
    </border>
    <border>
      <left style="thin">
        <color theme="1" tint="0.499984740745262"/>
      </left>
      <right/>
      <top style="thin">
        <color indexed="64"/>
      </top>
      <bottom/>
      <diagonal/>
    </border>
    <border>
      <left style="thin">
        <color theme="0" tint="-0.499984740745262"/>
      </left>
      <right/>
      <top style="thin">
        <color indexed="64"/>
      </top>
      <bottom/>
      <diagonal/>
    </border>
    <border>
      <left/>
      <right/>
      <top style="thin">
        <color rgb="FFFF0000"/>
      </top>
      <bottom/>
      <diagonal/>
    </border>
    <border>
      <left/>
      <right/>
      <top/>
      <bottom style="thin">
        <color rgb="FFFF0000"/>
      </bottom>
      <diagonal/>
    </border>
    <border>
      <left style="thin">
        <color indexed="64"/>
      </left>
      <right/>
      <top style="thin">
        <color rgb="FFFF0000"/>
      </top>
      <bottom/>
      <diagonal/>
    </border>
    <border>
      <left style="thin">
        <color indexed="64"/>
      </left>
      <right/>
      <top/>
      <bottom style="thin">
        <color rgb="FFFF0000"/>
      </bottom>
      <diagonal/>
    </border>
    <border>
      <left/>
      <right style="thin">
        <color indexed="64"/>
      </right>
      <top style="thin">
        <color rgb="FFFF0000"/>
      </top>
      <bottom/>
      <diagonal/>
    </border>
    <border>
      <left/>
      <right style="thin">
        <color indexed="64"/>
      </right>
      <top/>
      <bottom style="thin">
        <color rgb="FFFF0000"/>
      </bottom>
      <diagonal/>
    </border>
    <border>
      <left style="thin">
        <color rgb="FFFFC000"/>
      </left>
      <right/>
      <top/>
      <bottom style="thin">
        <color indexed="64"/>
      </bottom>
      <diagonal/>
    </border>
    <border>
      <left style="thin">
        <color rgb="FFFFC000"/>
      </left>
      <right/>
      <top/>
      <bottom/>
      <diagonal/>
    </border>
    <border>
      <left style="medium">
        <color indexed="64"/>
      </left>
      <right/>
      <top style="thin">
        <color indexed="64"/>
      </top>
      <bottom style="thin">
        <color theme="0" tint="-0.34998626667073579"/>
      </bottom>
      <diagonal/>
    </border>
    <border>
      <left/>
      <right style="thin">
        <color theme="0" tint="-0.499984740745262"/>
      </right>
      <top style="thin">
        <color indexed="64"/>
      </top>
      <bottom style="thin">
        <color theme="0" tint="-0.34998626667073579"/>
      </bottom>
      <diagonal/>
    </border>
    <border>
      <left/>
      <right style="thin">
        <color theme="0" tint="-0.499984740745262"/>
      </right>
      <top style="thin">
        <color theme="0" tint="-0.34998626667073579"/>
      </top>
      <bottom style="thin">
        <color theme="0" tint="-0.34998626667073579"/>
      </bottom>
      <diagonal/>
    </border>
    <border>
      <left style="medium">
        <color indexed="64"/>
      </left>
      <right/>
      <top style="thin">
        <color theme="0" tint="-0.34998626667073579"/>
      </top>
      <bottom style="thin">
        <color indexed="64"/>
      </bottom>
      <diagonal/>
    </border>
    <border>
      <left/>
      <right style="thin">
        <color theme="0" tint="-0.499984740745262"/>
      </right>
      <top style="thin">
        <color theme="0" tint="-0.34998626667073579"/>
      </top>
      <bottom style="thin">
        <color indexed="64"/>
      </bottom>
      <diagonal/>
    </border>
    <border>
      <left/>
      <right/>
      <top style="thin">
        <color rgb="FF8ED2FC"/>
      </top>
      <bottom style="thin">
        <color rgb="FF8ED2FC"/>
      </bottom>
      <diagonal/>
    </border>
    <border>
      <left/>
      <right/>
      <top/>
      <bottom style="thin">
        <color rgb="FF8ED2FC"/>
      </bottom>
      <diagonal/>
    </border>
    <border>
      <left/>
      <right style="thin">
        <color theme="0" tint="-0.499984740745262"/>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style="thin">
        <color indexed="64"/>
      </right>
      <top style="medium">
        <color indexed="64"/>
      </top>
      <bottom style="medium">
        <color indexed="64"/>
      </bottom>
      <diagonal/>
    </border>
    <border>
      <left/>
      <right style="medium">
        <color indexed="64"/>
      </right>
      <top style="thin">
        <color indexed="64"/>
      </top>
      <bottom/>
      <diagonal/>
    </border>
    <border>
      <left/>
      <right/>
      <top style="thin">
        <color theme="9" tint="-0.24994659260841701"/>
      </top>
      <bottom/>
      <diagonal/>
    </border>
    <border>
      <left style="medium">
        <color indexed="64"/>
      </left>
      <right style="thin">
        <color indexed="64"/>
      </right>
      <top style="medium">
        <color indexed="64"/>
      </top>
      <bottom style="medium">
        <color indexed="64"/>
      </bottom>
      <diagonal/>
    </border>
    <border>
      <left/>
      <right/>
      <top style="thin">
        <color indexed="64"/>
      </top>
      <bottom style="hair">
        <color indexed="64"/>
      </bottom>
      <diagonal/>
    </border>
    <border>
      <left style="thin">
        <color theme="1" tint="0.499984740745262"/>
      </left>
      <right/>
      <top/>
      <bottom/>
      <diagonal/>
    </border>
    <border>
      <left/>
      <right style="thin">
        <color indexed="64"/>
      </right>
      <top style="medium">
        <color indexed="64"/>
      </top>
      <bottom/>
      <diagonal/>
    </border>
    <border>
      <left/>
      <right style="thin">
        <color theme="0" tint="-0.34998626667073579"/>
      </right>
      <top/>
      <bottom/>
      <diagonal/>
    </border>
    <border>
      <left style="medium">
        <color indexed="64"/>
      </left>
      <right style="thin">
        <color theme="9"/>
      </right>
      <top style="medium">
        <color indexed="64"/>
      </top>
      <bottom style="thin">
        <color theme="9"/>
      </bottom>
      <diagonal/>
    </border>
    <border>
      <left style="thin">
        <color theme="9"/>
      </left>
      <right style="thin">
        <color theme="9"/>
      </right>
      <top style="medium">
        <color indexed="64"/>
      </top>
      <bottom style="thin">
        <color theme="9"/>
      </bottom>
      <diagonal/>
    </border>
    <border>
      <left style="thin">
        <color theme="9"/>
      </left>
      <right style="medium">
        <color indexed="64"/>
      </right>
      <top style="medium">
        <color indexed="64"/>
      </top>
      <bottom style="thin">
        <color theme="9"/>
      </bottom>
      <diagonal/>
    </border>
    <border>
      <left style="medium">
        <color indexed="64"/>
      </left>
      <right style="thin">
        <color theme="9"/>
      </right>
      <top style="thin">
        <color theme="4" tint="-0.24994659260841701"/>
      </top>
      <bottom style="thin">
        <color theme="9"/>
      </bottom>
      <diagonal/>
    </border>
    <border>
      <left style="thin">
        <color theme="9"/>
      </left>
      <right style="thin">
        <color theme="9"/>
      </right>
      <top style="thin">
        <color theme="4" tint="-0.24994659260841701"/>
      </top>
      <bottom style="thin">
        <color theme="9"/>
      </bottom>
      <diagonal/>
    </border>
    <border>
      <left style="thin">
        <color theme="9"/>
      </left>
      <right style="thin">
        <color theme="9"/>
      </right>
      <top/>
      <bottom style="thin">
        <color theme="9"/>
      </bottom>
      <diagonal/>
    </border>
    <border>
      <left style="thin">
        <color theme="9"/>
      </left>
      <right style="medium">
        <color indexed="64"/>
      </right>
      <top style="thin">
        <color theme="4" tint="-0.24994659260841701"/>
      </top>
      <bottom style="thin">
        <color theme="9"/>
      </bottom>
      <diagonal/>
    </border>
    <border>
      <left style="medium">
        <color indexed="64"/>
      </left>
      <right style="thin">
        <color theme="9"/>
      </right>
      <top/>
      <bottom style="thin">
        <color theme="9"/>
      </bottom>
      <diagonal/>
    </border>
    <border>
      <left style="thin">
        <color theme="9"/>
      </left>
      <right style="medium">
        <color indexed="64"/>
      </right>
      <top/>
      <bottom style="thin">
        <color theme="9"/>
      </bottom>
      <diagonal/>
    </border>
    <border>
      <left style="medium">
        <color indexed="64"/>
      </left>
      <right style="thin">
        <color theme="9"/>
      </right>
      <top style="thin">
        <color theme="9"/>
      </top>
      <bottom style="thin">
        <color theme="9"/>
      </bottom>
      <diagonal/>
    </border>
    <border>
      <left style="thin">
        <color theme="9"/>
      </left>
      <right style="thin">
        <color theme="9"/>
      </right>
      <top style="thin">
        <color theme="9"/>
      </top>
      <bottom style="thin">
        <color theme="9"/>
      </bottom>
      <diagonal/>
    </border>
    <border>
      <left style="thin">
        <color theme="9"/>
      </left>
      <right style="medium">
        <color indexed="64"/>
      </right>
      <top style="thin">
        <color theme="9"/>
      </top>
      <bottom style="thin">
        <color theme="9"/>
      </bottom>
      <diagonal/>
    </border>
    <border>
      <left/>
      <right style="thin">
        <color theme="9"/>
      </right>
      <top style="thin">
        <color theme="9"/>
      </top>
      <bottom style="thin">
        <color theme="9"/>
      </bottom>
      <diagonal/>
    </border>
    <border>
      <left style="thin">
        <color theme="9"/>
      </left>
      <right style="thin">
        <color theme="9"/>
      </right>
      <top style="thin">
        <color theme="9"/>
      </top>
      <bottom style="thin">
        <color theme="4" tint="0.59996337778862885"/>
      </bottom>
      <diagonal/>
    </border>
    <border>
      <left style="thin">
        <color theme="9"/>
      </left>
      <right style="medium">
        <color indexed="64"/>
      </right>
      <top style="thin">
        <color theme="9"/>
      </top>
      <bottom style="thin">
        <color theme="4" tint="0.59996337778862885"/>
      </bottom>
      <diagonal/>
    </border>
    <border>
      <left style="thin">
        <color theme="9"/>
      </left>
      <right style="thin">
        <color theme="9"/>
      </right>
      <top style="thin">
        <color theme="9"/>
      </top>
      <bottom style="thin">
        <color theme="4" tint="0.39994506668294322"/>
      </bottom>
      <diagonal/>
    </border>
    <border>
      <left style="thin">
        <color theme="9"/>
      </left>
      <right style="medium">
        <color indexed="64"/>
      </right>
      <top style="thin">
        <color theme="9"/>
      </top>
      <bottom style="thin">
        <color theme="4" tint="0.39994506668294322"/>
      </bottom>
      <diagonal/>
    </border>
    <border>
      <left style="thin">
        <color theme="9"/>
      </left>
      <right style="thin">
        <color theme="9"/>
      </right>
      <top style="thin">
        <color theme="4" tint="0.59996337778862885"/>
      </top>
      <bottom style="thin">
        <color theme="4" tint="0.59996337778862885"/>
      </bottom>
      <diagonal/>
    </border>
    <border>
      <left style="thin">
        <color theme="9"/>
      </left>
      <right style="medium">
        <color indexed="64"/>
      </right>
      <top style="thin">
        <color theme="4" tint="0.59996337778862885"/>
      </top>
      <bottom style="thin">
        <color theme="4" tint="0.59996337778862885"/>
      </bottom>
      <diagonal/>
    </border>
    <border>
      <left style="thin">
        <color theme="9"/>
      </left>
      <right style="thin">
        <color theme="9"/>
      </right>
      <top style="thin">
        <color theme="4" tint="0.39994506668294322"/>
      </top>
      <bottom style="thin">
        <color theme="4" tint="0.39994506668294322"/>
      </bottom>
      <diagonal/>
    </border>
    <border>
      <left style="thin">
        <color theme="9"/>
      </left>
      <right style="medium">
        <color indexed="64"/>
      </right>
      <top style="thin">
        <color theme="4" tint="0.39994506668294322"/>
      </top>
      <bottom style="thin">
        <color theme="4" tint="0.39994506668294322"/>
      </bottom>
      <diagonal/>
    </border>
    <border>
      <left/>
      <right/>
      <top style="thin">
        <color theme="4" tint="0.59996337778862885"/>
      </top>
      <bottom style="thin">
        <color theme="4" tint="0.59996337778862885"/>
      </bottom>
      <diagonal/>
    </border>
    <border>
      <left style="medium">
        <color indexed="64"/>
      </left>
      <right style="thin">
        <color theme="9"/>
      </right>
      <top style="thin">
        <color theme="9"/>
      </top>
      <bottom style="medium">
        <color indexed="64"/>
      </bottom>
      <diagonal/>
    </border>
    <border>
      <left style="thin">
        <color theme="9"/>
      </left>
      <right style="thin">
        <color theme="9"/>
      </right>
      <top style="thin">
        <color theme="9"/>
      </top>
      <bottom style="medium">
        <color indexed="64"/>
      </bottom>
      <diagonal/>
    </border>
    <border>
      <left style="thin">
        <color theme="9"/>
      </left>
      <right style="medium">
        <color indexed="64"/>
      </right>
      <top style="thin">
        <color theme="9"/>
      </top>
      <bottom style="medium">
        <color indexed="64"/>
      </bottom>
      <diagonal/>
    </border>
    <border>
      <left/>
      <right style="thin">
        <color theme="9"/>
      </right>
      <top style="thin">
        <color theme="9"/>
      </top>
      <bottom style="medium">
        <color indexed="64"/>
      </bottom>
      <diagonal/>
    </border>
    <border>
      <left style="thin">
        <color theme="9"/>
      </left>
      <right style="thin">
        <color theme="9"/>
      </right>
      <top style="thin">
        <color theme="4" tint="0.59996337778862885"/>
      </top>
      <bottom style="medium">
        <color indexed="64"/>
      </bottom>
      <diagonal/>
    </border>
    <border>
      <left style="thin">
        <color theme="9"/>
      </left>
      <right style="medium">
        <color indexed="64"/>
      </right>
      <top style="thin">
        <color theme="4" tint="0.59996337778862885"/>
      </top>
      <bottom style="medium">
        <color indexed="64"/>
      </bottom>
      <diagonal/>
    </border>
    <border>
      <left style="thin">
        <color theme="9"/>
      </left>
      <right style="thin">
        <color theme="9"/>
      </right>
      <top style="thin">
        <color theme="4" tint="0.39994506668294322"/>
      </top>
      <bottom style="medium">
        <color indexed="64"/>
      </bottom>
      <diagonal/>
    </border>
    <border>
      <left style="thin">
        <color theme="9"/>
      </left>
      <right style="medium">
        <color indexed="64"/>
      </right>
      <top style="thin">
        <color theme="4" tint="0.39994506668294322"/>
      </top>
      <bottom style="medium">
        <color indexed="64"/>
      </bottom>
      <diagonal/>
    </border>
    <border>
      <left style="thin">
        <color theme="9"/>
      </left>
      <right style="thin">
        <color theme="9"/>
      </right>
      <top/>
      <bottom style="medium">
        <color indexed="64"/>
      </bottom>
      <diagonal/>
    </border>
    <border>
      <left style="medium">
        <color indexed="64"/>
      </left>
      <right/>
      <top style="thin">
        <color theme="4" tint="0.59996337778862885"/>
      </top>
      <bottom/>
      <diagonal/>
    </border>
    <border>
      <left/>
      <right style="thin">
        <color auto="1"/>
      </right>
      <top style="thin">
        <color theme="4" tint="0.59996337778862885"/>
      </top>
      <bottom/>
      <diagonal/>
    </border>
    <border>
      <left style="thin">
        <color indexed="64"/>
      </left>
      <right/>
      <top style="medium">
        <color indexed="64"/>
      </top>
      <bottom/>
      <diagonal/>
    </border>
    <border>
      <left style="medium">
        <color indexed="64"/>
      </left>
      <right/>
      <top/>
      <bottom style="thin">
        <color theme="9"/>
      </bottom>
      <diagonal/>
    </border>
    <border>
      <left/>
      <right style="thin">
        <color indexed="64"/>
      </right>
      <top/>
      <bottom style="thin">
        <color theme="9"/>
      </bottom>
      <diagonal/>
    </border>
    <border>
      <left style="medium">
        <color indexed="64"/>
      </left>
      <right/>
      <top/>
      <bottom style="thin">
        <color theme="4" tint="0.59996337778862885"/>
      </bottom>
      <diagonal/>
    </border>
    <border>
      <left/>
      <right style="thin">
        <color auto="1"/>
      </right>
      <top/>
      <bottom style="thin">
        <color theme="4" tint="0.59996337778862885"/>
      </bottom>
      <diagonal/>
    </border>
    <border>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thin">
        <color theme="0" tint="-0.499984740745262"/>
      </top>
      <bottom style="medium">
        <color indexed="64"/>
      </bottom>
      <diagonal/>
    </border>
    <border>
      <left style="thin">
        <color auto="1"/>
      </left>
      <right style="thin">
        <color auto="1"/>
      </right>
      <top style="thin">
        <color theme="0" tint="-0.499984740745262"/>
      </top>
      <bottom style="medium">
        <color indexed="64"/>
      </bottom>
      <diagonal/>
    </border>
    <border>
      <left style="thin">
        <color indexed="64"/>
      </left>
      <right style="medium">
        <color indexed="64"/>
      </right>
      <top style="thin">
        <color theme="0" tint="-0.499984740745262"/>
      </top>
      <bottom style="medium">
        <color indexed="64"/>
      </bottom>
      <diagonal/>
    </border>
    <border>
      <left style="medium">
        <color indexed="64"/>
      </left>
      <right style="thin">
        <color theme="9"/>
      </right>
      <top style="thin">
        <color theme="9"/>
      </top>
      <bottom/>
      <diagonal/>
    </border>
    <border>
      <left style="thin">
        <color theme="9"/>
      </left>
      <right/>
      <top style="thin">
        <color theme="9"/>
      </top>
      <bottom style="thin">
        <color theme="9"/>
      </bottom>
      <diagonal/>
    </border>
    <border>
      <left/>
      <right/>
      <top style="thin">
        <color theme="9"/>
      </top>
      <bottom style="thin">
        <color theme="9"/>
      </bottom>
      <diagonal/>
    </border>
    <border>
      <left/>
      <right style="medium">
        <color indexed="64"/>
      </right>
      <top style="thin">
        <color theme="9"/>
      </top>
      <bottom style="thin">
        <color theme="9"/>
      </bottom>
      <diagonal/>
    </border>
    <border>
      <left style="medium">
        <color indexed="64"/>
      </left>
      <right style="thin">
        <color theme="9"/>
      </right>
      <top/>
      <bottom/>
      <diagonal/>
    </border>
    <border>
      <left style="thin">
        <color theme="9"/>
      </left>
      <right/>
      <top style="thin">
        <color theme="9"/>
      </top>
      <bottom/>
      <diagonal/>
    </border>
    <border>
      <left/>
      <right style="medium">
        <color indexed="64"/>
      </right>
      <top style="thin">
        <color theme="9"/>
      </top>
      <bottom/>
      <diagonal/>
    </border>
    <border>
      <left style="thin">
        <color theme="9"/>
      </left>
      <right/>
      <top style="thin">
        <color theme="9"/>
      </top>
      <bottom style="medium">
        <color indexed="64"/>
      </bottom>
      <diagonal/>
    </border>
    <border>
      <left/>
      <right/>
      <top style="thin">
        <color theme="9"/>
      </top>
      <bottom style="medium">
        <color indexed="64"/>
      </bottom>
      <diagonal/>
    </border>
    <border>
      <left/>
      <right style="medium">
        <color indexed="64"/>
      </right>
      <top style="thin">
        <color theme="9"/>
      </top>
      <bottom style="medium">
        <color indexed="64"/>
      </bottom>
      <diagonal/>
    </border>
    <border>
      <left style="medium">
        <color indexed="64"/>
      </left>
      <right style="thin">
        <color theme="9"/>
      </right>
      <top/>
      <bottom style="medium">
        <color indexed="64"/>
      </bottom>
      <diagonal/>
    </border>
    <border>
      <left style="thin">
        <color theme="9"/>
      </left>
      <right/>
      <top/>
      <bottom style="medium">
        <color indexed="64"/>
      </bottom>
      <diagonal/>
    </border>
    <border>
      <left/>
      <right style="medium">
        <color indexed="64"/>
      </right>
      <top style="thin">
        <color theme="0" tint="-0.499984740745262"/>
      </top>
      <bottom style="thin">
        <color theme="0" tint="-0.499984740745262"/>
      </bottom>
      <diagonal/>
    </border>
    <border>
      <left style="thin">
        <color auto="1"/>
      </left>
      <right/>
      <top style="thin">
        <color theme="0" tint="-0.499984740745262"/>
      </top>
      <bottom style="medium">
        <color indexed="64"/>
      </bottom>
      <diagonal/>
    </border>
    <border>
      <left/>
      <right style="thin">
        <color auto="1"/>
      </right>
      <top style="thin">
        <color theme="0" tint="-0.499984740745262"/>
      </top>
      <bottom style="medium">
        <color indexed="64"/>
      </bottom>
      <diagonal/>
    </border>
    <border>
      <left/>
      <right style="medium">
        <color indexed="64"/>
      </right>
      <top style="thin">
        <color theme="0" tint="-0.499984740745262"/>
      </top>
      <bottom style="medium">
        <color indexed="64"/>
      </bottom>
      <diagonal/>
    </border>
    <border>
      <left/>
      <right/>
      <top style="thin">
        <color theme="0" tint="-0.499984740745262"/>
      </top>
      <bottom style="medium">
        <color indexed="64"/>
      </bottom>
      <diagonal/>
    </border>
    <border>
      <left style="thin">
        <color theme="9"/>
      </left>
      <right/>
      <top/>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right/>
      <top/>
      <bottom style="thin">
        <color theme="0" tint="-0.34998626667073579"/>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rgb="FFF79544"/>
      </left>
      <right style="medium">
        <color indexed="64"/>
      </right>
      <top style="thin">
        <color rgb="FFF79544"/>
      </top>
      <bottom style="thin">
        <color rgb="FFB9CCE4"/>
      </bottom>
      <diagonal/>
    </border>
    <border>
      <left style="thin">
        <color rgb="FFF79544"/>
      </left>
      <right style="medium">
        <color indexed="64"/>
      </right>
      <top style="thin">
        <color rgb="FFB9CCE4"/>
      </top>
      <bottom style="thin">
        <color rgb="FFB9CCE4"/>
      </bottom>
      <diagonal/>
    </border>
    <border>
      <left style="thin">
        <color rgb="FFF79544"/>
      </left>
      <right style="medium">
        <color indexed="64"/>
      </right>
      <top style="thin">
        <color rgb="FFF79544"/>
      </top>
      <bottom style="thin">
        <color rgb="FF96B3D7"/>
      </bottom>
      <diagonal/>
    </border>
    <border>
      <left style="thin">
        <color rgb="FFF79544"/>
      </left>
      <right style="medium">
        <color indexed="64"/>
      </right>
      <top style="thin">
        <color rgb="FF96B3D7"/>
      </top>
      <bottom style="thin">
        <color rgb="FF96B3D7"/>
      </bottom>
      <diagonal/>
    </border>
    <border>
      <left style="thin">
        <color theme="9"/>
      </left>
      <right style="medium">
        <color auto="1"/>
      </right>
      <top style="thin">
        <color theme="9"/>
      </top>
      <bottom style="thin">
        <color theme="4" tint="0.39991454817346722"/>
      </bottom>
      <diagonal/>
    </border>
    <border>
      <left style="thin">
        <color theme="9"/>
      </left>
      <right style="medium">
        <color auto="1"/>
      </right>
      <top style="thin">
        <color theme="4" tint="0.39991454817346722"/>
      </top>
      <bottom style="thin">
        <color theme="4" tint="0.39991454817346722"/>
      </bottom>
      <diagonal/>
    </border>
  </borders>
  <cellStyleXfs count="5">
    <xf numFmtId="0" fontId="0" fillId="0" borderId="0"/>
    <xf numFmtId="164" fontId="12" fillId="0" borderId="0" applyFont="0" applyFill="0" applyBorder="0" applyAlignment="0" applyProtection="0"/>
    <xf numFmtId="0" fontId="21" fillId="0" borderId="0" applyNumberFormat="0" applyFill="0" applyBorder="0" applyAlignment="0" applyProtection="0"/>
    <xf numFmtId="0" fontId="27" fillId="0" borderId="0"/>
    <xf numFmtId="0" fontId="277" fillId="0" borderId="0">
      <alignment vertical="center"/>
    </xf>
  </cellStyleXfs>
  <cellXfs count="2365">
    <xf numFmtId="0" fontId="0" fillId="0" borderId="0" xfId="0"/>
    <xf numFmtId="0" fontId="2" fillId="0" borderId="0" xfId="0" applyFont="1" applyAlignment="1" applyProtection="1">
      <alignment horizontal="center" vertical="center"/>
      <protection hidden="1"/>
    </xf>
    <xf numFmtId="0" fontId="2" fillId="0" borderId="0" xfId="0" applyFont="1" applyAlignment="1" applyProtection="1">
      <alignment vertical="center"/>
      <protection hidden="1"/>
    </xf>
    <xf numFmtId="0" fontId="15" fillId="0" borderId="0" xfId="0" applyFont="1" applyBorder="1" applyAlignment="1" applyProtection="1">
      <alignment vertical="center"/>
      <protection hidden="1"/>
    </xf>
    <xf numFmtId="0" fontId="4" fillId="0" borderId="0" xfId="0" applyFont="1" applyAlignment="1" applyProtection="1">
      <alignment horizontal="center" vertical="center"/>
      <protection hidden="1"/>
    </xf>
    <xf numFmtId="0" fontId="4" fillId="0" borderId="0" xfId="0" applyFont="1" applyAlignment="1" applyProtection="1">
      <alignment vertical="center"/>
      <protection hidden="1"/>
    </xf>
    <xf numFmtId="0" fontId="5" fillId="0" borderId="37" xfId="0" applyFont="1" applyBorder="1" applyAlignment="1" applyProtection="1">
      <alignment horizontal="center" vertical="center"/>
      <protection locked="0"/>
    </xf>
    <xf numFmtId="0" fontId="18" fillId="0" borderId="1" xfId="0" quotePrefix="1" applyFont="1" applyBorder="1" applyAlignment="1" applyProtection="1">
      <alignment horizontal="center" vertical="center"/>
      <protection hidden="1"/>
    </xf>
    <xf numFmtId="0" fontId="18" fillId="0" borderId="0" xfId="0" quotePrefix="1" applyFont="1" applyBorder="1" applyAlignment="1" applyProtection="1">
      <alignment horizontal="center" vertical="center"/>
      <protection hidden="1"/>
    </xf>
    <xf numFmtId="0" fontId="18" fillId="0" borderId="1" xfId="0" applyFont="1" applyBorder="1" applyAlignment="1" applyProtection="1">
      <alignment horizontal="center" vertical="center"/>
      <protection hidden="1"/>
    </xf>
    <xf numFmtId="0" fontId="18" fillId="0" borderId="0" xfId="0" applyFont="1" applyBorder="1" applyAlignment="1" applyProtection="1">
      <alignment horizontal="center" vertical="center"/>
      <protection hidden="1"/>
    </xf>
    <xf numFmtId="0" fontId="25" fillId="0" borderId="0" xfId="0" applyFont="1" applyFill="1" applyAlignment="1" applyProtection="1">
      <alignment horizontal="center" vertical="center"/>
      <protection hidden="1"/>
    </xf>
    <xf numFmtId="0" fontId="14" fillId="0" borderId="0" xfId="0" applyFont="1" applyFill="1" applyBorder="1" applyAlignment="1" applyProtection="1">
      <alignment vertical="center"/>
      <protection hidden="1"/>
    </xf>
    <xf numFmtId="0" fontId="10" fillId="0" borderId="11" xfId="0" applyFont="1" applyFill="1" applyBorder="1" applyAlignment="1" applyProtection="1">
      <alignment horizontal="center" vertical="center"/>
      <protection hidden="1"/>
    </xf>
    <xf numFmtId="0" fontId="10" fillId="0" borderId="12" xfId="0" applyFont="1" applyFill="1" applyBorder="1" applyAlignment="1" applyProtection="1">
      <alignment horizontal="center" vertical="center"/>
      <protection hidden="1"/>
    </xf>
    <xf numFmtId="0" fontId="10" fillId="0" borderId="13" xfId="0" applyFont="1" applyFill="1" applyBorder="1" applyAlignment="1" applyProtection="1">
      <alignment horizontal="center" vertical="center"/>
      <protection hidden="1"/>
    </xf>
    <xf numFmtId="0" fontId="2" fillId="0" borderId="20" xfId="0" applyFont="1" applyFill="1" applyBorder="1" applyAlignment="1" applyProtection="1">
      <alignment horizontal="center" vertical="center"/>
      <protection hidden="1"/>
    </xf>
    <xf numFmtId="0" fontId="7" fillId="0" borderId="21" xfId="0" applyFont="1" applyFill="1" applyBorder="1" applyAlignment="1" applyProtection="1">
      <alignment horizontal="center" vertical="center"/>
      <protection hidden="1"/>
    </xf>
    <xf numFmtId="0" fontId="7" fillId="0" borderId="21" xfId="0" applyFont="1" applyFill="1" applyBorder="1" applyAlignment="1" applyProtection="1">
      <alignment vertical="center"/>
      <protection hidden="1"/>
    </xf>
    <xf numFmtId="0" fontId="7" fillId="0" borderId="6" xfId="0" applyFont="1" applyFill="1" applyBorder="1" applyAlignment="1" applyProtection="1">
      <alignment horizontal="center" vertical="center"/>
      <protection hidden="1"/>
    </xf>
    <xf numFmtId="0" fontId="2" fillId="0" borderId="26" xfId="0" applyFont="1" applyFill="1" applyBorder="1" applyAlignment="1" applyProtection="1">
      <alignment horizontal="center" vertical="center"/>
      <protection hidden="1"/>
    </xf>
    <xf numFmtId="0" fontId="7" fillId="0" borderId="27" xfId="0" applyFont="1" applyFill="1" applyBorder="1" applyAlignment="1" applyProtection="1">
      <alignment horizontal="center" vertical="center"/>
      <protection hidden="1"/>
    </xf>
    <xf numFmtId="0" fontId="7" fillId="0" borderId="27" xfId="0" applyFont="1" applyFill="1" applyBorder="1" applyAlignment="1" applyProtection="1">
      <alignment vertical="center"/>
      <protection hidden="1"/>
    </xf>
    <xf numFmtId="0" fontId="7" fillId="0" borderId="28" xfId="0" applyFont="1" applyFill="1" applyBorder="1" applyAlignment="1" applyProtection="1">
      <alignment horizontal="center" vertical="center"/>
      <protection hidden="1"/>
    </xf>
    <xf numFmtId="0" fontId="2" fillId="0" borderId="0" xfId="0" applyFont="1" applyFill="1" applyAlignment="1" applyProtection="1">
      <alignment vertical="center"/>
      <protection hidden="1"/>
    </xf>
    <xf numFmtId="0" fontId="4" fillId="0" borderId="0" xfId="0" applyFont="1" applyFill="1" applyAlignment="1" applyProtection="1">
      <alignment vertical="center"/>
      <protection hidden="1"/>
    </xf>
    <xf numFmtId="0" fontId="2" fillId="0" borderId="0" xfId="0" applyFont="1" applyFill="1" applyAlignment="1" applyProtection="1">
      <alignment horizontal="center" vertical="center"/>
      <protection hidden="1"/>
    </xf>
    <xf numFmtId="0" fontId="13" fillId="0" borderId="0" xfId="0" applyFont="1" applyFill="1" applyAlignment="1" applyProtection="1">
      <alignment horizontal="center" vertical="center"/>
      <protection hidden="1"/>
    </xf>
    <xf numFmtId="0" fontId="9" fillId="0" borderId="0" xfId="0" applyFont="1" applyFill="1" applyAlignment="1" applyProtection="1">
      <alignment vertical="center"/>
      <protection hidden="1"/>
    </xf>
    <xf numFmtId="0" fontId="9" fillId="0" borderId="0" xfId="0" applyFont="1" applyFill="1" applyAlignment="1" applyProtection="1">
      <alignment horizontal="center" vertical="center"/>
      <protection hidden="1"/>
    </xf>
    <xf numFmtId="0" fontId="15" fillId="0" borderId="0" xfId="0" applyFont="1" applyFill="1" applyBorder="1" applyAlignment="1" applyProtection="1">
      <alignment vertical="center"/>
      <protection hidden="1"/>
    </xf>
    <xf numFmtId="0" fontId="2" fillId="0" borderId="0" xfId="0" applyFont="1" applyFill="1" applyAlignment="1" applyProtection="1">
      <alignment horizontal="right" vertical="center"/>
      <protection hidden="1"/>
    </xf>
    <xf numFmtId="0" fontId="18" fillId="0" borderId="0" xfId="0" applyFont="1" applyFill="1" applyBorder="1" applyAlignment="1" applyProtection="1">
      <alignment horizontal="center" vertical="center"/>
      <protection hidden="1"/>
    </xf>
    <xf numFmtId="0" fontId="18" fillId="0" borderId="0" xfId="0" quotePrefix="1" applyFont="1" applyFill="1" applyBorder="1" applyAlignment="1" applyProtection="1">
      <alignment horizontal="center" vertical="center"/>
      <protection hidden="1"/>
    </xf>
    <xf numFmtId="0" fontId="18" fillId="0" borderId="0" xfId="0" applyFont="1" applyFill="1" applyBorder="1" applyAlignment="1" applyProtection="1">
      <alignment vertical="center"/>
      <protection hidden="1"/>
    </xf>
    <xf numFmtId="0" fontId="0" fillId="0" borderId="0" xfId="0" applyFill="1" applyBorder="1" applyProtection="1">
      <protection hidden="1"/>
    </xf>
    <xf numFmtId="0" fontId="2" fillId="0" borderId="0" xfId="0" applyFont="1" applyFill="1" applyBorder="1" applyAlignment="1" applyProtection="1">
      <alignment horizontal="center" vertical="center"/>
      <protection hidden="1"/>
    </xf>
    <xf numFmtId="0" fontId="0" fillId="0" borderId="0" xfId="0" applyFill="1" applyProtection="1">
      <protection hidden="1"/>
    </xf>
    <xf numFmtId="0" fontId="7" fillId="0" borderId="39" xfId="0" applyFont="1" applyFill="1" applyBorder="1" applyAlignment="1" applyProtection="1">
      <alignment horizontal="center" vertical="center"/>
      <protection hidden="1"/>
    </xf>
    <xf numFmtId="0" fontId="2" fillId="0" borderId="24" xfId="0" applyFont="1" applyFill="1" applyBorder="1" applyAlignment="1" applyProtection="1">
      <alignment horizontal="right" vertical="center"/>
      <protection hidden="1"/>
    </xf>
    <xf numFmtId="0" fontId="2" fillId="0" borderId="0" xfId="0" applyFont="1" applyFill="1" applyBorder="1" applyAlignment="1" applyProtection="1">
      <alignment horizontal="right" vertical="center"/>
      <protection hidden="1"/>
    </xf>
    <xf numFmtId="0" fontId="29" fillId="0" borderId="0" xfId="0" applyFont="1" applyFill="1" applyAlignment="1" applyProtection="1">
      <alignment vertical="center"/>
      <protection hidden="1"/>
    </xf>
    <xf numFmtId="0" fontId="29" fillId="0" borderId="0" xfId="0" applyFont="1" applyFill="1" applyAlignment="1" applyProtection="1">
      <alignment horizontal="center" vertical="center"/>
      <protection hidden="1"/>
    </xf>
    <xf numFmtId="0" fontId="30" fillId="0" borderId="0" xfId="0" applyFont="1" applyFill="1" applyAlignment="1" applyProtection="1">
      <alignment horizontal="center" vertical="center"/>
      <protection hidden="1"/>
    </xf>
    <xf numFmtId="0" fontId="32" fillId="0" borderId="27" xfId="0" applyFont="1" applyFill="1" applyBorder="1" applyAlignment="1" applyProtection="1">
      <alignment horizontal="center" vertical="center"/>
      <protection hidden="1"/>
    </xf>
    <xf numFmtId="0" fontId="2" fillId="0" borderId="0" xfId="0" applyFont="1" applyBorder="1" applyAlignment="1" applyProtection="1">
      <alignment vertical="center"/>
      <protection hidden="1"/>
    </xf>
    <xf numFmtId="0" fontId="15" fillId="0" borderId="0" xfId="0" applyFont="1" applyFill="1" applyBorder="1" applyAlignment="1" applyProtection="1">
      <alignment horizontal="center" vertical="center"/>
      <protection hidden="1"/>
    </xf>
    <xf numFmtId="0" fontId="25" fillId="11" borderId="70" xfId="0" applyFont="1" applyFill="1" applyBorder="1" applyAlignment="1" applyProtection="1">
      <alignment horizontal="center" vertical="center"/>
      <protection hidden="1"/>
    </xf>
    <xf numFmtId="0" fontId="0" fillId="0" borderId="0" xfId="0" applyFill="1" applyAlignment="1" applyProtection="1">
      <alignment vertical="top"/>
      <protection hidden="1"/>
    </xf>
    <xf numFmtId="0" fontId="7" fillId="0" borderId="71" xfId="0" quotePrefix="1" applyFont="1" applyFill="1" applyBorder="1" applyAlignment="1" applyProtection="1">
      <alignment vertical="top"/>
      <protection locked="0"/>
    </xf>
    <xf numFmtId="0" fontId="7" fillId="0" borderId="31" xfId="0" quotePrefix="1" applyFont="1" applyFill="1" applyBorder="1" applyAlignment="1" applyProtection="1">
      <alignment vertical="top"/>
      <protection locked="0"/>
    </xf>
    <xf numFmtId="0" fontId="7" fillId="0" borderId="31" xfId="0" applyFont="1" applyFill="1" applyBorder="1" applyAlignment="1" applyProtection="1">
      <alignment vertical="top"/>
      <protection locked="0"/>
    </xf>
    <xf numFmtId="0" fontId="2" fillId="2" borderId="0" xfId="0" applyFont="1" applyFill="1" applyBorder="1" applyAlignment="1" applyProtection="1">
      <alignment vertical="center"/>
      <protection hidden="1"/>
    </xf>
    <xf numFmtId="0" fontId="41" fillId="0" borderId="0" xfId="0" applyFont="1" applyAlignment="1" applyProtection="1">
      <alignment vertical="center"/>
      <protection hidden="1"/>
    </xf>
    <xf numFmtId="0" fontId="13" fillId="0" borderId="0" xfId="0" applyFont="1" applyAlignment="1" applyProtection="1">
      <alignment vertical="center"/>
      <protection hidden="1"/>
    </xf>
    <xf numFmtId="0" fontId="4" fillId="15" borderId="0" xfId="0" applyFont="1" applyFill="1" applyAlignment="1" applyProtection="1">
      <alignment vertical="center"/>
      <protection hidden="1"/>
    </xf>
    <xf numFmtId="0" fontId="4" fillId="15" borderId="0" xfId="0" applyFont="1" applyFill="1" applyAlignment="1" applyProtection="1">
      <alignment horizontal="center" vertical="center"/>
      <protection hidden="1"/>
    </xf>
    <xf numFmtId="0" fontId="13" fillId="15" borderId="0" xfId="0" applyFont="1" applyFill="1" applyBorder="1" applyAlignment="1" applyProtection="1">
      <alignment vertical="center"/>
      <protection hidden="1"/>
    </xf>
    <xf numFmtId="0" fontId="43" fillId="15" borderId="0" xfId="0" applyFont="1" applyFill="1" applyBorder="1" applyAlignment="1" applyProtection="1">
      <alignment vertical="center"/>
      <protection hidden="1"/>
    </xf>
    <xf numFmtId="0" fontId="13" fillId="15" borderId="0" xfId="0" applyFont="1" applyFill="1" applyAlignment="1" applyProtection="1">
      <alignment vertical="center"/>
      <protection hidden="1"/>
    </xf>
    <xf numFmtId="0" fontId="41" fillId="15" borderId="0" xfId="0" applyFont="1" applyFill="1" applyAlignment="1" applyProtection="1">
      <alignment vertical="center"/>
      <protection hidden="1"/>
    </xf>
    <xf numFmtId="0" fontId="0" fillId="0" borderId="0" xfId="0" applyAlignment="1" applyProtection="1">
      <alignment vertical="center"/>
      <protection hidden="1"/>
    </xf>
    <xf numFmtId="0" fontId="44" fillId="15" borderId="0" xfId="0" applyFont="1" applyFill="1" applyBorder="1" applyAlignment="1" applyProtection="1">
      <alignment vertical="center" shrinkToFit="1"/>
      <protection hidden="1"/>
    </xf>
    <xf numFmtId="0" fontId="44" fillId="15" borderId="0" xfId="0" applyFont="1" applyFill="1" applyAlignment="1" applyProtection="1">
      <alignment vertical="center" shrinkToFit="1"/>
      <protection hidden="1"/>
    </xf>
    <xf numFmtId="0" fontId="42" fillId="15" borderId="0" xfId="0" applyFont="1" applyFill="1" applyBorder="1" applyAlignment="1" applyProtection="1">
      <alignment vertical="center" shrinkToFit="1"/>
      <protection hidden="1"/>
    </xf>
    <xf numFmtId="0" fontId="0" fillId="15" borderId="0" xfId="0" applyFill="1" applyAlignment="1" applyProtection="1">
      <alignment vertical="center"/>
      <protection hidden="1"/>
    </xf>
    <xf numFmtId="0" fontId="38" fillId="4" borderId="0" xfId="0" applyFont="1" applyFill="1" applyBorder="1" applyAlignment="1" applyProtection="1">
      <alignment horizontal="center" vertical="center"/>
      <protection hidden="1"/>
    </xf>
    <xf numFmtId="0" fontId="2" fillId="4" borderId="0" xfId="0" applyFont="1" applyFill="1" applyAlignment="1" applyProtection="1">
      <alignment vertical="center"/>
      <protection hidden="1"/>
    </xf>
    <xf numFmtId="0" fontId="15" fillId="4" borderId="0" xfId="0" applyFont="1" applyFill="1" applyBorder="1" applyAlignment="1" applyProtection="1">
      <alignment vertical="center"/>
      <protection hidden="1"/>
    </xf>
    <xf numFmtId="0" fontId="36" fillId="0" borderId="0" xfId="0" applyFont="1" applyFill="1" applyBorder="1" applyAlignment="1" applyProtection="1">
      <alignment vertical="center"/>
      <protection hidden="1"/>
    </xf>
    <xf numFmtId="0" fontId="36" fillId="0" borderId="0" xfId="0" applyFont="1" applyFill="1" applyAlignment="1" applyProtection="1">
      <alignment vertical="center"/>
      <protection hidden="1"/>
    </xf>
    <xf numFmtId="0" fontId="48" fillId="15" borderId="0" xfId="0" applyFont="1" applyFill="1" applyAlignment="1" applyProtection="1">
      <alignment vertical="center"/>
      <protection hidden="1"/>
    </xf>
    <xf numFmtId="0" fontId="4" fillId="16" borderId="0" xfId="0" applyFont="1" applyFill="1" applyAlignment="1" applyProtection="1">
      <alignment vertical="center"/>
      <protection hidden="1"/>
    </xf>
    <xf numFmtId="0" fontId="41" fillId="17" borderId="20" xfId="0" applyFont="1" applyFill="1" applyBorder="1" applyAlignment="1" applyProtection="1">
      <alignment horizontal="center" vertical="center"/>
      <protection hidden="1"/>
    </xf>
    <xf numFmtId="0" fontId="44" fillId="17" borderId="25" xfId="0" applyFont="1" applyFill="1" applyBorder="1" applyAlignment="1" applyProtection="1">
      <alignment horizontal="center" vertical="center" shrinkToFit="1"/>
      <protection locked="0"/>
    </xf>
    <xf numFmtId="0" fontId="41" fillId="17" borderId="26" xfId="0" applyFont="1" applyFill="1" applyBorder="1" applyAlignment="1" applyProtection="1">
      <alignment horizontal="center" vertical="center"/>
      <protection hidden="1"/>
    </xf>
    <xf numFmtId="0" fontId="44" fillId="17" borderId="27" xfId="0" applyFont="1" applyFill="1" applyBorder="1" applyAlignment="1" applyProtection="1">
      <alignment horizontal="center" vertical="center" shrinkToFit="1"/>
      <protection locked="0"/>
    </xf>
    <xf numFmtId="0" fontId="44" fillId="17" borderId="27" xfId="0" applyFont="1" applyFill="1" applyBorder="1" applyAlignment="1" applyProtection="1">
      <alignment vertical="center" shrinkToFit="1"/>
      <protection locked="0"/>
    </xf>
    <xf numFmtId="0" fontId="44" fillId="17" borderId="30" xfId="0" applyFont="1" applyFill="1" applyBorder="1" applyAlignment="1" applyProtection="1">
      <alignment horizontal="center" vertical="center" shrinkToFit="1"/>
      <protection locked="0"/>
    </xf>
    <xf numFmtId="0" fontId="5" fillId="17" borderId="15" xfId="0" applyFont="1" applyFill="1" applyBorder="1" applyAlignment="1" applyProtection="1">
      <alignment horizontal="center" vertical="center"/>
      <protection locked="0"/>
    </xf>
    <xf numFmtId="0" fontId="2" fillId="19" borderId="26" xfId="0" applyFont="1" applyFill="1" applyBorder="1" applyAlignment="1" applyProtection="1">
      <alignment horizontal="center" vertical="center"/>
      <protection hidden="1"/>
    </xf>
    <xf numFmtId="0" fontId="2" fillId="22" borderId="0" xfId="0" applyFont="1" applyFill="1" applyAlignment="1" applyProtection="1">
      <alignment vertical="center"/>
      <protection hidden="1"/>
    </xf>
    <xf numFmtId="0" fontId="2" fillId="22" borderId="0" xfId="0" applyFont="1" applyFill="1" applyAlignment="1" applyProtection="1">
      <alignment horizontal="center" vertical="center"/>
      <protection hidden="1"/>
    </xf>
    <xf numFmtId="0" fontId="9" fillId="22" borderId="0" xfId="0" applyFont="1" applyFill="1" applyBorder="1" applyAlignment="1" applyProtection="1">
      <alignment horizontal="center" vertical="center"/>
      <protection hidden="1"/>
    </xf>
    <xf numFmtId="0" fontId="16" fillId="22" borderId="0" xfId="0" applyFont="1" applyFill="1" applyAlignment="1" applyProtection="1">
      <alignment vertical="center"/>
      <protection hidden="1"/>
    </xf>
    <xf numFmtId="0" fontId="4" fillId="22" borderId="0" xfId="0" applyFont="1" applyFill="1" applyAlignment="1" applyProtection="1">
      <alignment vertical="center"/>
      <protection hidden="1"/>
    </xf>
    <xf numFmtId="0" fontId="17" fillId="22" borderId="0" xfId="0" applyFont="1" applyFill="1" applyAlignment="1" applyProtection="1">
      <alignment vertical="center"/>
      <protection hidden="1"/>
    </xf>
    <xf numFmtId="0" fontId="4" fillId="22" borderId="0" xfId="0" applyFont="1" applyFill="1" applyAlignment="1" applyProtection="1">
      <alignment horizontal="left" vertical="center" indent="1"/>
      <protection hidden="1"/>
    </xf>
    <xf numFmtId="0" fontId="2" fillId="22" borderId="0" xfId="0" applyFont="1" applyFill="1" applyAlignment="1" applyProtection="1">
      <alignment vertical="top"/>
      <protection hidden="1"/>
    </xf>
    <xf numFmtId="0" fontId="2" fillId="22" borderId="0" xfId="0" applyFont="1" applyFill="1" applyAlignment="1" applyProtection="1">
      <alignment vertical="top" wrapText="1"/>
      <protection hidden="1"/>
    </xf>
    <xf numFmtId="0" fontId="4" fillId="22" borderId="0" xfId="0" applyFont="1" applyFill="1" applyAlignment="1" applyProtection="1">
      <alignment horizontal="center" vertical="center"/>
      <protection hidden="1"/>
    </xf>
    <xf numFmtId="0" fontId="10" fillId="25" borderId="11" xfId="0" applyFont="1" applyFill="1" applyBorder="1" applyAlignment="1" applyProtection="1">
      <alignment horizontal="center" vertical="center"/>
      <protection hidden="1"/>
    </xf>
    <xf numFmtId="0" fontId="10" fillId="25" borderId="12" xfId="0" applyFont="1" applyFill="1" applyBorder="1" applyAlignment="1" applyProtection="1">
      <alignment horizontal="center" vertical="center"/>
      <protection hidden="1"/>
    </xf>
    <xf numFmtId="0" fontId="10" fillId="25" borderId="13" xfId="0" applyFont="1" applyFill="1" applyBorder="1" applyAlignment="1" applyProtection="1">
      <alignment horizontal="center" vertical="center"/>
      <protection hidden="1"/>
    </xf>
    <xf numFmtId="0" fontId="55" fillId="20" borderId="19" xfId="0" applyFont="1" applyFill="1" applyBorder="1" applyAlignment="1" applyProtection="1">
      <alignment horizontal="center" vertical="center"/>
      <protection hidden="1"/>
    </xf>
    <xf numFmtId="0" fontId="2" fillId="19" borderId="20" xfId="0" applyFont="1" applyFill="1" applyBorder="1" applyAlignment="1" applyProtection="1">
      <alignment horizontal="center" vertical="center"/>
      <protection hidden="1"/>
    </xf>
    <xf numFmtId="0" fontId="7" fillId="19" borderId="21" xfId="0" applyFont="1" applyFill="1" applyBorder="1" applyAlignment="1" applyProtection="1">
      <alignment horizontal="center" vertical="center"/>
      <protection hidden="1"/>
    </xf>
    <xf numFmtId="0" fontId="7" fillId="19" borderId="6" xfId="0" applyFont="1" applyFill="1" applyBorder="1" applyAlignment="1" applyProtection="1">
      <alignment horizontal="center" vertical="center"/>
      <protection hidden="1"/>
    </xf>
    <xf numFmtId="0" fontId="7" fillId="19" borderId="27" xfId="0" applyFont="1" applyFill="1" applyBorder="1" applyAlignment="1" applyProtection="1">
      <alignment horizontal="center" vertical="center"/>
      <protection hidden="1"/>
    </xf>
    <xf numFmtId="0" fontId="7" fillId="19" borderId="28" xfId="0" applyFont="1" applyFill="1" applyBorder="1" applyAlignment="1" applyProtection="1">
      <alignment horizontal="center" vertical="center"/>
      <protection hidden="1"/>
    </xf>
    <xf numFmtId="0" fontId="29" fillId="4" borderId="0" xfId="0" applyFont="1" applyFill="1" applyAlignment="1" applyProtection="1">
      <alignment vertical="center"/>
      <protection hidden="1"/>
    </xf>
    <xf numFmtId="0" fontId="29" fillId="0" borderId="0" xfId="0" applyFont="1" applyAlignment="1" applyProtection="1">
      <alignment vertical="center"/>
      <protection hidden="1"/>
    </xf>
    <xf numFmtId="0" fontId="57" fillId="25" borderId="19" xfId="0" applyFont="1" applyFill="1" applyBorder="1" applyAlignment="1" applyProtection="1">
      <alignment horizontal="center" vertical="center"/>
      <protection hidden="1"/>
    </xf>
    <xf numFmtId="0" fontId="5" fillId="17" borderId="78" xfId="0" applyFont="1" applyFill="1" applyBorder="1" applyAlignment="1" applyProtection="1">
      <alignment horizontal="center" vertical="center"/>
      <protection locked="0"/>
    </xf>
    <xf numFmtId="0" fontId="5" fillId="17" borderId="12" xfId="0" applyFont="1" applyFill="1" applyBorder="1" applyAlignment="1" applyProtection="1">
      <alignment horizontal="center" vertical="center"/>
      <protection locked="0"/>
    </xf>
    <xf numFmtId="0" fontId="18" fillId="0" borderId="0" xfId="0" applyFont="1" applyBorder="1" applyAlignment="1" applyProtection="1">
      <alignment vertical="center"/>
      <protection hidden="1"/>
    </xf>
    <xf numFmtId="0" fontId="8" fillId="22" borderId="0" xfId="0" applyFont="1" applyFill="1" applyBorder="1" applyAlignment="1" applyProtection="1">
      <alignment vertical="center" shrinkToFit="1"/>
      <protection hidden="1"/>
    </xf>
    <xf numFmtId="0" fontId="28" fillId="22" borderId="0" xfId="0" applyFont="1" applyFill="1" applyBorder="1" applyAlignment="1" applyProtection="1">
      <alignment horizontal="center" vertical="center"/>
      <protection hidden="1"/>
    </xf>
    <xf numFmtId="0" fontId="18" fillId="0" borderId="0" xfId="0" applyFont="1" applyBorder="1" applyAlignment="1" applyProtection="1">
      <alignment vertical="center"/>
      <protection hidden="1"/>
    </xf>
    <xf numFmtId="0" fontId="60" fillId="7" borderId="0" xfId="0" applyFont="1" applyFill="1" applyAlignment="1" applyProtection="1">
      <alignment horizontal="center" vertical="center"/>
      <protection hidden="1"/>
    </xf>
    <xf numFmtId="0" fontId="4" fillId="6" borderId="0" xfId="0" applyFont="1" applyFill="1" applyAlignment="1" applyProtection="1">
      <alignment horizontal="center" vertical="center"/>
      <protection hidden="1"/>
    </xf>
    <xf numFmtId="0" fontId="18" fillId="0" borderId="0" xfId="0" applyFont="1" applyBorder="1" applyAlignment="1" applyProtection="1">
      <alignment vertical="center"/>
      <protection hidden="1"/>
    </xf>
    <xf numFmtId="0" fontId="72" fillId="0" borderId="0" xfId="0" applyFont="1" applyAlignment="1" applyProtection="1">
      <alignment vertical="top"/>
      <protection hidden="1"/>
    </xf>
    <xf numFmtId="0" fontId="67" fillId="0" borderId="0" xfId="0" applyFont="1" applyAlignment="1" applyProtection="1">
      <alignment vertical="center"/>
      <protection hidden="1"/>
    </xf>
    <xf numFmtId="0" fontId="73" fillId="0" borderId="0" xfId="0" applyFont="1" applyAlignment="1" applyProtection="1">
      <alignment horizontal="right" vertical="top"/>
      <protection hidden="1"/>
    </xf>
    <xf numFmtId="14" fontId="53" fillId="0" borderId="1" xfId="0" applyNumberFormat="1" applyFont="1" applyFill="1" applyBorder="1" applyAlignment="1" applyProtection="1">
      <alignment horizontal="left" vertical="center"/>
      <protection locked="0"/>
    </xf>
    <xf numFmtId="0" fontId="69" fillId="0" borderId="0" xfId="0" applyFont="1" applyAlignment="1" applyProtection="1">
      <alignment vertical="top"/>
      <protection hidden="1"/>
    </xf>
    <xf numFmtId="0" fontId="70" fillId="0" borderId="0" xfId="0" applyFont="1" applyAlignment="1" applyProtection="1">
      <alignment vertical="top"/>
      <protection hidden="1"/>
    </xf>
    <xf numFmtId="0" fontId="69" fillId="0" borderId="0" xfId="0" applyFont="1" applyAlignment="1" applyProtection="1">
      <alignment horizontal="left" vertical="top"/>
      <protection hidden="1"/>
    </xf>
    <xf numFmtId="0" fontId="68" fillId="0" borderId="0" xfId="0" applyFont="1" applyAlignment="1" applyProtection="1">
      <alignment vertical="top"/>
      <protection hidden="1"/>
    </xf>
    <xf numFmtId="0" fontId="4" fillId="6" borderId="0" xfId="0" applyFont="1" applyFill="1" applyAlignment="1" applyProtection="1">
      <alignment vertical="top"/>
      <protection hidden="1"/>
    </xf>
    <xf numFmtId="0" fontId="69" fillId="6" borderId="0" xfId="0" applyFont="1" applyFill="1" applyAlignment="1" applyProtection="1">
      <alignment vertical="top"/>
      <protection hidden="1"/>
    </xf>
    <xf numFmtId="0" fontId="68" fillId="6" borderId="0" xfId="0" applyFont="1" applyFill="1" applyAlignment="1" applyProtection="1">
      <alignment vertical="top"/>
      <protection hidden="1"/>
    </xf>
    <xf numFmtId="0" fontId="4" fillId="0" borderId="0" xfId="0" applyFont="1" applyAlignment="1" applyProtection="1">
      <alignment vertical="top"/>
      <protection hidden="1"/>
    </xf>
    <xf numFmtId="0" fontId="69" fillId="6" borderId="0" xfId="0" applyFont="1" applyFill="1" applyAlignment="1" applyProtection="1">
      <alignment horizontal="right" vertical="center"/>
      <protection hidden="1"/>
    </xf>
    <xf numFmtId="0" fontId="69" fillId="6" borderId="0" xfId="0" applyFont="1" applyFill="1" applyAlignment="1" applyProtection="1">
      <alignment vertical="center"/>
      <protection hidden="1"/>
    </xf>
    <xf numFmtId="0" fontId="4" fillId="0" borderId="0" xfId="0" applyFont="1" applyAlignment="1" applyProtection="1">
      <alignment horizontal="left" vertical="top"/>
      <protection hidden="1"/>
    </xf>
    <xf numFmtId="0" fontId="21" fillId="0" borderId="0" xfId="2" applyAlignment="1" applyProtection="1">
      <alignment vertical="top"/>
      <protection hidden="1"/>
    </xf>
    <xf numFmtId="0" fontId="69" fillId="0" borderId="82" xfId="0" applyFont="1" applyBorder="1" applyAlignment="1" applyProtection="1">
      <alignment vertical="top"/>
      <protection hidden="1"/>
    </xf>
    <xf numFmtId="0" fontId="4" fillId="6" borderId="0" xfId="0" applyFont="1" applyFill="1" applyAlignment="1" applyProtection="1">
      <alignment horizontal="center" vertical="top"/>
      <protection hidden="1"/>
    </xf>
    <xf numFmtId="0" fontId="4" fillId="6" borderId="0" xfId="0" applyFont="1" applyFill="1" applyAlignment="1" applyProtection="1">
      <alignment horizontal="center"/>
      <protection hidden="1"/>
    </xf>
    <xf numFmtId="0" fontId="74" fillId="17" borderId="1" xfId="0" applyFont="1" applyFill="1" applyBorder="1" applyAlignment="1" applyProtection="1">
      <alignment horizontal="center" vertical="center"/>
      <protection locked="0"/>
    </xf>
    <xf numFmtId="0" fontId="69" fillId="0" borderId="0" xfId="0" applyFont="1" applyAlignment="1" applyProtection="1">
      <alignment horizontal="left" vertical="top" indent="4"/>
      <protection hidden="1"/>
    </xf>
    <xf numFmtId="0" fontId="13" fillId="0" borderId="0" xfId="0" applyFont="1" applyAlignment="1" applyProtection="1">
      <alignment horizontal="left" vertical="top" indent="4" shrinkToFit="1"/>
      <protection hidden="1"/>
    </xf>
    <xf numFmtId="0" fontId="7" fillId="19" borderId="21" xfId="0" applyFont="1" applyFill="1" applyBorder="1" applyAlignment="1" applyProtection="1">
      <alignment vertical="center" wrapText="1"/>
      <protection hidden="1"/>
    </xf>
    <xf numFmtId="0" fontId="7" fillId="19" borderId="27" xfId="0" applyFont="1" applyFill="1" applyBorder="1" applyAlignment="1" applyProtection="1">
      <alignment vertical="center" wrapText="1"/>
      <protection hidden="1"/>
    </xf>
    <xf numFmtId="0" fontId="0" fillId="0" borderId="0" xfId="0" applyProtection="1">
      <protection hidden="1"/>
    </xf>
    <xf numFmtId="0" fontId="76" fillId="0" borderId="0" xfId="0" applyFont="1" applyFill="1" applyBorder="1" applyAlignment="1" applyProtection="1">
      <alignment vertical="top"/>
      <protection hidden="1"/>
    </xf>
    <xf numFmtId="0" fontId="77" fillId="0" borderId="0" xfId="0" applyFont="1" applyFill="1" applyBorder="1" applyAlignment="1" applyProtection="1">
      <alignment vertical="top"/>
      <protection hidden="1"/>
    </xf>
    <xf numFmtId="0" fontId="76" fillId="0" borderId="0" xfId="0" applyFont="1" applyFill="1" applyBorder="1" applyAlignment="1" applyProtection="1">
      <alignment horizontal="center" vertical="center"/>
      <protection hidden="1"/>
    </xf>
    <xf numFmtId="0" fontId="77" fillId="0" borderId="0" xfId="0" applyFont="1" applyFill="1" applyBorder="1" applyAlignment="1" applyProtection="1">
      <alignment horizontal="center" vertical="center"/>
      <protection hidden="1"/>
    </xf>
    <xf numFmtId="0" fontId="41" fillId="0" borderId="0" xfId="0" applyFont="1" applyFill="1" applyAlignment="1" applyProtection="1">
      <alignment vertical="center"/>
      <protection hidden="1"/>
    </xf>
    <xf numFmtId="0" fontId="75" fillId="0" borderId="0" xfId="0" applyFont="1" applyFill="1" applyAlignment="1" applyProtection="1">
      <alignment vertical="center"/>
      <protection hidden="1"/>
    </xf>
    <xf numFmtId="0" fontId="75" fillId="0" borderId="0" xfId="0" applyFont="1" applyFill="1" applyAlignment="1" applyProtection="1">
      <alignment horizontal="center" vertical="center"/>
      <protection hidden="1"/>
    </xf>
    <xf numFmtId="0" fontId="75" fillId="0" borderId="0" xfId="0" applyFont="1" applyFill="1" applyAlignment="1" applyProtection="1">
      <alignment vertical="top"/>
      <protection hidden="1"/>
    </xf>
    <xf numFmtId="0" fontId="75" fillId="0" borderId="0" xfId="0" applyFont="1" applyFill="1" applyAlignment="1" applyProtection="1">
      <alignment horizontal="center" vertical="top"/>
      <protection hidden="1"/>
    </xf>
    <xf numFmtId="0" fontId="46" fillId="0" borderId="0" xfId="0" applyFont="1" applyFill="1" applyAlignment="1" applyProtection="1">
      <alignment horizontal="center" vertical="top"/>
      <protection hidden="1"/>
    </xf>
    <xf numFmtId="0" fontId="46" fillId="0" borderId="0" xfId="0" applyFont="1" applyFill="1" applyAlignment="1" applyProtection="1">
      <alignment vertical="top"/>
      <protection hidden="1"/>
    </xf>
    <xf numFmtId="0" fontId="76" fillId="0" borderId="16" xfId="0" applyFont="1" applyFill="1" applyBorder="1" applyAlignment="1" applyProtection="1">
      <alignment vertical="top" wrapText="1"/>
      <protection hidden="1"/>
    </xf>
    <xf numFmtId="0" fontId="76" fillId="0" borderId="0" xfId="0" applyFont="1" applyFill="1" applyBorder="1" applyAlignment="1" applyProtection="1">
      <alignment vertical="center"/>
      <protection hidden="1"/>
    </xf>
    <xf numFmtId="0" fontId="41" fillId="0" borderId="0" xfId="0" applyFont="1" applyFill="1" applyAlignment="1" applyProtection="1">
      <alignment horizontal="center" vertical="center"/>
      <protection hidden="1"/>
    </xf>
    <xf numFmtId="0" fontId="79" fillId="0" borderId="0" xfId="0" applyFont="1" applyFill="1" applyBorder="1" applyAlignment="1" applyProtection="1">
      <alignment horizontal="center" vertical="center"/>
      <protection hidden="1"/>
    </xf>
    <xf numFmtId="0" fontId="79" fillId="0" borderId="0" xfId="0" quotePrefix="1" applyFont="1" applyFill="1" applyBorder="1" applyAlignment="1" applyProtection="1">
      <alignment horizontal="center" vertical="center"/>
      <protection hidden="1"/>
    </xf>
    <xf numFmtId="0" fontId="36" fillId="0" borderId="0" xfId="0" applyFont="1" applyFill="1" applyAlignment="1" applyProtection="1">
      <alignment horizontal="center" vertical="center"/>
      <protection hidden="1"/>
    </xf>
    <xf numFmtId="0" fontId="37" fillId="0" borderId="0" xfId="0" applyFont="1" applyFill="1" applyAlignment="1" applyProtection="1">
      <alignment vertical="center"/>
      <protection hidden="1"/>
    </xf>
    <xf numFmtId="0" fontId="75" fillId="19" borderId="0" xfId="0" applyFont="1" applyFill="1" applyAlignment="1" applyProtection="1">
      <alignment vertical="center"/>
      <protection hidden="1"/>
    </xf>
    <xf numFmtId="0" fontId="36" fillId="19" borderId="0" xfId="0" applyFont="1" applyFill="1" applyAlignment="1" applyProtection="1">
      <alignment vertical="center"/>
      <protection hidden="1"/>
    </xf>
    <xf numFmtId="0" fontId="75" fillId="19" borderId="0" xfId="0" applyFont="1" applyFill="1" applyAlignment="1" applyProtection="1">
      <alignment horizontal="center" vertical="center"/>
      <protection hidden="1"/>
    </xf>
    <xf numFmtId="0" fontId="75" fillId="19" borderId="0" xfId="0" applyFont="1" applyFill="1" applyAlignment="1" applyProtection="1">
      <alignment vertical="top"/>
      <protection hidden="1"/>
    </xf>
    <xf numFmtId="0" fontId="76" fillId="19" borderId="0" xfId="0" applyFont="1" applyFill="1" applyBorder="1" applyAlignment="1" applyProtection="1">
      <alignment vertical="top"/>
      <protection hidden="1"/>
    </xf>
    <xf numFmtId="0" fontId="76" fillId="19" borderId="0" xfId="0" applyFont="1" applyFill="1" applyBorder="1" applyAlignment="1" applyProtection="1">
      <alignment vertical="center"/>
      <protection hidden="1"/>
    </xf>
    <xf numFmtId="0" fontId="41" fillId="19" borderId="0" xfId="0" applyFont="1" applyFill="1" applyAlignment="1" applyProtection="1">
      <alignment vertical="center"/>
      <protection hidden="1"/>
    </xf>
    <xf numFmtId="0" fontId="36" fillId="0" borderId="20" xfId="0" applyFont="1" applyFill="1" applyBorder="1" applyAlignment="1" applyProtection="1">
      <alignment horizontal="center" vertical="center"/>
      <protection hidden="1"/>
    </xf>
    <xf numFmtId="0" fontId="36" fillId="0" borderId="26" xfId="0" applyFont="1" applyFill="1" applyBorder="1" applyAlignment="1" applyProtection="1">
      <alignment horizontal="center" vertical="center"/>
      <protection hidden="1"/>
    </xf>
    <xf numFmtId="0" fontId="48" fillId="0" borderId="27" xfId="0" applyFont="1" applyFill="1" applyBorder="1" applyAlignment="1" applyProtection="1">
      <alignment horizontal="center" vertical="center"/>
      <protection hidden="1"/>
    </xf>
    <xf numFmtId="0" fontId="48" fillId="0" borderId="27" xfId="0" applyFont="1" applyFill="1" applyBorder="1" applyAlignment="1" applyProtection="1">
      <alignment vertical="center"/>
      <protection hidden="1"/>
    </xf>
    <xf numFmtId="0" fontId="48" fillId="0" borderId="28" xfId="0" applyFont="1" applyFill="1" applyBorder="1" applyAlignment="1" applyProtection="1">
      <alignment horizontal="center" vertical="center"/>
      <protection hidden="1"/>
    </xf>
    <xf numFmtId="0" fontId="40" fillId="7" borderId="72" xfId="0" applyFont="1" applyFill="1" applyBorder="1" applyAlignment="1" applyProtection="1">
      <alignment horizontal="center" vertical="center"/>
      <protection hidden="1"/>
    </xf>
    <xf numFmtId="0" fontId="15" fillId="7" borderId="72" xfId="0" applyFont="1" applyFill="1" applyBorder="1" applyAlignment="1" applyProtection="1">
      <alignment horizontal="center" vertical="center"/>
      <protection hidden="1"/>
    </xf>
    <xf numFmtId="0" fontId="78" fillId="11" borderId="11" xfId="0" applyFont="1" applyFill="1" applyBorder="1" applyAlignment="1" applyProtection="1">
      <alignment horizontal="center" vertical="center"/>
      <protection hidden="1"/>
    </xf>
    <xf numFmtId="0" fontId="78" fillId="11" borderId="12" xfId="0" applyFont="1" applyFill="1" applyBorder="1" applyAlignment="1" applyProtection="1">
      <alignment horizontal="center" vertical="center"/>
      <protection hidden="1"/>
    </xf>
    <xf numFmtId="0" fontId="78" fillId="11" borderId="13" xfId="0" applyFont="1" applyFill="1" applyBorder="1" applyAlignment="1" applyProtection="1">
      <alignment horizontal="center" vertical="center"/>
      <protection hidden="1"/>
    </xf>
    <xf numFmtId="0" fontId="78" fillId="14" borderId="14" xfId="0" applyFont="1" applyFill="1" applyBorder="1" applyAlignment="1" applyProtection="1">
      <alignment horizontal="center" vertical="center"/>
      <protection hidden="1"/>
    </xf>
    <xf numFmtId="0" fontId="78" fillId="14" borderId="12" xfId="0" applyFont="1" applyFill="1" applyBorder="1" applyAlignment="1" applyProtection="1">
      <alignment horizontal="center" vertical="center"/>
      <protection hidden="1"/>
    </xf>
    <xf numFmtId="0" fontId="78" fillId="14" borderId="15" xfId="0" applyFont="1" applyFill="1" applyBorder="1" applyAlignment="1" applyProtection="1">
      <alignment horizontal="center" vertical="center"/>
      <protection hidden="1"/>
    </xf>
    <xf numFmtId="0" fontId="36" fillId="12" borderId="50" xfId="0" applyFont="1" applyFill="1" applyBorder="1" applyAlignment="1" applyProtection="1">
      <alignment horizontal="center" vertical="center"/>
      <protection hidden="1"/>
    </xf>
    <xf numFmtId="0" fontId="48" fillId="12" borderId="39" xfId="0" applyFont="1" applyFill="1" applyBorder="1" applyAlignment="1" applyProtection="1">
      <alignment horizontal="center" vertical="center"/>
      <protection hidden="1"/>
    </xf>
    <xf numFmtId="0" fontId="48" fillId="12" borderId="39" xfId="0" applyFont="1" applyFill="1" applyBorder="1" applyAlignment="1" applyProtection="1">
      <alignment vertical="center" wrapText="1"/>
      <protection hidden="1"/>
    </xf>
    <xf numFmtId="0" fontId="48" fillId="12" borderId="60" xfId="0" applyFont="1" applyFill="1" applyBorder="1" applyAlignment="1" applyProtection="1">
      <alignment horizontal="center" vertical="center"/>
      <protection hidden="1"/>
    </xf>
    <xf numFmtId="0" fontId="44" fillId="0" borderId="50" xfId="0" applyFont="1" applyFill="1" applyBorder="1" applyAlignment="1" applyProtection="1">
      <alignment horizontal="center" vertical="top"/>
      <protection locked="0"/>
    </xf>
    <xf numFmtId="0" fontId="44" fillId="0" borderId="39" xfId="0" applyFont="1" applyFill="1" applyBorder="1" applyAlignment="1" applyProtection="1">
      <alignment horizontal="center" vertical="top"/>
      <protection locked="0"/>
    </xf>
    <xf numFmtId="0" fontId="44" fillId="0" borderId="60" xfId="0" applyFont="1" applyFill="1" applyBorder="1" applyAlignment="1" applyProtection="1">
      <alignment horizontal="center" vertical="top"/>
      <protection locked="0"/>
    </xf>
    <xf numFmtId="0" fontId="44" fillId="0" borderId="45" xfId="0" applyFont="1" applyFill="1" applyBorder="1" applyAlignment="1" applyProtection="1">
      <alignment horizontal="left" vertical="top" wrapText="1"/>
      <protection locked="0"/>
    </xf>
    <xf numFmtId="0" fontId="44" fillId="0" borderId="39" xfId="0" applyFont="1" applyFill="1" applyBorder="1" applyAlignment="1" applyProtection="1">
      <alignment horizontal="center" vertical="top" wrapText="1"/>
      <protection locked="0"/>
    </xf>
    <xf numFmtId="0" fontId="44" fillId="0" borderId="44" xfId="0" applyFont="1" applyFill="1" applyBorder="1" applyAlignment="1" applyProtection="1">
      <alignment horizontal="left" vertical="top" wrapText="1"/>
      <protection locked="0"/>
    </xf>
    <xf numFmtId="0" fontId="44" fillId="13" borderId="61" xfId="0" applyFont="1" applyFill="1" applyBorder="1" applyAlignment="1" applyProtection="1">
      <alignment horizontal="left" vertical="top" wrapText="1"/>
      <protection locked="0"/>
    </xf>
    <xf numFmtId="0" fontId="44" fillId="13" borderId="39" xfId="0" applyFont="1" applyFill="1" applyBorder="1" applyAlignment="1" applyProtection="1">
      <alignment horizontal="center" vertical="top" wrapText="1"/>
      <protection locked="0"/>
    </xf>
    <xf numFmtId="0" fontId="44" fillId="13" borderId="62" xfId="0" applyFont="1" applyFill="1" applyBorder="1" applyAlignment="1" applyProtection="1">
      <alignment horizontal="left" vertical="top" wrapText="1"/>
      <protection locked="0"/>
    </xf>
    <xf numFmtId="0" fontId="44" fillId="5" borderId="61" xfId="0" applyFont="1" applyFill="1" applyBorder="1" applyAlignment="1" applyProtection="1">
      <alignment vertical="top" wrapText="1"/>
      <protection locked="0"/>
    </xf>
    <xf numFmtId="0" fontId="44" fillId="5" borderId="39" xfId="0" applyFont="1" applyFill="1" applyBorder="1" applyAlignment="1" applyProtection="1">
      <alignment horizontal="center" vertical="top" wrapText="1"/>
      <protection locked="0"/>
    </xf>
    <xf numFmtId="0" fontId="44" fillId="5" borderId="60" xfId="0" applyFont="1" applyFill="1" applyBorder="1" applyAlignment="1" applyProtection="1">
      <alignment horizontal="left" vertical="top" wrapText="1"/>
      <protection locked="0"/>
    </xf>
    <xf numFmtId="0" fontId="36" fillId="12" borderId="26" xfId="0" applyFont="1" applyFill="1" applyBorder="1" applyAlignment="1" applyProtection="1">
      <alignment horizontal="center" vertical="center"/>
      <protection hidden="1"/>
    </xf>
    <xf numFmtId="0" fontId="48" fillId="12" borderId="27" xfId="0" applyFont="1" applyFill="1" applyBorder="1" applyAlignment="1" applyProtection="1">
      <alignment horizontal="center" vertical="center"/>
      <protection hidden="1"/>
    </xf>
    <xf numFmtId="0" fontId="48" fillId="12" borderId="27" xfId="0" applyFont="1" applyFill="1" applyBorder="1" applyAlignment="1" applyProtection="1">
      <alignment vertical="center" wrapText="1"/>
      <protection hidden="1"/>
    </xf>
    <xf numFmtId="0" fontId="48" fillId="12" borderId="28" xfId="0" applyFont="1" applyFill="1" applyBorder="1" applyAlignment="1" applyProtection="1">
      <alignment horizontal="center" vertical="center"/>
      <protection hidden="1"/>
    </xf>
    <xf numFmtId="0" fontId="44" fillId="0" borderId="26" xfId="0" applyFont="1" applyFill="1" applyBorder="1" applyAlignment="1" applyProtection="1">
      <alignment horizontal="center" vertical="top"/>
      <protection locked="0"/>
    </xf>
    <xf numFmtId="0" fontId="44" fillId="0" borderId="27" xfId="0" applyFont="1" applyFill="1" applyBorder="1" applyAlignment="1" applyProtection="1">
      <alignment horizontal="center" vertical="top"/>
      <protection locked="0"/>
    </xf>
    <xf numFmtId="0" fontId="44" fillId="0" borderId="28" xfId="0" applyFont="1" applyFill="1" applyBorder="1" applyAlignment="1" applyProtection="1">
      <alignment horizontal="center" vertical="top"/>
      <protection locked="0"/>
    </xf>
    <xf numFmtId="0" fontId="44" fillId="0" borderId="27" xfId="0" applyFont="1" applyFill="1" applyBorder="1" applyAlignment="1" applyProtection="1">
      <alignment horizontal="center" vertical="top" wrapText="1"/>
      <protection locked="0"/>
    </xf>
    <xf numFmtId="0" fontId="44" fillId="0" borderId="30" xfId="0" applyFont="1" applyFill="1" applyBorder="1" applyAlignment="1" applyProtection="1">
      <alignment horizontal="left" vertical="top" wrapText="1"/>
      <protection locked="0"/>
    </xf>
    <xf numFmtId="0" fontId="44" fillId="13" borderId="63" xfId="0" applyFont="1" applyFill="1" applyBorder="1" applyAlignment="1" applyProtection="1">
      <alignment horizontal="left" vertical="top" wrapText="1"/>
      <protection locked="0"/>
    </xf>
    <xf numFmtId="0" fontId="44" fillId="13" borderId="27" xfId="0" applyFont="1" applyFill="1" applyBorder="1" applyAlignment="1" applyProtection="1">
      <alignment horizontal="center" vertical="top" wrapText="1"/>
      <protection locked="0"/>
    </xf>
    <xf numFmtId="0" fontId="44" fillId="13" borderId="64" xfId="0" applyFont="1" applyFill="1" applyBorder="1" applyAlignment="1" applyProtection="1">
      <alignment horizontal="left" vertical="top" wrapText="1"/>
      <protection locked="0"/>
    </xf>
    <xf numFmtId="0" fontId="44" fillId="0" borderId="29" xfId="0" applyFont="1" applyFill="1" applyBorder="1" applyAlignment="1" applyProtection="1">
      <alignment horizontal="left" vertical="top" wrapText="1"/>
      <protection locked="0"/>
    </xf>
    <xf numFmtId="0" fontId="44" fillId="5" borderId="63" xfId="0" applyFont="1" applyFill="1" applyBorder="1" applyAlignment="1" applyProtection="1">
      <alignment vertical="top" wrapText="1"/>
      <protection locked="0"/>
    </xf>
    <xf numFmtId="0" fontId="44" fillId="5" borderId="27" xfId="0" applyFont="1" applyFill="1" applyBorder="1" applyAlignment="1" applyProtection="1">
      <alignment horizontal="center" vertical="top" wrapText="1"/>
      <protection locked="0"/>
    </xf>
    <xf numFmtId="0" fontId="44" fillId="5" borderId="28" xfId="0" applyFont="1" applyFill="1" applyBorder="1" applyAlignment="1" applyProtection="1">
      <alignment horizontal="left" vertical="top" wrapText="1"/>
      <protection locked="0"/>
    </xf>
    <xf numFmtId="0" fontId="4" fillId="11" borderId="70" xfId="0" applyFont="1" applyFill="1" applyBorder="1" applyAlignment="1" applyProtection="1">
      <alignment horizontal="center" vertical="center"/>
      <protection hidden="1"/>
    </xf>
    <xf numFmtId="0" fontId="0" fillId="3" borderId="0" xfId="0" applyFill="1" applyProtection="1">
      <protection hidden="1"/>
    </xf>
    <xf numFmtId="0" fontId="76" fillId="0" borderId="16" xfId="0" applyFont="1" applyFill="1" applyBorder="1" applyAlignment="1" applyProtection="1">
      <alignment vertical="top" wrapText="1"/>
      <protection hidden="1"/>
    </xf>
    <xf numFmtId="0" fontId="44" fillId="17" borderId="48" xfId="0" applyFont="1" applyFill="1" applyBorder="1" applyAlignment="1" applyProtection="1">
      <alignment horizontal="center" vertical="center" shrinkToFit="1"/>
      <protection locked="0"/>
    </xf>
    <xf numFmtId="0" fontId="44" fillId="17" borderId="48" xfId="0" applyFont="1" applyFill="1" applyBorder="1" applyAlignment="1" applyProtection="1">
      <alignment vertical="center" shrinkToFit="1"/>
      <protection locked="0"/>
    </xf>
    <xf numFmtId="0" fontId="44" fillId="17" borderId="37" xfId="0" applyFont="1" applyFill="1" applyBorder="1" applyAlignment="1" applyProtection="1">
      <alignment horizontal="center" vertical="center" shrinkToFit="1"/>
      <protection locked="0"/>
    </xf>
    <xf numFmtId="0" fontId="67" fillId="0" borderId="19" xfId="0" applyFont="1" applyBorder="1" applyAlignment="1" applyProtection="1">
      <alignment vertical="center"/>
      <protection hidden="1"/>
    </xf>
    <xf numFmtId="0" fontId="67" fillId="0" borderId="19" xfId="0" applyFont="1" applyBorder="1" applyAlignment="1" applyProtection="1">
      <alignment horizontal="center" vertical="center"/>
      <protection hidden="1"/>
    </xf>
    <xf numFmtId="0" fontId="67" fillId="0" borderId="0" xfId="0" applyFont="1" applyAlignment="1" applyProtection="1">
      <alignment horizontal="center" vertical="center"/>
      <protection hidden="1"/>
    </xf>
    <xf numFmtId="0" fontId="86" fillId="0" borderId="0" xfId="0" applyFont="1" applyAlignment="1" applyProtection="1">
      <alignment vertical="center"/>
      <protection hidden="1"/>
    </xf>
    <xf numFmtId="0" fontId="87" fillId="0" borderId="0" xfId="0" applyFont="1" applyAlignment="1" applyProtection="1">
      <alignment horizontal="right" vertical="center"/>
      <protection hidden="1"/>
    </xf>
    <xf numFmtId="0" fontId="67" fillId="15" borderId="0" xfId="0" applyFont="1" applyFill="1" applyAlignment="1" applyProtection="1">
      <alignment vertical="center"/>
      <protection hidden="1"/>
    </xf>
    <xf numFmtId="0" fontId="67" fillId="12" borderId="0" xfId="0" applyFont="1" applyFill="1" applyAlignment="1" applyProtection="1">
      <alignment vertical="center"/>
      <protection hidden="1"/>
    </xf>
    <xf numFmtId="0" fontId="89" fillId="12" borderId="0" xfId="0" applyFont="1" applyFill="1" applyAlignment="1" applyProtection="1">
      <alignment horizontal="center" vertical="center"/>
      <protection hidden="1"/>
    </xf>
    <xf numFmtId="0" fontId="71" fillId="0" borderId="19" xfId="0" applyFont="1" applyBorder="1" applyAlignment="1" applyProtection="1">
      <alignment vertical="center"/>
      <protection hidden="1"/>
    </xf>
    <xf numFmtId="0" fontId="67" fillId="0" borderId="0" xfId="0" applyFont="1" applyAlignment="1" applyProtection="1">
      <alignment horizontal="left" vertical="center" shrinkToFit="1"/>
      <protection hidden="1"/>
    </xf>
    <xf numFmtId="0" fontId="49" fillId="15" borderId="0" xfId="0" applyFont="1" applyFill="1" applyBorder="1" applyAlignment="1" applyProtection="1">
      <alignment horizontal="right" vertical="center" shrinkToFit="1"/>
      <protection hidden="1"/>
    </xf>
    <xf numFmtId="0" fontId="54" fillId="15" borderId="0" xfId="0" applyFont="1" applyFill="1" applyAlignment="1" applyProtection="1">
      <alignment vertical="center"/>
      <protection hidden="1"/>
    </xf>
    <xf numFmtId="0" fontId="50" fillId="15" borderId="0" xfId="0" applyFont="1" applyFill="1" applyBorder="1" applyAlignment="1" applyProtection="1">
      <alignment horizontal="center" vertical="center" textRotation="90" shrinkToFit="1"/>
      <protection hidden="1"/>
    </xf>
    <xf numFmtId="0" fontId="45" fillId="15" borderId="0" xfId="0" applyFont="1" applyFill="1" applyBorder="1" applyAlignment="1" applyProtection="1">
      <alignment horizontal="center" vertical="center" textRotation="90" shrinkToFit="1"/>
      <protection hidden="1"/>
    </xf>
    <xf numFmtId="0" fontId="45" fillId="15" borderId="0" xfId="0" applyFont="1" applyFill="1" applyBorder="1" applyAlignment="1" applyProtection="1">
      <alignment horizontal="right" vertical="center" shrinkToFit="1"/>
      <protection hidden="1"/>
    </xf>
    <xf numFmtId="0" fontId="21" fillId="15" borderId="0" xfId="2" applyFill="1" applyAlignment="1" applyProtection="1">
      <alignment vertical="center"/>
      <protection hidden="1"/>
    </xf>
    <xf numFmtId="0" fontId="41" fillId="15" borderId="0" xfId="0" quotePrefix="1" applyFont="1" applyFill="1" applyAlignment="1" applyProtection="1">
      <alignment vertical="center"/>
      <protection hidden="1"/>
    </xf>
    <xf numFmtId="0" fontId="31" fillId="15" borderId="0" xfId="2" applyFont="1" applyFill="1" applyAlignment="1" applyProtection="1">
      <alignment vertical="center"/>
      <protection hidden="1"/>
    </xf>
    <xf numFmtId="0" fontId="90" fillId="15" borderId="0" xfId="0" applyFont="1" applyFill="1" applyAlignment="1" applyProtection="1">
      <alignment horizontal="center" vertical="center"/>
      <protection hidden="1"/>
    </xf>
    <xf numFmtId="0" fontId="44" fillId="28" borderId="93" xfId="0" applyFont="1" applyFill="1" applyBorder="1" applyAlignment="1" applyProtection="1">
      <alignment horizontal="left" vertical="center" shrinkToFit="1"/>
      <protection locked="0"/>
    </xf>
    <xf numFmtId="14" fontId="44" fillId="28" borderId="94" xfId="0" applyNumberFormat="1" applyFont="1" applyFill="1" applyBorder="1" applyAlignment="1" applyProtection="1">
      <alignment horizontal="center" vertical="center" shrinkToFit="1"/>
      <protection locked="0"/>
    </xf>
    <xf numFmtId="0" fontId="44" fillId="28" borderId="94" xfId="0" applyFont="1" applyFill="1" applyBorder="1" applyAlignment="1" applyProtection="1">
      <alignment horizontal="left" vertical="center" shrinkToFit="1"/>
      <protection locked="0"/>
    </xf>
    <xf numFmtId="0" fontId="44" fillId="28" borderId="94" xfId="0" applyFont="1" applyFill="1" applyBorder="1" applyAlignment="1" applyProtection="1">
      <alignment horizontal="center" vertical="center" shrinkToFit="1"/>
      <protection locked="0"/>
    </xf>
    <xf numFmtId="0" fontId="44" fillId="28" borderId="95" xfId="0" applyFont="1" applyFill="1" applyBorder="1" applyAlignment="1" applyProtection="1">
      <alignment horizontal="left" vertical="center" shrinkToFit="1"/>
      <protection locked="0"/>
    </xf>
    <xf numFmtId="0" fontId="44" fillId="28" borderId="96" xfId="0" applyFont="1" applyFill="1" applyBorder="1" applyAlignment="1" applyProtection="1">
      <alignment horizontal="left" vertical="center" shrinkToFit="1"/>
      <protection locked="0"/>
    </xf>
    <xf numFmtId="0" fontId="44" fillId="28" borderId="97" xfId="0" applyFont="1" applyFill="1" applyBorder="1" applyAlignment="1" applyProtection="1">
      <alignment horizontal="center" vertical="center" shrinkToFit="1"/>
      <protection locked="0"/>
    </xf>
    <xf numFmtId="0" fontId="44" fillId="28" borderId="97" xfId="0" applyFont="1" applyFill="1" applyBorder="1" applyAlignment="1" applyProtection="1">
      <alignment horizontal="left" vertical="center" shrinkToFit="1"/>
      <protection locked="0"/>
    </xf>
    <xf numFmtId="0" fontId="44" fillId="28" borderId="98" xfId="0" applyFont="1" applyFill="1" applyBorder="1" applyAlignment="1" applyProtection="1">
      <alignment horizontal="left" vertical="center" shrinkToFit="1"/>
      <protection locked="0"/>
    </xf>
    <xf numFmtId="0" fontId="44" fillId="28" borderId="99" xfId="0" applyFont="1" applyFill="1" applyBorder="1" applyAlignment="1" applyProtection="1">
      <alignment horizontal="left" vertical="center" shrinkToFit="1"/>
      <protection locked="0"/>
    </xf>
    <xf numFmtId="0" fontId="44" fillId="28" borderId="100" xfId="0" applyFont="1" applyFill="1" applyBorder="1" applyAlignment="1" applyProtection="1">
      <alignment horizontal="center" vertical="center" shrinkToFit="1"/>
      <protection locked="0"/>
    </xf>
    <xf numFmtId="0" fontId="44" fillId="28" borderId="100" xfId="0" applyFont="1" applyFill="1" applyBorder="1" applyAlignment="1" applyProtection="1">
      <alignment horizontal="left" vertical="center" shrinkToFit="1"/>
      <protection locked="0"/>
    </xf>
    <xf numFmtId="0" fontId="44" fillId="28" borderId="101" xfId="0" applyFont="1" applyFill="1" applyBorder="1" applyAlignment="1" applyProtection="1">
      <alignment horizontal="left" vertical="center" shrinkToFit="1"/>
      <protection locked="0"/>
    </xf>
    <xf numFmtId="0" fontId="44" fillId="28" borderId="102" xfId="0" applyFont="1" applyFill="1" applyBorder="1" applyAlignment="1" applyProtection="1">
      <alignment horizontal="center" vertical="center" shrinkToFit="1"/>
      <protection locked="0"/>
    </xf>
    <xf numFmtId="14" fontId="44" fillId="28" borderId="95" xfId="0" applyNumberFormat="1" applyFont="1" applyFill="1" applyBorder="1" applyAlignment="1" applyProtection="1">
      <alignment horizontal="center" vertical="center" shrinkToFit="1"/>
      <protection locked="0"/>
    </xf>
    <xf numFmtId="0" fontId="44" fillId="28" borderId="103" xfId="0" applyFont="1" applyFill="1" applyBorder="1" applyAlignment="1" applyProtection="1">
      <alignment horizontal="center" vertical="center" shrinkToFit="1"/>
      <protection locked="0"/>
    </xf>
    <xf numFmtId="0" fontId="44" fillId="28" borderId="98" xfId="0" applyFont="1" applyFill="1" applyBorder="1" applyAlignment="1" applyProtection="1">
      <alignment horizontal="center" vertical="center" shrinkToFit="1"/>
      <protection locked="0"/>
    </xf>
    <xf numFmtId="0" fontId="44" fillId="28" borderId="104" xfId="0" applyFont="1" applyFill="1" applyBorder="1" applyAlignment="1" applyProtection="1">
      <alignment horizontal="center" vertical="center" shrinkToFit="1"/>
      <protection locked="0"/>
    </xf>
    <xf numFmtId="0" fontId="44" fillId="28" borderId="101" xfId="0" applyFont="1" applyFill="1" applyBorder="1" applyAlignment="1" applyProtection="1">
      <alignment horizontal="center" vertical="center" shrinkToFit="1"/>
      <protection locked="0"/>
    </xf>
    <xf numFmtId="0" fontId="44" fillId="28" borderId="102" xfId="0" applyFont="1" applyFill="1" applyBorder="1" applyAlignment="1" applyProtection="1">
      <alignment horizontal="left" vertical="center" shrinkToFit="1"/>
      <protection locked="0"/>
    </xf>
    <xf numFmtId="0" fontId="44" fillId="28" borderId="103" xfId="0" applyFont="1" applyFill="1" applyBorder="1" applyAlignment="1" applyProtection="1">
      <alignment horizontal="left" vertical="center" shrinkToFit="1"/>
      <protection locked="0"/>
    </xf>
    <xf numFmtId="0" fontId="44" fillId="28" borderId="104" xfId="0" applyFont="1" applyFill="1" applyBorder="1" applyAlignment="1" applyProtection="1">
      <alignment horizontal="left" vertical="center" shrinkToFit="1"/>
      <protection locked="0"/>
    </xf>
    <xf numFmtId="0" fontId="4" fillId="4" borderId="0" xfId="0" applyFont="1" applyFill="1" applyAlignment="1" applyProtection="1">
      <alignment vertical="center"/>
      <protection hidden="1"/>
    </xf>
    <xf numFmtId="0" fontId="2" fillId="4" borderId="0" xfId="0" applyFont="1" applyFill="1" applyAlignment="1" applyProtection="1">
      <alignment horizontal="center" vertical="center"/>
      <protection hidden="1"/>
    </xf>
    <xf numFmtId="0" fontId="29" fillId="4" borderId="0" xfId="0" applyFont="1" applyFill="1" applyAlignment="1" applyProtection="1">
      <alignment horizontal="center" vertical="center"/>
      <protection hidden="1"/>
    </xf>
    <xf numFmtId="0" fontId="4" fillId="18" borderId="0" xfId="0" applyFont="1" applyFill="1" applyAlignment="1" applyProtection="1">
      <alignment vertical="center"/>
      <protection hidden="1"/>
    </xf>
    <xf numFmtId="0" fontId="4" fillId="18" borderId="0" xfId="0" applyFont="1" applyFill="1" applyAlignment="1" applyProtection="1">
      <alignment horizontal="center" vertical="center"/>
      <protection hidden="1"/>
    </xf>
    <xf numFmtId="0" fontId="14" fillId="18" borderId="0" xfId="0" applyFont="1" applyFill="1" applyBorder="1" applyAlignment="1" applyProtection="1">
      <alignment vertical="center"/>
      <protection hidden="1"/>
    </xf>
    <xf numFmtId="0" fontId="6" fillId="18" borderId="0" xfId="0" applyFont="1" applyFill="1" applyBorder="1" applyAlignment="1" applyProtection="1">
      <alignment vertical="center"/>
      <protection hidden="1"/>
    </xf>
    <xf numFmtId="0" fontId="20" fillId="18" borderId="0" xfId="0" applyFont="1" applyFill="1" applyBorder="1" applyAlignment="1" applyProtection="1">
      <alignment vertical="center"/>
      <protection hidden="1"/>
    </xf>
    <xf numFmtId="0" fontId="4" fillId="29" borderId="19" xfId="0" quotePrefix="1" applyFont="1" applyFill="1" applyBorder="1" applyAlignment="1" applyProtection="1">
      <alignment horizontal="center" vertical="center"/>
      <protection hidden="1"/>
    </xf>
    <xf numFmtId="0" fontId="4" fillId="29" borderId="34" xfId="0" quotePrefix="1" applyFont="1" applyFill="1" applyBorder="1" applyAlignment="1" applyProtection="1">
      <alignment horizontal="center" vertical="center"/>
      <protection hidden="1"/>
    </xf>
    <xf numFmtId="0" fontId="82" fillId="0" borderId="0" xfId="0" applyFont="1" applyAlignment="1" applyProtection="1">
      <alignment vertical="center"/>
      <protection hidden="1"/>
    </xf>
    <xf numFmtId="0" fontId="102" fillId="0" borderId="0" xfId="0" applyFont="1" applyAlignment="1" applyProtection="1">
      <alignment vertical="center"/>
      <protection hidden="1"/>
    </xf>
    <xf numFmtId="0" fontId="103" fillId="11" borderId="1" xfId="2" applyFont="1" applyFill="1" applyBorder="1" applyAlignment="1" applyProtection="1">
      <alignment horizontal="center" vertical="center"/>
      <protection locked="0" hidden="1"/>
    </xf>
    <xf numFmtId="0" fontId="51" fillId="16" borderId="16" xfId="0" applyFont="1" applyFill="1" applyBorder="1" applyAlignment="1" applyProtection="1">
      <alignment vertical="center" shrinkToFit="1"/>
      <protection hidden="1"/>
    </xf>
    <xf numFmtId="0" fontId="2" fillId="19" borderId="65" xfId="0" applyFont="1" applyFill="1" applyBorder="1" applyAlignment="1" applyProtection="1">
      <alignment horizontal="center" vertical="center"/>
      <protection hidden="1"/>
    </xf>
    <xf numFmtId="0" fontId="7" fillId="19" borderId="66" xfId="0" applyFont="1" applyFill="1" applyBorder="1" applyAlignment="1" applyProtection="1">
      <alignment horizontal="center" vertical="center"/>
      <protection hidden="1"/>
    </xf>
    <xf numFmtId="0" fontId="7" fillId="19" borderId="66" xfId="0" applyFont="1" applyFill="1" applyBorder="1" applyAlignment="1" applyProtection="1">
      <alignment vertical="center" wrapText="1"/>
      <protection hidden="1"/>
    </xf>
    <xf numFmtId="0" fontId="7" fillId="19" borderId="69" xfId="0" applyFont="1" applyFill="1" applyBorder="1" applyAlignment="1" applyProtection="1">
      <alignment horizontal="center" vertical="center"/>
      <protection hidden="1"/>
    </xf>
    <xf numFmtId="0" fontId="2" fillId="19" borderId="4" xfId="0" applyFont="1" applyFill="1" applyBorder="1" applyAlignment="1" applyProtection="1">
      <alignment horizontal="center" vertical="center"/>
      <protection hidden="1"/>
    </xf>
    <xf numFmtId="0" fontId="7" fillId="19" borderId="1" xfId="0" applyFont="1" applyFill="1" applyBorder="1" applyAlignment="1" applyProtection="1">
      <alignment horizontal="center" vertical="center"/>
      <protection hidden="1"/>
    </xf>
    <xf numFmtId="0" fontId="7" fillId="19" borderId="1" xfId="0" applyFont="1" applyFill="1" applyBorder="1" applyAlignment="1" applyProtection="1">
      <alignment vertical="center" wrapText="1"/>
      <protection hidden="1"/>
    </xf>
    <xf numFmtId="0" fontId="7" fillId="19" borderId="5" xfId="0" applyFont="1" applyFill="1" applyBorder="1" applyAlignment="1" applyProtection="1">
      <alignment horizontal="center" vertical="center"/>
      <protection hidden="1"/>
    </xf>
    <xf numFmtId="0" fontId="8" fillId="0" borderId="4" xfId="0" applyFont="1" applyBorder="1" applyAlignment="1" applyProtection="1">
      <alignment horizontal="center" vertical="center"/>
      <protection locked="0"/>
    </xf>
    <xf numFmtId="0" fontId="8" fillId="0" borderId="1" xfId="0" applyFont="1" applyBorder="1" applyAlignment="1" applyProtection="1">
      <alignment horizontal="center" vertical="center"/>
      <protection locked="0"/>
    </xf>
    <xf numFmtId="0" fontId="8" fillId="0" borderId="5" xfId="0" applyFont="1" applyBorder="1" applyAlignment="1" applyProtection="1">
      <alignment horizontal="center" vertical="center"/>
      <protection locked="0"/>
    </xf>
    <xf numFmtId="0" fontId="2" fillId="9" borderId="35" xfId="0" applyFont="1" applyFill="1" applyBorder="1" applyAlignment="1" applyProtection="1">
      <alignment horizontal="center" vertical="center"/>
      <protection hidden="1"/>
    </xf>
    <xf numFmtId="0" fontId="8" fillId="0" borderId="2" xfId="0" applyFont="1" applyBorder="1" applyAlignment="1" applyProtection="1">
      <alignment horizontal="center" vertical="center"/>
      <protection locked="0"/>
    </xf>
    <xf numFmtId="0" fontId="2" fillId="9" borderId="4" xfId="0" applyFont="1" applyFill="1" applyBorder="1" applyAlignment="1" applyProtection="1">
      <alignment horizontal="center" vertical="center"/>
      <protection hidden="1"/>
    </xf>
    <xf numFmtId="1" fontId="3" fillId="9" borderId="1" xfId="0" applyNumberFormat="1" applyFont="1" applyFill="1" applyBorder="1" applyAlignment="1" applyProtection="1">
      <alignment horizontal="center" vertical="center"/>
      <protection hidden="1"/>
    </xf>
    <xf numFmtId="1" fontId="3" fillId="9" borderId="2" xfId="0" applyNumberFormat="1" applyFont="1" applyFill="1" applyBorder="1" applyAlignment="1" applyProtection="1">
      <alignment horizontal="center" vertical="center"/>
      <protection hidden="1"/>
    </xf>
    <xf numFmtId="0" fontId="56" fillId="9" borderId="112" xfId="0" applyFont="1" applyFill="1" applyBorder="1" applyAlignment="1" applyProtection="1">
      <alignment vertical="center" wrapText="1" shrinkToFit="1"/>
      <protection hidden="1"/>
    </xf>
    <xf numFmtId="0" fontId="2" fillId="21" borderId="35" xfId="0" applyFont="1" applyFill="1" applyBorder="1" applyAlignment="1" applyProtection="1">
      <alignment horizontal="center" vertical="center"/>
      <protection hidden="1"/>
    </xf>
    <xf numFmtId="1" fontId="3" fillId="21" borderId="1" xfId="0" applyNumberFormat="1" applyFont="1" applyFill="1" applyBorder="1" applyAlignment="1" applyProtection="1">
      <alignment horizontal="center" vertical="center"/>
      <protection hidden="1"/>
    </xf>
    <xf numFmtId="1" fontId="3" fillId="21" borderId="1" xfId="0" applyNumberFormat="1" applyFont="1" applyFill="1" applyBorder="1" applyAlignment="1" applyProtection="1">
      <alignment vertical="center"/>
      <protection hidden="1"/>
    </xf>
    <xf numFmtId="1" fontId="3" fillId="21" borderId="2" xfId="0" applyNumberFormat="1" applyFont="1" applyFill="1" applyBorder="1" applyAlignment="1" applyProtection="1">
      <alignment horizontal="center" vertical="center"/>
      <protection hidden="1"/>
    </xf>
    <xf numFmtId="0" fontId="56" fillId="21" borderId="112" xfId="0" applyFont="1" applyFill="1" applyBorder="1" applyAlignment="1" applyProtection="1">
      <alignment vertical="center" wrapText="1" shrinkToFit="1"/>
      <protection hidden="1"/>
    </xf>
    <xf numFmtId="0" fontId="105" fillId="26" borderId="0" xfId="0" applyFont="1" applyFill="1" applyBorder="1" applyAlignment="1" applyProtection="1">
      <alignment vertical="center"/>
      <protection hidden="1"/>
    </xf>
    <xf numFmtId="0" fontId="41" fillId="31" borderId="109" xfId="0" applyFont="1" applyFill="1" applyBorder="1" applyAlignment="1" applyProtection="1">
      <alignment vertical="center"/>
      <protection locked="0"/>
    </xf>
    <xf numFmtId="0" fontId="41" fillId="31" borderId="108" xfId="0" applyFont="1" applyFill="1" applyBorder="1" applyAlignment="1" applyProtection="1">
      <alignment horizontal="center" vertical="center"/>
      <protection locked="0"/>
    </xf>
    <xf numFmtId="0" fontId="41" fillId="31" borderId="109" xfId="0" applyFont="1" applyFill="1" applyBorder="1" applyAlignment="1" applyProtection="1">
      <alignment horizontal="center" vertical="center"/>
      <protection locked="0"/>
    </xf>
    <xf numFmtId="0" fontId="47" fillId="22" borderId="0" xfId="0" applyFont="1" applyFill="1" applyAlignment="1" applyProtection="1">
      <alignment vertical="top" wrapText="1"/>
      <protection hidden="1"/>
    </xf>
    <xf numFmtId="164" fontId="9" fillId="9" borderId="1" xfId="1" applyFont="1" applyFill="1" applyBorder="1" applyAlignment="1" applyProtection="1">
      <alignment horizontal="center" vertical="center"/>
      <protection hidden="1"/>
    </xf>
    <xf numFmtId="164" fontId="9" fillId="21" borderId="1" xfId="1" applyFont="1" applyFill="1" applyBorder="1" applyAlignment="1" applyProtection="1">
      <alignment horizontal="center" vertical="center"/>
      <protection hidden="1"/>
    </xf>
    <xf numFmtId="0" fontId="4" fillId="0" borderId="0" xfId="0" applyFont="1" applyAlignment="1" applyProtection="1">
      <alignment vertical="top"/>
      <protection hidden="1"/>
    </xf>
    <xf numFmtId="0" fontId="76" fillId="0" borderId="0" xfId="0" applyFont="1" applyFill="1" applyBorder="1" applyAlignment="1" applyProtection="1">
      <alignment horizontal="right" vertical="top"/>
      <protection hidden="1"/>
    </xf>
    <xf numFmtId="0" fontId="8" fillId="0" borderId="12" xfId="0" applyFont="1" applyBorder="1" applyAlignment="1" applyProtection="1">
      <alignment horizontal="center" vertical="center"/>
      <protection locked="0"/>
    </xf>
    <xf numFmtId="0" fontId="8" fillId="0" borderId="13" xfId="0" applyFont="1" applyBorder="1" applyAlignment="1" applyProtection="1">
      <alignment horizontal="center" vertical="center"/>
      <protection locked="0"/>
    </xf>
    <xf numFmtId="0" fontId="8" fillId="0" borderId="11" xfId="0" applyFont="1" applyBorder="1" applyAlignment="1" applyProtection="1">
      <alignment horizontal="center" vertical="center"/>
      <protection locked="0"/>
    </xf>
    <xf numFmtId="0" fontId="8" fillId="0" borderId="15" xfId="0" applyFont="1" applyBorder="1" applyAlignment="1" applyProtection="1">
      <alignment horizontal="center" vertical="center"/>
      <protection locked="0"/>
    </xf>
    <xf numFmtId="0" fontId="39" fillId="7" borderId="72" xfId="0" applyFont="1" applyFill="1" applyBorder="1" applyAlignment="1" applyProtection="1">
      <alignment horizontal="center" vertical="center"/>
      <protection hidden="1"/>
    </xf>
    <xf numFmtId="0" fontId="79" fillId="0" borderId="0" xfId="0" applyFont="1" applyFill="1" applyBorder="1" applyAlignment="1" applyProtection="1">
      <alignment vertical="center"/>
      <protection hidden="1"/>
    </xf>
    <xf numFmtId="0" fontId="0" fillId="4" borderId="0" xfId="0" applyFill="1"/>
    <xf numFmtId="0" fontId="27" fillId="29" borderId="10" xfId="0" applyFont="1" applyFill="1" applyBorder="1" applyAlignment="1" applyProtection="1">
      <alignment horizontal="center" vertical="center"/>
      <protection hidden="1"/>
    </xf>
    <xf numFmtId="0" fontId="27" fillId="29" borderId="2" xfId="0" applyFont="1" applyFill="1" applyBorder="1" applyAlignment="1" applyProtection="1">
      <alignment horizontal="center" vertical="center"/>
      <protection hidden="1"/>
    </xf>
    <xf numFmtId="0" fontId="27" fillId="29" borderId="9" xfId="0" applyFont="1" applyFill="1" applyBorder="1" applyAlignment="1" applyProtection="1">
      <alignment horizontal="center" vertical="center"/>
      <protection hidden="1"/>
    </xf>
    <xf numFmtId="0" fontId="27" fillId="29" borderId="3" xfId="0" applyFont="1" applyFill="1" applyBorder="1" applyAlignment="1" applyProtection="1">
      <alignment horizontal="center" vertical="center"/>
      <protection hidden="1"/>
    </xf>
    <xf numFmtId="0" fontId="115" fillId="0" borderId="0" xfId="0" applyFont="1" applyAlignment="1" applyProtection="1">
      <alignment vertical="center"/>
      <protection hidden="1"/>
    </xf>
    <xf numFmtId="0" fontId="48" fillId="0" borderId="50" xfId="0" applyNumberFormat="1" applyFont="1" applyFill="1" applyBorder="1" applyAlignment="1" applyProtection="1">
      <alignment horizontal="center" vertical="center" shrinkToFit="1"/>
      <protection hidden="1"/>
    </xf>
    <xf numFmtId="0" fontId="48" fillId="0" borderId="39" xfId="0" applyNumberFormat="1" applyFont="1" applyFill="1" applyBorder="1" applyAlignment="1" applyProtection="1">
      <alignment horizontal="center" vertical="center" shrinkToFit="1"/>
      <protection hidden="1"/>
    </xf>
    <xf numFmtId="0" fontId="48" fillId="0" borderId="60" xfId="0" applyFont="1" applyFill="1" applyBorder="1" applyAlignment="1" applyProtection="1">
      <alignment horizontal="center" vertical="center" shrinkToFit="1"/>
      <protection hidden="1"/>
    </xf>
    <xf numFmtId="0" fontId="117" fillId="0" borderId="0" xfId="0" applyFont="1" applyFill="1" applyAlignment="1" applyProtection="1">
      <alignment horizontal="center" vertical="center"/>
      <protection hidden="1"/>
    </xf>
    <xf numFmtId="0" fontId="54" fillId="0" borderId="0" xfId="0" applyFont="1" applyFill="1" applyBorder="1" applyAlignment="1" applyProtection="1">
      <alignment vertical="top"/>
      <protection hidden="1"/>
    </xf>
    <xf numFmtId="0" fontId="37" fillId="0" borderId="0" xfId="0" applyFont="1" applyFill="1" applyAlignment="1" applyProtection="1">
      <alignment horizontal="left" vertical="top"/>
      <protection hidden="1"/>
    </xf>
    <xf numFmtId="14" fontId="53" fillId="0" borderId="1" xfId="0" applyNumberFormat="1" applyFont="1" applyFill="1" applyBorder="1" applyAlignment="1" applyProtection="1">
      <alignment vertical="center"/>
      <protection locked="0"/>
    </xf>
    <xf numFmtId="0" fontId="8" fillId="0" borderId="20" xfId="0" applyFont="1" applyFill="1" applyBorder="1" applyAlignment="1" applyProtection="1">
      <alignment horizontal="center" vertical="center"/>
      <protection locked="0"/>
    </xf>
    <xf numFmtId="0" fontId="8" fillId="0" borderId="22" xfId="0" applyFont="1" applyFill="1" applyBorder="1" applyAlignment="1" applyProtection="1">
      <alignment horizontal="center" vertical="center"/>
      <protection locked="0"/>
    </xf>
    <xf numFmtId="0" fontId="8" fillId="0" borderId="23" xfId="0" applyFont="1" applyFill="1" applyBorder="1" applyAlignment="1" applyProtection="1">
      <alignment horizontal="center" vertical="center"/>
      <protection locked="0"/>
    </xf>
    <xf numFmtId="0" fontId="2" fillId="0" borderId="24" xfId="0" applyFont="1" applyFill="1" applyBorder="1" applyAlignment="1" applyProtection="1">
      <alignment horizontal="center" vertical="center"/>
      <protection locked="0"/>
    </xf>
    <xf numFmtId="0" fontId="8" fillId="0" borderId="26" xfId="0" applyFont="1" applyFill="1" applyBorder="1" applyAlignment="1" applyProtection="1">
      <alignment horizontal="center" vertical="center"/>
      <protection locked="0"/>
    </xf>
    <xf numFmtId="0" fontId="8" fillId="0" borderId="27" xfId="0" applyFont="1" applyFill="1" applyBorder="1" applyAlignment="1" applyProtection="1">
      <alignment horizontal="center" vertical="center"/>
      <protection locked="0"/>
    </xf>
    <xf numFmtId="0" fontId="8" fillId="0" borderId="28" xfId="0" applyFont="1" applyFill="1" applyBorder="1" applyAlignment="1" applyProtection="1">
      <alignment horizontal="center" vertical="center"/>
      <protection locked="0"/>
    </xf>
    <xf numFmtId="0" fontId="2" fillId="0" borderId="29" xfId="0" applyFont="1" applyFill="1" applyBorder="1" applyAlignment="1" applyProtection="1">
      <alignment horizontal="center" vertical="center"/>
      <protection locked="0"/>
    </xf>
    <xf numFmtId="0" fontId="5" fillId="0" borderId="37" xfId="0" applyFont="1" applyFill="1" applyBorder="1" applyAlignment="1" applyProtection="1">
      <alignment horizontal="center" vertical="center"/>
      <protection locked="0"/>
    </xf>
    <xf numFmtId="0" fontId="7" fillId="0" borderId="39" xfId="0" applyFont="1" applyFill="1" applyBorder="1" applyAlignment="1" applyProtection="1">
      <alignment horizontal="center" vertical="center"/>
      <protection locked="0"/>
    </xf>
    <xf numFmtId="0" fontId="7" fillId="0" borderId="27" xfId="0" applyFont="1" applyFill="1" applyBorder="1" applyAlignment="1" applyProtection="1">
      <alignment horizontal="center" vertical="center"/>
      <protection locked="0"/>
    </xf>
    <xf numFmtId="0" fontId="2" fillId="0" borderId="1" xfId="0" applyFont="1" applyFill="1" applyBorder="1" applyAlignment="1" applyProtection="1">
      <alignment horizontal="center" vertical="center"/>
      <protection locked="0"/>
    </xf>
    <xf numFmtId="0" fontId="9" fillId="0" borderId="0" xfId="0" applyFont="1" applyFill="1" applyAlignment="1" applyProtection="1">
      <alignment vertical="center"/>
      <protection locked="0" hidden="1"/>
    </xf>
    <xf numFmtId="0" fontId="48" fillId="34" borderId="118" xfId="0" quotePrefix="1" applyFont="1" applyFill="1" applyBorder="1" applyAlignment="1" applyProtection="1">
      <alignment vertical="center"/>
      <protection hidden="1"/>
    </xf>
    <xf numFmtId="0" fontId="48" fillId="34" borderId="120" xfId="0" applyFont="1" applyFill="1" applyBorder="1" applyAlignment="1" applyProtection="1">
      <alignment vertical="center"/>
      <protection hidden="1"/>
    </xf>
    <xf numFmtId="14" fontId="53" fillId="0" borderId="32" xfId="0" applyNumberFormat="1" applyFont="1" applyBorder="1" applyAlignment="1" applyProtection="1">
      <alignment horizontal="left" vertical="center" indent="1" shrinkToFit="1"/>
      <protection locked="0"/>
    </xf>
    <xf numFmtId="0" fontId="44" fillId="28" borderId="94" xfId="0" quotePrefix="1" applyFont="1" applyFill="1" applyBorder="1" applyAlignment="1" applyProtection="1">
      <alignment horizontal="left" vertical="center" shrinkToFit="1"/>
      <protection locked="0"/>
    </xf>
    <xf numFmtId="0" fontId="62" fillId="0" borderId="0" xfId="0" applyFont="1" applyAlignment="1" applyProtection="1">
      <alignment vertical="top"/>
      <protection locked="0"/>
    </xf>
    <xf numFmtId="0" fontId="119" fillId="0" borderId="0" xfId="0" applyFont="1" applyAlignment="1" applyProtection="1">
      <alignment vertical="top"/>
      <protection locked="0"/>
    </xf>
    <xf numFmtId="0" fontId="27" fillId="29" borderId="3" xfId="0" applyFont="1" applyFill="1" applyBorder="1" applyAlignment="1" applyProtection="1">
      <alignment horizontal="center" vertical="center"/>
    </xf>
    <xf numFmtId="0" fontId="120" fillId="0" borderId="0" xfId="0" applyFont="1" applyAlignment="1" applyProtection="1">
      <alignment horizontal="center" vertical="top"/>
      <protection locked="0"/>
    </xf>
    <xf numFmtId="0" fontId="7" fillId="22" borderId="0" xfId="0" applyFont="1" applyFill="1" applyAlignment="1" applyProtection="1">
      <alignment vertical="center"/>
      <protection hidden="1"/>
    </xf>
    <xf numFmtId="0" fontId="7" fillId="22" borderId="0" xfId="0" applyFont="1" applyFill="1" applyAlignment="1" applyProtection="1">
      <alignment horizontal="center" vertical="center"/>
      <protection hidden="1"/>
    </xf>
    <xf numFmtId="0" fontId="7" fillId="22" borderId="0" xfId="0" applyFont="1" applyFill="1" applyAlignment="1" applyProtection="1">
      <alignment vertical="top" wrapText="1"/>
      <protection hidden="1"/>
    </xf>
    <xf numFmtId="0" fontId="27" fillId="22" borderId="0" xfId="0" applyFont="1" applyFill="1" applyBorder="1" applyAlignment="1" applyProtection="1">
      <alignment horizontal="center" vertical="center"/>
      <protection hidden="1"/>
    </xf>
    <xf numFmtId="0" fontId="61" fillId="0" borderId="0" xfId="0" applyFont="1" applyAlignment="1" applyProtection="1">
      <alignment horizontal="center" vertical="center"/>
      <protection hidden="1"/>
    </xf>
    <xf numFmtId="0" fontId="118" fillId="0" borderId="0" xfId="0" applyFont="1" applyAlignment="1" applyProtection="1">
      <alignment horizontal="center" vertical="center"/>
      <protection hidden="1"/>
    </xf>
    <xf numFmtId="0" fontId="123" fillId="0" borderId="0" xfId="0" applyFont="1" applyAlignment="1" applyProtection="1">
      <alignment horizontal="center" vertical="top"/>
      <protection locked="0"/>
    </xf>
    <xf numFmtId="0" fontId="4" fillId="0" borderId="0" xfId="0" applyFont="1" applyAlignment="1" applyProtection="1">
      <alignment vertical="center"/>
      <protection hidden="1"/>
    </xf>
    <xf numFmtId="0" fontId="27" fillId="22" borderId="79" xfId="0" applyFont="1" applyFill="1" applyBorder="1" applyAlignment="1" applyProtection="1">
      <alignment horizontal="center" vertical="center"/>
      <protection hidden="1"/>
    </xf>
    <xf numFmtId="0" fontId="4" fillId="22" borderId="79" xfId="0" quotePrefix="1" applyFont="1" applyFill="1" applyBorder="1" applyAlignment="1" applyProtection="1">
      <alignment horizontal="center" vertical="center"/>
      <protection hidden="1"/>
    </xf>
    <xf numFmtId="0" fontId="27" fillId="22" borderId="79" xfId="0" quotePrefix="1" applyFont="1" applyFill="1" applyBorder="1" applyAlignment="1" applyProtection="1">
      <alignment horizontal="center" vertical="center"/>
      <protection hidden="1"/>
    </xf>
    <xf numFmtId="0" fontId="7" fillId="19" borderId="2" xfId="0" applyFont="1" applyFill="1" applyBorder="1" applyAlignment="1" applyProtection="1">
      <alignment horizontal="center" vertical="center"/>
      <protection hidden="1"/>
    </xf>
    <xf numFmtId="0" fontId="2" fillId="19" borderId="7" xfId="0" applyFont="1" applyFill="1" applyBorder="1" applyAlignment="1" applyProtection="1">
      <alignment horizontal="center" vertical="center"/>
      <protection hidden="1"/>
    </xf>
    <xf numFmtId="0" fontId="7" fillId="19" borderId="8" xfId="0" applyFont="1" applyFill="1" applyBorder="1" applyAlignment="1" applyProtection="1">
      <alignment horizontal="center" vertical="center"/>
      <protection hidden="1"/>
    </xf>
    <xf numFmtId="0" fontId="7" fillId="19" borderId="8" xfId="0" applyFont="1" applyFill="1" applyBorder="1" applyAlignment="1" applyProtection="1">
      <alignment vertical="center" wrapText="1"/>
      <protection hidden="1"/>
    </xf>
    <xf numFmtId="0" fontId="7" fillId="19" borderId="10" xfId="0" applyFont="1" applyFill="1" applyBorder="1" applyAlignment="1" applyProtection="1">
      <alignment horizontal="center" vertical="center"/>
      <protection hidden="1"/>
    </xf>
    <xf numFmtId="0" fontId="23" fillId="13" borderId="8" xfId="0" applyFont="1" applyFill="1" applyBorder="1" applyAlignment="1" applyProtection="1">
      <alignment vertical="top" wrapText="1"/>
      <protection hidden="1"/>
    </xf>
    <xf numFmtId="0" fontId="8" fillId="0" borderId="8" xfId="0" applyFont="1" applyFill="1" applyBorder="1" applyAlignment="1" applyProtection="1">
      <alignment horizontal="center" vertical="center"/>
      <protection locked="0"/>
    </xf>
    <xf numFmtId="0" fontId="8" fillId="0" borderId="1" xfId="0" applyFont="1" applyFill="1" applyBorder="1" applyAlignment="1" applyProtection="1">
      <alignment horizontal="center" vertical="center"/>
      <protection locked="0"/>
    </xf>
    <xf numFmtId="0" fontId="130" fillId="0" borderId="7" xfId="0" applyFont="1" applyFill="1" applyBorder="1" applyAlignment="1" applyProtection="1">
      <alignment horizontal="left" vertical="top" wrapText="1"/>
      <protection locked="0"/>
    </xf>
    <xf numFmtId="0" fontId="130" fillId="0" borderId="123" xfId="0" applyFont="1" applyFill="1" applyBorder="1" applyAlignment="1" applyProtection="1">
      <alignment horizontal="left" vertical="top" wrapText="1"/>
      <protection locked="0"/>
    </xf>
    <xf numFmtId="0" fontId="130" fillId="0" borderId="9" xfId="0" applyFont="1" applyFill="1" applyBorder="1" applyAlignment="1" applyProtection="1">
      <alignment horizontal="left" vertical="top" wrapText="1"/>
      <protection locked="0"/>
    </xf>
    <xf numFmtId="0" fontId="130" fillId="0" borderId="10" xfId="0" applyFont="1" applyFill="1" applyBorder="1" applyAlignment="1" applyProtection="1">
      <alignment horizontal="left" vertical="top" wrapText="1"/>
      <protection locked="0"/>
    </xf>
    <xf numFmtId="0" fontId="130" fillId="0" borderId="4" xfId="0" applyFont="1" applyFill="1" applyBorder="1" applyAlignment="1" applyProtection="1">
      <alignment horizontal="left" vertical="top" wrapText="1"/>
      <protection locked="0"/>
    </xf>
    <xf numFmtId="0" fontId="130" fillId="0" borderId="5" xfId="0" applyFont="1" applyFill="1" applyBorder="1" applyAlignment="1" applyProtection="1">
      <alignment horizontal="left" vertical="top" wrapText="1"/>
      <protection locked="0"/>
    </xf>
    <xf numFmtId="0" fontId="130" fillId="0" borderId="3" xfId="0" applyFont="1" applyFill="1" applyBorder="1" applyAlignment="1" applyProtection="1">
      <alignment horizontal="left" vertical="top" wrapText="1"/>
      <protection locked="0"/>
    </xf>
    <xf numFmtId="0" fontId="130" fillId="0" borderId="2" xfId="0" applyFont="1" applyFill="1" applyBorder="1" applyAlignment="1" applyProtection="1">
      <alignment horizontal="left" vertical="top" wrapText="1"/>
      <protection locked="0"/>
    </xf>
    <xf numFmtId="0" fontId="130" fillId="0" borderId="11" xfId="0" applyFont="1" applyFill="1" applyBorder="1" applyAlignment="1" applyProtection="1">
      <alignment horizontal="left" vertical="top" wrapText="1"/>
      <protection locked="0"/>
    </xf>
    <xf numFmtId="0" fontId="130" fillId="0" borderId="13" xfId="0" applyFont="1" applyFill="1" applyBorder="1" applyAlignment="1" applyProtection="1">
      <alignment horizontal="left" vertical="top" wrapText="1"/>
      <protection locked="0"/>
    </xf>
    <xf numFmtId="0" fontId="0" fillId="4" borderId="0" xfId="0" applyFill="1" applyAlignment="1" applyProtection="1">
      <alignment vertical="center"/>
      <protection hidden="1"/>
    </xf>
    <xf numFmtId="0" fontId="0" fillId="4" borderId="0" xfId="0" applyFill="1" applyProtection="1">
      <protection hidden="1"/>
    </xf>
    <xf numFmtId="0" fontId="4" fillId="4" borderId="0" xfId="0" applyFont="1" applyFill="1" applyAlignment="1" applyProtection="1">
      <alignment vertical="top"/>
      <protection hidden="1"/>
    </xf>
    <xf numFmtId="0" fontId="27" fillId="29" borderId="51" xfId="0" applyFont="1" applyFill="1" applyBorder="1" applyAlignment="1" applyProtection="1">
      <alignment horizontal="center" vertical="center"/>
      <protection hidden="1"/>
    </xf>
    <xf numFmtId="0" fontId="4" fillId="29" borderId="52" xfId="0" quotePrefix="1" applyFont="1" applyFill="1" applyBorder="1" applyAlignment="1" applyProtection="1">
      <alignment horizontal="center" vertical="center"/>
      <protection hidden="1"/>
    </xf>
    <xf numFmtId="0" fontId="27" fillId="29" borderId="40" xfId="0" applyFont="1" applyFill="1" applyBorder="1" applyAlignment="1" applyProtection="1">
      <alignment horizontal="center" vertical="center"/>
      <protection hidden="1"/>
    </xf>
    <xf numFmtId="0" fontId="35" fillId="29" borderId="2" xfId="0" applyFont="1" applyFill="1" applyBorder="1" applyAlignment="1" applyProtection="1">
      <alignment horizontal="center" vertical="center"/>
      <protection hidden="1"/>
    </xf>
    <xf numFmtId="0" fontId="111" fillId="0" borderId="1" xfId="0" applyFont="1" applyBorder="1" applyAlignment="1" applyProtection="1">
      <alignment horizontal="center" vertical="center" shrinkToFit="1"/>
      <protection locked="0"/>
    </xf>
    <xf numFmtId="0" fontId="0" fillId="13" borderId="0" xfId="0" applyFill="1" applyAlignment="1" applyProtection="1">
      <alignment vertical="center"/>
      <protection hidden="1"/>
    </xf>
    <xf numFmtId="0" fontId="99" fillId="13" borderId="0" xfId="0" applyFont="1" applyFill="1" applyProtection="1">
      <protection hidden="1"/>
    </xf>
    <xf numFmtId="0" fontId="0" fillId="13" borderId="0" xfId="0" applyFill="1" applyProtection="1">
      <protection hidden="1"/>
    </xf>
    <xf numFmtId="0" fontId="0" fillId="4" borderId="0" xfId="0" applyFill="1" applyProtection="1">
      <protection locked="0" hidden="1"/>
    </xf>
    <xf numFmtId="0" fontId="39" fillId="4" borderId="0" xfId="0" applyFont="1" applyFill="1" applyProtection="1">
      <protection hidden="1"/>
    </xf>
    <xf numFmtId="0" fontId="136" fillId="4" borderId="0" xfId="0" applyFont="1" applyFill="1" applyAlignment="1" applyProtection="1">
      <alignment horizontal="right"/>
      <protection hidden="1"/>
    </xf>
    <xf numFmtId="0" fontId="36" fillId="3" borderId="0" xfId="0" applyFont="1" applyFill="1" applyAlignment="1" applyProtection="1">
      <alignment vertical="top"/>
      <protection hidden="1"/>
    </xf>
    <xf numFmtId="0" fontId="36" fillId="0" borderId="0" xfId="0" applyFont="1" applyAlignment="1" applyProtection="1">
      <alignment vertical="top"/>
      <protection hidden="1"/>
    </xf>
    <xf numFmtId="0" fontId="36" fillId="3" borderId="0" xfId="0" applyFont="1" applyFill="1" applyAlignment="1" applyProtection="1">
      <alignment horizontal="right" vertical="center"/>
      <protection hidden="1"/>
    </xf>
    <xf numFmtId="0" fontId="41" fillId="3" borderId="0" xfId="0" applyFont="1" applyFill="1" applyAlignment="1" applyProtection="1">
      <alignment vertical="center"/>
      <protection hidden="1"/>
    </xf>
    <xf numFmtId="0" fontId="36" fillId="15" borderId="0" xfId="0" applyFont="1" applyFill="1" applyAlignment="1" applyProtection="1">
      <alignment vertical="top"/>
      <protection hidden="1"/>
    </xf>
    <xf numFmtId="0" fontId="36" fillId="15" borderId="0" xfId="0" applyFont="1" applyFill="1" applyAlignment="1" applyProtection="1">
      <alignment horizontal="center" vertical="top"/>
      <protection hidden="1"/>
    </xf>
    <xf numFmtId="0" fontId="36" fillId="0" borderId="0" xfId="0" applyFont="1" applyFill="1" applyBorder="1" applyAlignment="1" applyProtection="1">
      <alignment horizontal="center" vertical="center"/>
      <protection hidden="1"/>
    </xf>
    <xf numFmtId="0" fontId="37" fillId="0" borderId="0" xfId="0" applyFont="1" applyAlignment="1" applyProtection="1">
      <alignment horizontal="center" vertical="center"/>
      <protection hidden="1"/>
    </xf>
    <xf numFmtId="0" fontId="36" fillId="0" borderId="0" xfId="0" applyFont="1" applyAlignment="1" applyProtection="1">
      <alignment vertical="center"/>
      <protection hidden="1"/>
    </xf>
    <xf numFmtId="0" fontId="36" fillId="15" borderId="0" xfId="0" applyFont="1" applyFill="1" applyAlignment="1" applyProtection="1">
      <alignment vertical="center"/>
      <protection hidden="1"/>
    </xf>
    <xf numFmtId="0" fontId="37" fillId="0" borderId="0" xfId="0" applyFont="1" applyAlignment="1" applyProtection="1">
      <alignment vertical="center"/>
      <protection hidden="1"/>
    </xf>
    <xf numFmtId="0" fontId="37" fillId="0" borderId="0" xfId="0" applyFont="1" applyAlignment="1" applyProtection="1">
      <protection hidden="1"/>
    </xf>
    <xf numFmtId="0" fontId="36" fillId="0" borderId="0" xfId="0" applyFont="1" applyAlignment="1" applyProtection="1">
      <protection hidden="1"/>
    </xf>
    <xf numFmtId="0" fontId="36" fillId="0" borderId="0" xfId="0" applyFont="1" applyFill="1" applyAlignment="1" applyProtection="1">
      <alignment vertical="top"/>
      <protection hidden="1"/>
    </xf>
    <xf numFmtId="0" fontId="56" fillId="15" borderId="0" xfId="0" applyFont="1" applyFill="1" applyBorder="1" applyAlignment="1" applyProtection="1">
      <alignment horizontal="center" vertical="center"/>
      <protection hidden="1"/>
    </xf>
    <xf numFmtId="0" fontId="37" fillId="0" borderId="0" xfId="0" applyFont="1" applyFill="1" applyAlignment="1" applyProtection="1">
      <alignment vertical="top"/>
      <protection hidden="1"/>
    </xf>
    <xf numFmtId="0" fontId="46" fillId="15" borderId="0" xfId="0" applyFont="1" applyFill="1" applyBorder="1" applyAlignment="1" applyProtection="1">
      <alignment horizontal="center" vertical="center"/>
      <protection hidden="1"/>
    </xf>
    <xf numFmtId="0" fontId="140" fillId="15" borderId="0" xfId="0" applyFont="1" applyFill="1" applyBorder="1" applyAlignment="1" applyProtection="1">
      <alignment horizontal="center" vertical="top"/>
      <protection hidden="1"/>
    </xf>
    <xf numFmtId="0" fontId="37" fillId="0" borderId="0" xfId="0" applyFont="1" applyAlignment="1" applyProtection="1">
      <alignment vertical="top"/>
      <protection hidden="1"/>
    </xf>
    <xf numFmtId="0" fontId="36" fillId="0" borderId="0" xfId="0" applyFont="1" applyBorder="1" applyAlignment="1" applyProtection="1">
      <alignment horizontal="center" vertical="center"/>
      <protection hidden="1"/>
    </xf>
    <xf numFmtId="0" fontId="141" fillId="0" borderId="3" xfId="0" applyFont="1" applyBorder="1" applyAlignment="1" applyProtection="1">
      <alignment horizontal="center" vertical="center" wrapText="1"/>
      <protection hidden="1"/>
    </xf>
    <xf numFmtId="1" fontId="36" fillId="0" borderId="1" xfId="0" applyNumberFormat="1" applyFont="1" applyBorder="1" applyAlignment="1" applyProtection="1">
      <alignment horizontal="center" vertical="center"/>
      <protection hidden="1"/>
    </xf>
    <xf numFmtId="0" fontId="36" fillId="0" borderId="0" xfId="0" applyFont="1" applyBorder="1" applyAlignment="1" applyProtection="1">
      <alignment horizontal="left" vertical="top" wrapText="1"/>
      <protection hidden="1"/>
    </xf>
    <xf numFmtId="1" fontId="36" fillId="2" borderId="1" xfId="0" applyNumberFormat="1" applyFont="1" applyFill="1" applyBorder="1" applyAlignment="1" applyProtection="1">
      <alignment horizontal="center" vertical="center"/>
      <protection hidden="1"/>
    </xf>
    <xf numFmtId="0" fontId="36" fillId="2" borderId="1" xfId="0" applyFont="1" applyFill="1" applyBorder="1" applyAlignment="1" applyProtection="1">
      <alignment horizontal="center" vertical="center"/>
      <protection hidden="1"/>
    </xf>
    <xf numFmtId="0" fontId="49" fillId="0" borderId="3" xfId="0" applyFont="1" applyBorder="1" applyAlignment="1" applyProtection="1">
      <alignment horizontal="center" vertical="center" wrapText="1"/>
      <protection hidden="1"/>
    </xf>
    <xf numFmtId="0" fontId="36" fillId="15" borderId="0" xfId="0" applyFont="1" applyFill="1" applyAlignment="1" applyProtection="1">
      <protection hidden="1"/>
    </xf>
    <xf numFmtId="0" fontId="36" fillId="0" borderId="0" xfId="0" applyFont="1" applyFill="1" applyAlignment="1" applyProtection="1">
      <protection hidden="1"/>
    </xf>
    <xf numFmtId="1" fontId="36" fillId="0" borderId="0" xfId="0" applyNumberFormat="1" applyFont="1" applyBorder="1" applyAlignment="1" applyProtection="1">
      <alignment horizontal="center" vertical="center"/>
      <protection hidden="1"/>
    </xf>
    <xf numFmtId="0" fontId="56" fillId="0" borderId="0" xfId="0" applyFont="1" applyBorder="1" applyAlignment="1" applyProtection="1">
      <alignment vertical="center" wrapText="1"/>
      <protection hidden="1"/>
    </xf>
    <xf numFmtId="0" fontId="37" fillId="0" borderId="0" xfId="0" applyFont="1" applyFill="1" applyAlignment="1" applyProtection="1">
      <protection hidden="1"/>
    </xf>
    <xf numFmtId="0" fontId="142" fillId="2" borderId="2" xfId="0" applyFont="1" applyFill="1" applyBorder="1" applyAlignment="1" applyProtection="1">
      <alignment vertical="center"/>
      <protection hidden="1"/>
    </xf>
    <xf numFmtId="0" fontId="41" fillId="0" borderId="8" xfId="0" applyFont="1" applyBorder="1" applyAlignment="1" applyProtection="1">
      <alignment horizontal="center" vertical="center"/>
      <protection hidden="1"/>
    </xf>
    <xf numFmtId="0" fontId="36" fillId="0" borderId="0" xfId="0" applyFont="1" applyBorder="1" applyAlignment="1" applyProtection="1">
      <alignment horizontal="left" vertical="center"/>
      <protection hidden="1"/>
    </xf>
    <xf numFmtId="0" fontId="41" fillId="0" borderId="1" xfId="0" applyFont="1" applyBorder="1" applyAlignment="1" applyProtection="1">
      <alignment horizontal="center" vertical="center"/>
      <protection hidden="1"/>
    </xf>
    <xf numFmtId="0" fontId="37" fillId="0" borderId="0" xfId="0" applyFont="1" applyBorder="1" applyAlignment="1" applyProtection="1">
      <alignment vertical="center"/>
      <protection hidden="1"/>
    </xf>
    <xf numFmtId="0" fontId="143" fillId="15" borderId="0" xfId="0" applyFont="1" applyFill="1" applyAlignment="1" applyProtection="1">
      <alignment horizontal="center" vertical="top"/>
      <protection hidden="1"/>
    </xf>
    <xf numFmtId="0" fontId="48" fillId="15" borderId="0" xfId="0" applyFont="1" applyFill="1" applyAlignment="1" applyProtection="1">
      <alignment vertical="top"/>
      <protection hidden="1"/>
    </xf>
    <xf numFmtId="0" fontId="48" fillId="0" borderId="0" xfId="0" applyFont="1" applyFill="1" applyAlignment="1" applyProtection="1">
      <alignment vertical="top"/>
      <protection hidden="1"/>
    </xf>
    <xf numFmtId="0" fontId="48" fillId="0" borderId="0" xfId="0" applyFont="1" applyAlignment="1" applyProtection="1">
      <alignment vertical="top"/>
      <protection hidden="1"/>
    </xf>
    <xf numFmtId="0" fontId="145" fillId="15" borderId="0" xfId="0" applyFont="1" applyFill="1" applyAlignment="1" applyProtection="1">
      <alignment horizontal="center" vertical="top"/>
      <protection hidden="1"/>
    </xf>
    <xf numFmtId="0" fontId="36" fillId="0" borderId="0" xfId="0" applyFont="1" applyBorder="1" applyAlignment="1" applyProtection="1">
      <alignment vertical="center"/>
      <protection hidden="1"/>
    </xf>
    <xf numFmtId="0" fontId="36" fillId="0" borderId="0" xfId="0" applyFont="1" applyBorder="1" applyAlignment="1" applyProtection="1">
      <alignment vertical="center" wrapText="1"/>
      <protection hidden="1"/>
    </xf>
    <xf numFmtId="0" fontId="144" fillId="0" borderId="0" xfId="0" quotePrefix="1" applyFont="1" applyBorder="1" applyAlignment="1" applyProtection="1">
      <alignment horizontal="left" vertical="top" indent="1"/>
      <protection hidden="1"/>
    </xf>
    <xf numFmtId="0" fontId="48" fillId="0" borderId="0" xfId="0" applyFont="1" applyBorder="1" applyAlignment="1" applyProtection="1">
      <alignment horizontal="left" vertical="top" indent="1"/>
      <protection hidden="1"/>
    </xf>
    <xf numFmtId="0" fontId="49" fillId="0" borderId="0" xfId="0" applyFont="1" applyBorder="1" applyAlignment="1" applyProtection="1">
      <alignment horizontal="left" vertical="top" indent="1"/>
      <protection hidden="1"/>
    </xf>
    <xf numFmtId="0" fontId="36" fillId="0" borderId="0" xfId="0" applyFont="1" applyBorder="1" applyAlignment="1" applyProtection="1">
      <alignment vertical="top"/>
      <protection hidden="1"/>
    </xf>
    <xf numFmtId="0" fontId="146" fillId="0" borderId="0" xfId="0" applyFont="1" applyAlignment="1" applyProtection="1">
      <alignment horizontal="center" vertical="center"/>
      <protection hidden="1"/>
    </xf>
    <xf numFmtId="0" fontId="36" fillId="0" borderId="0" xfId="0" applyFont="1" applyAlignment="1" applyProtection="1">
      <alignment horizontal="left" vertical="top"/>
      <protection hidden="1"/>
    </xf>
    <xf numFmtId="0" fontId="36" fillId="0" borderId="21" xfId="0" applyFont="1" applyBorder="1" applyAlignment="1" applyProtection="1">
      <alignment horizontal="center" vertical="center"/>
      <protection hidden="1"/>
    </xf>
    <xf numFmtId="1" fontId="36" fillId="0" borderId="21" xfId="0" applyNumberFormat="1" applyFont="1" applyBorder="1" applyAlignment="1" applyProtection="1">
      <alignment horizontal="center" vertical="center"/>
      <protection hidden="1"/>
    </xf>
    <xf numFmtId="0" fontId="49" fillId="0" borderId="40" xfId="0" applyFont="1" applyBorder="1" applyAlignment="1" applyProtection="1">
      <alignment horizontal="center" vertical="center" wrapText="1"/>
      <protection hidden="1"/>
    </xf>
    <xf numFmtId="0" fontId="62" fillId="0" borderId="0" xfId="0" applyFont="1" applyAlignment="1" applyProtection="1">
      <alignment horizontal="center" vertical="center"/>
      <protection hidden="1"/>
    </xf>
    <xf numFmtId="0" fontId="111" fillId="0" borderId="21" xfId="0" applyFont="1" applyBorder="1" applyAlignment="1" applyProtection="1">
      <alignment vertical="top"/>
      <protection hidden="1"/>
    </xf>
    <xf numFmtId="0" fontId="149" fillId="0" borderId="0" xfId="0" quotePrefix="1" applyFont="1" applyAlignment="1" applyProtection="1">
      <alignment horizontal="left" vertical="top"/>
      <protection locked="0"/>
    </xf>
    <xf numFmtId="0" fontId="150" fillId="0" borderId="24" xfId="2" applyFont="1" applyBorder="1" applyAlignment="1" applyProtection="1">
      <alignment horizontal="left" vertical="top" wrapText="1"/>
      <protection locked="0"/>
    </xf>
    <xf numFmtId="0" fontId="149" fillId="0" borderId="0" xfId="0" applyFont="1" applyAlignment="1" applyProtection="1">
      <alignment horizontal="left" vertical="top"/>
      <protection locked="0"/>
    </xf>
    <xf numFmtId="0" fontId="149" fillId="0" borderId="24" xfId="0" applyFont="1" applyBorder="1" applyAlignment="1" applyProtection="1">
      <alignment horizontal="left" vertical="top"/>
      <protection locked="0"/>
    </xf>
    <xf numFmtId="0" fontId="149" fillId="0" borderId="0" xfId="0" quotePrefix="1" applyFont="1" applyBorder="1" applyAlignment="1" applyProtection="1">
      <alignment horizontal="left" vertical="top"/>
      <protection locked="0"/>
    </xf>
    <xf numFmtId="0" fontId="111" fillId="0" borderId="8" xfId="0" applyFont="1" applyBorder="1" applyAlignment="1" applyProtection="1">
      <alignment vertical="center"/>
      <protection hidden="1"/>
    </xf>
    <xf numFmtId="0" fontId="111" fillId="0" borderId="22" xfId="0" applyFont="1" applyBorder="1" applyAlignment="1" applyProtection="1">
      <alignment horizontal="center" vertical="center"/>
      <protection hidden="1"/>
    </xf>
    <xf numFmtId="0" fontId="27" fillId="0" borderId="0" xfId="0" applyFont="1" applyAlignment="1" applyProtection="1">
      <alignment horizontal="right" vertical="top"/>
      <protection locked="0"/>
    </xf>
    <xf numFmtId="0" fontId="4" fillId="0" borderId="0" xfId="0" applyFont="1" applyAlignment="1" applyProtection="1">
      <alignment horizontal="right" vertical="top"/>
      <protection locked="0"/>
    </xf>
    <xf numFmtId="0" fontId="4" fillId="0" borderId="0" xfId="0" applyFont="1" applyAlignment="1" applyProtection="1">
      <alignment vertical="top"/>
      <protection locked="0"/>
    </xf>
    <xf numFmtId="0" fontId="111" fillId="15" borderId="0" xfId="0" applyFont="1" applyFill="1" applyAlignment="1" applyProtection="1">
      <alignment vertical="top"/>
      <protection locked="0"/>
    </xf>
    <xf numFmtId="0" fontId="111" fillId="0" borderId="0" xfId="0" applyFont="1" applyAlignment="1" applyProtection="1">
      <alignment vertical="top"/>
      <protection locked="0"/>
    </xf>
    <xf numFmtId="0" fontId="111" fillId="0" borderId="0" xfId="0" applyFont="1" applyBorder="1" applyAlignment="1" applyProtection="1">
      <alignment vertical="top"/>
      <protection locked="0"/>
    </xf>
    <xf numFmtId="0" fontId="111" fillId="0" borderId="0" xfId="0" applyFont="1" applyFill="1" applyBorder="1" applyAlignment="1" applyProtection="1">
      <alignment vertical="top"/>
      <protection locked="0"/>
    </xf>
    <xf numFmtId="0" fontId="111" fillId="0" borderId="0" xfId="0" applyFont="1" applyFill="1" applyAlignment="1" applyProtection="1">
      <alignment vertical="top"/>
      <protection locked="0"/>
    </xf>
    <xf numFmtId="0" fontId="112" fillId="0" borderId="24" xfId="0" applyFont="1" applyBorder="1" applyAlignment="1" applyProtection="1">
      <alignment horizontal="center" vertical="top"/>
      <protection locked="0"/>
    </xf>
    <xf numFmtId="0" fontId="111" fillId="0" borderId="21" xfId="0" applyFont="1" applyFill="1" applyBorder="1" applyAlignment="1" applyProtection="1">
      <alignment vertical="top"/>
      <protection locked="0"/>
    </xf>
    <xf numFmtId="0" fontId="29" fillId="0" borderId="0" xfId="0" applyFont="1" applyBorder="1" applyAlignment="1" applyProtection="1">
      <alignment vertical="top"/>
      <protection locked="0"/>
    </xf>
    <xf numFmtId="0" fontId="111" fillId="0" borderId="22" xfId="0" applyFont="1" applyFill="1" applyBorder="1" applyAlignment="1" applyProtection="1">
      <alignment vertical="top"/>
      <protection locked="0"/>
    </xf>
    <xf numFmtId="0" fontId="111" fillId="0" borderId="21" xfId="0" applyFont="1" applyBorder="1" applyAlignment="1" applyProtection="1">
      <alignment horizontal="center" vertical="center"/>
      <protection locked="0"/>
    </xf>
    <xf numFmtId="0" fontId="111" fillId="0" borderId="21" xfId="0" applyFont="1" applyBorder="1" applyAlignment="1" applyProtection="1">
      <alignment vertical="center"/>
      <protection locked="0"/>
    </xf>
    <xf numFmtId="0" fontId="111" fillId="0" borderId="22" xfId="0" applyFont="1" applyBorder="1" applyAlignment="1" applyProtection="1">
      <alignment vertical="top"/>
      <protection locked="0"/>
    </xf>
    <xf numFmtId="0" fontId="111" fillId="0" borderId="22" xfId="0" applyFont="1" applyBorder="1" applyAlignment="1" applyProtection="1">
      <alignment horizontal="center" vertical="center"/>
      <protection locked="0"/>
    </xf>
    <xf numFmtId="0" fontId="111" fillId="0" borderId="22" xfId="0" applyFont="1" applyBorder="1" applyAlignment="1" applyProtection="1">
      <alignment vertical="center"/>
      <protection locked="0"/>
    </xf>
    <xf numFmtId="0" fontId="4" fillId="0" borderId="0" xfId="0" applyFont="1" applyBorder="1" applyAlignment="1" applyProtection="1">
      <alignment vertical="top"/>
      <protection locked="0"/>
    </xf>
    <xf numFmtId="0" fontId="111" fillId="0" borderId="22" xfId="0" applyFont="1" applyFill="1" applyBorder="1" applyAlignment="1" applyProtection="1">
      <protection locked="0"/>
    </xf>
    <xf numFmtId="0" fontId="111" fillId="0" borderId="8" xfId="0" applyFont="1" applyFill="1" applyBorder="1" applyAlignment="1" applyProtection="1">
      <alignment vertical="top"/>
      <protection locked="0"/>
    </xf>
    <xf numFmtId="0" fontId="111" fillId="0" borderId="8" xfId="0" applyFont="1" applyBorder="1" applyAlignment="1" applyProtection="1">
      <alignment horizontal="center" vertical="center"/>
      <protection locked="0"/>
    </xf>
    <xf numFmtId="0" fontId="111" fillId="0" borderId="8" xfId="0" applyFont="1" applyBorder="1" applyAlignment="1" applyProtection="1">
      <alignment vertical="center"/>
      <protection locked="0"/>
    </xf>
    <xf numFmtId="0" fontId="148" fillId="0" borderId="0" xfId="0" applyFont="1" applyAlignment="1" applyProtection="1">
      <alignment vertical="top" shrinkToFit="1"/>
      <protection locked="0"/>
    </xf>
    <xf numFmtId="0" fontId="111" fillId="0" borderId="0" xfId="0" applyFont="1" applyBorder="1" applyAlignment="1" applyProtection="1">
      <alignment horizontal="center" vertical="top"/>
      <protection locked="0"/>
    </xf>
    <xf numFmtId="0" fontId="111" fillId="0" borderId="24" xfId="0" applyFont="1" applyBorder="1" applyAlignment="1" applyProtection="1">
      <alignment vertical="top" shrinkToFit="1"/>
      <protection locked="0"/>
    </xf>
    <xf numFmtId="0" fontId="111" fillId="0" borderId="82" xfId="0" applyFont="1" applyFill="1" applyBorder="1" applyAlignment="1" applyProtection="1">
      <alignment vertical="top"/>
      <protection locked="0"/>
    </xf>
    <xf numFmtId="0" fontId="111" fillId="0" borderId="82" xfId="0" applyFont="1" applyBorder="1" applyAlignment="1" applyProtection="1">
      <alignment vertical="top"/>
      <protection locked="0"/>
    </xf>
    <xf numFmtId="0" fontId="112" fillId="0" borderId="0" xfId="0" applyFont="1" applyAlignment="1" applyProtection="1">
      <alignment vertical="top"/>
      <protection locked="0"/>
    </xf>
    <xf numFmtId="0" fontId="126" fillId="0" borderId="0" xfId="0" applyFont="1" applyAlignment="1" applyProtection="1">
      <alignment vertical="top"/>
      <protection locked="0"/>
    </xf>
    <xf numFmtId="0" fontId="61" fillId="0" borderId="0" xfId="0" applyFont="1" applyBorder="1" applyAlignment="1" applyProtection="1">
      <alignment horizontal="center" vertical="top"/>
      <protection locked="0"/>
    </xf>
    <xf numFmtId="0" fontId="69" fillId="0" borderId="0" xfId="0" applyFont="1" applyFill="1" applyAlignment="1" applyProtection="1">
      <alignment vertical="top"/>
      <protection locked="0"/>
    </xf>
    <xf numFmtId="0" fontId="69" fillId="0" borderId="0" xfId="0" applyFont="1" applyAlignment="1" applyProtection="1">
      <alignment vertical="top"/>
      <protection locked="0"/>
    </xf>
    <xf numFmtId="0" fontId="69" fillId="0" borderId="0" xfId="0" applyFont="1" applyAlignment="1" applyProtection="1">
      <alignment horizontal="left" vertical="top"/>
      <protection locked="0"/>
    </xf>
    <xf numFmtId="49" fontId="69" fillId="0" borderId="0" xfId="0" applyNumberFormat="1" applyFont="1" applyAlignment="1" applyProtection="1">
      <alignment horizontal="justify" vertical="top"/>
      <protection locked="0"/>
    </xf>
    <xf numFmtId="0" fontId="69" fillId="0" borderId="0" xfId="0" applyFont="1" applyAlignment="1" applyProtection="1">
      <alignment vertical="center" shrinkToFit="1"/>
      <protection locked="0"/>
    </xf>
    <xf numFmtId="0" fontId="111" fillId="0" borderId="21" xfId="0" applyFont="1" applyBorder="1" applyAlignment="1" applyProtection="1">
      <alignment vertical="top"/>
      <protection locked="0"/>
    </xf>
    <xf numFmtId="0" fontId="111" fillId="0" borderId="22" xfId="0" applyFont="1" applyFill="1" applyBorder="1" applyAlignment="1" applyProtection="1">
      <alignment vertical="center"/>
      <protection locked="0"/>
    </xf>
    <xf numFmtId="0" fontId="69" fillId="0" borderId="0" xfId="0" applyFont="1" applyBorder="1" applyAlignment="1" applyProtection="1">
      <alignment vertical="center" shrinkToFit="1"/>
      <protection locked="0"/>
    </xf>
    <xf numFmtId="0" fontId="111" fillId="0" borderId="8" xfId="0" applyFont="1" applyFill="1" applyBorder="1" applyAlignment="1" applyProtection="1">
      <alignment vertical="center"/>
      <protection locked="0"/>
    </xf>
    <xf numFmtId="0" fontId="30" fillId="0" borderId="0" xfId="0" applyFont="1" applyAlignment="1" applyProtection="1">
      <alignment horizontal="left" vertical="top"/>
      <protection locked="0"/>
    </xf>
    <xf numFmtId="0" fontId="111" fillId="0" borderId="0" xfId="0" applyFont="1" applyAlignment="1" applyProtection="1">
      <alignment vertical="top" wrapText="1"/>
      <protection locked="0"/>
    </xf>
    <xf numFmtId="0" fontId="29" fillId="0" borderId="0" xfId="0" applyFont="1" applyAlignment="1" applyProtection="1">
      <alignment vertical="top"/>
      <protection locked="0"/>
    </xf>
    <xf numFmtId="0" fontId="126" fillId="0" borderId="0" xfId="0" applyFont="1" applyBorder="1" applyAlignment="1" applyProtection="1">
      <alignment vertical="top"/>
      <protection locked="0"/>
    </xf>
    <xf numFmtId="0" fontId="69" fillId="0" borderId="0" xfId="0" applyFont="1" applyFill="1" applyAlignment="1" applyProtection="1">
      <alignment vertical="center" shrinkToFit="1"/>
      <protection locked="0"/>
    </xf>
    <xf numFmtId="0" fontId="69" fillId="0" borderId="0" xfId="0" applyFont="1" applyBorder="1" applyAlignment="1" applyProtection="1">
      <alignment horizontal="center" vertical="center"/>
      <protection locked="0"/>
    </xf>
    <xf numFmtId="0" fontId="69" fillId="0" borderId="0" xfId="0" applyFont="1" applyBorder="1" applyAlignment="1" applyProtection="1">
      <alignment horizontal="center" vertical="center" wrapText="1"/>
      <protection locked="0"/>
    </xf>
    <xf numFmtId="0" fontId="69" fillId="0" borderId="0" xfId="0" applyFont="1" applyFill="1" applyAlignment="1" applyProtection="1">
      <alignment horizontal="left" vertical="top"/>
      <protection locked="0"/>
    </xf>
    <xf numFmtId="0" fontId="127" fillId="0" borderId="0" xfId="0" applyFont="1" applyBorder="1" applyAlignment="1" applyProtection="1">
      <alignment horizontal="center" vertical="center"/>
      <protection locked="0"/>
    </xf>
    <xf numFmtId="0" fontId="128" fillId="0" borderId="0" xfId="0" applyFont="1" applyBorder="1" applyAlignment="1" applyProtection="1">
      <alignment horizontal="center" vertical="center"/>
      <protection locked="0"/>
    </xf>
    <xf numFmtId="0" fontId="69" fillId="0" borderId="82" xfId="0" applyFont="1" applyFill="1" applyBorder="1" applyAlignment="1" applyProtection="1">
      <alignment horizontal="left" vertical="top"/>
      <protection locked="0"/>
    </xf>
    <xf numFmtId="0" fontId="69" fillId="0" borderId="82" xfId="0" applyFont="1" applyBorder="1" applyAlignment="1" applyProtection="1">
      <alignment vertical="top"/>
      <protection locked="0"/>
    </xf>
    <xf numFmtId="0" fontId="69" fillId="0" borderId="0" xfId="0" applyFont="1" applyBorder="1" applyAlignment="1" applyProtection="1">
      <alignment vertical="top"/>
      <protection locked="0"/>
    </xf>
    <xf numFmtId="0" fontId="111" fillId="0" borderId="0" xfId="0" applyFont="1" applyAlignment="1" applyProtection="1">
      <alignment horizontal="left"/>
      <protection locked="0"/>
    </xf>
    <xf numFmtId="0" fontId="111" fillId="0" borderId="0" xfId="0" applyFont="1" applyFill="1" applyAlignment="1" applyProtection="1">
      <alignment vertical="top" wrapText="1"/>
      <protection locked="0"/>
    </xf>
    <xf numFmtId="0" fontId="111" fillId="0" borderId="0" xfId="0" applyFont="1" applyFill="1" applyBorder="1" applyAlignment="1" applyProtection="1">
      <alignment vertical="top" shrinkToFit="1"/>
      <protection locked="0"/>
    </xf>
    <xf numFmtId="0" fontId="20" fillId="0" borderId="0" xfId="0" applyFont="1" applyFill="1" applyBorder="1" applyAlignment="1" applyProtection="1">
      <alignment horizontal="center" vertical="center" shrinkToFit="1"/>
      <protection locked="0"/>
    </xf>
    <xf numFmtId="0" fontId="27" fillId="0" borderId="0" xfId="0" applyFont="1" applyFill="1" applyBorder="1" applyAlignment="1" applyProtection="1">
      <alignment horizontal="center" vertical="center" shrinkToFit="1"/>
      <protection locked="0"/>
    </xf>
    <xf numFmtId="0" fontId="129" fillId="0" borderId="0" xfId="0" applyFont="1" applyFill="1" applyBorder="1" applyAlignment="1" applyProtection="1">
      <alignment vertical="top" shrinkToFit="1"/>
      <protection locked="0"/>
    </xf>
    <xf numFmtId="0" fontId="28" fillId="0" borderId="0" xfId="0" applyFont="1" applyFill="1" applyBorder="1" applyAlignment="1" applyProtection="1">
      <alignment horizontal="center" vertical="center" shrinkToFit="1"/>
      <protection locked="0"/>
    </xf>
    <xf numFmtId="0" fontId="129" fillId="0" borderId="0" xfId="0" applyFont="1" applyFill="1" applyAlignment="1" applyProtection="1">
      <alignment vertical="top" wrapText="1"/>
      <protection locked="0"/>
    </xf>
    <xf numFmtId="0" fontId="147" fillId="0" borderId="0" xfId="0" applyFont="1" applyBorder="1" applyAlignment="1" applyProtection="1">
      <alignment horizontal="left" vertical="top" indent="1"/>
      <protection locked="0"/>
    </xf>
    <xf numFmtId="0" fontId="111" fillId="0" borderId="0" xfId="0" applyFont="1" applyBorder="1" applyAlignment="1" applyProtection="1">
      <alignment horizontal="left" vertical="top" indent="1"/>
      <protection locked="0"/>
    </xf>
    <xf numFmtId="0" fontId="111" fillId="0" borderId="0" xfId="0" applyFont="1" applyAlignment="1" applyProtection="1">
      <alignment horizontal="left" vertical="top" indent="1"/>
      <protection locked="0"/>
    </xf>
    <xf numFmtId="0" fontId="152" fillId="0" borderId="0" xfId="0" applyFont="1" applyAlignment="1" applyProtection="1">
      <alignment horizontal="right" vertical="top"/>
      <protection locked="0"/>
    </xf>
    <xf numFmtId="0" fontId="69" fillId="0" borderId="0" xfId="0" applyFont="1" applyAlignment="1" applyProtection="1">
      <alignment horizontal="right" vertical="top"/>
      <protection locked="0"/>
    </xf>
    <xf numFmtId="0" fontId="26" fillId="0" borderId="0" xfId="0" applyFont="1" applyAlignment="1" applyProtection="1">
      <alignment vertical="top"/>
    </xf>
    <xf numFmtId="0" fontId="111" fillId="15" borderId="0" xfId="0" applyFont="1" applyFill="1" applyAlignment="1" applyProtection="1">
      <alignment vertical="top"/>
    </xf>
    <xf numFmtId="0" fontId="69" fillId="0" borderId="0" xfId="0" applyFont="1" applyAlignment="1" applyProtection="1">
      <alignment horizontal="right" vertical="top"/>
    </xf>
    <xf numFmtId="0" fontId="152" fillId="0" borderId="0" xfId="0" applyFont="1" applyAlignment="1" applyProtection="1">
      <alignment horizontal="right" vertical="top"/>
    </xf>
    <xf numFmtId="0" fontId="18" fillId="0" borderId="0" xfId="0" applyFont="1" applyBorder="1" applyAlignment="1" applyProtection="1">
      <alignment vertical="center"/>
      <protection hidden="1"/>
    </xf>
    <xf numFmtId="0" fontId="36" fillId="0" borderId="0" xfId="0" applyFont="1" applyAlignment="1" applyProtection="1">
      <alignment vertical="top"/>
      <protection hidden="1"/>
    </xf>
    <xf numFmtId="0" fontId="49" fillId="0" borderId="0" xfId="0" applyFont="1" applyBorder="1" applyAlignment="1" applyProtection="1">
      <alignment vertical="center" wrapText="1"/>
      <protection hidden="1"/>
    </xf>
    <xf numFmtId="0" fontId="49" fillId="0" borderId="0" xfId="0" applyFont="1" applyBorder="1" applyAlignment="1" applyProtection="1">
      <alignment horizontal="center" vertical="center" wrapText="1"/>
      <protection hidden="1"/>
    </xf>
    <xf numFmtId="0" fontId="36" fillId="0" borderId="0" xfId="0" applyFont="1" applyBorder="1" applyAlignment="1" applyProtection="1">
      <alignment horizontal="center" vertical="top" shrinkToFit="1"/>
      <protection hidden="1"/>
    </xf>
    <xf numFmtId="0" fontId="36" fillId="0" borderId="0" xfId="0" applyFont="1" applyBorder="1" applyAlignment="1" applyProtection="1">
      <alignment vertical="top" wrapText="1"/>
      <protection hidden="1"/>
    </xf>
    <xf numFmtId="0" fontId="43" fillId="38" borderId="11" xfId="0" applyFont="1" applyFill="1" applyBorder="1" applyAlignment="1" applyProtection="1">
      <alignment horizontal="center" vertical="center"/>
      <protection hidden="1"/>
    </xf>
    <xf numFmtId="0" fontId="43" fillId="38" borderId="12" xfId="0" applyFont="1" applyFill="1" applyBorder="1" applyAlignment="1" applyProtection="1">
      <alignment horizontal="center" vertical="center"/>
      <protection hidden="1"/>
    </xf>
    <xf numFmtId="0" fontId="43" fillId="38" borderId="15" xfId="0" applyFont="1" applyFill="1" applyBorder="1" applyAlignment="1" applyProtection="1">
      <alignment horizontal="center" vertical="center"/>
      <protection hidden="1"/>
    </xf>
    <xf numFmtId="164" fontId="41" fillId="37" borderId="10" xfId="1" applyFont="1" applyFill="1" applyBorder="1" applyAlignment="1" applyProtection="1">
      <alignment vertical="center"/>
      <protection hidden="1"/>
    </xf>
    <xf numFmtId="164" fontId="41" fillId="37" borderId="30" xfId="1" applyFont="1" applyFill="1" applyBorder="1" applyAlignment="1" applyProtection="1">
      <alignment vertical="center"/>
      <protection hidden="1"/>
    </xf>
    <xf numFmtId="164" fontId="41" fillId="37" borderId="33" xfId="1" applyFont="1" applyFill="1" applyBorder="1" applyAlignment="1" applyProtection="1">
      <alignment vertical="center"/>
      <protection hidden="1"/>
    </xf>
    <xf numFmtId="0" fontId="49" fillId="37" borderId="115" xfId="0" applyFont="1" applyFill="1" applyBorder="1" applyAlignment="1" applyProtection="1">
      <alignment horizontal="left" vertical="center" indent="1" shrinkToFit="1"/>
      <protection hidden="1"/>
    </xf>
    <xf numFmtId="0" fontId="49" fillId="37" borderId="117" xfId="0" applyFont="1" applyFill="1" applyBorder="1" applyAlignment="1" applyProtection="1">
      <alignment horizontal="left" vertical="center" indent="1" shrinkToFit="1"/>
      <protection hidden="1"/>
    </xf>
    <xf numFmtId="0" fontId="49" fillId="37" borderId="119" xfId="0" applyFont="1" applyFill="1" applyBorder="1" applyAlignment="1" applyProtection="1">
      <alignment horizontal="left" vertical="center" indent="1" shrinkToFit="1"/>
      <protection hidden="1"/>
    </xf>
    <xf numFmtId="0" fontId="93" fillId="39" borderId="88" xfId="0" applyFont="1" applyFill="1" applyBorder="1" applyAlignment="1" applyProtection="1">
      <alignment horizontal="center" vertical="center"/>
      <protection hidden="1"/>
    </xf>
    <xf numFmtId="0" fontId="93" fillId="39" borderId="89" xfId="0" applyFont="1" applyFill="1" applyBorder="1" applyAlignment="1" applyProtection="1">
      <alignment horizontal="center" vertical="center"/>
      <protection hidden="1"/>
    </xf>
    <xf numFmtId="0" fontId="93" fillId="39" borderId="90" xfId="0" applyFont="1" applyFill="1" applyBorder="1" applyAlignment="1" applyProtection="1">
      <alignment horizontal="center" vertical="center"/>
      <protection hidden="1"/>
    </xf>
    <xf numFmtId="0" fontId="93" fillId="39" borderId="92" xfId="0" applyFont="1" applyFill="1" applyBorder="1" applyAlignment="1" applyProtection="1">
      <alignment horizontal="center" vertical="center"/>
      <protection hidden="1"/>
    </xf>
    <xf numFmtId="164" fontId="43" fillId="38" borderId="15" xfId="1" applyFont="1" applyFill="1" applyBorder="1" applyAlignment="1" applyProtection="1">
      <alignment vertical="center"/>
      <protection hidden="1"/>
    </xf>
    <xf numFmtId="0" fontId="48" fillId="0" borderId="45" xfId="0" applyNumberFormat="1" applyFont="1" applyFill="1" applyBorder="1" applyAlignment="1" applyProtection="1">
      <alignment horizontal="center" vertical="center" shrinkToFit="1"/>
      <protection hidden="1"/>
    </xf>
    <xf numFmtId="0" fontId="36" fillId="0" borderId="0" xfId="0" applyFont="1" applyAlignment="1" applyProtection="1">
      <protection hidden="1"/>
    </xf>
    <xf numFmtId="0" fontId="36" fillId="0" borderId="0" xfId="0" applyFont="1" applyAlignment="1" applyProtection="1">
      <alignment vertical="top"/>
      <protection hidden="1"/>
    </xf>
    <xf numFmtId="0" fontId="36" fillId="0" borderId="10" xfId="0" applyFont="1" applyBorder="1" applyAlignment="1" applyProtection="1">
      <alignment vertical="center" wrapText="1"/>
      <protection hidden="1"/>
    </xf>
    <xf numFmtId="0" fontId="36" fillId="0" borderId="0" xfId="0" applyFont="1" applyAlignment="1" applyProtection="1">
      <alignment vertical="center"/>
      <protection hidden="1"/>
    </xf>
    <xf numFmtId="0" fontId="37" fillId="2" borderId="1" xfId="0" applyFont="1" applyFill="1" applyBorder="1" applyAlignment="1" applyProtection="1">
      <alignment horizontal="center" vertical="center"/>
      <protection hidden="1"/>
    </xf>
    <xf numFmtId="0" fontId="36" fillId="0" borderId="2" xfId="0" applyFont="1" applyBorder="1" applyAlignment="1" applyProtection="1">
      <alignment vertical="center"/>
      <protection hidden="1"/>
    </xf>
    <xf numFmtId="0" fontId="36" fillId="0" borderId="3" xfId="0" applyFont="1" applyBorder="1" applyAlignment="1" applyProtection="1">
      <alignment vertical="center"/>
      <protection hidden="1"/>
    </xf>
    <xf numFmtId="0" fontId="36" fillId="0" borderId="52" xfId="0" applyFont="1" applyBorder="1" applyAlignment="1" applyProtection="1">
      <alignment vertical="center"/>
      <protection hidden="1"/>
    </xf>
    <xf numFmtId="0" fontId="36" fillId="0" borderId="19" xfId="0" applyFont="1" applyBorder="1" applyAlignment="1" applyProtection="1">
      <alignment vertical="center"/>
      <protection hidden="1"/>
    </xf>
    <xf numFmtId="0" fontId="36" fillId="2" borderId="3" xfId="0" applyFont="1" applyFill="1" applyBorder="1" applyAlignment="1" applyProtection="1">
      <alignment vertical="center" wrapText="1"/>
      <protection hidden="1"/>
    </xf>
    <xf numFmtId="0" fontId="36" fillId="2" borderId="34" xfId="0" applyFont="1" applyFill="1" applyBorder="1" applyAlignment="1" applyProtection="1">
      <alignment vertical="center"/>
      <protection hidden="1"/>
    </xf>
    <xf numFmtId="0" fontId="36" fillId="0" borderId="1" xfId="0" applyFont="1" applyBorder="1" applyAlignment="1" applyProtection="1">
      <alignment horizontal="center" vertical="center"/>
      <protection hidden="1"/>
    </xf>
    <xf numFmtId="0" fontId="36" fillId="0" borderId="2" xfId="0" applyFont="1" applyBorder="1" applyAlignment="1" applyProtection="1">
      <alignment vertical="center"/>
      <protection hidden="1"/>
    </xf>
    <xf numFmtId="0" fontId="36" fillId="0" borderId="0" xfId="0" applyFont="1" applyAlignment="1" applyProtection="1">
      <alignment vertical="center"/>
      <protection hidden="1"/>
    </xf>
    <xf numFmtId="0" fontId="37" fillId="2" borderId="1" xfId="0" applyFont="1" applyFill="1" applyBorder="1" applyAlignment="1" applyProtection="1">
      <alignment horizontal="center" vertical="center"/>
      <protection hidden="1"/>
    </xf>
    <xf numFmtId="0" fontId="41" fillId="0" borderId="0" xfId="0" applyFont="1" applyAlignment="1" applyProtection="1">
      <alignment vertical="top"/>
      <protection hidden="1"/>
    </xf>
    <xf numFmtId="0" fontId="36" fillId="0" borderId="0" xfId="0" applyFont="1" applyAlignment="1" applyProtection="1">
      <protection hidden="1"/>
    </xf>
    <xf numFmtId="0" fontId="36" fillId="0" borderId="0" xfId="0" applyFont="1" applyAlignment="1" applyProtection="1">
      <alignment vertical="top"/>
      <protection hidden="1"/>
    </xf>
    <xf numFmtId="0" fontId="36" fillId="0" borderId="10" xfId="0" applyFont="1" applyBorder="1" applyAlignment="1" applyProtection="1">
      <alignment vertical="center" wrapText="1"/>
      <protection hidden="1"/>
    </xf>
    <xf numFmtId="0" fontId="36" fillId="0" borderId="1" xfId="0" applyFont="1" applyBorder="1" applyAlignment="1" applyProtection="1">
      <alignment horizontal="center" vertical="center"/>
      <protection hidden="1"/>
    </xf>
    <xf numFmtId="0" fontId="155" fillId="13" borderId="1" xfId="0" applyFont="1" applyFill="1" applyBorder="1" applyAlignment="1" applyProtection="1">
      <alignment horizontal="center" vertical="center"/>
      <protection locked="0"/>
    </xf>
    <xf numFmtId="0" fontId="43" fillId="35" borderId="1" xfId="0" quotePrefix="1" applyFont="1" applyFill="1" applyBorder="1" applyAlignment="1" applyProtection="1">
      <alignment horizontal="center" vertical="center"/>
      <protection hidden="1"/>
    </xf>
    <xf numFmtId="0" fontId="56" fillId="0" borderId="0" xfId="0" applyFont="1" applyBorder="1" applyAlignment="1" applyProtection="1">
      <alignment horizontal="left" vertical="center" wrapText="1"/>
      <protection hidden="1"/>
    </xf>
    <xf numFmtId="0" fontId="36" fillId="0" borderId="52" xfId="0" applyFont="1" applyBorder="1" applyAlignment="1" applyProtection="1">
      <alignment horizontal="center" vertical="center"/>
      <protection hidden="1"/>
    </xf>
    <xf numFmtId="0" fontId="36" fillId="0" borderId="0" xfId="0" applyFont="1" applyBorder="1" applyAlignment="1" applyProtection="1">
      <alignment horizontal="left" vertical="center" wrapText="1" indent="1"/>
      <protection hidden="1"/>
    </xf>
    <xf numFmtId="0" fontId="36" fillId="0" borderId="51" xfId="0" applyFont="1" applyBorder="1" applyAlignment="1" applyProtection="1">
      <alignment horizontal="left" vertical="center" wrapText="1" indent="1"/>
      <protection hidden="1"/>
    </xf>
    <xf numFmtId="0" fontId="36" fillId="0" borderId="52" xfId="0" applyFont="1" applyBorder="1" applyAlignment="1" applyProtection="1">
      <alignment horizontal="left" vertical="center" wrapText="1" indent="1"/>
      <protection hidden="1"/>
    </xf>
    <xf numFmtId="0" fontId="36" fillId="0" borderId="52" xfId="0" applyFont="1" applyBorder="1" applyAlignment="1" applyProtection="1">
      <alignment vertical="top"/>
      <protection hidden="1"/>
    </xf>
    <xf numFmtId="0" fontId="36" fillId="0" borderId="40" xfId="0" applyFont="1" applyBorder="1" applyAlignment="1" applyProtection="1">
      <alignment vertical="top"/>
      <protection hidden="1"/>
    </xf>
    <xf numFmtId="0" fontId="36" fillId="0" borderId="25" xfId="0" applyFont="1" applyBorder="1" applyAlignment="1" applyProtection="1">
      <alignment horizontal="left" vertical="center" wrapText="1" indent="1"/>
      <protection hidden="1"/>
    </xf>
    <xf numFmtId="0" fontId="36" fillId="0" borderId="24" xfId="0" applyFont="1" applyBorder="1" applyAlignment="1" applyProtection="1">
      <alignment vertical="top"/>
      <protection hidden="1"/>
    </xf>
    <xf numFmtId="0" fontId="36" fillId="0" borderId="19" xfId="0" applyFont="1" applyBorder="1" applyAlignment="1" applyProtection="1">
      <alignment vertical="center" wrapText="1"/>
      <protection hidden="1"/>
    </xf>
    <xf numFmtId="0" fontId="36" fillId="0" borderId="19" xfId="0" applyFont="1" applyBorder="1" applyAlignment="1" applyProtection="1">
      <alignment vertical="top"/>
      <protection hidden="1"/>
    </xf>
    <xf numFmtId="0" fontId="36" fillId="0" borderId="9" xfId="0" applyFont="1" applyBorder="1" applyAlignment="1" applyProtection="1">
      <alignment vertical="top"/>
      <protection hidden="1"/>
    </xf>
    <xf numFmtId="0" fontId="41" fillId="15" borderId="0" xfId="0" applyFont="1" applyFill="1" applyAlignment="1" applyProtection="1">
      <alignment vertical="top"/>
      <protection hidden="1"/>
    </xf>
    <xf numFmtId="0" fontId="41" fillId="0" borderId="0" xfId="0" applyFont="1" applyFill="1" applyAlignment="1" applyProtection="1">
      <alignment vertical="top"/>
      <protection hidden="1"/>
    </xf>
    <xf numFmtId="0" fontId="43" fillId="35" borderId="1" xfId="0" applyFont="1" applyFill="1" applyBorder="1" applyAlignment="1" applyProtection="1">
      <alignment horizontal="center" vertical="center"/>
      <protection hidden="1"/>
    </xf>
    <xf numFmtId="0" fontId="41" fillId="0" borderId="0" xfId="0" applyFont="1" applyBorder="1" applyAlignment="1" applyProtection="1">
      <alignment horizontal="center" vertical="center" wrapText="1"/>
      <protection hidden="1"/>
    </xf>
    <xf numFmtId="0" fontId="37" fillId="15" borderId="0" xfId="0" applyFont="1" applyFill="1" applyAlignment="1" applyProtection="1">
      <alignment vertical="center"/>
      <protection hidden="1"/>
    </xf>
    <xf numFmtId="0" fontId="37" fillId="15" borderId="0" xfId="0" applyFont="1" applyFill="1" applyAlignment="1" applyProtection="1">
      <alignment vertical="top"/>
      <protection hidden="1"/>
    </xf>
    <xf numFmtId="0" fontId="37" fillId="0" borderId="0" xfId="0" applyFont="1" applyBorder="1" applyAlignment="1" applyProtection="1">
      <alignment vertical="top" wrapText="1"/>
      <protection hidden="1"/>
    </xf>
    <xf numFmtId="0" fontId="37" fillId="0" borderId="0" xfId="0" applyFont="1" applyBorder="1" applyAlignment="1" applyProtection="1">
      <alignment horizontal="left" vertical="center" wrapText="1" indent="1"/>
      <protection hidden="1"/>
    </xf>
    <xf numFmtId="0" fontId="37" fillId="15" borderId="0" xfId="0" applyFont="1" applyFill="1" applyBorder="1" applyAlignment="1" applyProtection="1">
      <alignment horizontal="center" vertical="center"/>
      <protection hidden="1"/>
    </xf>
    <xf numFmtId="0" fontId="156" fillId="0" borderId="0" xfId="0" applyFont="1" applyAlignment="1" applyProtection="1">
      <alignment horizontal="center" vertical="center"/>
      <protection hidden="1"/>
    </xf>
    <xf numFmtId="1" fontId="36" fillId="0" borderId="49" xfId="0" applyNumberFormat="1" applyFont="1" applyBorder="1" applyAlignment="1" applyProtection="1">
      <alignment horizontal="center" vertical="center"/>
      <protection hidden="1"/>
    </xf>
    <xf numFmtId="0" fontId="36" fillId="0" borderId="49" xfId="0" applyFont="1" applyBorder="1" applyAlignment="1" applyProtection="1">
      <alignment horizontal="center" vertical="center"/>
      <protection hidden="1"/>
    </xf>
    <xf numFmtId="0" fontId="56" fillId="0" borderId="49" xfId="0" applyFont="1" applyBorder="1" applyAlignment="1" applyProtection="1">
      <alignment horizontal="left" vertical="center" wrapText="1"/>
      <protection hidden="1"/>
    </xf>
    <xf numFmtId="0" fontId="36" fillId="0" borderId="0" xfId="0" applyFont="1" applyBorder="1" applyAlignment="1" applyProtection="1">
      <alignment horizontal="left" vertical="center" wrapText="1"/>
      <protection hidden="1"/>
    </xf>
    <xf numFmtId="0" fontId="75" fillId="0" borderId="49" xfId="0" applyFont="1" applyBorder="1" applyAlignment="1" applyProtection="1">
      <alignment horizontal="right" vertical="center" wrapText="1"/>
      <protection hidden="1"/>
    </xf>
    <xf numFmtId="0" fontId="36" fillId="15" borderId="0" xfId="0" applyFont="1" applyFill="1" applyAlignment="1" applyProtection="1">
      <alignment horizontal="center"/>
      <protection hidden="1"/>
    </xf>
    <xf numFmtId="0" fontId="141" fillId="0" borderId="0" xfId="0" applyFont="1" applyBorder="1" applyAlignment="1" applyProtection="1">
      <alignment vertical="center" wrapText="1"/>
      <protection hidden="1"/>
    </xf>
    <xf numFmtId="0" fontId="49" fillId="0" borderId="49" xfId="0" applyFont="1" applyBorder="1" applyAlignment="1" applyProtection="1">
      <alignment vertical="center" wrapText="1"/>
      <protection hidden="1"/>
    </xf>
    <xf numFmtId="0" fontId="49" fillId="0" borderId="49" xfId="0" applyFont="1" applyBorder="1" applyAlignment="1" applyProtection="1">
      <alignment horizontal="center" vertical="center" wrapText="1"/>
      <protection hidden="1"/>
    </xf>
    <xf numFmtId="0" fontId="36" fillId="4" borderId="49" xfId="0" applyFont="1" applyFill="1" applyBorder="1" applyAlignment="1" applyProtection="1">
      <alignment vertical="top"/>
      <protection hidden="1"/>
    </xf>
    <xf numFmtId="0" fontId="36" fillId="6" borderId="0" xfId="0" applyFont="1" applyFill="1" applyBorder="1" applyAlignment="1" applyProtection="1">
      <alignment vertical="center"/>
      <protection hidden="1"/>
    </xf>
    <xf numFmtId="0" fontId="36" fillId="0" borderId="49" xfId="0" applyFont="1" applyBorder="1" applyAlignment="1" applyProtection="1">
      <alignment vertical="center"/>
      <protection hidden="1"/>
    </xf>
    <xf numFmtId="164" fontId="43" fillId="0" borderId="49" xfId="1" applyFont="1" applyBorder="1" applyAlignment="1" applyProtection="1">
      <alignment vertical="center"/>
      <protection hidden="1"/>
    </xf>
    <xf numFmtId="164" fontId="56" fillId="0" borderId="0" xfId="1" applyFont="1" applyBorder="1" applyAlignment="1" applyProtection="1">
      <alignment vertical="center"/>
      <protection hidden="1"/>
    </xf>
    <xf numFmtId="0" fontId="36" fillId="0" borderId="3" xfId="0" applyFont="1" applyBorder="1" applyAlignment="1" applyProtection="1">
      <alignment horizontal="left" vertical="center" indent="1"/>
      <protection hidden="1"/>
    </xf>
    <xf numFmtId="0" fontId="36" fillId="15" borderId="0" xfId="0" applyFont="1" applyFill="1" applyBorder="1" applyAlignment="1" applyProtection="1">
      <alignment vertical="center"/>
      <protection hidden="1"/>
    </xf>
    <xf numFmtId="0" fontId="110" fillId="2" borderId="1" xfId="0" applyFont="1" applyFill="1" applyBorder="1" applyAlignment="1" applyProtection="1">
      <alignment horizontal="center" vertical="center"/>
      <protection locked="0"/>
    </xf>
    <xf numFmtId="0" fontId="157" fillId="2" borderId="1" xfId="0" applyFont="1" applyFill="1" applyBorder="1" applyAlignment="1" applyProtection="1">
      <alignment horizontal="center" vertical="center"/>
      <protection hidden="1"/>
    </xf>
    <xf numFmtId="0" fontId="157" fillId="2" borderId="12" xfId="0" applyFont="1" applyFill="1" applyBorder="1" applyAlignment="1" applyProtection="1">
      <alignment horizontal="center" vertical="center"/>
      <protection hidden="1"/>
    </xf>
    <xf numFmtId="0" fontId="158" fillId="4" borderId="0" xfId="0" applyFont="1" applyFill="1" applyAlignment="1" applyProtection="1">
      <alignment horizontal="right"/>
      <protection hidden="1"/>
    </xf>
    <xf numFmtId="0" fontId="48" fillId="0" borderId="125" xfId="0" applyNumberFormat="1" applyFont="1" applyFill="1" applyBorder="1" applyAlignment="1" applyProtection="1">
      <alignment horizontal="center" vertical="center" shrinkToFit="1"/>
      <protection hidden="1"/>
    </xf>
    <xf numFmtId="0" fontId="48" fillId="0" borderId="22" xfId="0" applyFont="1" applyFill="1" applyBorder="1" applyAlignment="1" applyProtection="1">
      <alignment horizontal="center" vertical="center"/>
      <protection hidden="1"/>
    </xf>
    <xf numFmtId="0" fontId="48" fillId="0" borderId="22" xfId="0" applyFont="1" applyFill="1" applyBorder="1" applyAlignment="1" applyProtection="1">
      <alignment vertical="center"/>
      <protection hidden="1"/>
    </xf>
    <xf numFmtId="0" fontId="48" fillId="0" borderId="23" xfId="0" applyFont="1" applyFill="1" applyBorder="1" applyAlignment="1" applyProtection="1">
      <alignment horizontal="center" vertical="center"/>
      <protection hidden="1"/>
    </xf>
    <xf numFmtId="0" fontId="29" fillId="3" borderId="0" xfId="0" applyFont="1" applyFill="1" applyAlignment="1" applyProtection="1">
      <alignment horizontal="center" vertical="center"/>
      <protection hidden="1"/>
    </xf>
    <xf numFmtId="0" fontId="29" fillId="3" borderId="0" xfId="0" applyFont="1" applyFill="1" applyAlignment="1" applyProtection="1">
      <alignment vertical="center"/>
      <protection hidden="1"/>
    </xf>
    <xf numFmtId="0" fontId="61" fillId="3" borderId="0" xfId="0" applyFont="1" applyFill="1" applyAlignment="1" applyProtection="1">
      <alignment vertical="top"/>
      <protection hidden="1"/>
    </xf>
    <xf numFmtId="0" fontId="2" fillId="3" borderId="0" xfId="0" applyFont="1" applyFill="1" applyAlignment="1" applyProtection="1">
      <alignment horizontal="center" vertical="top"/>
      <protection hidden="1"/>
    </xf>
    <xf numFmtId="0" fontId="2" fillId="3" borderId="0" xfId="0" applyFont="1" applyFill="1" applyAlignment="1" applyProtection="1">
      <alignment vertical="top"/>
      <protection hidden="1"/>
    </xf>
    <xf numFmtId="0" fontId="13" fillId="3" borderId="0" xfId="0" applyFont="1" applyFill="1" applyAlignment="1" applyProtection="1">
      <alignment horizontal="center" vertical="top"/>
      <protection hidden="1"/>
    </xf>
    <xf numFmtId="0" fontId="0" fillId="3" borderId="0" xfId="0" applyFill="1" applyAlignment="1" applyProtection="1">
      <alignment vertical="top"/>
      <protection hidden="1"/>
    </xf>
    <xf numFmtId="0" fontId="9" fillId="3" borderId="0" xfId="0" applyFont="1" applyFill="1" applyAlignment="1" applyProtection="1">
      <alignment vertical="center"/>
      <protection hidden="1"/>
    </xf>
    <xf numFmtId="0" fontId="9" fillId="3" borderId="0" xfId="0" applyFont="1" applyFill="1" applyAlignment="1" applyProtection="1">
      <alignment horizontal="center" vertical="center"/>
      <protection hidden="1"/>
    </xf>
    <xf numFmtId="0" fontId="2" fillId="3" borderId="0" xfId="0" applyFont="1" applyFill="1" applyAlignment="1" applyProtection="1">
      <alignment horizontal="center" vertical="center"/>
      <protection hidden="1"/>
    </xf>
    <xf numFmtId="0" fontId="0" fillId="3" borderId="0" xfId="0" applyFill="1" applyAlignment="1" applyProtection="1">
      <alignment horizontal="center" vertical="center"/>
      <protection hidden="1"/>
    </xf>
    <xf numFmtId="0" fontId="0" fillId="3" borderId="0" xfId="0" applyFill="1" applyAlignment="1" applyProtection="1">
      <alignment vertical="center"/>
      <protection hidden="1"/>
    </xf>
    <xf numFmtId="0" fontId="14" fillId="3" borderId="0" xfId="0" applyFont="1" applyFill="1" applyBorder="1" applyAlignment="1" applyProtection="1">
      <alignment vertical="center"/>
      <protection hidden="1"/>
    </xf>
    <xf numFmtId="0" fontId="14" fillId="3" borderId="0" xfId="0" applyFont="1" applyFill="1" applyBorder="1" applyAlignment="1" applyProtection="1">
      <alignment horizontal="center" vertical="center"/>
      <protection hidden="1"/>
    </xf>
    <xf numFmtId="0" fontId="24" fillId="3" borderId="0" xfId="0" applyFont="1" applyFill="1" applyAlignment="1" applyProtection="1">
      <alignment vertical="center"/>
      <protection hidden="1"/>
    </xf>
    <xf numFmtId="0" fontId="24" fillId="3" borderId="0" xfId="0" applyFont="1" applyFill="1" applyProtection="1">
      <protection hidden="1"/>
    </xf>
    <xf numFmtId="0" fontId="2" fillId="3" borderId="0" xfId="0" applyFont="1" applyFill="1" applyAlignment="1" applyProtection="1">
      <alignment vertical="center"/>
      <protection hidden="1"/>
    </xf>
    <xf numFmtId="0" fontId="15" fillId="3" borderId="0" xfId="0" applyFont="1" applyFill="1" applyBorder="1" applyAlignment="1" applyProtection="1">
      <alignment vertical="center"/>
      <protection hidden="1"/>
    </xf>
    <xf numFmtId="0" fontId="36" fillId="0" borderId="1" xfId="0" applyFont="1" applyBorder="1" applyAlignment="1" applyProtection="1">
      <alignment horizontal="center" vertical="center"/>
      <protection hidden="1"/>
    </xf>
    <xf numFmtId="0" fontId="111" fillId="0" borderId="0" xfId="0" applyNumberFormat="1" applyFont="1" applyAlignment="1" applyProtection="1">
      <alignment horizontal="fill" vertical="center"/>
      <protection locked="0"/>
    </xf>
    <xf numFmtId="0" fontId="69" fillId="0" borderId="0" xfId="0" applyNumberFormat="1" applyFont="1" applyAlignment="1" applyProtection="1">
      <alignment horizontal="fill" vertical="center"/>
      <protection locked="0"/>
    </xf>
    <xf numFmtId="0" fontId="159" fillId="32" borderId="0" xfId="0" applyFont="1" applyFill="1" applyAlignment="1">
      <alignment horizontal="center" vertical="center"/>
    </xf>
    <xf numFmtId="0" fontId="0" fillId="0" borderId="25" xfId="0" applyBorder="1"/>
    <xf numFmtId="0" fontId="160" fillId="0" borderId="25" xfId="0" applyFont="1" applyBorder="1"/>
    <xf numFmtId="0" fontId="2" fillId="0" borderId="0" xfId="0" applyFont="1" applyAlignment="1" applyProtection="1">
      <alignment vertical="top"/>
    </xf>
    <xf numFmtId="0" fontId="36" fillId="0" borderId="1" xfId="0" applyFont="1" applyBorder="1" applyAlignment="1" applyProtection="1">
      <alignment horizontal="center" vertical="center"/>
      <protection hidden="1"/>
    </xf>
    <xf numFmtId="49" fontId="53" fillId="0" borderId="8" xfId="0" applyNumberFormat="1" applyFont="1" applyBorder="1" applyAlignment="1" applyProtection="1">
      <alignment horizontal="left" vertical="center" indent="1" shrinkToFit="1"/>
      <protection locked="0"/>
    </xf>
    <xf numFmtId="49" fontId="53" fillId="0" borderId="27" xfId="0" applyNumberFormat="1" applyFont="1" applyBorder="1" applyAlignment="1" applyProtection="1">
      <alignment horizontal="left" vertical="center" indent="1" shrinkToFit="1"/>
      <protection locked="0"/>
    </xf>
    <xf numFmtId="49" fontId="53" fillId="0" borderId="116" xfId="0" quotePrefix="1" applyNumberFormat="1" applyFont="1" applyFill="1" applyBorder="1" applyAlignment="1" applyProtection="1">
      <alignment vertical="center"/>
      <protection locked="0"/>
    </xf>
    <xf numFmtId="0" fontId="161" fillId="0" borderId="0" xfId="0" applyFont="1" applyFill="1" applyBorder="1" applyAlignment="1" applyProtection="1">
      <alignment vertical="center"/>
      <protection hidden="1"/>
    </xf>
    <xf numFmtId="0" fontId="162" fillId="0" borderId="0" xfId="0" applyFont="1" applyFill="1" applyBorder="1" applyAlignment="1" applyProtection="1">
      <alignment vertical="center"/>
      <protection hidden="1"/>
    </xf>
    <xf numFmtId="0" fontId="0" fillId="0" borderId="0" xfId="0" applyBorder="1" applyAlignment="1" applyProtection="1">
      <alignment vertical="center"/>
      <protection hidden="1"/>
    </xf>
    <xf numFmtId="0" fontId="0" fillId="0" borderId="126" xfId="0" applyBorder="1" applyAlignment="1" applyProtection="1">
      <alignment vertical="center"/>
      <protection hidden="1"/>
    </xf>
    <xf numFmtId="0" fontId="0" fillId="0" borderId="127" xfId="0" applyBorder="1" applyAlignment="1" applyProtection="1">
      <alignment vertical="center"/>
      <protection hidden="1"/>
    </xf>
    <xf numFmtId="0" fontId="103" fillId="0" borderId="0" xfId="2" applyFont="1" applyFill="1" applyBorder="1" applyAlignment="1" applyProtection="1">
      <alignment horizontal="center" vertical="center"/>
      <protection locked="0" hidden="1"/>
    </xf>
    <xf numFmtId="0" fontId="163" fillId="0" borderId="0" xfId="0" applyFont="1" applyAlignment="1" applyProtection="1">
      <alignment vertical="center"/>
      <protection hidden="1"/>
    </xf>
    <xf numFmtId="0" fontId="134" fillId="41" borderId="0" xfId="0" applyFont="1" applyFill="1" applyBorder="1" applyAlignment="1" applyProtection="1">
      <alignment vertical="center"/>
      <protection hidden="1"/>
    </xf>
    <xf numFmtId="0" fontId="135" fillId="41" borderId="0" xfId="0" applyFont="1" applyFill="1" applyBorder="1" applyAlignment="1" applyProtection="1">
      <alignment vertical="center"/>
      <protection hidden="1"/>
    </xf>
    <xf numFmtId="0" fontId="161" fillId="0" borderId="126" xfId="0" applyFont="1" applyBorder="1" applyAlignment="1" applyProtection="1">
      <alignment vertical="center"/>
      <protection hidden="1"/>
    </xf>
    <xf numFmtId="0" fontId="161" fillId="0" borderId="0" xfId="0" applyFont="1" applyBorder="1" applyAlignment="1" applyProtection="1">
      <alignment vertical="center"/>
      <protection hidden="1"/>
    </xf>
    <xf numFmtId="0" fontId="161" fillId="0" borderId="127" xfId="0" applyFont="1" applyBorder="1" applyAlignment="1" applyProtection="1">
      <alignment vertical="center"/>
      <protection hidden="1"/>
    </xf>
    <xf numFmtId="0" fontId="84" fillId="0" borderId="0" xfId="0" applyFont="1" applyAlignment="1" applyProtection="1">
      <alignment horizontal="center" vertical="top"/>
      <protection locked="0"/>
    </xf>
    <xf numFmtId="0" fontId="68" fillId="0" borderId="0" xfId="0" applyFont="1" applyAlignment="1" applyProtection="1">
      <alignment vertical="top"/>
      <protection locked="0"/>
    </xf>
    <xf numFmtId="0" fontId="111" fillId="0" borderId="0" xfId="0" applyFont="1" applyAlignment="1" applyProtection="1">
      <alignment horizontal="right" vertical="top" shrinkToFit="1"/>
      <protection locked="0"/>
    </xf>
    <xf numFmtId="0" fontId="13" fillId="0" borderId="0" xfId="0" applyFont="1" applyAlignment="1" applyProtection="1">
      <alignment horizontal="left" vertical="top"/>
      <protection locked="0"/>
    </xf>
    <xf numFmtId="0" fontId="69" fillId="0" borderId="0" xfId="0" applyFont="1" applyAlignment="1" applyProtection="1">
      <alignment horizontal="left" vertical="top" indent="4"/>
      <protection locked="0"/>
    </xf>
    <xf numFmtId="0" fontId="73" fillId="0" borderId="0" xfId="0" applyFont="1" applyAlignment="1" applyProtection="1">
      <alignment horizontal="right" vertical="top"/>
      <protection locked="0"/>
    </xf>
    <xf numFmtId="0" fontId="36" fillId="0" borderId="0" xfId="0" applyFont="1" applyAlignment="1" applyProtection="1">
      <alignment vertical="top"/>
      <protection locked="0"/>
    </xf>
    <xf numFmtId="0" fontId="165" fillId="0" borderId="0" xfId="0" applyFont="1" applyBorder="1" applyAlignment="1" applyProtection="1">
      <alignment horizontal="center" vertical="center"/>
      <protection locked="0"/>
    </xf>
    <xf numFmtId="0" fontId="36" fillId="0" borderId="0" xfId="0" applyFont="1" applyFill="1" applyAlignment="1" applyProtection="1">
      <alignment vertical="top"/>
      <protection locked="0"/>
    </xf>
    <xf numFmtId="0" fontId="115" fillId="0" borderId="0" xfId="0" applyFont="1" applyAlignment="1">
      <alignment vertical="center"/>
    </xf>
    <xf numFmtId="0" fontId="115" fillId="0" borderId="0" xfId="0" applyNumberFormat="1" applyFont="1" applyAlignment="1" applyProtection="1">
      <alignment horizontal="fill" vertical="center"/>
      <protection locked="0"/>
    </xf>
    <xf numFmtId="0" fontId="115" fillId="0" borderId="0" xfId="0" applyFont="1" applyAlignment="1" applyProtection="1">
      <alignment vertical="center"/>
      <protection locked="0"/>
    </xf>
    <xf numFmtId="0" fontId="115" fillId="0" borderId="0" xfId="0" applyFont="1"/>
    <xf numFmtId="0" fontId="166" fillId="0" borderId="0" xfId="0" applyFont="1" applyBorder="1" applyAlignment="1" applyProtection="1">
      <alignment horizontal="center" vertical="center"/>
      <protection locked="0"/>
    </xf>
    <xf numFmtId="0" fontId="167" fillId="33" borderId="75" xfId="0" applyFont="1" applyFill="1" applyBorder="1" applyAlignment="1" applyProtection="1">
      <alignment horizontal="center" vertical="center"/>
      <protection hidden="1"/>
    </xf>
    <xf numFmtId="0" fontId="138" fillId="0" borderId="128" xfId="0" applyFont="1" applyFill="1" applyBorder="1" applyAlignment="1" applyProtection="1">
      <alignment horizontal="center" vertical="top"/>
      <protection locked="0"/>
    </xf>
    <xf numFmtId="0" fontId="56" fillId="0" borderId="0" xfId="0" applyFont="1" applyBorder="1" applyAlignment="1" applyProtection="1">
      <alignment vertical="center"/>
      <protection hidden="1"/>
    </xf>
    <xf numFmtId="0" fontId="143" fillId="15" borderId="0" xfId="0" applyFont="1" applyFill="1" applyBorder="1" applyAlignment="1" applyProtection="1">
      <alignment vertical="top"/>
      <protection hidden="1"/>
    </xf>
    <xf numFmtId="0" fontId="143" fillId="15" borderId="0" xfId="0" applyFont="1" applyFill="1" applyAlignment="1" applyProtection="1">
      <alignment vertical="top"/>
      <protection hidden="1"/>
    </xf>
    <xf numFmtId="0" fontId="36" fillId="0" borderId="49" xfId="0" applyFont="1" applyBorder="1" applyAlignment="1" applyProtection="1">
      <alignment vertical="top" wrapText="1"/>
      <protection hidden="1"/>
    </xf>
    <xf numFmtId="1" fontId="53" fillId="0" borderId="27" xfId="0" applyNumberFormat="1" applyFont="1" applyBorder="1" applyAlignment="1" applyProtection="1">
      <alignment horizontal="left" vertical="center" indent="1" shrinkToFit="1"/>
      <protection locked="0"/>
    </xf>
    <xf numFmtId="0" fontId="41" fillId="0" borderId="0" xfId="0" applyFont="1" applyAlignment="1" applyProtection="1">
      <alignment vertical="top"/>
      <protection hidden="1"/>
    </xf>
    <xf numFmtId="0" fontId="36" fillId="0" borderId="0" xfId="0" applyFont="1" applyAlignment="1" applyProtection="1">
      <protection hidden="1"/>
    </xf>
    <xf numFmtId="0" fontId="36" fillId="0" borderId="0" xfId="0" applyFont="1" applyAlignment="1" applyProtection="1">
      <alignment vertical="top"/>
      <protection hidden="1"/>
    </xf>
    <xf numFmtId="0" fontId="36" fillId="0" borderId="0" xfId="0" applyFont="1" applyAlignment="1" applyProtection="1">
      <alignment horizontal="left" vertical="top"/>
      <protection hidden="1"/>
    </xf>
    <xf numFmtId="0" fontId="37" fillId="2" borderId="1" xfId="0" applyFont="1" applyFill="1" applyBorder="1" applyAlignment="1" applyProtection="1">
      <alignment horizontal="center" vertical="center"/>
      <protection hidden="1"/>
    </xf>
    <xf numFmtId="0" fontId="36" fillId="0" borderId="2" xfId="0" applyFont="1" applyBorder="1" applyAlignment="1" applyProtection="1">
      <alignment vertical="center"/>
      <protection hidden="1"/>
    </xf>
    <xf numFmtId="0" fontId="36" fillId="0" borderId="0" xfId="0" applyFont="1" applyAlignment="1" applyProtection="1">
      <alignment vertical="center"/>
      <protection hidden="1"/>
    </xf>
    <xf numFmtId="0" fontId="36" fillId="2" borderId="34" xfId="0" applyFont="1" applyFill="1" applyBorder="1" applyAlignment="1" applyProtection="1">
      <alignment vertical="center" wrapText="1"/>
      <protection hidden="1"/>
    </xf>
    <xf numFmtId="0" fontId="43" fillId="35" borderId="1" xfId="0" applyFont="1" applyFill="1" applyBorder="1" applyAlignment="1" applyProtection="1">
      <alignment horizontal="center" vertical="center"/>
      <protection hidden="1"/>
    </xf>
    <xf numFmtId="0" fontId="36" fillId="2" borderId="2" xfId="0" applyFont="1" applyFill="1" applyBorder="1" applyAlignment="1" applyProtection="1">
      <alignment vertical="center"/>
      <protection hidden="1"/>
    </xf>
    <xf numFmtId="0" fontId="36" fillId="2" borderId="34" xfId="0" applyFont="1" applyFill="1" applyBorder="1" applyAlignment="1" applyProtection="1">
      <alignment vertical="center"/>
      <protection hidden="1"/>
    </xf>
    <xf numFmtId="0" fontId="139" fillId="0" borderId="0" xfId="0" applyFont="1" applyAlignment="1" applyProtection="1">
      <alignment horizontal="center" vertical="center" wrapText="1"/>
      <protection hidden="1"/>
    </xf>
    <xf numFmtId="0" fontId="139" fillId="0" borderId="19" xfId="0" applyFont="1" applyBorder="1" applyAlignment="1" applyProtection="1">
      <alignment horizontal="center" vertical="center" wrapText="1"/>
      <protection hidden="1"/>
    </xf>
    <xf numFmtId="0" fontId="36" fillId="0" borderId="1" xfId="0" applyFont="1" applyBorder="1" applyAlignment="1" applyProtection="1">
      <alignment horizontal="center" vertical="center"/>
      <protection hidden="1"/>
    </xf>
    <xf numFmtId="0" fontId="39" fillId="0" borderId="0" xfId="0" applyFont="1" applyBorder="1"/>
    <xf numFmtId="0" fontId="78" fillId="35" borderId="1" xfId="0" quotePrefix="1" applyFont="1" applyFill="1" applyBorder="1" applyAlignment="1" applyProtection="1">
      <alignment horizontal="center" vertical="center"/>
      <protection hidden="1"/>
    </xf>
    <xf numFmtId="0" fontId="141" fillId="0" borderId="0" xfId="0" applyFont="1" applyBorder="1" applyAlignment="1" applyProtection="1">
      <alignment horizontal="center" vertical="center" wrapText="1"/>
      <protection hidden="1"/>
    </xf>
    <xf numFmtId="0" fontId="36" fillId="2" borderId="34" xfId="0" applyFont="1" applyFill="1" applyBorder="1" applyAlignment="1" applyProtection="1">
      <alignment horizontal="center" vertical="center"/>
      <protection hidden="1"/>
    </xf>
    <xf numFmtId="0" fontId="36" fillId="2" borderId="34" xfId="0" applyFont="1" applyFill="1" applyBorder="1" applyAlignment="1" applyProtection="1">
      <alignment horizontal="center" vertical="center" wrapText="1"/>
      <protection hidden="1"/>
    </xf>
    <xf numFmtId="164" fontId="56" fillId="0" borderId="0" xfId="1" applyFont="1" applyBorder="1" applyAlignment="1" applyProtection="1">
      <alignment horizontal="center" vertical="center"/>
      <protection hidden="1"/>
    </xf>
    <xf numFmtId="0" fontId="141" fillId="0" borderId="1" xfId="0" applyFont="1" applyBorder="1" applyAlignment="1" applyProtection="1">
      <alignment vertical="center" wrapText="1"/>
      <protection hidden="1"/>
    </xf>
    <xf numFmtId="0" fontId="36" fillId="0" borderId="0" xfId="0" applyFont="1" applyAlignment="1" applyProtection="1">
      <alignment vertical="top"/>
      <protection hidden="1"/>
    </xf>
    <xf numFmtId="0" fontId="36" fillId="0" borderId="0" xfId="0" applyFont="1" applyAlignment="1" applyProtection="1">
      <alignment vertical="center"/>
      <protection hidden="1"/>
    </xf>
    <xf numFmtId="0" fontId="36" fillId="0" borderId="1" xfId="0" applyFont="1" applyBorder="1" applyAlignment="1" applyProtection="1">
      <alignment horizontal="center" vertical="center"/>
      <protection hidden="1"/>
    </xf>
    <xf numFmtId="0" fontId="36" fillId="0" borderId="0" xfId="0" applyFont="1" applyAlignment="1" applyProtection="1">
      <alignment vertical="center"/>
      <protection hidden="1"/>
    </xf>
    <xf numFmtId="0" fontId="41" fillId="0" borderId="0" xfId="0" applyFont="1" applyAlignment="1" applyProtection="1">
      <alignment vertical="top"/>
      <protection hidden="1"/>
    </xf>
    <xf numFmtId="0" fontId="36" fillId="0" borderId="0" xfId="0" applyFont="1" applyAlignment="1" applyProtection="1">
      <alignment vertical="top"/>
      <protection hidden="1"/>
    </xf>
    <xf numFmtId="0" fontId="36" fillId="2" borderId="34" xfId="0" applyFont="1" applyFill="1" applyBorder="1" applyAlignment="1" applyProtection="1">
      <alignment vertical="center" wrapText="1"/>
      <protection hidden="1"/>
    </xf>
    <xf numFmtId="0" fontId="36" fillId="2" borderId="2" xfId="0" applyFont="1" applyFill="1" applyBorder="1" applyAlignment="1" applyProtection="1">
      <alignment vertical="center"/>
      <protection hidden="1"/>
    </xf>
    <xf numFmtId="0" fontId="36" fillId="2" borderId="34" xfId="0" applyFont="1" applyFill="1" applyBorder="1" applyAlignment="1" applyProtection="1">
      <alignment vertical="center"/>
      <protection hidden="1"/>
    </xf>
    <xf numFmtId="0" fontId="36" fillId="2" borderId="3" xfId="0" applyFont="1" applyFill="1" applyBorder="1" applyAlignment="1" applyProtection="1">
      <alignment vertical="center"/>
      <protection hidden="1"/>
    </xf>
    <xf numFmtId="0" fontId="43" fillId="35" borderId="1" xfId="0" applyFont="1" applyFill="1" applyBorder="1" applyAlignment="1" applyProtection="1">
      <alignment horizontal="center" vertical="center"/>
      <protection hidden="1"/>
    </xf>
    <xf numFmtId="0" fontId="41" fillId="10" borderId="0" xfId="0" applyFont="1" applyFill="1" applyAlignment="1" applyProtection="1">
      <alignment vertical="top"/>
      <protection hidden="1"/>
    </xf>
    <xf numFmtId="0" fontId="78" fillId="35" borderId="1" xfId="0" applyFont="1" applyFill="1" applyBorder="1" applyAlignment="1" applyProtection="1">
      <alignment horizontal="center" vertical="center" shrinkToFit="1"/>
      <protection hidden="1"/>
    </xf>
    <xf numFmtId="0" fontId="56" fillId="0" borderId="52" xfId="0" applyFont="1" applyBorder="1" applyAlignment="1" applyProtection="1">
      <alignment vertical="center" wrapText="1"/>
      <protection hidden="1"/>
    </xf>
    <xf numFmtId="0" fontId="36" fillId="2" borderId="34" xfId="0" applyFont="1" applyFill="1" applyBorder="1" applyAlignment="1" applyProtection="1">
      <alignment horizontal="center" vertical="center"/>
      <protection hidden="1"/>
    </xf>
    <xf numFmtId="0" fontId="141" fillId="0" borderId="1" xfId="0" applyFont="1" applyBorder="1" applyAlignment="1" applyProtection="1">
      <alignment horizontal="center" vertical="center" wrapText="1"/>
      <protection hidden="1"/>
    </xf>
    <xf numFmtId="0" fontId="36" fillId="0" borderId="0" xfId="0" applyFont="1" applyAlignment="1" applyProtection="1">
      <alignment vertical="top"/>
      <protection hidden="1"/>
    </xf>
    <xf numFmtId="0" fontId="36" fillId="0" borderId="0" xfId="0" applyFont="1" applyAlignment="1" applyProtection="1">
      <alignment shrinkToFit="1"/>
      <protection hidden="1"/>
    </xf>
    <xf numFmtId="0" fontId="112" fillId="0" borderId="0" xfId="0" applyFont="1" applyAlignment="1" applyProtection="1">
      <alignment horizontal="center" vertical="center"/>
      <protection locked="0"/>
    </xf>
    <xf numFmtId="0" fontId="36" fillId="0" borderId="49" xfId="0" applyFont="1" applyBorder="1" applyAlignment="1" applyProtection="1">
      <alignment vertical="top"/>
      <protection hidden="1"/>
    </xf>
    <xf numFmtId="0" fontId="141" fillId="0" borderId="52" xfId="0" applyFont="1" applyBorder="1" applyAlignment="1" applyProtection="1">
      <alignment horizontal="center" vertical="center" wrapText="1"/>
      <protection hidden="1"/>
    </xf>
    <xf numFmtId="0" fontId="141" fillId="0" borderId="52" xfId="0" applyFont="1" applyBorder="1" applyAlignment="1" applyProtection="1">
      <alignment vertical="center"/>
      <protection hidden="1"/>
    </xf>
    <xf numFmtId="0" fontId="36" fillId="0" borderId="0" xfId="0" applyFont="1" applyAlignment="1" applyProtection="1">
      <alignment horizontal="left" indent="2"/>
      <protection hidden="1"/>
    </xf>
    <xf numFmtId="0" fontId="36" fillId="0" borderId="0" xfId="0" applyFont="1" applyAlignment="1" applyProtection="1">
      <alignment horizontal="left" vertical="top" indent="2"/>
      <protection hidden="1"/>
    </xf>
    <xf numFmtId="0" fontId="49" fillId="0" borderId="1" xfId="0" applyFont="1" applyBorder="1" applyAlignment="1" applyProtection="1">
      <alignment horizontal="center" vertical="center" wrapText="1"/>
      <protection hidden="1"/>
    </xf>
    <xf numFmtId="0" fontId="36" fillId="0" borderId="0" xfId="0" applyFont="1" applyAlignment="1" applyProtection="1">
      <alignment horizontal="left" vertical="center" indent="1"/>
      <protection hidden="1"/>
    </xf>
    <xf numFmtId="0" fontId="169" fillId="0" borderId="1" xfId="0" applyFont="1" applyBorder="1" applyAlignment="1" applyProtection="1">
      <alignment horizontal="center" vertical="center" wrapText="1"/>
      <protection hidden="1"/>
    </xf>
    <xf numFmtId="1" fontId="36" fillId="0" borderId="0" xfId="0" applyNumberFormat="1" applyFont="1" applyAlignment="1" applyProtection="1">
      <alignment vertical="center"/>
      <protection hidden="1"/>
    </xf>
    <xf numFmtId="0" fontId="49" fillId="0" borderId="0" xfId="0" applyFont="1" applyBorder="1" applyAlignment="1" applyProtection="1">
      <alignment horizontal="left" vertical="top" indent="2"/>
      <protection hidden="1"/>
    </xf>
    <xf numFmtId="0" fontId="143" fillId="15" borderId="0" xfId="0" applyFont="1" applyFill="1" applyAlignment="1" applyProtection="1">
      <alignment horizontal="right" vertical="top"/>
      <protection hidden="1"/>
    </xf>
    <xf numFmtId="1" fontId="48" fillId="0" borderId="11" xfId="1" applyNumberFormat="1" applyFont="1" applyFill="1" applyBorder="1" applyAlignment="1" applyProtection="1">
      <alignment horizontal="center" vertical="center" shrinkToFit="1"/>
      <protection hidden="1"/>
    </xf>
    <xf numFmtId="1" fontId="48" fillId="0" borderId="12" xfId="1" applyNumberFormat="1" applyFont="1" applyFill="1" applyBorder="1" applyAlignment="1" applyProtection="1">
      <alignment horizontal="center" vertical="center" shrinkToFit="1"/>
      <protection hidden="1"/>
    </xf>
    <xf numFmtId="1" fontId="48" fillId="0" borderId="13" xfId="1" applyNumberFormat="1" applyFont="1" applyFill="1" applyBorder="1" applyAlignment="1" applyProtection="1">
      <alignment horizontal="center" vertical="center" shrinkToFit="1"/>
      <protection hidden="1"/>
    </xf>
    <xf numFmtId="1" fontId="36" fillId="0" borderId="11" xfId="1" applyNumberFormat="1" applyFont="1" applyFill="1" applyBorder="1" applyAlignment="1" applyProtection="1">
      <alignment horizontal="center" vertical="center" shrinkToFit="1"/>
      <protection hidden="1"/>
    </xf>
    <xf numFmtId="1" fontId="36" fillId="0" borderId="12" xfId="1" applyNumberFormat="1" applyFont="1" applyFill="1" applyBorder="1" applyAlignment="1" applyProtection="1">
      <alignment horizontal="center" vertical="center" shrinkToFit="1"/>
      <protection hidden="1"/>
    </xf>
    <xf numFmtId="1" fontId="36" fillId="0" borderId="13" xfId="1" applyNumberFormat="1" applyFont="1" applyFill="1" applyBorder="1" applyAlignment="1" applyProtection="1">
      <alignment horizontal="center" vertical="center" shrinkToFit="1"/>
      <protection hidden="1"/>
    </xf>
    <xf numFmtId="0" fontId="80" fillId="0" borderId="11" xfId="0" applyFont="1" applyFill="1" applyBorder="1" applyAlignment="1" applyProtection="1">
      <alignment horizontal="center" vertical="center"/>
      <protection locked="0"/>
    </xf>
    <xf numFmtId="0" fontId="80" fillId="0" borderId="12" xfId="0" applyFont="1" applyFill="1" applyBorder="1" applyAlignment="1" applyProtection="1">
      <alignment horizontal="center" vertical="center"/>
      <protection locked="0"/>
    </xf>
    <xf numFmtId="0" fontId="37" fillId="19" borderId="0" xfId="0" applyFont="1" applyFill="1" applyAlignment="1" applyProtection="1">
      <alignment horizontal="right" vertical="center"/>
      <protection hidden="1"/>
    </xf>
    <xf numFmtId="0" fontId="36" fillId="0" borderId="0" xfId="0" applyFont="1" applyAlignment="1" applyProtection="1">
      <alignment horizontal="center" vertical="top"/>
      <protection hidden="1"/>
    </xf>
    <xf numFmtId="164" fontId="170" fillId="42" borderId="30" xfId="1" applyFont="1" applyFill="1" applyBorder="1" applyAlignment="1" applyProtection="1">
      <alignment vertical="center"/>
      <protection hidden="1"/>
    </xf>
    <xf numFmtId="1" fontId="52" fillId="0" borderId="27" xfId="0" applyNumberFormat="1" applyFont="1" applyFill="1" applyBorder="1" applyAlignment="1" applyProtection="1">
      <alignment horizontal="left" vertical="center" indent="1" shrinkToFit="1"/>
      <protection locked="0"/>
    </xf>
    <xf numFmtId="0" fontId="36" fillId="0" borderId="129" xfId="0" applyFont="1" applyFill="1" applyBorder="1" applyAlignment="1" applyProtection="1">
      <alignment horizontal="center" vertical="center"/>
      <protection hidden="1"/>
    </xf>
    <xf numFmtId="0" fontId="48" fillId="0" borderId="130" xfId="0" applyFont="1" applyFill="1" applyBorder="1" applyAlignment="1" applyProtection="1">
      <alignment horizontal="center" vertical="center"/>
      <protection hidden="1"/>
    </xf>
    <xf numFmtId="0" fontId="48" fillId="0" borderId="130" xfId="0" applyFont="1" applyFill="1" applyBorder="1" applyAlignment="1" applyProtection="1">
      <alignment vertical="center"/>
      <protection hidden="1"/>
    </xf>
    <xf numFmtId="0" fontId="48" fillId="0" borderId="131" xfId="0" applyFont="1" applyFill="1" applyBorder="1" applyAlignment="1" applyProtection="1">
      <alignment horizontal="center" vertical="center"/>
      <protection hidden="1"/>
    </xf>
    <xf numFmtId="0" fontId="48" fillId="0" borderId="20" xfId="0" applyNumberFormat="1" applyFont="1" applyFill="1" applyBorder="1" applyAlignment="1" applyProtection="1">
      <alignment horizontal="center" vertical="center" shrinkToFit="1"/>
      <protection hidden="1"/>
    </xf>
    <xf numFmtId="0" fontId="48" fillId="0" borderId="22" xfId="0" applyNumberFormat="1" applyFont="1" applyFill="1" applyBorder="1" applyAlignment="1" applyProtection="1">
      <alignment horizontal="center" vertical="center" shrinkToFit="1"/>
      <protection hidden="1"/>
    </xf>
    <xf numFmtId="0" fontId="48" fillId="0" borderId="24" xfId="0" applyNumberFormat="1" applyFont="1" applyFill="1" applyBorder="1" applyAlignment="1" applyProtection="1">
      <alignment horizontal="center" vertical="center" shrinkToFit="1"/>
      <protection hidden="1"/>
    </xf>
    <xf numFmtId="0" fontId="48" fillId="0" borderId="23" xfId="0" applyFont="1" applyFill="1" applyBorder="1" applyAlignment="1" applyProtection="1">
      <alignment horizontal="center" vertical="center" shrinkToFit="1"/>
      <protection hidden="1"/>
    </xf>
    <xf numFmtId="0" fontId="81" fillId="0" borderId="1" xfId="0" applyFont="1" applyFill="1" applyBorder="1" applyAlignment="1" applyProtection="1">
      <alignment horizontal="center" vertical="center"/>
      <protection hidden="1"/>
    </xf>
    <xf numFmtId="0" fontId="81" fillId="0" borderId="1" xfId="0" applyFont="1" applyFill="1" applyBorder="1" applyAlignment="1" applyProtection="1">
      <alignment horizontal="center" vertical="center" shrinkToFit="1"/>
      <protection hidden="1"/>
    </xf>
    <xf numFmtId="0" fontId="36" fillId="0" borderId="1" xfId="0" applyFont="1" applyFill="1" applyBorder="1" applyAlignment="1" applyProtection="1">
      <alignment horizontal="center" vertical="center"/>
      <protection hidden="1"/>
    </xf>
    <xf numFmtId="0" fontId="81" fillId="0" borderId="4" xfId="0" applyFont="1" applyFill="1" applyBorder="1" applyAlignment="1" applyProtection="1">
      <alignment horizontal="center" vertical="center" shrinkToFit="1"/>
      <protection hidden="1"/>
    </xf>
    <xf numFmtId="0" fontId="81" fillId="0" borderId="5" xfId="0" applyFont="1" applyFill="1" applyBorder="1" applyAlignment="1" applyProtection="1">
      <alignment horizontal="center" vertical="center" shrinkToFit="1"/>
      <protection hidden="1"/>
    </xf>
    <xf numFmtId="0" fontId="81" fillId="0" borderId="4" xfId="0" applyFont="1" applyFill="1" applyBorder="1" applyAlignment="1" applyProtection="1">
      <alignment horizontal="center" vertical="center"/>
      <protection hidden="1"/>
    </xf>
    <xf numFmtId="0" fontId="81" fillId="0" borderId="5" xfId="0" applyFont="1" applyFill="1" applyBorder="1" applyAlignment="1" applyProtection="1">
      <alignment horizontal="center" vertical="center"/>
      <protection hidden="1"/>
    </xf>
    <xf numFmtId="0" fontId="36" fillId="0" borderId="4" xfId="0" applyFont="1" applyFill="1" applyBorder="1" applyAlignment="1" applyProtection="1">
      <alignment horizontal="center" vertical="center"/>
      <protection hidden="1"/>
    </xf>
    <xf numFmtId="0" fontId="36" fillId="0" borderId="5" xfId="0" applyFont="1" applyFill="1" applyBorder="1" applyAlignment="1" applyProtection="1">
      <alignment horizontal="center" vertical="center"/>
      <protection hidden="1"/>
    </xf>
    <xf numFmtId="2" fontId="36" fillId="0" borderId="4" xfId="0" applyNumberFormat="1" applyFont="1" applyFill="1" applyBorder="1" applyAlignment="1" applyProtection="1">
      <alignment horizontal="center" vertical="center" shrinkToFit="1"/>
      <protection hidden="1"/>
    </xf>
    <xf numFmtId="2" fontId="36" fillId="0" borderId="1" xfId="0" applyNumberFormat="1" applyFont="1" applyFill="1" applyBorder="1" applyAlignment="1" applyProtection="1">
      <alignment horizontal="center" vertical="center" shrinkToFit="1"/>
      <protection hidden="1"/>
    </xf>
    <xf numFmtId="0" fontId="36" fillId="0" borderId="5" xfId="0" applyFont="1" applyFill="1" applyBorder="1" applyAlignment="1" applyProtection="1">
      <alignment horizontal="center" vertical="center" shrinkToFit="1"/>
      <protection hidden="1"/>
    </xf>
    <xf numFmtId="0" fontId="36" fillId="0" borderId="46" xfId="0" applyFont="1" applyFill="1" applyBorder="1" applyAlignment="1" applyProtection="1">
      <alignment horizontal="center" vertical="center"/>
      <protection hidden="1"/>
    </xf>
    <xf numFmtId="0" fontId="36" fillId="0" borderId="6" xfId="0" applyFont="1" applyFill="1" applyBorder="1" applyAlignment="1" applyProtection="1">
      <alignment horizontal="center" vertical="center"/>
      <protection hidden="1"/>
    </xf>
    <xf numFmtId="0" fontId="36" fillId="0" borderId="21" xfId="0" applyFont="1" applyFill="1" applyBorder="1" applyAlignment="1" applyProtection="1">
      <alignment horizontal="center" vertical="center"/>
      <protection hidden="1"/>
    </xf>
    <xf numFmtId="0" fontId="36" fillId="0" borderId="113" xfId="0" applyFont="1" applyFill="1" applyBorder="1" applyAlignment="1" applyProtection="1">
      <alignment vertical="center"/>
      <protection hidden="1"/>
    </xf>
    <xf numFmtId="0" fontId="37" fillId="0" borderId="113" xfId="0" applyFont="1" applyFill="1" applyBorder="1" applyAlignment="1" applyProtection="1">
      <alignment vertical="center"/>
      <protection hidden="1"/>
    </xf>
    <xf numFmtId="0" fontId="36" fillId="0" borderId="113" xfId="0" applyFont="1" applyFill="1" applyBorder="1" applyAlignment="1" applyProtection="1">
      <alignment horizontal="center" vertical="center"/>
      <protection hidden="1"/>
    </xf>
    <xf numFmtId="0" fontId="79" fillId="0" borderId="113" xfId="0" applyFont="1" applyFill="1" applyBorder="1" applyAlignment="1" applyProtection="1">
      <alignment horizontal="center" vertical="center"/>
      <protection hidden="1"/>
    </xf>
    <xf numFmtId="0" fontId="79" fillId="0" borderId="113" xfId="0" quotePrefix="1" applyFont="1" applyFill="1" applyBorder="1" applyAlignment="1" applyProtection="1">
      <alignment horizontal="center" vertical="center"/>
      <protection hidden="1"/>
    </xf>
    <xf numFmtId="0" fontId="79" fillId="0" borderId="113" xfId="0" applyFont="1" applyFill="1" applyBorder="1" applyAlignment="1" applyProtection="1">
      <alignment vertical="center"/>
      <protection hidden="1"/>
    </xf>
    <xf numFmtId="0" fontId="36" fillId="0" borderId="0" xfId="0" applyFont="1" applyAlignment="1">
      <alignment shrinkToFit="1"/>
    </xf>
    <xf numFmtId="0" fontId="36" fillId="0" borderId="0" xfId="0" applyFont="1" applyBorder="1" applyAlignment="1">
      <alignment horizontal="left" vertical="top" indent="1"/>
    </xf>
    <xf numFmtId="0" fontId="36" fillId="0" borderId="0" xfId="0" applyFont="1" applyBorder="1" applyAlignment="1">
      <alignment horizontal="left" vertical="center"/>
    </xf>
    <xf numFmtId="0" fontId="2" fillId="0" borderId="49" xfId="0" applyFont="1" applyBorder="1" applyAlignment="1" applyProtection="1">
      <alignment vertical="top"/>
    </xf>
    <xf numFmtId="0" fontId="111" fillId="0" borderId="49" xfId="0" applyFont="1" applyBorder="1" applyAlignment="1" applyProtection="1">
      <alignment vertical="top"/>
      <protection locked="0"/>
    </xf>
    <xf numFmtId="0" fontId="69" fillId="0" borderId="49" xfId="0" applyFont="1" applyBorder="1" applyAlignment="1" applyProtection="1">
      <alignment horizontal="right" vertical="top"/>
      <protection locked="0"/>
    </xf>
    <xf numFmtId="0" fontId="125" fillId="15" borderId="0" xfId="0" applyFont="1" applyFill="1" applyAlignment="1" applyProtection="1">
      <alignment vertical="center"/>
    </xf>
    <xf numFmtId="0" fontId="111" fillId="15" borderId="0" xfId="0" applyFont="1" applyFill="1" applyAlignment="1" applyProtection="1">
      <alignment vertical="center"/>
    </xf>
    <xf numFmtId="0" fontId="174" fillId="0" borderId="0" xfId="0" applyFont="1" applyFill="1" applyAlignment="1" applyProtection="1">
      <alignment horizontal="center" vertical="center"/>
      <protection locked="0"/>
    </xf>
    <xf numFmtId="0" fontId="175" fillId="15" borderId="0" xfId="0" applyFont="1" applyFill="1" applyAlignment="1" applyProtection="1">
      <alignment vertical="center"/>
    </xf>
    <xf numFmtId="0" fontId="162" fillId="0" borderId="25" xfId="0" applyFont="1" applyFill="1" applyBorder="1" applyAlignment="1" applyProtection="1">
      <alignment horizontal="left"/>
      <protection hidden="1"/>
    </xf>
    <xf numFmtId="0" fontId="176" fillId="0" borderId="25" xfId="0" applyFont="1" applyFill="1" applyBorder="1" applyAlignment="1" applyProtection="1">
      <alignment horizontal="left"/>
      <protection hidden="1"/>
    </xf>
    <xf numFmtId="0" fontId="176" fillId="0" borderId="25" xfId="0" applyFont="1" applyFill="1" applyBorder="1" applyAlignment="1" applyProtection="1">
      <alignment horizontal="left" vertical="top"/>
      <protection hidden="1"/>
    </xf>
    <xf numFmtId="0" fontId="177" fillId="18" borderId="0" xfId="0" applyFont="1" applyFill="1" applyAlignment="1" applyProtection="1">
      <alignment vertical="center"/>
      <protection hidden="1"/>
    </xf>
    <xf numFmtId="0" fontId="177" fillId="18" borderId="0" xfId="0" applyFont="1" applyFill="1" applyBorder="1" applyAlignment="1" applyProtection="1">
      <alignment vertical="top"/>
      <protection hidden="1"/>
    </xf>
    <xf numFmtId="0" fontId="18" fillId="0" borderId="0" xfId="0" applyFont="1" applyBorder="1" applyAlignment="1" applyProtection="1">
      <alignment vertical="center"/>
      <protection hidden="1"/>
    </xf>
    <xf numFmtId="0" fontId="36" fillId="0" borderId="0" xfId="0" applyFont="1" applyAlignment="1" applyProtection="1">
      <alignment vertical="top"/>
      <protection hidden="1"/>
    </xf>
    <xf numFmtId="0" fontId="36" fillId="0" borderId="1" xfId="0" applyFont="1" applyBorder="1" applyAlignment="1" applyProtection="1">
      <alignment horizontal="center" vertical="center"/>
      <protection hidden="1"/>
    </xf>
    <xf numFmtId="0" fontId="36" fillId="0" borderId="0" xfId="0" applyFont="1" applyAlignment="1" applyProtection="1">
      <alignment vertical="top"/>
      <protection hidden="1"/>
    </xf>
    <xf numFmtId="0" fontId="36" fillId="0" borderId="1" xfId="0" applyFont="1" applyBorder="1" applyAlignment="1" applyProtection="1">
      <alignment horizontal="center" vertical="center"/>
      <protection hidden="1"/>
    </xf>
    <xf numFmtId="0" fontId="79" fillId="0" borderId="0" xfId="0" applyFont="1" applyFill="1" applyBorder="1" applyAlignment="1" applyProtection="1">
      <alignment vertical="center"/>
      <protection hidden="1"/>
    </xf>
    <xf numFmtId="0" fontId="9" fillId="25" borderId="57" xfId="0" applyFont="1" applyFill="1" applyBorder="1" applyAlignment="1" applyProtection="1">
      <alignment horizontal="center" vertical="center"/>
      <protection hidden="1"/>
    </xf>
    <xf numFmtId="0" fontId="9" fillId="25" borderId="66" xfId="0" applyFont="1" applyFill="1" applyBorder="1" applyAlignment="1" applyProtection="1">
      <alignment horizontal="center" vertical="center"/>
      <protection hidden="1"/>
    </xf>
    <xf numFmtId="0" fontId="9" fillId="25" borderId="111" xfId="0" applyFont="1" applyFill="1" applyBorder="1" applyAlignment="1" applyProtection="1">
      <alignment horizontal="center" vertical="center"/>
      <protection hidden="1"/>
    </xf>
    <xf numFmtId="0" fontId="9" fillId="25" borderId="113" xfId="0" applyFont="1" applyFill="1" applyBorder="1" applyAlignment="1" applyProtection="1">
      <alignment horizontal="center" vertical="center" wrapText="1"/>
      <protection hidden="1"/>
    </xf>
    <xf numFmtId="0" fontId="10" fillId="24" borderId="65" xfId="0" applyFont="1" applyFill="1" applyBorder="1" applyAlignment="1" applyProtection="1">
      <alignment horizontal="center" vertical="center"/>
      <protection hidden="1"/>
    </xf>
    <xf numFmtId="0" fontId="10" fillId="24" borderId="66" xfId="0" applyFont="1" applyFill="1" applyBorder="1" applyAlignment="1" applyProtection="1">
      <alignment horizontal="center" vertical="center"/>
      <protection hidden="1"/>
    </xf>
    <xf numFmtId="0" fontId="10" fillId="24" borderId="69" xfId="0" applyFont="1" applyFill="1" applyBorder="1" applyAlignment="1" applyProtection="1">
      <alignment horizontal="center" vertical="center"/>
      <protection hidden="1"/>
    </xf>
    <xf numFmtId="0" fontId="9" fillId="24" borderId="113" xfId="0" applyFont="1" applyFill="1" applyBorder="1" applyAlignment="1" applyProtection="1">
      <alignment horizontal="center" vertical="center" wrapText="1"/>
      <protection hidden="1"/>
    </xf>
    <xf numFmtId="0" fontId="38" fillId="4" borderId="122" xfId="0" applyFont="1" applyFill="1" applyBorder="1" applyAlignment="1" applyProtection="1">
      <alignment horizontal="center" vertical="center"/>
      <protection hidden="1"/>
    </xf>
    <xf numFmtId="0" fontId="164" fillId="32" borderId="1" xfId="0" applyFont="1" applyFill="1" applyBorder="1" applyAlignment="1" applyProtection="1">
      <alignment horizontal="center"/>
      <protection hidden="1"/>
    </xf>
    <xf numFmtId="0" fontId="160" fillId="11" borderId="24" xfId="0" applyFont="1" applyFill="1" applyBorder="1" applyAlignment="1" applyProtection="1">
      <alignment horizontal="center" vertical="center"/>
      <protection hidden="1"/>
    </xf>
    <xf numFmtId="0" fontId="19" fillId="0" borderId="15" xfId="0" applyFont="1" applyFill="1" applyBorder="1" applyAlignment="1" applyProtection="1">
      <alignment horizontal="center" vertical="center" wrapText="1"/>
      <protection locked="0"/>
    </xf>
    <xf numFmtId="0" fontId="7" fillId="13" borderId="1" xfId="0" applyFont="1" applyFill="1" applyBorder="1" applyAlignment="1" applyProtection="1">
      <alignment horizontal="center" vertical="center"/>
      <protection hidden="1"/>
    </xf>
    <xf numFmtId="0" fontId="23" fillId="13" borderId="8" xfId="0" applyFont="1" applyFill="1" applyBorder="1" applyAlignment="1" applyProtection="1">
      <alignment horizontal="left" vertical="center" wrapText="1"/>
      <protection hidden="1"/>
    </xf>
    <xf numFmtId="0" fontId="44" fillId="0" borderId="7" xfId="0" applyFont="1" applyFill="1" applyBorder="1" applyAlignment="1" applyProtection="1">
      <alignment horizontal="left" vertical="top" wrapText="1"/>
      <protection locked="0"/>
    </xf>
    <xf numFmtId="0" fontId="44" fillId="0" borderId="123" xfId="0" applyFont="1" applyFill="1" applyBorder="1" applyAlignment="1" applyProtection="1">
      <alignment horizontal="left" vertical="top" wrapText="1"/>
      <protection locked="0"/>
    </xf>
    <xf numFmtId="0" fontId="44" fillId="0" borderId="4" xfId="0" applyFont="1" applyFill="1" applyBorder="1" applyAlignment="1" applyProtection="1">
      <alignment horizontal="left" vertical="top" wrapText="1"/>
      <protection locked="0"/>
    </xf>
    <xf numFmtId="0" fontId="44" fillId="0" borderId="5" xfId="0" applyFont="1" applyFill="1" applyBorder="1" applyAlignment="1" applyProtection="1">
      <alignment horizontal="left" vertical="top" wrapText="1"/>
      <protection locked="0"/>
    </xf>
    <xf numFmtId="0" fontId="179" fillId="32" borderId="1" xfId="0" applyFont="1" applyFill="1" applyBorder="1" applyAlignment="1" applyProtection="1">
      <alignment horizontal="center" vertical="center"/>
      <protection hidden="1"/>
    </xf>
    <xf numFmtId="0" fontId="9" fillId="43" borderId="15" xfId="0" applyFont="1" applyFill="1" applyBorder="1" applyAlignment="1" applyProtection="1">
      <alignment vertical="center"/>
      <protection hidden="1"/>
    </xf>
    <xf numFmtId="0" fontId="9" fillId="43" borderId="48" xfId="0" applyFont="1" applyFill="1" applyBorder="1" applyAlignment="1" applyProtection="1">
      <alignment horizontal="center" vertical="center" wrapText="1"/>
      <protection hidden="1"/>
    </xf>
    <xf numFmtId="0" fontId="9" fillId="43" borderId="37" xfId="0" applyFont="1" applyFill="1" applyBorder="1" applyAlignment="1" applyProtection="1">
      <alignment horizontal="center" vertical="center" wrapText="1"/>
      <protection hidden="1"/>
    </xf>
    <xf numFmtId="0" fontId="2" fillId="43" borderId="11" xfId="0" applyFont="1" applyFill="1" applyBorder="1" applyAlignment="1" applyProtection="1">
      <alignment horizontal="center" vertical="center"/>
      <protection hidden="1"/>
    </xf>
    <xf numFmtId="0" fontId="2" fillId="43" borderId="13" xfId="0" applyFont="1" applyFill="1" applyBorder="1" applyAlignment="1" applyProtection="1">
      <alignment horizontal="center" vertical="center"/>
      <protection hidden="1"/>
    </xf>
    <xf numFmtId="0" fontId="2" fillId="43" borderId="14" xfId="0" applyFont="1" applyFill="1" applyBorder="1" applyAlignment="1" applyProtection="1">
      <alignment horizontal="center" vertical="center"/>
      <protection hidden="1"/>
    </xf>
    <xf numFmtId="0" fontId="2" fillId="43" borderId="15" xfId="0" applyFont="1" applyFill="1" applyBorder="1" applyAlignment="1" applyProtection="1">
      <alignment horizontal="center" vertical="center"/>
      <protection hidden="1"/>
    </xf>
    <xf numFmtId="0" fontId="4" fillId="18" borderId="0" xfId="0" applyFont="1" applyFill="1" applyBorder="1" applyAlignment="1" applyProtection="1">
      <alignment vertical="center"/>
      <protection hidden="1"/>
    </xf>
    <xf numFmtId="0" fontId="109" fillId="18" borderId="0" xfId="0" applyFont="1" applyFill="1" applyBorder="1" applyAlignment="1" applyProtection="1">
      <alignment vertical="center"/>
      <protection hidden="1"/>
    </xf>
    <xf numFmtId="0" fontId="4" fillId="18" borderId="0" xfId="0" applyFont="1" applyFill="1" applyAlignment="1" applyProtection="1">
      <alignment vertical="center"/>
      <protection hidden="1"/>
    </xf>
    <xf numFmtId="0" fontId="4" fillId="18" borderId="0" xfId="0" applyFont="1" applyFill="1" applyAlignment="1" applyProtection="1">
      <alignment vertical="center"/>
      <protection hidden="1"/>
    </xf>
    <xf numFmtId="0" fontId="109" fillId="18" borderId="0" xfId="0" applyFont="1" applyFill="1" applyBorder="1" applyAlignment="1" applyProtection="1">
      <alignment vertical="center"/>
      <protection hidden="1"/>
    </xf>
    <xf numFmtId="0" fontId="190" fillId="18" borderId="0" xfId="0" applyFont="1" applyFill="1" applyBorder="1" applyAlignment="1" applyProtection="1">
      <alignment vertical="top"/>
      <protection hidden="1"/>
    </xf>
    <xf numFmtId="0" fontId="191" fillId="18" borderId="0" xfId="0" applyFont="1" applyFill="1" applyBorder="1" applyAlignment="1" applyProtection="1">
      <alignment horizontal="center" vertical="center"/>
      <protection hidden="1"/>
    </xf>
    <xf numFmtId="0" fontId="191" fillId="18" borderId="0" xfId="0" applyFont="1" applyFill="1" applyBorder="1" applyAlignment="1" applyProtection="1">
      <alignment vertical="center"/>
      <protection hidden="1"/>
    </xf>
    <xf numFmtId="0" fontId="0" fillId="0" borderId="0" xfId="0"/>
    <xf numFmtId="0" fontId="0" fillId="0" borderId="0" xfId="0"/>
    <xf numFmtId="0" fontId="67" fillId="0" borderId="0" xfId="0" applyFont="1" applyAlignment="1" applyProtection="1">
      <alignment vertical="center"/>
      <protection hidden="1"/>
    </xf>
    <xf numFmtId="0" fontId="67" fillId="0" borderId="0" xfId="0" applyFont="1" applyBorder="1" applyAlignment="1" applyProtection="1">
      <alignment horizontal="center" vertical="center"/>
      <protection hidden="1"/>
    </xf>
    <xf numFmtId="0" fontId="67" fillId="0" borderId="1" xfId="0" applyFont="1" applyBorder="1" applyAlignment="1" applyProtection="1">
      <alignment vertical="center"/>
      <protection hidden="1"/>
    </xf>
    <xf numFmtId="0" fontId="67" fillId="0" borderId="0" xfId="0" applyFont="1" applyBorder="1" applyAlignment="1" applyProtection="1">
      <alignment horizontal="left" vertical="center" shrinkToFit="1"/>
      <protection hidden="1"/>
    </xf>
    <xf numFmtId="0" fontId="67" fillId="0" borderId="12" xfId="0" applyFont="1" applyBorder="1" applyAlignment="1" applyProtection="1">
      <alignment horizontal="center" vertical="center"/>
      <protection hidden="1"/>
    </xf>
    <xf numFmtId="0" fontId="67" fillId="0" borderId="11" xfId="0" applyFont="1" applyBorder="1" applyAlignment="1" applyProtection="1">
      <alignment horizontal="center" vertical="center"/>
      <protection hidden="1"/>
    </xf>
    <xf numFmtId="0" fontId="67" fillId="0" borderId="13" xfId="0" applyFont="1" applyBorder="1" applyAlignment="1" applyProtection="1">
      <alignment horizontal="center" vertical="center"/>
      <protection hidden="1"/>
    </xf>
    <xf numFmtId="0" fontId="67" fillId="0" borderId="66" xfId="0" applyFont="1" applyBorder="1" applyAlignment="1" applyProtection="1">
      <alignment vertical="center"/>
      <protection hidden="1"/>
    </xf>
    <xf numFmtId="0" fontId="67" fillId="0" borderId="16" xfId="0" applyFont="1" applyBorder="1" applyAlignment="1" applyProtection="1">
      <alignment horizontal="left" vertical="center" shrinkToFit="1"/>
      <protection hidden="1"/>
    </xf>
    <xf numFmtId="0" fontId="67" fillId="0" borderId="65" xfId="0" applyFont="1" applyBorder="1" applyAlignment="1" applyProtection="1">
      <alignment vertical="center"/>
      <protection hidden="1"/>
    </xf>
    <xf numFmtId="0" fontId="67" fillId="0" borderId="69" xfId="0" applyFont="1" applyBorder="1" applyAlignment="1" applyProtection="1">
      <alignment vertical="center"/>
      <protection hidden="1"/>
    </xf>
    <xf numFmtId="0" fontId="67" fillId="0" borderId="4" xfId="0" applyFont="1" applyBorder="1" applyAlignment="1" applyProtection="1">
      <alignment vertical="center"/>
      <protection hidden="1"/>
    </xf>
    <xf numFmtId="0" fontId="67" fillId="0" borderId="5" xfId="0" applyFont="1" applyBorder="1" applyAlignment="1" applyProtection="1">
      <alignment vertical="center"/>
      <protection hidden="1"/>
    </xf>
    <xf numFmtId="0" fontId="67" fillId="0" borderId="0" xfId="0" applyFont="1" applyBorder="1" applyAlignment="1" applyProtection="1">
      <alignment vertical="center"/>
      <protection hidden="1"/>
    </xf>
    <xf numFmtId="0" fontId="184" fillId="0" borderId="0" xfId="0" applyFont="1" applyBorder="1" applyAlignment="1" applyProtection="1">
      <alignment horizontal="left" vertical="center"/>
      <protection hidden="1"/>
    </xf>
    <xf numFmtId="0" fontId="184" fillId="0" borderId="0" xfId="0" applyFont="1" applyBorder="1" applyAlignment="1" applyProtection="1">
      <alignment vertical="center"/>
      <protection hidden="1"/>
    </xf>
    <xf numFmtId="0" fontId="185" fillId="0" borderId="0" xfId="0" applyFont="1" applyAlignment="1" applyProtection="1">
      <alignment vertical="center"/>
      <protection hidden="1"/>
    </xf>
    <xf numFmtId="0" fontId="67" fillId="3" borderId="0" xfId="0" applyFont="1" applyFill="1" applyAlignment="1" applyProtection="1">
      <alignment vertical="center"/>
      <protection hidden="1"/>
    </xf>
    <xf numFmtId="0" fontId="67" fillId="3" borderId="0" xfId="0" applyFont="1" applyFill="1" applyAlignment="1" applyProtection="1">
      <alignment horizontal="center" vertical="center"/>
      <protection hidden="1"/>
    </xf>
    <xf numFmtId="0" fontId="89" fillId="3" borderId="0" xfId="0" applyFont="1" applyFill="1" applyAlignment="1" applyProtection="1">
      <alignment horizontal="center" vertical="center"/>
      <protection hidden="1"/>
    </xf>
    <xf numFmtId="0" fontId="72" fillId="0" borderId="0" xfId="0" applyFont="1" applyAlignment="1" applyProtection="1">
      <alignment horizontal="right" vertical="center"/>
      <protection hidden="1"/>
    </xf>
    <xf numFmtId="0" fontId="186" fillId="0" borderId="0" xfId="0" applyFont="1" applyAlignment="1" applyProtection="1">
      <alignment horizontal="right" vertical="center"/>
      <protection hidden="1"/>
    </xf>
    <xf numFmtId="0" fontId="67" fillId="3" borderId="19" xfId="0" applyFont="1" applyFill="1" applyBorder="1" applyAlignment="1" applyProtection="1">
      <alignment vertical="center"/>
      <protection hidden="1"/>
    </xf>
    <xf numFmtId="0" fontId="67" fillId="3" borderId="0" xfId="0" applyFont="1" applyFill="1" applyBorder="1" applyAlignment="1" applyProtection="1">
      <alignment vertical="center"/>
      <protection hidden="1"/>
    </xf>
    <xf numFmtId="0" fontId="88" fillId="0" borderId="1" xfId="0" applyFont="1" applyFill="1" applyBorder="1" applyAlignment="1" applyProtection="1">
      <alignment horizontal="center" vertical="center" shrinkToFit="1"/>
      <protection locked="0"/>
    </xf>
    <xf numFmtId="0" fontId="86" fillId="0" borderId="0" xfId="0" applyFont="1" applyAlignment="1" applyProtection="1">
      <alignment horizontal="right" vertical="center"/>
      <protection hidden="1"/>
    </xf>
    <xf numFmtId="0" fontId="187" fillId="0" borderId="0" xfId="0" applyFont="1" applyAlignment="1" applyProtection="1">
      <alignment horizontal="right" vertical="center"/>
      <protection hidden="1"/>
    </xf>
    <xf numFmtId="0" fontId="183" fillId="0" borderId="40" xfId="0" applyFont="1" applyBorder="1" applyAlignment="1" applyProtection="1">
      <alignment horizontal="center" vertical="center" shrinkToFit="1"/>
      <protection hidden="1"/>
    </xf>
    <xf numFmtId="0" fontId="183" fillId="0" borderId="1" xfId="0" applyFont="1" applyBorder="1" applyAlignment="1" applyProtection="1">
      <alignment horizontal="center" vertical="center" shrinkToFit="1"/>
      <protection hidden="1"/>
    </xf>
    <xf numFmtId="0" fontId="183" fillId="0" borderId="46" xfId="0" applyFont="1" applyBorder="1" applyAlignment="1" applyProtection="1">
      <alignment horizontal="center" vertical="center" shrinkToFit="1"/>
      <protection hidden="1"/>
    </xf>
    <xf numFmtId="0" fontId="183" fillId="0" borderId="21" xfId="0" applyFont="1" applyBorder="1" applyAlignment="1" applyProtection="1">
      <alignment horizontal="center" vertical="center" shrinkToFit="1"/>
      <protection hidden="1"/>
    </xf>
    <xf numFmtId="0" fontId="192" fillId="0" borderId="0" xfId="0" applyFont="1" applyBorder="1" applyAlignment="1" applyProtection="1">
      <alignment vertical="center"/>
      <protection hidden="1"/>
    </xf>
    <xf numFmtId="0" fontId="184" fillId="0" borderId="110" xfId="0" applyFont="1" applyBorder="1" applyAlignment="1" applyProtection="1">
      <alignment horizontal="center" vertical="center" shrinkToFit="1"/>
      <protection hidden="1"/>
    </xf>
    <xf numFmtId="0" fontId="184" fillId="0" borderId="66" xfId="0" applyFont="1" applyBorder="1" applyAlignment="1" applyProtection="1">
      <alignment horizontal="center" vertical="center" shrinkToFit="1"/>
      <protection hidden="1"/>
    </xf>
    <xf numFmtId="0" fontId="184" fillId="0" borderId="65" xfId="0" applyFont="1" applyBorder="1" applyAlignment="1" applyProtection="1">
      <alignment horizontal="center" vertical="center" shrinkToFit="1"/>
      <protection hidden="1"/>
    </xf>
    <xf numFmtId="0" fontId="184" fillId="0" borderId="69" xfId="0" applyFont="1" applyBorder="1" applyAlignment="1" applyProtection="1">
      <alignment horizontal="center" vertical="center" shrinkToFit="1"/>
      <protection hidden="1"/>
    </xf>
    <xf numFmtId="0" fontId="184" fillId="0" borderId="112" xfId="0" applyFont="1" applyBorder="1" applyAlignment="1" applyProtection="1">
      <alignment horizontal="center" vertical="center" shrinkToFit="1"/>
      <protection hidden="1"/>
    </xf>
    <xf numFmtId="0" fontId="184" fillId="0" borderId="1" xfId="0" applyFont="1" applyBorder="1" applyAlignment="1" applyProtection="1">
      <alignment horizontal="center" vertical="center" shrinkToFit="1"/>
      <protection hidden="1"/>
    </xf>
    <xf numFmtId="0" fontId="184" fillId="0" borderId="4" xfId="0" applyFont="1" applyBorder="1" applyAlignment="1" applyProtection="1">
      <alignment horizontal="center" vertical="center" shrinkToFit="1"/>
      <protection hidden="1"/>
    </xf>
    <xf numFmtId="0" fontId="184" fillId="0" borderId="5" xfId="0" applyFont="1" applyBorder="1" applyAlignment="1" applyProtection="1">
      <alignment horizontal="center" vertical="center" shrinkToFit="1"/>
      <protection hidden="1"/>
    </xf>
    <xf numFmtId="0" fontId="184" fillId="0" borderId="17" xfId="0" applyFont="1" applyBorder="1" applyAlignment="1" applyProtection="1">
      <alignment horizontal="center" vertical="center" shrinkToFit="1"/>
      <protection hidden="1"/>
    </xf>
    <xf numFmtId="0" fontId="184" fillId="0" borderId="12" xfId="0" applyFont="1" applyBorder="1" applyAlignment="1" applyProtection="1">
      <alignment horizontal="center" vertical="center" shrinkToFit="1"/>
      <protection hidden="1"/>
    </xf>
    <xf numFmtId="0" fontId="184" fillId="0" borderId="11" xfId="0" applyFont="1" applyBorder="1" applyAlignment="1" applyProtection="1">
      <alignment horizontal="center" vertical="center" shrinkToFit="1"/>
      <protection hidden="1"/>
    </xf>
    <xf numFmtId="0" fontId="184" fillId="0" borderId="13" xfId="0" applyFont="1" applyBorder="1" applyAlignment="1" applyProtection="1">
      <alignment horizontal="center" vertical="center" shrinkToFit="1"/>
      <protection hidden="1"/>
    </xf>
    <xf numFmtId="0" fontId="193" fillId="0" borderId="113" xfId="0" applyFont="1" applyBorder="1" applyAlignment="1" applyProtection="1">
      <alignment horizontal="left" vertical="center" shrinkToFit="1"/>
      <protection hidden="1"/>
    </xf>
    <xf numFmtId="164" fontId="44" fillId="17" borderId="30" xfId="1" applyFont="1" applyFill="1" applyBorder="1" applyAlignment="1" applyProtection="1">
      <alignment vertical="center"/>
      <protection locked="0"/>
    </xf>
    <xf numFmtId="0" fontId="8" fillId="0" borderId="158" xfId="0" applyFont="1" applyFill="1" applyBorder="1" applyAlignment="1" applyProtection="1">
      <alignment horizontal="center" vertical="center" wrapText="1"/>
      <protection locked="0"/>
    </xf>
    <xf numFmtId="0" fontId="8" fillId="0" borderId="159" xfId="0" applyFont="1" applyFill="1" applyBorder="1" applyAlignment="1" applyProtection="1">
      <alignment horizontal="center" vertical="center" wrapText="1"/>
      <protection locked="0"/>
    </xf>
    <xf numFmtId="0" fontId="8" fillId="0" borderId="132" xfId="0" applyFont="1" applyFill="1" applyBorder="1" applyAlignment="1" applyProtection="1">
      <alignment horizontal="center" vertical="center" wrapText="1"/>
      <protection locked="0"/>
    </xf>
    <xf numFmtId="0" fontId="8" fillId="0" borderId="160" xfId="0" applyFont="1" applyFill="1" applyBorder="1" applyAlignment="1" applyProtection="1">
      <alignment horizontal="center" vertical="center" wrapText="1"/>
      <protection locked="0"/>
    </xf>
    <xf numFmtId="0" fontId="8" fillId="0" borderId="161" xfId="0" applyFont="1" applyFill="1" applyBorder="1" applyAlignment="1" applyProtection="1">
      <alignment horizontal="center" vertical="center" wrapText="1"/>
      <protection locked="0"/>
    </xf>
    <xf numFmtId="0" fontId="8" fillId="0" borderId="162" xfId="0" applyFont="1" applyFill="1" applyBorder="1" applyAlignment="1" applyProtection="1">
      <alignment horizontal="center" vertical="center" wrapText="1"/>
      <protection locked="0"/>
    </xf>
    <xf numFmtId="0" fontId="36" fillId="0" borderId="0" xfId="0" applyFont="1" applyAlignment="1" applyProtection="1">
      <alignment vertical="top"/>
      <protection hidden="1"/>
    </xf>
    <xf numFmtId="0" fontId="200" fillId="0" borderId="25" xfId="0" applyFont="1" applyBorder="1"/>
    <xf numFmtId="0" fontId="48" fillId="0" borderId="0" xfId="0" applyFont="1" applyFill="1" applyBorder="1" applyAlignment="1" applyProtection="1">
      <alignment vertical="top" wrapText="1"/>
      <protection hidden="1"/>
    </xf>
    <xf numFmtId="0" fontId="48" fillId="0" borderId="16" xfId="0" applyFont="1" applyFill="1" applyBorder="1" applyAlignment="1" applyProtection="1">
      <alignment vertical="top" wrapText="1"/>
      <protection hidden="1"/>
    </xf>
    <xf numFmtId="0" fontId="201" fillId="19" borderId="0" xfId="0" applyFont="1" applyFill="1" applyAlignment="1" applyProtection="1">
      <alignment horizontal="center" vertical="center"/>
      <protection hidden="1"/>
    </xf>
    <xf numFmtId="0" fontId="155" fillId="13" borderId="1" xfId="0" applyFont="1" applyFill="1" applyBorder="1" applyAlignment="1" applyProtection="1">
      <alignment horizontal="center" vertical="center"/>
      <protection locked="0"/>
    </xf>
    <xf numFmtId="0" fontId="189" fillId="18" borderId="0" xfId="0" applyFont="1" applyFill="1" applyBorder="1" applyAlignment="1" applyProtection="1">
      <alignment horizontal="left" wrapText="1"/>
      <protection hidden="1"/>
    </xf>
    <xf numFmtId="0" fontId="107" fillId="18" borderId="0" xfId="0" applyFont="1" applyFill="1" applyBorder="1" applyAlignment="1" applyProtection="1">
      <alignment horizontal="center" vertical="center" shrinkToFit="1"/>
      <protection hidden="1"/>
    </xf>
    <xf numFmtId="0" fontId="117" fillId="0" borderId="0" xfId="0" applyFont="1" applyAlignment="1" applyProtection="1">
      <alignment horizontal="center" vertical="center"/>
      <protection hidden="1"/>
    </xf>
    <xf numFmtId="0" fontId="36" fillId="0" borderId="0" xfId="0" applyFont="1" applyAlignment="1" applyProtection="1">
      <alignment vertical="center"/>
      <protection hidden="1"/>
    </xf>
    <xf numFmtId="0" fontId="36" fillId="0" borderId="0" xfId="0" applyFont="1" applyAlignment="1" applyProtection="1">
      <protection hidden="1"/>
    </xf>
    <xf numFmtId="0" fontId="41" fillId="0" borderId="0" xfId="0" applyFont="1" applyAlignment="1" applyProtection="1">
      <alignment vertical="top"/>
      <protection hidden="1"/>
    </xf>
    <xf numFmtId="0" fontId="36" fillId="0" borderId="0" xfId="0" applyFont="1" applyAlignment="1" applyProtection="1">
      <alignment vertical="top"/>
      <protection hidden="1"/>
    </xf>
    <xf numFmtId="0" fontId="41" fillId="0" borderId="12" xfId="0" applyFont="1" applyFill="1" applyBorder="1" applyAlignment="1" applyProtection="1">
      <alignment horizontal="center" vertical="center"/>
      <protection hidden="1"/>
    </xf>
    <xf numFmtId="0" fontId="41" fillId="0" borderId="12" xfId="0" quotePrefix="1" applyFont="1" applyFill="1" applyBorder="1" applyAlignment="1" applyProtection="1">
      <alignment horizontal="center" vertical="center"/>
      <protection hidden="1"/>
    </xf>
    <xf numFmtId="0" fontId="41" fillId="0" borderId="12" xfId="0" applyFont="1" applyFill="1" applyBorder="1" applyAlignment="1" applyProtection="1">
      <alignment horizontal="center" vertical="center" wrapText="1"/>
      <protection hidden="1"/>
    </xf>
    <xf numFmtId="0" fontId="139" fillId="0" borderId="16" xfId="0" applyFont="1" applyBorder="1" applyAlignment="1" applyProtection="1">
      <alignment vertical="center" wrapText="1"/>
      <protection hidden="1"/>
    </xf>
    <xf numFmtId="0" fontId="151" fillId="0" borderId="0" xfId="0" applyFont="1" applyFill="1" applyAlignment="1" applyProtection="1">
      <alignment horizontal="center" vertical="center"/>
      <protection hidden="1"/>
    </xf>
    <xf numFmtId="0" fontId="117" fillId="0" borderId="0" xfId="0" applyFont="1" applyAlignment="1" applyProtection="1">
      <alignment vertical="center"/>
      <protection hidden="1"/>
    </xf>
    <xf numFmtId="0" fontId="202" fillId="3" borderId="0" xfId="0" applyFont="1" applyFill="1" applyAlignment="1" applyProtection="1">
      <alignment horizontal="right" vertical="center"/>
      <protection hidden="1"/>
    </xf>
    <xf numFmtId="0" fontId="145" fillId="3" borderId="0" xfId="0" applyFont="1" applyFill="1" applyAlignment="1" applyProtection="1">
      <alignment vertical="top"/>
      <protection hidden="1"/>
    </xf>
    <xf numFmtId="0" fontId="155" fillId="13" borderId="21" xfId="0" applyFont="1" applyFill="1" applyBorder="1" applyAlignment="1" applyProtection="1">
      <alignment horizontal="center" vertical="center"/>
      <protection locked="0"/>
    </xf>
    <xf numFmtId="0" fontId="48" fillId="15" borderId="0" xfId="0" applyFont="1" applyFill="1" applyBorder="1" applyAlignment="1" applyProtection="1">
      <alignment wrapText="1"/>
      <protection hidden="1"/>
    </xf>
    <xf numFmtId="0" fontId="37" fillId="2" borderId="34" xfId="0" applyFont="1" applyFill="1" applyBorder="1" applyAlignment="1" applyProtection="1">
      <alignment vertical="center"/>
      <protection hidden="1"/>
    </xf>
    <xf numFmtId="0" fontId="204" fillId="44" borderId="163" xfId="0" applyFont="1" applyFill="1" applyBorder="1" applyAlignment="1" applyProtection="1">
      <alignment horizontal="right" vertical="top" indent="2"/>
      <protection locked="0"/>
    </xf>
    <xf numFmtId="0" fontId="36" fillId="15" borderId="0" xfId="0" applyFont="1" applyFill="1" applyAlignment="1" applyProtection="1">
      <alignment vertical="top"/>
      <protection locked="0" hidden="1"/>
    </xf>
    <xf numFmtId="0" fontId="143" fillId="15" borderId="0" xfId="0" applyFont="1" applyFill="1" applyAlignment="1" applyProtection="1">
      <alignment horizontal="center" vertical="center"/>
      <protection hidden="1"/>
    </xf>
    <xf numFmtId="0" fontId="36" fillId="3" borderId="0" xfId="0" applyFont="1" applyFill="1" applyAlignment="1" applyProtection="1">
      <alignment vertical="center"/>
      <protection hidden="1"/>
    </xf>
    <xf numFmtId="0" fontId="4" fillId="18" borderId="165" xfId="0" applyFont="1" applyFill="1" applyBorder="1" applyAlignment="1" applyProtection="1">
      <alignment horizontal="center" vertical="center"/>
      <protection hidden="1"/>
    </xf>
    <xf numFmtId="0" fontId="109" fillId="18" borderId="165" xfId="0" applyFont="1" applyFill="1" applyBorder="1" applyAlignment="1" applyProtection="1">
      <alignment vertical="center"/>
      <protection hidden="1"/>
    </xf>
    <xf numFmtId="0" fontId="40" fillId="32" borderId="1" xfId="0" applyFont="1" applyFill="1" applyBorder="1" applyAlignment="1" applyProtection="1">
      <alignment horizontal="center" vertical="center"/>
      <protection hidden="1"/>
    </xf>
    <xf numFmtId="0" fontId="40" fillId="45" borderId="10" xfId="0" applyFont="1" applyFill="1" applyBorder="1" applyAlignment="1" applyProtection="1">
      <alignment horizontal="center" vertical="center"/>
      <protection hidden="1"/>
    </xf>
    <xf numFmtId="0" fontId="40" fillId="45" borderId="58" xfId="0" applyFont="1" applyFill="1" applyBorder="1" applyAlignment="1" applyProtection="1">
      <alignment vertical="center"/>
      <protection hidden="1"/>
    </xf>
    <xf numFmtId="0" fontId="40" fillId="45" borderId="19" xfId="0" applyFont="1" applyFill="1" applyBorder="1" applyAlignment="1" applyProtection="1">
      <alignment horizontal="center" vertical="center"/>
      <protection hidden="1"/>
    </xf>
    <xf numFmtId="0" fontId="38" fillId="45" borderId="19" xfId="0" applyFont="1" applyFill="1" applyBorder="1" applyAlignment="1" applyProtection="1">
      <alignment horizontal="center" vertical="center"/>
      <protection hidden="1"/>
    </xf>
    <xf numFmtId="0" fontId="210" fillId="0" borderId="0" xfId="0" applyFont="1" applyAlignment="1">
      <alignment horizontal="left"/>
    </xf>
    <xf numFmtId="0" fontId="106" fillId="0" borderId="0" xfId="0" applyFont="1" applyFill="1" applyBorder="1" applyAlignment="1" applyProtection="1">
      <alignment horizontal="left" vertical="center"/>
      <protection hidden="1"/>
    </xf>
    <xf numFmtId="0" fontId="9" fillId="8" borderId="35" xfId="0" applyFont="1" applyFill="1" applyBorder="1" applyAlignment="1" applyProtection="1">
      <alignment horizontal="center" vertical="center"/>
      <protection hidden="1"/>
    </xf>
    <xf numFmtId="0" fontId="112" fillId="46" borderId="0" xfId="0" applyFont="1" applyFill="1" applyAlignment="1" applyProtection="1">
      <alignment horizontal="center" vertical="center"/>
      <protection hidden="1"/>
    </xf>
    <xf numFmtId="0" fontId="41" fillId="46" borderId="0" xfId="0" applyFont="1" applyFill="1" applyBorder="1" applyAlignment="1" applyProtection="1">
      <protection hidden="1"/>
    </xf>
    <xf numFmtId="0" fontId="41" fillId="46" borderId="0" xfId="0" applyFont="1" applyFill="1" applyBorder="1" applyAlignment="1" applyProtection="1">
      <alignment horizontal="left" vertical="center"/>
      <protection hidden="1"/>
    </xf>
    <xf numFmtId="0" fontId="41" fillId="46" borderId="0" xfId="0" applyFont="1" applyFill="1" applyBorder="1" applyAlignment="1" applyProtection="1">
      <alignment vertical="center"/>
      <protection hidden="1"/>
    </xf>
    <xf numFmtId="0" fontId="44" fillId="46" borderId="0" xfId="0" applyFont="1" applyFill="1" applyBorder="1" applyAlignment="1" applyProtection="1">
      <alignment vertical="center" wrapText="1" shrinkToFit="1"/>
      <protection locked="0"/>
    </xf>
    <xf numFmtId="0" fontId="49" fillId="46" borderId="0" xfId="0" applyFont="1" applyFill="1" applyBorder="1" applyAlignment="1" applyProtection="1">
      <alignment vertical="center" wrapText="1" shrinkToFit="1"/>
      <protection locked="0"/>
    </xf>
    <xf numFmtId="0" fontId="35" fillId="46" borderId="0" xfId="0" applyFont="1" applyFill="1" applyBorder="1" applyAlignment="1" applyProtection="1">
      <alignment vertical="center" shrinkToFit="1"/>
      <protection hidden="1"/>
    </xf>
    <xf numFmtId="0" fontId="49" fillId="46" borderId="0" xfId="0" applyFont="1" applyFill="1" applyBorder="1" applyAlignment="1" applyProtection="1">
      <alignment vertical="center" shrinkToFit="1"/>
      <protection hidden="1"/>
    </xf>
    <xf numFmtId="0" fontId="38" fillId="45" borderId="168" xfId="0" applyFont="1" applyFill="1" applyBorder="1" applyAlignment="1" applyProtection="1">
      <alignment horizontal="center" vertical="center"/>
      <protection hidden="1"/>
    </xf>
    <xf numFmtId="0" fontId="10" fillId="0" borderId="0" xfId="0" applyFont="1" applyFill="1" applyBorder="1" applyAlignment="1" applyProtection="1">
      <alignment horizontal="left" vertical="center"/>
      <protection hidden="1"/>
    </xf>
    <xf numFmtId="0" fontId="10" fillId="0" borderId="0" xfId="0" applyFont="1" applyFill="1" applyBorder="1" applyAlignment="1" applyProtection="1">
      <alignment horizontal="left" vertical="center" wrapText="1"/>
      <protection hidden="1"/>
    </xf>
    <xf numFmtId="0" fontId="8" fillId="0" borderId="34" xfId="0" applyFont="1" applyFill="1" applyBorder="1" applyAlignment="1" applyProtection="1">
      <alignment horizontal="center" vertical="center"/>
      <protection locked="0"/>
    </xf>
    <xf numFmtId="0" fontId="8" fillId="0" borderId="4" xfId="0" applyFont="1" applyFill="1" applyBorder="1" applyAlignment="1" applyProtection="1">
      <alignment horizontal="center" vertical="center"/>
      <protection locked="0"/>
    </xf>
    <xf numFmtId="0" fontId="8" fillId="0" borderId="2" xfId="0" applyFont="1" applyFill="1" applyBorder="1" applyAlignment="1" applyProtection="1">
      <alignment horizontal="center" vertical="center"/>
      <protection locked="0"/>
    </xf>
    <xf numFmtId="0" fontId="23" fillId="13" borderId="112" xfId="0" applyFont="1" applyFill="1" applyBorder="1" applyAlignment="1" applyProtection="1">
      <alignment horizontal="left" vertical="center" wrapText="1"/>
      <protection hidden="1"/>
    </xf>
    <xf numFmtId="0" fontId="8" fillId="0" borderId="112" xfId="0" applyFont="1" applyFill="1" applyBorder="1" applyAlignment="1" applyProtection="1">
      <alignment horizontal="center" vertical="center"/>
      <protection locked="0"/>
    </xf>
    <xf numFmtId="0" fontId="8" fillId="0" borderId="7" xfId="0" applyFont="1" applyBorder="1" applyAlignment="1" applyProtection="1">
      <alignment horizontal="center" vertical="center"/>
      <protection locked="0"/>
    </xf>
    <xf numFmtId="0" fontId="8" fillId="0" borderId="8" xfId="0" applyFont="1" applyBorder="1" applyAlignment="1" applyProtection="1">
      <alignment horizontal="center" vertical="center"/>
      <protection locked="0"/>
    </xf>
    <xf numFmtId="0" fontId="8" fillId="0" borderId="10" xfId="0" applyFont="1" applyBorder="1" applyAlignment="1" applyProtection="1">
      <alignment horizontal="center" vertical="center"/>
      <protection locked="0"/>
    </xf>
    <xf numFmtId="0" fontId="8" fillId="0" borderId="123" xfId="0" applyFont="1" applyBorder="1" applyAlignment="1" applyProtection="1">
      <alignment horizontal="center" vertical="center"/>
      <protection locked="0"/>
    </xf>
    <xf numFmtId="0" fontId="8" fillId="0" borderId="19" xfId="0" applyFont="1" applyBorder="1" applyAlignment="1" applyProtection="1">
      <alignment horizontal="center" vertical="center"/>
      <protection locked="0"/>
    </xf>
    <xf numFmtId="0" fontId="8" fillId="0" borderId="74" xfId="0" applyFont="1" applyBorder="1" applyAlignment="1" applyProtection="1">
      <alignment horizontal="center" vertical="center"/>
      <protection locked="0"/>
    </xf>
    <xf numFmtId="0" fontId="23" fillId="13" borderId="112" xfId="0" applyFont="1" applyFill="1" applyBorder="1" applyAlignment="1" applyProtection="1">
      <alignment horizontal="left" vertical="top" wrapText="1"/>
      <protection hidden="1"/>
    </xf>
    <xf numFmtId="0" fontId="210" fillId="11" borderId="8" xfId="0" applyFont="1" applyFill="1" applyBorder="1" applyAlignment="1">
      <alignment horizontal="left" vertical="center" wrapText="1"/>
    </xf>
    <xf numFmtId="0" fontId="210" fillId="33" borderId="8" xfId="0" applyFont="1" applyFill="1" applyBorder="1" applyAlignment="1">
      <alignment horizontal="left" vertical="center" wrapText="1"/>
    </xf>
    <xf numFmtId="0" fontId="210" fillId="33" borderId="1" xfId="0" applyFont="1" applyFill="1" applyBorder="1" applyAlignment="1">
      <alignment horizontal="left" vertical="center" wrapText="1"/>
    </xf>
    <xf numFmtId="0" fontId="0" fillId="14" borderId="1" xfId="0" applyFill="1" applyBorder="1" applyAlignment="1">
      <alignment wrapText="1"/>
    </xf>
    <xf numFmtId="0" fontId="210" fillId="14" borderId="1" xfId="0" applyFont="1" applyFill="1" applyBorder="1" applyAlignment="1">
      <alignment horizontal="left" vertical="center" wrapText="1"/>
    </xf>
    <xf numFmtId="0" fontId="8" fillId="0" borderId="34" xfId="0" applyFont="1" applyBorder="1" applyAlignment="1" applyProtection="1">
      <alignment horizontal="center" vertical="center"/>
      <protection locked="0"/>
    </xf>
    <xf numFmtId="0" fontId="8" fillId="0" borderId="35" xfId="0" applyFont="1" applyBorder="1" applyAlignment="1" applyProtection="1">
      <alignment horizontal="center" vertical="center"/>
      <protection locked="0"/>
    </xf>
    <xf numFmtId="0" fontId="8" fillId="0" borderId="112" xfId="0" applyFont="1" applyBorder="1" applyAlignment="1" applyProtection="1">
      <alignment vertical="center" wrapText="1"/>
      <protection locked="0"/>
    </xf>
    <xf numFmtId="0" fontId="210" fillId="11" borderId="1" xfId="0" applyFont="1" applyFill="1" applyBorder="1" applyAlignment="1">
      <alignment horizontal="left" vertical="center" wrapText="1"/>
    </xf>
    <xf numFmtId="0" fontId="8" fillId="0" borderId="53" xfId="0" applyFont="1" applyBorder="1" applyAlignment="1" applyProtection="1">
      <alignment horizontal="center" vertical="center"/>
      <protection locked="0"/>
    </xf>
    <xf numFmtId="0" fontId="8" fillId="0" borderId="78" xfId="0" applyFont="1" applyBorder="1" applyAlignment="1" applyProtection="1">
      <alignment horizontal="center" vertical="center"/>
      <protection locked="0"/>
    </xf>
    <xf numFmtId="0" fontId="60" fillId="0" borderId="0" xfId="0" applyFont="1" applyFill="1" applyAlignment="1" applyProtection="1">
      <alignment horizontal="left" vertical="center"/>
      <protection hidden="1"/>
    </xf>
    <xf numFmtId="0" fontId="38" fillId="0" borderId="0" xfId="0" applyFont="1" applyFill="1" applyBorder="1" applyAlignment="1" applyProtection="1">
      <alignment horizontal="center" vertical="center"/>
      <protection hidden="1"/>
    </xf>
    <xf numFmtId="0" fontId="210" fillId="0" borderId="0" xfId="0" applyFont="1" applyFill="1" applyAlignment="1">
      <alignment horizontal="left"/>
    </xf>
    <xf numFmtId="0" fontId="7" fillId="19" borderId="123" xfId="0" applyFont="1" applyFill="1" applyBorder="1" applyAlignment="1" applyProtection="1">
      <alignment horizontal="center" vertical="center"/>
      <protection hidden="1"/>
    </xf>
    <xf numFmtId="0" fontId="40" fillId="32" borderId="110" xfId="0" applyFont="1" applyFill="1" applyBorder="1" applyAlignment="1" applyProtection="1">
      <alignment horizontal="center" vertical="center"/>
      <protection hidden="1"/>
    </xf>
    <xf numFmtId="0" fontId="9" fillId="8" borderId="172" xfId="0" applyFont="1" applyFill="1" applyBorder="1" applyAlignment="1" applyProtection="1">
      <alignment horizontal="center" vertical="center"/>
      <protection hidden="1"/>
    </xf>
    <xf numFmtId="0" fontId="9" fillId="8" borderId="112" xfId="0" applyFont="1" applyFill="1" applyBorder="1" applyAlignment="1" applyProtection="1">
      <alignment horizontal="center" vertical="center"/>
      <protection hidden="1"/>
    </xf>
    <xf numFmtId="0" fontId="38" fillId="45" borderId="68" xfId="0" applyFont="1" applyFill="1" applyBorder="1" applyAlignment="1" applyProtection="1">
      <alignment horizontal="center" vertical="center"/>
      <protection hidden="1"/>
    </xf>
    <xf numFmtId="0" fontId="38" fillId="45" borderId="113" xfId="0" applyFont="1" applyFill="1" applyBorder="1" applyAlignment="1" applyProtection="1">
      <alignment horizontal="center" vertical="center"/>
      <protection hidden="1"/>
    </xf>
    <xf numFmtId="0" fontId="38" fillId="45" borderId="81" xfId="0" applyFont="1" applyFill="1" applyBorder="1" applyAlignment="1" applyProtection="1">
      <alignment horizontal="center" vertical="center"/>
      <protection hidden="1"/>
    </xf>
    <xf numFmtId="0" fontId="2" fillId="20" borderId="73" xfId="0" applyFont="1" applyFill="1" applyBorder="1" applyAlignment="1" applyProtection="1">
      <alignment vertical="center"/>
      <protection hidden="1"/>
    </xf>
    <xf numFmtId="0" fontId="2" fillId="20" borderId="0" xfId="0" applyFont="1" applyFill="1" applyBorder="1" applyAlignment="1" applyProtection="1">
      <alignment horizontal="center" vertical="center"/>
      <protection hidden="1"/>
    </xf>
    <xf numFmtId="0" fontId="2" fillId="20" borderId="0" xfId="0" applyFont="1" applyFill="1" applyBorder="1" applyAlignment="1" applyProtection="1">
      <alignment vertical="center"/>
      <protection hidden="1"/>
    </xf>
    <xf numFmtId="0" fontId="2" fillId="20" borderId="122" xfId="0" applyFont="1" applyFill="1" applyBorder="1" applyAlignment="1" applyProtection="1">
      <alignment vertical="center"/>
      <protection hidden="1"/>
    </xf>
    <xf numFmtId="0" fontId="29" fillId="20" borderId="73" xfId="0" applyFont="1" applyFill="1" applyBorder="1" applyAlignment="1" applyProtection="1">
      <alignment vertical="center"/>
      <protection hidden="1"/>
    </xf>
    <xf numFmtId="0" fontId="29" fillId="20" borderId="0" xfId="0" applyFont="1" applyFill="1" applyBorder="1" applyAlignment="1" applyProtection="1">
      <alignment horizontal="center" vertical="center"/>
      <protection hidden="1"/>
    </xf>
    <xf numFmtId="0" fontId="29" fillId="20" borderId="0" xfId="0" applyFont="1" applyFill="1" applyBorder="1" applyAlignment="1" applyProtection="1">
      <alignment vertical="center"/>
      <protection hidden="1"/>
    </xf>
    <xf numFmtId="0" fontId="29" fillId="20" borderId="122" xfId="0" applyFont="1" applyFill="1" applyBorder="1" applyAlignment="1" applyProtection="1">
      <alignment vertical="center"/>
      <protection hidden="1"/>
    </xf>
    <xf numFmtId="0" fontId="36" fillId="2" borderId="34" xfId="0" applyFont="1" applyFill="1" applyBorder="1" applyAlignment="1" applyProtection="1">
      <alignment vertical="center"/>
      <protection hidden="1"/>
    </xf>
    <xf numFmtId="0" fontId="153" fillId="6" borderId="107" xfId="0" applyFont="1" applyFill="1" applyBorder="1" applyAlignment="1" applyProtection="1">
      <alignment horizontal="right" vertical="center"/>
      <protection locked="0"/>
    </xf>
    <xf numFmtId="0" fontId="37" fillId="2" borderId="35" xfId="0" applyFont="1" applyFill="1" applyBorder="1" applyAlignment="1" applyProtection="1">
      <alignment vertical="center"/>
      <protection hidden="1"/>
    </xf>
    <xf numFmtId="0" fontId="36" fillId="0" borderId="4" xfId="0" applyFont="1" applyBorder="1" applyAlignment="1" applyProtection="1">
      <alignment horizontal="center" vertical="center"/>
      <protection hidden="1"/>
    </xf>
    <xf numFmtId="0" fontId="36" fillId="0" borderId="46" xfId="0" applyFont="1" applyBorder="1" applyAlignment="1" applyProtection="1">
      <alignment horizontal="center" vertical="center"/>
      <protection hidden="1"/>
    </xf>
    <xf numFmtId="0" fontId="36" fillId="0" borderId="11" xfId="0" applyFont="1" applyBorder="1" applyAlignment="1" applyProtection="1">
      <alignment horizontal="center" vertical="center"/>
      <protection hidden="1"/>
    </xf>
    <xf numFmtId="0" fontId="36" fillId="0" borderId="0" xfId="0" applyFont="1" applyAlignment="1" applyProtection="1">
      <alignment vertical="center"/>
      <protection hidden="1"/>
    </xf>
    <xf numFmtId="0" fontId="36" fillId="0" borderId="0" xfId="0" applyFont="1" applyAlignment="1" applyProtection="1">
      <alignment horizontal="left" vertical="top"/>
      <protection hidden="1"/>
    </xf>
    <xf numFmtId="0" fontId="36" fillId="0" borderId="0" xfId="0" applyFont="1" applyAlignment="1" applyProtection="1">
      <alignment horizontal="left" vertical="center"/>
      <protection hidden="1"/>
    </xf>
    <xf numFmtId="0" fontId="36" fillId="0" borderId="0" xfId="0" applyFont="1" applyAlignment="1" applyProtection="1">
      <alignment horizontal="left"/>
      <protection hidden="1"/>
    </xf>
    <xf numFmtId="0" fontId="36" fillId="0" borderId="0" xfId="0" applyFont="1" applyAlignment="1" applyProtection="1">
      <alignment vertical="top" shrinkToFit="1"/>
      <protection hidden="1"/>
    </xf>
    <xf numFmtId="0" fontId="36" fillId="0" borderId="0" xfId="0" applyFont="1" applyAlignment="1" applyProtection="1">
      <protection hidden="1"/>
    </xf>
    <xf numFmtId="0" fontId="36" fillId="0" borderId="0" xfId="0" applyFont="1" applyAlignment="1" applyProtection="1">
      <alignment vertical="top"/>
      <protection hidden="1"/>
    </xf>
    <xf numFmtId="0" fontId="36" fillId="0" borderId="0" xfId="0" applyFont="1" applyAlignment="1" applyProtection="1">
      <alignment shrinkToFit="1"/>
      <protection hidden="1"/>
    </xf>
    <xf numFmtId="0" fontId="36" fillId="0" borderId="0" xfId="0" applyFont="1" applyAlignment="1" applyProtection="1">
      <alignment vertical="center" shrinkToFit="1"/>
      <protection hidden="1"/>
    </xf>
    <xf numFmtId="49" fontId="37" fillId="0" borderId="0" xfId="0" applyNumberFormat="1" applyFont="1" applyAlignment="1" applyProtection="1">
      <alignment horizontal="left"/>
      <protection hidden="1"/>
    </xf>
    <xf numFmtId="0" fontId="161" fillId="0" borderId="175" xfId="0" applyFont="1" applyBorder="1" applyAlignment="1" applyProtection="1">
      <alignment vertical="center"/>
      <protection hidden="1"/>
    </xf>
    <xf numFmtId="0" fontId="188" fillId="18" borderId="0" xfId="0" applyFont="1" applyFill="1" applyBorder="1" applyAlignment="1" applyProtection="1">
      <alignment horizontal="right" vertical="top" wrapText="1"/>
      <protection hidden="1"/>
    </xf>
    <xf numFmtId="0" fontId="18" fillId="0" borderId="0" xfId="0" applyFont="1" applyBorder="1" applyAlignment="1" applyProtection="1">
      <alignment vertical="center"/>
      <protection hidden="1"/>
    </xf>
    <xf numFmtId="0" fontId="36" fillId="0" borderId="1" xfId="0" applyFont="1" applyBorder="1" applyAlignment="1" applyProtection="1">
      <alignment horizontal="center" vertical="center"/>
      <protection hidden="1"/>
    </xf>
    <xf numFmtId="0" fontId="36" fillId="0" borderId="21" xfId="0" applyFont="1" applyBorder="1" applyAlignment="1" applyProtection="1">
      <alignment horizontal="center" vertical="center"/>
      <protection hidden="1"/>
    </xf>
    <xf numFmtId="0" fontId="36" fillId="2" borderId="34" xfId="0" applyFont="1" applyFill="1" applyBorder="1" applyAlignment="1" applyProtection="1">
      <alignment horizontal="center" vertical="center"/>
      <protection hidden="1"/>
    </xf>
    <xf numFmtId="0" fontId="46" fillId="0" borderId="0" xfId="0" applyFont="1" applyFill="1" applyAlignment="1" applyProtection="1">
      <alignment vertical="top"/>
      <protection hidden="1"/>
    </xf>
    <xf numFmtId="0" fontId="48" fillId="0" borderId="0" xfId="0" applyFont="1" applyFill="1" applyBorder="1" applyAlignment="1" applyProtection="1">
      <alignment vertical="top" wrapText="1"/>
      <protection hidden="1"/>
    </xf>
    <xf numFmtId="0" fontId="48" fillId="0" borderId="16" xfId="0" applyFont="1" applyFill="1" applyBorder="1" applyAlignment="1" applyProtection="1">
      <alignment vertical="top" wrapText="1"/>
      <protection hidden="1"/>
    </xf>
    <xf numFmtId="0" fontId="36" fillId="0" borderId="0" xfId="0" applyFont="1" applyAlignment="1" applyProtection="1">
      <alignment vertical="center"/>
      <protection hidden="1"/>
    </xf>
    <xf numFmtId="0" fontId="36" fillId="0" borderId="1" xfId="0" applyFont="1" applyBorder="1" applyAlignment="1" applyProtection="1">
      <alignment horizontal="center" vertical="center"/>
      <protection hidden="1"/>
    </xf>
    <xf numFmtId="0" fontId="36" fillId="0" borderId="0" xfId="0" applyFont="1" applyAlignment="1" applyProtection="1">
      <alignment horizontal="left" vertical="top"/>
      <protection hidden="1"/>
    </xf>
    <xf numFmtId="0" fontId="36" fillId="0" borderId="0" xfId="0" applyFont="1" applyAlignment="1" applyProtection="1">
      <alignment horizontal="left" vertical="center"/>
      <protection hidden="1"/>
    </xf>
    <xf numFmtId="0" fontId="36" fillId="0" borderId="0" xfId="0" applyFont="1" applyAlignment="1" applyProtection="1">
      <alignment horizontal="left"/>
      <protection hidden="1"/>
    </xf>
    <xf numFmtId="0" fontId="36" fillId="2" borderId="34" xfId="0" applyFont="1" applyFill="1" applyBorder="1" applyAlignment="1" applyProtection="1">
      <alignment vertical="center" wrapText="1"/>
      <protection hidden="1"/>
    </xf>
    <xf numFmtId="0" fontId="36" fillId="0" borderId="21" xfId="0" applyFont="1" applyBorder="1" applyAlignment="1" applyProtection="1">
      <alignment horizontal="center" vertical="center"/>
      <protection hidden="1"/>
    </xf>
    <xf numFmtId="0" fontId="6" fillId="9" borderId="10" xfId="0" applyFont="1" applyFill="1" applyBorder="1" applyAlignment="1" applyProtection="1">
      <alignment vertical="center" shrinkToFit="1"/>
      <protection locked="0"/>
    </xf>
    <xf numFmtId="0" fontId="6" fillId="9" borderId="2" xfId="0" applyFont="1" applyFill="1" applyBorder="1" applyAlignment="1" applyProtection="1">
      <alignment vertical="center" shrinkToFit="1"/>
      <protection locked="0"/>
    </xf>
    <xf numFmtId="0" fontId="189" fillId="18" borderId="0" xfId="0" applyFont="1" applyFill="1" applyBorder="1" applyAlignment="1" applyProtection="1">
      <alignment vertical="top" wrapText="1"/>
      <protection hidden="1"/>
    </xf>
    <xf numFmtId="0" fontId="213" fillId="27" borderId="19" xfId="0" applyFont="1" applyFill="1" applyBorder="1" applyAlignment="1" applyProtection="1">
      <alignment horizontal="center" vertical="center"/>
      <protection hidden="1"/>
    </xf>
    <xf numFmtId="0" fontId="214" fillId="27" borderId="19" xfId="0" applyFont="1" applyFill="1" applyBorder="1" applyAlignment="1" applyProtection="1">
      <alignment vertical="center"/>
      <protection hidden="1"/>
    </xf>
    <xf numFmtId="0" fontId="215" fillId="13" borderId="0" xfId="0" applyFont="1" applyFill="1" applyBorder="1" applyAlignment="1" applyProtection="1">
      <alignment horizontal="left" vertical="center"/>
      <protection hidden="1"/>
    </xf>
    <xf numFmtId="0" fontId="215" fillId="13" borderId="0" xfId="0" applyFont="1" applyFill="1" applyBorder="1" applyAlignment="1" applyProtection="1">
      <alignment vertical="center"/>
      <protection hidden="1"/>
    </xf>
    <xf numFmtId="0" fontId="215" fillId="13" borderId="0" xfId="0" applyFont="1" applyFill="1" applyAlignment="1" applyProtection="1">
      <alignment vertical="center"/>
      <protection hidden="1"/>
    </xf>
    <xf numFmtId="0" fontId="215" fillId="13" borderId="0" xfId="0" applyFont="1" applyFill="1" applyBorder="1" applyAlignment="1" applyProtection="1">
      <alignment vertical="top"/>
      <protection hidden="1"/>
    </xf>
    <xf numFmtId="0" fontId="215" fillId="13" borderId="0" xfId="0" applyFont="1" applyFill="1" applyBorder="1" applyAlignment="1" applyProtection="1">
      <alignment horizontal="center" vertical="center"/>
      <protection hidden="1"/>
    </xf>
    <xf numFmtId="0" fontId="215" fillId="13" borderId="0" xfId="0" applyFont="1" applyFill="1" applyAlignment="1" applyProtection="1">
      <alignment horizontal="center" vertical="center"/>
      <protection hidden="1"/>
    </xf>
    <xf numFmtId="0" fontId="215" fillId="13" borderId="0" xfId="0" applyFont="1" applyFill="1" applyBorder="1" applyAlignment="1" applyProtection="1">
      <alignment horizontal="center" vertical="top"/>
      <protection hidden="1"/>
    </xf>
    <xf numFmtId="1" fontId="36" fillId="0" borderId="1" xfId="0" applyNumberFormat="1" applyFont="1" applyFill="1" applyBorder="1" applyAlignment="1" applyProtection="1">
      <alignment horizontal="center" vertical="center"/>
      <protection hidden="1"/>
    </xf>
    <xf numFmtId="0" fontId="49" fillId="0" borderId="48" xfId="0" applyFont="1" applyBorder="1" applyAlignment="1" applyProtection="1">
      <alignment horizontal="center" vertical="center" wrapText="1"/>
      <protection hidden="1"/>
    </xf>
    <xf numFmtId="1" fontId="36" fillId="0" borderId="48" xfId="0" applyNumberFormat="1" applyFont="1" applyBorder="1" applyAlignment="1" applyProtection="1">
      <alignment horizontal="center" vertical="center"/>
      <protection hidden="1"/>
    </xf>
    <xf numFmtId="1" fontId="36" fillId="0" borderId="34" xfId="0" applyNumberFormat="1" applyFont="1" applyBorder="1" applyAlignment="1" applyProtection="1">
      <alignment horizontal="center" vertical="center"/>
      <protection hidden="1"/>
    </xf>
    <xf numFmtId="0" fontId="36" fillId="0" borderId="1" xfId="0" applyFont="1" applyFill="1" applyBorder="1" applyAlignment="1" applyProtection="1">
      <alignment vertical="top"/>
      <protection hidden="1"/>
    </xf>
    <xf numFmtId="0" fontId="36" fillId="0" borderId="2" xfId="0" applyFont="1" applyFill="1" applyBorder="1" applyAlignment="1" applyProtection="1">
      <alignment vertical="top"/>
      <protection hidden="1"/>
    </xf>
    <xf numFmtId="0" fontId="36" fillId="0" borderId="34" xfId="0" applyFont="1" applyFill="1" applyBorder="1" applyAlignment="1" applyProtection="1">
      <alignment vertical="top"/>
      <protection hidden="1"/>
    </xf>
    <xf numFmtId="0" fontId="36" fillId="0" borderId="3" xfId="0" applyFont="1" applyFill="1" applyBorder="1" applyAlignment="1" applyProtection="1">
      <alignment vertical="top"/>
      <protection hidden="1"/>
    </xf>
    <xf numFmtId="1" fontId="36" fillId="2" borderId="34" xfId="0" applyNumberFormat="1" applyFont="1" applyFill="1" applyBorder="1" applyAlignment="1" applyProtection="1">
      <alignment horizontal="center" vertical="center"/>
      <protection hidden="1"/>
    </xf>
    <xf numFmtId="0" fontId="36" fillId="0" borderId="25" xfId="0" applyFont="1" applyBorder="1" applyAlignment="1" applyProtection="1">
      <alignment vertical="top"/>
      <protection hidden="1"/>
    </xf>
    <xf numFmtId="0" fontId="0" fillId="3" borderId="0" xfId="0" applyFill="1" applyAlignment="1" applyProtection="1">
      <alignment horizontal="center"/>
      <protection hidden="1"/>
    </xf>
    <xf numFmtId="0" fontId="0" fillId="0" borderId="0" xfId="0" applyAlignment="1" applyProtection="1">
      <alignment horizontal="center" vertical="center"/>
      <protection hidden="1"/>
    </xf>
    <xf numFmtId="0" fontId="0" fillId="13" borderId="168" xfId="0" applyFill="1" applyBorder="1" applyAlignment="1" applyProtection="1">
      <alignment vertical="center"/>
      <protection hidden="1"/>
    </xf>
    <xf numFmtId="0" fontId="216" fillId="0" borderId="168" xfId="0" applyFont="1" applyFill="1" applyBorder="1" applyAlignment="1" applyProtection="1">
      <alignment horizontal="center" vertical="center"/>
      <protection locked="0"/>
    </xf>
    <xf numFmtId="0" fontId="0" fillId="13" borderId="0" xfId="0" applyFill="1" applyAlignment="1" applyProtection="1">
      <alignment horizontal="center"/>
      <protection hidden="1"/>
    </xf>
    <xf numFmtId="0" fontId="0" fillId="13" borderId="0" xfId="0" applyFill="1" applyAlignment="1" applyProtection="1">
      <alignment horizontal="right" vertical="center"/>
      <protection hidden="1"/>
    </xf>
    <xf numFmtId="0" fontId="39" fillId="27" borderId="176" xfId="0" applyFont="1" applyFill="1" applyBorder="1" applyAlignment="1" applyProtection="1">
      <alignment horizontal="center" vertical="center"/>
      <protection hidden="1"/>
    </xf>
    <xf numFmtId="1" fontId="0" fillId="0" borderId="0" xfId="0" applyNumberFormat="1" applyAlignment="1" applyProtection="1">
      <alignment horizontal="center" vertical="center"/>
      <protection hidden="1"/>
    </xf>
    <xf numFmtId="164" fontId="164" fillId="27" borderId="166" xfId="0" applyNumberFormat="1" applyFont="1" applyFill="1" applyBorder="1" applyAlignment="1" applyProtection="1">
      <alignment horizontal="center" vertical="center" shrinkToFit="1"/>
      <protection hidden="1"/>
    </xf>
    <xf numFmtId="164" fontId="0" fillId="13" borderId="0" xfId="0" applyNumberFormat="1" applyFill="1" applyAlignment="1" applyProtection="1">
      <alignment vertical="center"/>
      <protection hidden="1"/>
    </xf>
    <xf numFmtId="0" fontId="0" fillId="0" borderId="1" xfId="0" applyFont="1" applyBorder="1" applyAlignment="1" applyProtection="1">
      <alignment vertical="center"/>
      <protection hidden="1"/>
    </xf>
    <xf numFmtId="1" fontId="0" fillId="0" borderId="1" xfId="0" applyNumberFormat="1" applyFont="1" applyBorder="1" applyAlignment="1" applyProtection="1">
      <alignment horizontal="center" vertical="center"/>
      <protection hidden="1"/>
    </xf>
    <xf numFmtId="0" fontId="217" fillId="0" borderId="7" xfId="0" applyFont="1" applyFill="1" applyBorder="1" applyAlignment="1" applyProtection="1">
      <alignment vertical="center"/>
      <protection locked="0"/>
    </xf>
    <xf numFmtId="1" fontId="0" fillId="13" borderId="8" xfId="0" applyNumberFormat="1" applyFill="1" applyBorder="1" applyAlignment="1" applyProtection="1">
      <alignment horizontal="center" vertical="center"/>
      <protection hidden="1"/>
    </xf>
    <xf numFmtId="1" fontId="0" fillId="13" borderId="0" xfId="0" applyNumberFormat="1" applyFill="1" applyAlignment="1" applyProtection="1">
      <alignment vertical="center"/>
      <protection hidden="1"/>
    </xf>
    <xf numFmtId="1" fontId="0" fillId="3" borderId="0" xfId="0" applyNumberFormat="1" applyFill="1" applyAlignment="1" applyProtection="1">
      <alignment vertical="center"/>
      <protection hidden="1"/>
    </xf>
    <xf numFmtId="1" fontId="0" fillId="0" borderId="0" xfId="0" applyNumberFormat="1" applyAlignment="1" applyProtection="1">
      <alignment vertical="center"/>
      <protection hidden="1"/>
    </xf>
    <xf numFmtId="0" fontId="217" fillId="0" borderId="47" xfId="0" applyFont="1" applyFill="1" applyBorder="1" applyAlignment="1" applyProtection="1">
      <alignment vertical="center"/>
      <protection locked="0"/>
    </xf>
    <xf numFmtId="1" fontId="0" fillId="13" borderId="48" xfId="0" applyNumberFormat="1" applyFill="1" applyBorder="1" applyAlignment="1" applyProtection="1">
      <alignment horizontal="center" vertical="center"/>
      <protection hidden="1"/>
    </xf>
    <xf numFmtId="0" fontId="0" fillId="0" borderId="1" xfId="0" applyBorder="1" applyAlignment="1" applyProtection="1">
      <alignment vertical="center"/>
      <protection hidden="1"/>
    </xf>
    <xf numFmtId="0" fontId="0" fillId="0" borderId="1" xfId="0" applyBorder="1" applyAlignment="1" applyProtection="1">
      <alignment horizontal="center" vertical="center"/>
      <protection hidden="1"/>
    </xf>
    <xf numFmtId="0" fontId="36" fillId="0" borderId="1" xfId="0" applyFont="1" applyFill="1" applyBorder="1" applyAlignment="1" applyProtection="1">
      <alignment vertical="center"/>
      <protection hidden="1"/>
    </xf>
    <xf numFmtId="0" fontId="0" fillId="0" borderId="1" xfId="0" applyFont="1" applyFill="1" applyBorder="1" applyAlignment="1" applyProtection="1">
      <alignment vertical="center"/>
      <protection hidden="1"/>
    </xf>
    <xf numFmtId="0" fontId="0" fillId="0" borderId="0" xfId="0" applyAlignment="1" applyProtection="1">
      <alignment horizontal="center"/>
      <protection hidden="1"/>
    </xf>
    <xf numFmtId="0" fontId="31" fillId="0" borderId="176" xfId="0" applyFont="1" applyFill="1" applyBorder="1" applyAlignment="1" applyProtection="1">
      <alignment horizontal="center" vertical="center"/>
      <protection hidden="1"/>
    </xf>
    <xf numFmtId="49" fontId="219" fillId="0" borderId="166" xfId="0" applyNumberFormat="1" applyFont="1" applyFill="1" applyBorder="1" applyAlignment="1" applyProtection="1">
      <alignment horizontal="center" vertical="center" shrinkToFit="1"/>
      <protection hidden="1"/>
    </xf>
    <xf numFmtId="164" fontId="31" fillId="0" borderId="7" xfId="1" applyFont="1" applyFill="1" applyBorder="1" applyAlignment="1" applyProtection="1">
      <alignment vertical="center"/>
      <protection hidden="1"/>
    </xf>
    <xf numFmtId="1" fontId="31" fillId="0" borderId="8" xfId="0" applyNumberFormat="1" applyFont="1" applyFill="1" applyBorder="1" applyAlignment="1" applyProtection="1">
      <alignment horizontal="center" vertical="center"/>
      <protection hidden="1"/>
    </xf>
    <xf numFmtId="164" fontId="31" fillId="0" borderId="4" xfId="1" applyFont="1" applyFill="1" applyBorder="1" applyAlignment="1" applyProtection="1">
      <alignment vertical="center"/>
      <protection hidden="1"/>
    </xf>
    <xf numFmtId="1" fontId="31" fillId="0" borderId="1" xfId="0" applyNumberFormat="1" applyFont="1" applyFill="1" applyBorder="1" applyAlignment="1" applyProtection="1">
      <alignment horizontal="center" vertical="center"/>
      <protection hidden="1"/>
    </xf>
    <xf numFmtId="164" fontId="31" fillId="0" borderId="11" xfId="1" applyFont="1" applyFill="1" applyBorder="1" applyAlignment="1" applyProtection="1">
      <alignment vertical="center"/>
      <protection hidden="1"/>
    </xf>
    <xf numFmtId="1" fontId="31" fillId="0" borderId="12" xfId="0" applyNumberFormat="1" applyFont="1" applyFill="1" applyBorder="1" applyAlignment="1" applyProtection="1">
      <alignment horizontal="center" vertical="center"/>
      <protection hidden="1"/>
    </xf>
    <xf numFmtId="0" fontId="0" fillId="0" borderId="0" xfId="0" applyFill="1" applyAlignment="1" applyProtection="1">
      <alignment horizontal="center"/>
      <protection hidden="1"/>
    </xf>
    <xf numFmtId="0" fontId="39" fillId="0" borderId="0" xfId="0" applyFont="1"/>
    <xf numFmtId="0" fontId="184" fillId="0" borderId="111" xfId="0" applyFont="1" applyBorder="1" applyAlignment="1" applyProtection="1">
      <alignment horizontal="center" vertical="center" shrinkToFit="1"/>
      <protection hidden="1"/>
    </xf>
    <xf numFmtId="0" fontId="184" fillId="0" borderId="2" xfId="0" applyFont="1" applyBorder="1" applyAlignment="1" applyProtection="1">
      <alignment horizontal="center" vertical="center" shrinkToFit="1"/>
      <protection hidden="1"/>
    </xf>
    <xf numFmtId="0" fontId="184" fillId="0" borderId="15" xfId="0" applyFont="1" applyBorder="1" applyAlignment="1" applyProtection="1">
      <alignment horizontal="center" vertical="center" shrinkToFit="1"/>
      <protection hidden="1"/>
    </xf>
    <xf numFmtId="0" fontId="54" fillId="0" borderId="0" xfId="0" applyFont="1" applyAlignment="1" applyProtection="1">
      <alignment wrapText="1"/>
      <protection hidden="1"/>
    </xf>
    <xf numFmtId="0" fontId="37" fillId="0" borderId="0" xfId="0" applyFont="1" applyBorder="1" applyAlignment="1" applyProtection="1">
      <protection hidden="1"/>
    </xf>
    <xf numFmtId="0" fontId="41" fillId="0" borderId="0" xfId="1" applyNumberFormat="1" applyFont="1" applyBorder="1" applyAlignment="1" applyProtection="1">
      <alignment vertical="center"/>
      <protection hidden="1"/>
    </xf>
    <xf numFmtId="0" fontId="75" fillId="0" borderId="3" xfId="0" applyFont="1" applyBorder="1" applyAlignment="1" applyProtection="1">
      <alignment vertical="top"/>
      <protection hidden="1"/>
    </xf>
    <xf numFmtId="0" fontId="220" fillId="3" borderId="0" xfId="0" applyFont="1" applyFill="1" applyBorder="1" applyAlignment="1" applyProtection="1">
      <alignment vertical="top"/>
      <protection hidden="1"/>
    </xf>
    <xf numFmtId="0" fontId="220" fillId="3" borderId="0" xfId="0" applyFont="1" applyFill="1" applyAlignment="1" applyProtection="1">
      <alignment vertical="top"/>
      <protection hidden="1"/>
    </xf>
    <xf numFmtId="0" fontId="221" fillId="27" borderId="176" xfId="0" applyFont="1" applyFill="1" applyBorder="1" applyAlignment="1" applyProtection="1">
      <alignment horizontal="center" vertical="center"/>
      <protection hidden="1"/>
    </xf>
    <xf numFmtId="0" fontId="206" fillId="18" borderId="0" xfId="0" applyFont="1" applyFill="1" applyBorder="1" applyAlignment="1" applyProtection="1">
      <protection hidden="1"/>
    </xf>
    <xf numFmtId="0" fontId="206" fillId="18" borderId="19" xfId="0" applyFont="1" applyFill="1" applyBorder="1" applyAlignment="1" applyProtection="1">
      <protection hidden="1"/>
    </xf>
    <xf numFmtId="0" fontId="189" fillId="18" borderId="52" xfId="0" applyFont="1" applyFill="1" applyBorder="1" applyAlignment="1" applyProtection="1">
      <alignment vertical="top" wrapText="1"/>
      <protection hidden="1"/>
    </xf>
    <xf numFmtId="0" fontId="35" fillId="29" borderId="8" xfId="0" applyFont="1" applyFill="1" applyBorder="1" applyAlignment="1" applyProtection="1">
      <alignment horizontal="left" vertical="center" indent="1"/>
      <protection hidden="1"/>
    </xf>
    <xf numFmtId="0" fontId="35" fillId="29" borderId="1" xfId="0" applyFont="1" applyFill="1" applyBorder="1" applyAlignment="1" applyProtection="1">
      <alignment horizontal="left" vertical="center" indent="1"/>
      <protection hidden="1"/>
    </xf>
    <xf numFmtId="0" fontId="35" fillId="29" borderId="21" xfId="0" applyFont="1" applyFill="1" applyBorder="1" applyAlignment="1" applyProtection="1">
      <alignment horizontal="left" vertical="center" indent="1"/>
      <protection hidden="1"/>
    </xf>
    <xf numFmtId="0" fontId="189" fillId="18" borderId="150" xfId="0" applyFont="1" applyFill="1" applyBorder="1" applyAlignment="1" applyProtection="1">
      <alignment horizontal="left" vertical="top" wrapText="1"/>
      <protection hidden="1"/>
    </xf>
    <xf numFmtId="0" fontId="189" fillId="18" borderId="0" xfId="0" applyFont="1" applyFill="1" applyBorder="1" applyAlignment="1" applyProtection="1">
      <alignment horizontal="left" vertical="top" wrapText="1"/>
      <protection hidden="1"/>
    </xf>
    <xf numFmtId="0" fontId="49" fillId="2" borderId="34" xfId="0" applyFont="1" applyFill="1" applyBorder="1" applyAlignment="1" applyProtection="1">
      <alignment vertical="center" wrapText="1"/>
      <protection hidden="1"/>
    </xf>
    <xf numFmtId="0" fontId="141" fillId="2" borderId="34" xfId="0" applyFont="1" applyFill="1" applyBorder="1" applyAlignment="1" applyProtection="1">
      <alignment horizontal="center" vertical="center" wrapText="1"/>
      <protection hidden="1"/>
    </xf>
    <xf numFmtId="0" fontId="36" fillId="0" borderId="35" xfId="0" applyFont="1" applyFill="1" applyBorder="1" applyAlignment="1" applyProtection="1">
      <alignment vertical="center"/>
      <protection hidden="1"/>
    </xf>
    <xf numFmtId="0" fontId="49" fillId="0" borderId="34" xfId="0" applyFont="1" applyBorder="1" applyAlignment="1" applyProtection="1">
      <alignment vertical="center" wrapText="1"/>
      <protection hidden="1"/>
    </xf>
    <xf numFmtId="0" fontId="141" fillId="0" borderId="34" xfId="0" applyFont="1" applyBorder="1" applyAlignment="1" applyProtection="1">
      <alignment horizontal="center" vertical="center" wrapText="1"/>
      <protection hidden="1"/>
    </xf>
    <xf numFmtId="0" fontId="36" fillId="0" borderId="35" xfId="0" applyFont="1" applyBorder="1" applyAlignment="1" applyProtection="1">
      <alignment vertical="center"/>
      <protection hidden="1"/>
    </xf>
    <xf numFmtId="0" fontId="49" fillId="0" borderId="34" xfId="0" applyFont="1" applyBorder="1" applyAlignment="1" applyProtection="1">
      <alignment horizontal="center" vertical="center" wrapText="1"/>
      <protection hidden="1"/>
    </xf>
    <xf numFmtId="0" fontId="183" fillId="0" borderId="34" xfId="0" applyFont="1" applyBorder="1" applyAlignment="1" applyProtection="1">
      <alignment vertical="center"/>
      <protection hidden="1"/>
    </xf>
    <xf numFmtId="0" fontId="183" fillId="0" borderId="3" xfId="0" applyFont="1" applyBorder="1" applyAlignment="1" applyProtection="1">
      <alignment vertical="center"/>
      <protection hidden="1"/>
    </xf>
    <xf numFmtId="0" fontId="6" fillId="29" borderId="8" xfId="0" applyFont="1" applyFill="1" applyBorder="1" applyAlignment="1" applyProtection="1">
      <alignment vertical="center"/>
      <protection locked="0"/>
    </xf>
    <xf numFmtId="0" fontId="6" fillId="29" borderId="1" xfId="0" applyFont="1" applyFill="1" applyBorder="1" applyAlignment="1" applyProtection="1">
      <alignment vertical="center"/>
      <protection locked="0"/>
    </xf>
    <xf numFmtId="0" fontId="19" fillId="40" borderId="66" xfId="2" applyFont="1" applyFill="1" applyBorder="1" applyAlignment="1" applyProtection="1">
      <alignment horizontal="center" vertical="center"/>
      <protection locked="0"/>
    </xf>
    <xf numFmtId="0" fontId="19" fillId="36" borderId="66" xfId="0" applyFont="1" applyFill="1" applyBorder="1" applyAlignment="1" applyProtection="1">
      <alignment horizontal="center" vertical="center"/>
      <protection locked="0"/>
    </xf>
    <xf numFmtId="0" fontId="19" fillId="40" borderId="1" xfId="2" applyFont="1" applyFill="1" applyBorder="1" applyAlignment="1" applyProtection="1">
      <alignment horizontal="center" vertical="center"/>
      <protection locked="0"/>
    </xf>
    <xf numFmtId="0" fontId="19" fillId="36" borderId="1" xfId="0" applyFont="1" applyFill="1" applyBorder="1" applyAlignment="1" applyProtection="1">
      <alignment horizontal="center" vertical="center"/>
      <protection locked="0"/>
    </xf>
    <xf numFmtId="0" fontId="19" fillId="40" borderId="21" xfId="2" applyFont="1" applyFill="1" applyBorder="1" applyAlignment="1" applyProtection="1">
      <alignment horizontal="center" vertical="center"/>
      <protection locked="0"/>
    </xf>
    <xf numFmtId="0" fontId="19" fillId="0" borderId="66" xfId="0" applyFont="1" applyFill="1" applyBorder="1" applyAlignment="1" applyProtection="1">
      <alignment horizontal="center" vertical="center"/>
      <protection locked="0"/>
    </xf>
    <xf numFmtId="0" fontId="19" fillId="0" borderId="1" xfId="0" applyFont="1" applyFill="1" applyBorder="1" applyAlignment="1" applyProtection="1">
      <alignment horizontal="center" vertical="center"/>
      <protection locked="0"/>
    </xf>
    <xf numFmtId="0" fontId="19" fillId="0" borderId="12" xfId="0" applyFont="1" applyFill="1" applyBorder="1" applyAlignment="1" applyProtection="1">
      <alignment horizontal="center" vertical="center"/>
      <protection locked="0"/>
    </xf>
    <xf numFmtId="0" fontId="19" fillId="0" borderId="8" xfId="0" applyFont="1" applyFill="1" applyBorder="1" applyAlignment="1" applyProtection="1">
      <alignment horizontal="center" vertical="center"/>
      <protection locked="0"/>
    </xf>
    <xf numFmtId="0" fontId="19" fillId="9" borderId="8" xfId="0" applyFont="1" applyFill="1" applyBorder="1" applyAlignment="1" applyProtection="1">
      <alignment horizontal="center" vertical="center"/>
      <protection locked="0"/>
    </xf>
    <xf numFmtId="0" fontId="19" fillId="9" borderId="1" xfId="0" applyFont="1" applyFill="1" applyBorder="1" applyAlignment="1" applyProtection="1">
      <alignment horizontal="center" vertical="center"/>
      <protection locked="0"/>
    </xf>
    <xf numFmtId="0" fontId="19" fillId="9" borderId="12" xfId="0" applyFont="1" applyFill="1" applyBorder="1" applyAlignment="1" applyProtection="1">
      <alignment horizontal="center" vertical="center"/>
      <protection locked="0"/>
    </xf>
    <xf numFmtId="0" fontId="8" fillId="36" borderId="111" xfId="0" applyFont="1" applyFill="1" applyBorder="1" applyAlignment="1" applyProtection="1">
      <alignment vertical="center" shrinkToFit="1"/>
      <protection locked="0"/>
    </xf>
    <xf numFmtId="0" fontId="19" fillId="36" borderId="111" xfId="0" applyFont="1" applyFill="1" applyBorder="1" applyAlignment="1" applyProtection="1">
      <alignment horizontal="center" vertical="center" shrinkToFit="1"/>
      <protection locked="0"/>
    </xf>
    <xf numFmtId="0" fontId="8" fillId="36" borderId="2" xfId="0" applyFont="1" applyFill="1" applyBorder="1" applyAlignment="1" applyProtection="1">
      <alignment vertical="center" shrinkToFit="1"/>
      <protection locked="0"/>
    </xf>
    <xf numFmtId="0" fontId="19" fillId="36" borderId="2" xfId="0" applyFont="1" applyFill="1" applyBorder="1" applyAlignment="1" applyProtection="1">
      <alignment horizontal="center" vertical="center" shrinkToFit="1"/>
      <protection locked="0"/>
    </xf>
    <xf numFmtId="0" fontId="8" fillId="36" borderId="51" xfId="0" applyFont="1" applyFill="1" applyBorder="1" applyAlignment="1" applyProtection="1">
      <alignment vertical="center" shrinkToFit="1"/>
      <protection locked="0"/>
    </xf>
    <xf numFmtId="0" fontId="19" fillId="36" borderId="51" xfId="0" applyFont="1" applyFill="1" applyBorder="1" applyAlignment="1" applyProtection="1">
      <alignment horizontal="center" vertical="center" shrinkToFit="1"/>
      <protection locked="0"/>
    </xf>
    <xf numFmtId="0" fontId="8" fillId="29" borderId="111" xfId="0" applyFont="1" applyFill="1" applyBorder="1" applyAlignment="1" applyProtection="1">
      <alignment vertical="center" shrinkToFit="1"/>
      <protection locked="0"/>
    </xf>
    <xf numFmtId="0" fontId="19" fillId="29" borderId="111" xfId="0" applyFont="1" applyFill="1" applyBorder="1" applyAlignment="1" applyProtection="1">
      <alignment horizontal="center" vertical="center" shrinkToFit="1"/>
      <protection locked="0"/>
    </xf>
    <xf numFmtId="0" fontId="8" fillId="29" borderId="2" xfId="0" applyFont="1" applyFill="1" applyBorder="1" applyAlignment="1" applyProtection="1">
      <alignment vertical="center" shrinkToFit="1"/>
      <protection locked="0"/>
    </xf>
    <xf numFmtId="0" fontId="19" fillId="29" borderId="2" xfId="0" applyFont="1" applyFill="1" applyBorder="1" applyAlignment="1" applyProtection="1">
      <alignment horizontal="center" vertical="center" shrinkToFit="1"/>
      <protection locked="0"/>
    </xf>
    <xf numFmtId="0" fontId="8" fillId="29" borderId="15" xfId="0" applyFont="1" applyFill="1" applyBorder="1" applyAlignment="1" applyProtection="1">
      <alignment vertical="center" shrinkToFit="1"/>
      <protection locked="0"/>
    </xf>
    <xf numFmtId="0" fontId="19" fillId="29" borderId="15" xfId="0" applyFont="1" applyFill="1" applyBorder="1" applyAlignment="1" applyProtection="1">
      <alignment horizontal="center" vertical="center" shrinkToFit="1"/>
      <protection locked="0"/>
    </xf>
    <xf numFmtId="0" fontId="8" fillId="9" borderId="10" xfId="0" applyFont="1" applyFill="1" applyBorder="1" applyAlignment="1" applyProtection="1">
      <alignment vertical="center" shrinkToFit="1"/>
      <protection locked="0"/>
    </xf>
    <xf numFmtId="0" fontId="19" fillId="9" borderId="10" xfId="0" applyFont="1" applyFill="1" applyBorder="1" applyAlignment="1" applyProtection="1">
      <alignment horizontal="center" vertical="center" shrinkToFit="1"/>
      <protection locked="0"/>
    </xf>
    <xf numFmtId="0" fontId="8" fillId="9" borderId="2" xfId="0" applyFont="1" applyFill="1" applyBorder="1" applyAlignment="1" applyProtection="1">
      <alignment vertical="center" shrinkToFit="1"/>
      <protection locked="0"/>
    </xf>
    <xf numFmtId="0" fontId="19" fillId="9" borderId="2" xfId="0" applyFont="1" applyFill="1" applyBorder="1" applyAlignment="1" applyProtection="1">
      <alignment horizontal="center" vertical="center" shrinkToFit="1"/>
      <protection locked="0"/>
    </xf>
    <xf numFmtId="0" fontId="8" fillId="9" borderId="15" xfId="0" applyFont="1" applyFill="1" applyBorder="1" applyAlignment="1" applyProtection="1">
      <alignment vertical="center" shrinkToFit="1"/>
      <protection locked="0"/>
    </xf>
    <xf numFmtId="0" fontId="19" fillId="9" borderId="15" xfId="0" applyFont="1" applyFill="1" applyBorder="1" applyAlignment="1" applyProtection="1">
      <alignment horizontal="center" vertical="center" shrinkToFit="1"/>
      <protection locked="0"/>
    </xf>
    <xf numFmtId="0" fontId="36" fillId="0" borderId="0" xfId="0" applyFont="1" applyAlignment="1" applyProtection="1">
      <alignment horizontal="left" vertical="center" indent="1"/>
      <protection hidden="1"/>
    </xf>
    <xf numFmtId="0" fontId="18" fillId="0" borderId="0" xfId="0" applyFont="1" applyBorder="1" applyAlignment="1" applyProtection="1">
      <alignment vertical="center"/>
      <protection hidden="1"/>
    </xf>
    <xf numFmtId="0" fontId="36" fillId="0" borderId="0" xfId="0" applyFont="1" applyAlignment="1" applyProtection="1">
      <alignment vertical="top"/>
      <protection hidden="1"/>
    </xf>
    <xf numFmtId="0" fontId="36" fillId="0" borderId="0" xfId="0" applyFont="1" applyAlignment="1" applyProtection="1">
      <alignment horizontal="left" vertical="top" indent="1"/>
      <protection hidden="1"/>
    </xf>
    <xf numFmtId="49" fontId="37" fillId="0" borderId="0" xfId="0" applyNumberFormat="1" applyFont="1" applyAlignment="1" applyProtection="1">
      <alignment horizontal="left" indent="1"/>
      <protection hidden="1"/>
    </xf>
    <xf numFmtId="0" fontId="36" fillId="0" borderId="0" xfId="0" applyFont="1" applyAlignment="1" applyProtection="1">
      <alignment vertical="center"/>
      <protection hidden="1"/>
    </xf>
    <xf numFmtId="0" fontId="36" fillId="0" borderId="1" xfId="0" applyFont="1" applyBorder="1" applyAlignment="1" applyProtection="1">
      <alignment horizontal="center" vertical="center"/>
      <protection hidden="1"/>
    </xf>
    <xf numFmtId="0" fontId="36" fillId="0" borderId="0" xfId="0" applyFont="1" applyAlignment="1" applyProtection="1">
      <alignment vertical="top"/>
      <protection hidden="1"/>
    </xf>
    <xf numFmtId="0" fontId="36" fillId="0" borderId="0" xfId="0" applyFont="1" applyAlignment="1" applyProtection="1">
      <alignment horizontal="left" vertical="center" shrinkToFit="1"/>
      <protection hidden="1"/>
    </xf>
    <xf numFmtId="0" fontId="36" fillId="2" borderId="34" xfId="0" applyFont="1" applyFill="1" applyBorder="1" applyAlignment="1" applyProtection="1">
      <alignment vertical="center" wrapText="1"/>
      <protection hidden="1"/>
    </xf>
    <xf numFmtId="0" fontId="43" fillId="35" borderId="1" xfId="0" applyFont="1" applyFill="1" applyBorder="1" applyAlignment="1" applyProtection="1">
      <alignment horizontal="center" vertical="center"/>
      <protection hidden="1"/>
    </xf>
    <xf numFmtId="0" fontId="36" fillId="2" borderId="34" xfId="0" applyFont="1" applyFill="1" applyBorder="1" applyAlignment="1" applyProtection="1">
      <alignment horizontal="center" vertical="center"/>
      <protection hidden="1"/>
    </xf>
    <xf numFmtId="0" fontId="79" fillId="0" borderId="0" xfId="0" applyFont="1" applyFill="1" applyBorder="1" applyAlignment="1" applyProtection="1">
      <alignment vertical="center"/>
      <protection hidden="1"/>
    </xf>
    <xf numFmtId="0" fontId="222" fillId="18" borderId="0" xfId="0" applyFont="1" applyFill="1" applyAlignment="1" applyProtection="1">
      <alignment vertical="center"/>
      <protection hidden="1"/>
    </xf>
    <xf numFmtId="0" fontId="8" fillId="29" borderId="51" xfId="0" applyFont="1" applyFill="1" applyBorder="1" applyAlignment="1" applyProtection="1">
      <alignment vertical="center" shrinkToFit="1"/>
      <protection locked="0"/>
    </xf>
    <xf numFmtId="0" fontId="19" fillId="29" borderId="51" xfId="0" applyFont="1" applyFill="1" applyBorder="1" applyAlignment="1" applyProtection="1">
      <alignment horizontal="center" vertical="center" shrinkToFit="1"/>
      <protection locked="0"/>
    </xf>
    <xf numFmtId="0" fontId="19" fillId="0" borderId="21" xfId="0" applyFont="1" applyFill="1" applyBorder="1" applyAlignment="1" applyProtection="1">
      <alignment horizontal="center" vertical="center"/>
      <protection locked="0"/>
    </xf>
    <xf numFmtId="0" fontId="10" fillId="35" borderId="1" xfId="0" applyFont="1" applyFill="1" applyBorder="1" applyAlignment="1" applyProtection="1">
      <alignment horizontal="center" vertical="center" wrapText="1" shrinkToFit="1"/>
      <protection hidden="1"/>
    </xf>
    <xf numFmtId="0" fontId="224" fillId="0" borderId="0" xfId="0" applyFont="1" applyAlignment="1" applyProtection="1">
      <alignment vertical="center"/>
      <protection hidden="1"/>
    </xf>
    <xf numFmtId="0" fontId="6" fillId="9" borderId="12" xfId="0" applyFont="1" applyFill="1" applyBorder="1" applyAlignment="1" applyProtection="1">
      <alignment vertical="center" shrinkToFit="1"/>
      <protection locked="0"/>
    </xf>
    <xf numFmtId="0" fontId="49" fillId="0" borderId="0" xfId="0" applyFont="1" applyBorder="1" applyAlignment="1" applyProtection="1">
      <alignment horizontal="left" vertical="center" wrapText="1"/>
      <protection hidden="1"/>
    </xf>
    <xf numFmtId="0" fontId="141" fillId="0" borderId="0" xfId="0" applyFont="1" applyBorder="1" applyAlignment="1" applyProtection="1">
      <alignment vertical="center"/>
      <protection hidden="1"/>
    </xf>
    <xf numFmtId="0" fontId="54" fillId="0" borderId="0" xfId="0" applyFont="1" applyAlignment="1" applyProtection="1">
      <protection hidden="1"/>
    </xf>
    <xf numFmtId="0" fontId="48" fillId="0" borderId="12" xfId="1" applyNumberFormat="1" applyFont="1" applyFill="1" applyBorder="1" applyAlignment="1" applyProtection="1">
      <alignment horizontal="center" vertical="center" shrinkToFit="1"/>
      <protection hidden="1"/>
    </xf>
    <xf numFmtId="0" fontId="183" fillId="0" borderId="6" xfId="0" applyFont="1" applyBorder="1" applyAlignment="1" applyProtection="1">
      <alignment horizontal="center" vertical="center" shrinkToFit="1"/>
      <protection hidden="1"/>
    </xf>
    <xf numFmtId="0" fontId="183" fillId="0" borderId="51" xfId="0" applyFont="1" applyBorder="1" applyAlignment="1" applyProtection="1">
      <alignment horizontal="center" vertical="center" shrinkToFit="1"/>
      <protection hidden="1"/>
    </xf>
    <xf numFmtId="0" fontId="68" fillId="6" borderId="0" xfId="0" applyFont="1" applyFill="1" applyAlignment="1" applyProtection="1">
      <alignment horizontal="right" vertical="top"/>
      <protection hidden="1"/>
    </xf>
    <xf numFmtId="49" fontId="225" fillId="0" borderId="1" xfId="0" applyNumberFormat="1" applyFont="1" applyFill="1" applyBorder="1" applyAlignment="1" applyProtection="1">
      <alignment vertical="top"/>
      <protection locked="0" hidden="1"/>
    </xf>
    <xf numFmtId="49" fontId="52" fillId="0" borderId="27" xfId="0" applyNumberFormat="1" applyFont="1" applyBorder="1" applyAlignment="1" applyProtection="1">
      <alignment horizontal="left" vertical="center" indent="1" shrinkToFit="1"/>
      <protection locked="0"/>
    </xf>
    <xf numFmtId="0" fontId="109" fillId="18" borderId="180" xfId="0" applyFont="1" applyFill="1" applyBorder="1" applyAlignment="1" applyProtection="1">
      <alignment vertical="center"/>
      <protection hidden="1"/>
    </xf>
    <xf numFmtId="0" fontId="97" fillId="15" borderId="12" xfId="0" applyFont="1" applyFill="1" applyBorder="1" applyAlignment="1" applyProtection="1">
      <alignment horizontal="center" vertical="center" wrapText="1"/>
      <protection hidden="1"/>
    </xf>
    <xf numFmtId="0" fontId="97" fillId="15" borderId="12" xfId="0" applyFont="1" applyFill="1" applyBorder="1" applyAlignment="1" applyProtection="1">
      <alignment horizontal="center" vertical="center"/>
      <protection hidden="1"/>
    </xf>
    <xf numFmtId="0" fontId="98" fillId="15" borderId="12" xfId="0" applyFont="1" applyFill="1" applyBorder="1" applyAlignment="1" applyProtection="1">
      <alignment horizontal="center" vertical="center" wrapText="1"/>
      <protection hidden="1"/>
    </xf>
    <xf numFmtId="0" fontId="9" fillId="15" borderId="12" xfId="0" applyFont="1" applyFill="1" applyBorder="1" applyAlignment="1" applyProtection="1">
      <alignment horizontal="center" vertical="center" wrapText="1"/>
      <protection hidden="1"/>
    </xf>
    <xf numFmtId="0" fontId="227" fillId="13" borderId="0" xfId="0" applyFont="1" applyFill="1" applyBorder="1" applyAlignment="1" applyProtection="1">
      <alignment vertical="center"/>
      <protection hidden="1"/>
    </xf>
    <xf numFmtId="0" fontId="227" fillId="13" borderId="0" xfId="0" applyFont="1" applyFill="1" applyAlignment="1" applyProtection="1">
      <alignment vertical="center"/>
      <protection hidden="1"/>
    </xf>
    <xf numFmtId="0" fontId="188" fillId="18" borderId="0" xfId="0" applyFont="1" applyFill="1" applyBorder="1" applyAlignment="1" applyProtection="1">
      <alignment horizontal="left" vertical="top"/>
      <protection hidden="1"/>
    </xf>
    <xf numFmtId="0" fontId="214" fillId="27" borderId="19" xfId="0" applyFont="1" applyFill="1" applyBorder="1" applyAlignment="1" applyProtection="1">
      <alignment horizontal="left"/>
      <protection hidden="1"/>
    </xf>
    <xf numFmtId="0" fontId="228" fillId="13" borderId="0" xfId="0" applyFont="1" applyFill="1" applyProtection="1">
      <protection hidden="1"/>
    </xf>
    <xf numFmtId="0" fontId="0" fillId="3" borderId="0" xfId="0" applyFill="1" applyBorder="1" applyProtection="1">
      <protection hidden="1"/>
    </xf>
    <xf numFmtId="0" fontId="205" fillId="0" borderId="113" xfId="0" applyFont="1" applyBorder="1" applyAlignment="1" applyProtection="1">
      <alignment vertical="top"/>
      <protection hidden="1"/>
    </xf>
    <xf numFmtId="0" fontId="49" fillId="0" borderId="113" xfId="0" applyFont="1" applyBorder="1" applyAlignment="1" applyProtection="1">
      <alignment vertical="center" wrapText="1"/>
      <protection hidden="1"/>
    </xf>
    <xf numFmtId="0" fontId="49" fillId="0" borderId="113" xfId="0" applyFont="1" applyBorder="1" applyAlignment="1" applyProtection="1">
      <alignment horizontal="center" vertical="center" wrapText="1"/>
      <protection hidden="1"/>
    </xf>
    <xf numFmtId="1" fontId="36" fillId="0" borderId="113" xfId="0" applyNumberFormat="1" applyFont="1" applyBorder="1" applyAlignment="1" applyProtection="1">
      <alignment horizontal="center" vertical="center"/>
      <protection hidden="1"/>
    </xf>
    <xf numFmtId="0" fontId="36" fillId="0" borderId="113" xfId="0" applyFont="1" applyBorder="1" applyAlignment="1" applyProtection="1">
      <alignment horizontal="center" vertical="center"/>
      <protection hidden="1"/>
    </xf>
    <xf numFmtId="0" fontId="56" fillId="0" borderId="113" xfId="0" applyFont="1" applyBorder="1" applyAlignment="1" applyProtection="1">
      <alignment horizontal="left" vertical="center" wrapText="1"/>
      <protection hidden="1"/>
    </xf>
    <xf numFmtId="0" fontId="36" fillId="0" borderId="0" xfId="0" applyFont="1" applyAlignment="1" applyProtection="1">
      <alignment vertical="center"/>
      <protection hidden="1"/>
    </xf>
    <xf numFmtId="0" fontId="36" fillId="0" borderId="0" xfId="0" applyFont="1" applyAlignment="1" applyProtection="1">
      <alignment horizontal="left" vertical="center" indent="1"/>
      <protection hidden="1"/>
    </xf>
    <xf numFmtId="0" fontId="36" fillId="0" borderId="0" xfId="0" applyFont="1" applyAlignment="1" applyProtection="1">
      <alignment horizontal="left" vertical="center" indent="2"/>
      <protection hidden="1"/>
    </xf>
    <xf numFmtId="0" fontId="233" fillId="40" borderId="8" xfId="2" applyFont="1" applyFill="1" applyBorder="1" applyAlignment="1" applyProtection="1">
      <alignment horizontal="center" vertical="center"/>
      <protection locked="0"/>
    </xf>
    <xf numFmtId="0" fontId="233" fillId="40" borderId="8" xfId="2" quotePrefix="1" applyFont="1" applyFill="1" applyBorder="1" applyAlignment="1" applyProtection="1">
      <alignment horizontal="center" vertical="center"/>
      <protection locked="0"/>
    </xf>
    <xf numFmtId="0" fontId="233" fillId="40" borderId="1" xfId="2" applyFont="1" applyFill="1" applyBorder="1" applyAlignment="1" applyProtection="1">
      <alignment horizontal="center" vertical="center"/>
      <protection locked="0"/>
    </xf>
    <xf numFmtId="0" fontId="233" fillId="40" borderId="12" xfId="2" applyFont="1" applyFill="1" applyBorder="1" applyAlignment="1" applyProtection="1">
      <alignment horizontal="center" vertical="center"/>
      <protection locked="0"/>
    </xf>
    <xf numFmtId="0" fontId="124" fillId="0" borderId="0" xfId="0" applyFont="1" applyAlignment="1" applyProtection="1">
      <alignment horizontal="center" vertical="top"/>
      <protection locked="0"/>
    </xf>
    <xf numFmtId="0" fontId="13" fillId="0" borderId="0" xfId="0" applyFont="1" applyAlignment="1" applyProtection="1">
      <alignment horizontal="left" vertical="top" shrinkToFit="1"/>
      <protection hidden="1"/>
    </xf>
    <xf numFmtId="0" fontId="69" fillId="0" borderId="0" xfId="0" applyFont="1" applyAlignment="1" applyProtection="1">
      <alignment horizontal="left" vertical="top" shrinkToFit="1"/>
      <protection hidden="1"/>
    </xf>
    <xf numFmtId="0" fontId="11" fillId="25" borderId="16" xfId="0" applyFont="1" applyFill="1" applyBorder="1" applyAlignment="1" applyProtection="1">
      <alignment horizontal="center" vertical="center" wrapText="1"/>
      <protection hidden="1"/>
    </xf>
    <xf numFmtId="0" fontId="11" fillId="24" borderId="16" xfId="0" applyFont="1" applyFill="1" applyBorder="1" applyAlignment="1" applyProtection="1">
      <alignment horizontal="center" vertical="center" wrapText="1"/>
      <protection hidden="1"/>
    </xf>
    <xf numFmtId="0" fontId="18" fillId="0" borderId="0" xfId="0" applyFont="1" applyBorder="1" applyAlignment="1" applyProtection="1">
      <alignment vertical="center"/>
      <protection hidden="1"/>
    </xf>
    <xf numFmtId="0" fontId="65" fillId="26" borderId="0" xfId="0" applyFont="1" applyFill="1" applyBorder="1" applyAlignment="1" applyProtection="1">
      <alignment vertical="center" wrapText="1"/>
      <protection hidden="1"/>
    </xf>
    <xf numFmtId="0" fontId="40" fillId="50" borderId="181" xfId="0" applyFont="1" applyFill="1" applyBorder="1" applyAlignment="1" applyProtection="1">
      <alignment horizontal="center" vertical="center"/>
      <protection hidden="1"/>
    </xf>
    <xf numFmtId="0" fontId="234" fillId="50" borderId="184" xfId="0" applyFont="1" applyFill="1" applyBorder="1" applyAlignment="1" applyProtection="1">
      <alignment horizontal="center" vertical="center"/>
      <protection hidden="1"/>
    </xf>
    <xf numFmtId="0" fontId="234" fillId="50" borderId="185" xfId="0" applyFont="1" applyFill="1" applyBorder="1" applyAlignment="1" applyProtection="1">
      <alignment horizontal="center" vertical="center"/>
      <protection hidden="1"/>
    </xf>
    <xf numFmtId="0" fontId="235" fillId="50" borderId="186" xfId="0" applyFont="1" applyFill="1" applyBorder="1" applyAlignment="1" applyProtection="1">
      <alignment horizontal="center" vertical="center"/>
      <protection hidden="1"/>
    </xf>
    <xf numFmtId="0" fontId="234" fillId="50" borderId="187" xfId="0" applyFont="1" applyFill="1" applyBorder="1" applyAlignment="1" applyProtection="1">
      <alignment horizontal="center" vertical="center"/>
      <protection hidden="1"/>
    </xf>
    <xf numFmtId="0" fontId="95" fillId="23" borderId="188" xfId="0" applyFont="1" applyFill="1" applyBorder="1" applyAlignment="1" applyProtection="1">
      <alignment horizontal="center" vertical="center" shrinkToFit="1"/>
      <protection hidden="1"/>
    </xf>
    <xf numFmtId="0" fontId="95" fillId="23" borderId="181" xfId="0" applyFont="1" applyFill="1" applyBorder="1" applyAlignment="1" applyProtection="1">
      <alignment horizontal="center" vertical="center"/>
      <protection hidden="1"/>
    </xf>
    <xf numFmtId="0" fontId="95" fillId="23" borderId="182" xfId="0" applyFont="1" applyFill="1" applyBorder="1" applyAlignment="1" applyProtection="1">
      <alignment horizontal="center" vertical="center"/>
      <protection hidden="1"/>
    </xf>
    <xf numFmtId="0" fontId="35" fillId="23" borderId="183" xfId="0" applyFont="1" applyFill="1" applyBorder="1" applyAlignment="1" applyProtection="1">
      <alignment vertical="center"/>
      <protection hidden="1"/>
    </xf>
    <xf numFmtId="0" fontId="15" fillId="50" borderId="190" xfId="0" applyFont="1" applyFill="1" applyBorder="1" applyAlignment="1" applyProtection="1">
      <alignment horizontal="center" vertical="center" wrapText="1"/>
      <protection hidden="1"/>
    </xf>
    <xf numFmtId="0" fontId="15" fillId="50" borderId="193" xfId="0" applyFont="1" applyFill="1" applyBorder="1" applyAlignment="1" applyProtection="1">
      <alignment horizontal="center" vertical="center" shrinkToFit="1"/>
      <protection hidden="1"/>
    </xf>
    <xf numFmtId="0" fontId="95" fillId="0" borderId="194" xfId="0" applyFont="1" applyFill="1" applyBorder="1" applyAlignment="1" applyProtection="1">
      <alignment horizontal="center" vertical="center" shrinkToFit="1"/>
      <protection hidden="1"/>
    </xf>
    <xf numFmtId="0" fontId="2" fillId="0" borderId="194" xfId="0" applyFont="1" applyFill="1" applyBorder="1" applyAlignment="1" applyProtection="1">
      <alignment horizontal="left" vertical="center" shrinkToFit="1"/>
      <protection hidden="1"/>
    </xf>
    <xf numFmtId="0" fontId="8" fillId="0" borderId="195" xfId="0" applyFont="1" applyFill="1" applyBorder="1" applyAlignment="1" applyProtection="1">
      <alignment vertical="center" shrinkToFit="1"/>
      <protection locked="0"/>
    </xf>
    <xf numFmtId="0" fontId="7" fillId="23" borderId="190" xfId="0" applyFont="1" applyFill="1" applyBorder="1" applyAlignment="1" applyProtection="1">
      <alignment horizontal="center" vertical="center"/>
      <protection hidden="1"/>
    </xf>
    <xf numFmtId="0" fontId="95" fillId="0" borderId="196" xfId="0" applyFont="1" applyFill="1" applyBorder="1" applyAlignment="1" applyProtection="1">
      <alignment horizontal="center" vertical="center"/>
      <protection hidden="1"/>
    </xf>
    <xf numFmtId="0" fontId="239" fillId="0" borderId="196" xfId="0" applyFont="1" applyFill="1" applyBorder="1" applyAlignment="1" applyProtection="1">
      <alignment horizontal="center" vertical="center" shrinkToFit="1"/>
      <protection hidden="1"/>
    </xf>
    <xf numFmtId="0" fontId="2" fillId="0" borderId="196" xfId="0" applyFont="1" applyFill="1" applyBorder="1" applyAlignment="1" applyProtection="1">
      <alignment vertical="center"/>
      <protection hidden="1"/>
    </xf>
    <xf numFmtId="0" fontId="8" fillId="0" borderId="197" xfId="0" applyFont="1" applyFill="1" applyBorder="1" applyAlignment="1" applyProtection="1">
      <alignment vertical="center" shrinkToFit="1"/>
      <protection locked="0"/>
    </xf>
    <xf numFmtId="0" fontId="95" fillId="0" borderId="198" xfId="0" applyFont="1" applyFill="1" applyBorder="1" applyAlignment="1" applyProtection="1">
      <alignment horizontal="center" vertical="center" shrinkToFit="1"/>
      <protection hidden="1"/>
    </xf>
    <xf numFmtId="0" fontId="2" fillId="0" borderId="198" xfId="0" applyFont="1" applyFill="1" applyBorder="1" applyAlignment="1" applyProtection="1">
      <alignment horizontal="left" vertical="center" shrinkToFit="1"/>
      <protection hidden="1"/>
    </xf>
    <xf numFmtId="0" fontId="8" fillId="0" borderId="199" xfId="0" applyFont="1" applyFill="1" applyBorder="1" applyAlignment="1" applyProtection="1">
      <alignment vertical="center" shrinkToFit="1"/>
      <protection locked="0"/>
    </xf>
    <xf numFmtId="0" fontId="95" fillId="0" borderId="200" xfId="0" applyFont="1" applyFill="1" applyBorder="1" applyAlignment="1" applyProtection="1">
      <alignment horizontal="center" vertical="center"/>
      <protection hidden="1"/>
    </xf>
    <xf numFmtId="0" fontId="239" fillId="0" borderId="200" xfId="0" applyFont="1" applyFill="1" applyBorder="1" applyAlignment="1" applyProtection="1">
      <alignment horizontal="center" shrinkToFit="1"/>
      <protection hidden="1"/>
    </xf>
    <xf numFmtId="0" fontId="2" fillId="0" borderId="200" xfId="0" applyFont="1" applyFill="1" applyBorder="1" applyAlignment="1" applyProtection="1">
      <alignment vertical="center"/>
      <protection hidden="1"/>
    </xf>
    <xf numFmtId="0" fontId="8" fillId="0" borderId="201" xfId="0" applyFont="1" applyFill="1" applyBorder="1" applyAlignment="1" applyProtection="1">
      <alignment vertical="center" shrinkToFit="1"/>
      <protection locked="0"/>
    </xf>
    <xf numFmtId="0" fontId="2" fillId="0" borderId="202" xfId="0" applyFont="1" applyFill="1" applyBorder="1" applyAlignment="1" applyProtection="1">
      <alignment vertical="center"/>
      <protection hidden="1"/>
    </xf>
    <xf numFmtId="0" fontId="231" fillId="0" borderId="200" xfId="0" applyFont="1" applyFill="1" applyBorder="1" applyAlignment="1" applyProtection="1">
      <alignment horizontal="center" vertical="center" shrinkToFit="1"/>
      <protection hidden="1"/>
    </xf>
    <xf numFmtId="0" fontId="63" fillId="0" borderId="200" xfId="0" applyFont="1" applyFill="1" applyBorder="1" applyAlignment="1" applyProtection="1">
      <alignment vertical="center"/>
      <protection hidden="1"/>
    </xf>
    <xf numFmtId="0" fontId="13" fillId="0" borderId="200" xfId="0" applyFont="1" applyFill="1" applyBorder="1" applyAlignment="1" applyProtection="1">
      <alignment horizontal="center" vertical="top" shrinkToFit="1"/>
      <protection hidden="1"/>
    </xf>
    <xf numFmtId="0" fontId="15" fillId="50" borderId="203" xfId="0" applyFont="1" applyFill="1" applyBorder="1" applyAlignment="1" applyProtection="1">
      <alignment horizontal="center" vertical="top" wrapText="1"/>
      <protection hidden="1"/>
    </xf>
    <xf numFmtId="0" fontId="15" fillId="50" borderId="206" xfId="0" applyFont="1" applyFill="1" applyBorder="1" applyAlignment="1" applyProtection="1">
      <alignment horizontal="center" vertical="center" shrinkToFit="1"/>
      <protection hidden="1"/>
    </xf>
    <xf numFmtId="0" fontId="95" fillId="0" borderId="207" xfId="0" applyFont="1" applyFill="1" applyBorder="1" applyAlignment="1" applyProtection="1">
      <alignment horizontal="center" vertical="center" shrinkToFit="1"/>
      <protection hidden="1"/>
    </xf>
    <xf numFmtId="0" fontId="2" fillId="0" borderId="207" xfId="0" applyFont="1" applyFill="1" applyBorder="1" applyAlignment="1" applyProtection="1">
      <alignment horizontal="left" vertical="center" shrinkToFit="1"/>
      <protection hidden="1"/>
    </xf>
    <xf numFmtId="0" fontId="8" fillId="0" borderId="208" xfId="0" applyFont="1" applyFill="1" applyBorder="1" applyAlignment="1" applyProtection="1">
      <alignment vertical="center" shrinkToFit="1"/>
      <protection locked="0"/>
    </xf>
    <xf numFmtId="0" fontId="7" fillId="23" borderId="203" xfId="0" applyFont="1" applyFill="1" applyBorder="1" applyAlignment="1" applyProtection="1">
      <alignment horizontal="center" vertical="center"/>
      <protection hidden="1"/>
    </xf>
    <xf numFmtId="0" fontId="95" fillId="0" borderId="209" xfId="0" applyFont="1" applyFill="1" applyBorder="1" applyAlignment="1" applyProtection="1">
      <alignment horizontal="center" vertical="center"/>
      <protection hidden="1"/>
    </xf>
    <xf numFmtId="0" fontId="7" fillId="0" borderId="209" xfId="0" applyFont="1" applyFill="1" applyBorder="1" applyAlignment="1" applyProtection="1">
      <alignment horizontal="center" vertical="center"/>
      <protection hidden="1"/>
    </xf>
    <xf numFmtId="0" fontId="58" fillId="0" borderId="209" xfId="0" applyFont="1" applyFill="1" applyBorder="1" applyAlignment="1" applyProtection="1">
      <alignment vertical="center"/>
      <protection hidden="1"/>
    </xf>
    <xf numFmtId="0" fontId="8" fillId="0" borderId="210" xfId="0" applyFont="1" applyFill="1" applyBorder="1" applyAlignment="1" applyProtection="1">
      <alignment vertical="center" shrinkToFit="1"/>
      <protection locked="0"/>
    </xf>
    <xf numFmtId="0" fontId="7" fillId="25" borderId="211" xfId="0" applyFont="1" applyFill="1" applyBorder="1" applyAlignment="1" applyProtection="1">
      <alignment horizontal="center" vertical="center" shrinkToFit="1"/>
      <protection hidden="1"/>
    </xf>
    <xf numFmtId="0" fontId="7" fillId="25" borderId="16" xfId="0" applyFont="1" applyFill="1" applyBorder="1" applyAlignment="1" applyProtection="1">
      <alignment horizontal="center" vertical="center"/>
      <protection hidden="1"/>
    </xf>
    <xf numFmtId="0" fontId="10" fillId="24" borderId="111" xfId="0" applyFont="1" applyFill="1" applyBorder="1" applyAlignment="1" applyProtection="1">
      <alignment horizontal="center" vertical="center"/>
      <protection hidden="1"/>
    </xf>
    <xf numFmtId="0" fontId="10" fillId="24" borderId="7" xfId="0" applyFont="1" applyFill="1" applyBorder="1" applyAlignment="1" applyProtection="1">
      <alignment horizontal="center" vertical="center"/>
      <protection hidden="1"/>
    </xf>
    <xf numFmtId="0" fontId="10" fillId="24" borderId="8" xfId="0" applyFont="1" applyFill="1" applyBorder="1" applyAlignment="1" applyProtection="1">
      <alignment horizontal="center" vertical="center"/>
      <protection hidden="1"/>
    </xf>
    <xf numFmtId="0" fontId="9" fillId="24" borderId="0" xfId="0" applyFont="1" applyFill="1" applyBorder="1" applyAlignment="1" applyProtection="1">
      <alignment horizontal="center" vertical="center" wrapText="1"/>
      <protection hidden="1"/>
    </xf>
    <xf numFmtId="0" fontId="10" fillId="25" borderId="15" xfId="0" applyFont="1" applyFill="1" applyBorder="1" applyAlignment="1" applyProtection="1">
      <alignment horizontal="center" vertical="center"/>
      <protection hidden="1"/>
    </xf>
    <xf numFmtId="1" fontId="10" fillId="25" borderId="11" xfId="0" applyNumberFormat="1" applyFont="1" applyFill="1" applyBorder="1" applyAlignment="1" applyProtection="1">
      <alignment horizontal="center" vertical="center"/>
      <protection hidden="1"/>
    </xf>
    <xf numFmtId="1" fontId="10" fillId="25" borderId="12" xfId="0" applyNumberFormat="1" applyFont="1" applyFill="1" applyBorder="1" applyAlignment="1" applyProtection="1">
      <alignment horizontal="center" vertical="center"/>
      <protection hidden="1"/>
    </xf>
    <xf numFmtId="1" fontId="10" fillId="25" borderId="15" xfId="0" applyNumberFormat="1" applyFont="1" applyFill="1" applyBorder="1" applyAlignment="1" applyProtection="1">
      <alignment horizontal="center" vertical="center"/>
      <protection hidden="1"/>
    </xf>
    <xf numFmtId="1" fontId="10" fillId="25" borderId="13" xfId="0" applyNumberFormat="1" applyFont="1" applyFill="1" applyBorder="1" applyAlignment="1" applyProtection="1">
      <alignment horizontal="center" vertical="center"/>
      <protection hidden="1"/>
    </xf>
    <xf numFmtId="0" fontId="5" fillId="0" borderId="4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37" xfId="0" applyFont="1" applyBorder="1" applyAlignment="1" applyProtection="1">
      <alignment horizontal="center" vertical="center"/>
      <protection hidden="1"/>
    </xf>
    <xf numFmtId="0" fontId="130" fillId="0" borderId="4" xfId="0" applyFont="1" applyBorder="1" applyAlignment="1" applyProtection="1">
      <alignment horizontal="center" vertical="center" textRotation="90" shrinkToFit="1"/>
      <protection hidden="1"/>
    </xf>
    <xf numFmtId="0" fontId="130" fillId="0" borderId="1" xfId="0" applyFont="1" applyBorder="1" applyAlignment="1" applyProtection="1">
      <alignment horizontal="center" vertical="center" textRotation="90" shrinkToFit="1"/>
      <protection hidden="1"/>
    </xf>
    <xf numFmtId="0" fontId="130" fillId="0" borderId="2" xfId="0" applyFont="1" applyBorder="1" applyAlignment="1" applyProtection="1">
      <alignment horizontal="center" vertical="center" textRotation="90" shrinkToFit="1"/>
      <protection hidden="1"/>
    </xf>
    <xf numFmtId="0" fontId="130" fillId="0" borderId="5" xfId="0" applyFont="1" applyBorder="1" applyAlignment="1" applyProtection="1">
      <alignment horizontal="center" vertical="center" textRotation="90" shrinkToFit="1"/>
      <protection hidden="1"/>
    </xf>
    <xf numFmtId="1" fontId="3" fillId="9" borderId="4" xfId="0" applyNumberFormat="1" applyFont="1" applyFill="1" applyBorder="1" applyAlignment="1" applyProtection="1">
      <alignment horizontal="center" vertical="center"/>
      <protection hidden="1"/>
    </xf>
    <xf numFmtId="2" fontId="130" fillId="0" borderId="4" xfId="0" applyNumberFormat="1" applyFont="1" applyBorder="1" applyAlignment="1" applyProtection="1">
      <alignment horizontal="center" vertical="center" textRotation="90"/>
      <protection hidden="1"/>
    </xf>
    <xf numFmtId="2" fontId="130" fillId="0" borderId="1" xfId="0" applyNumberFormat="1" applyFont="1" applyBorder="1" applyAlignment="1" applyProtection="1">
      <alignment horizontal="center" vertical="center" textRotation="90"/>
      <protection hidden="1"/>
    </xf>
    <xf numFmtId="2" fontId="130" fillId="0" borderId="2" xfId="0" applyNumberFormat="1" applyFont="1" applyBorder="1" applyAlignment="1" applyProtection="1">
      <alignment horizontal="center" vertical="center" textRotation="90"/>
      <protection hidden="1"/>
    </xf>
    <xf numFmtId="2" fontId="130" fillId="0" borderId="5" xfId="0" applyNumberFormat="1" applyFont="1" applyBorder="1" applyAlignment="1" applyProtection="1">
      <alignment horizontal="center" vertical="center" textRotation="90"/>
      <protection hidden="1"/>
    </xf>
    <xf numFmtId="0" fontId="9" fillId="46" borderId="73" xfId="0" applyFont="1" applyFill="1" applyBorder="1" applyAlignment="1" applyProtection="1">
      <alignment vertical="center"/>
      <protection hidden="1"/>
    </xf>
    <xf numFmtId="0" fontId="2" fillId="46" borderId="0" xfId="0" applyFont="1" applyFill="1" applyBorder="1" applyAlignment="1" applyProtection="1">
      <alignment vertical="center"/>
      <protection hidden="1"/>
    </xf>
    <xf numFmtId="0" fontId="38" fillId="18" borderId="0" xfId="0" applyFont="1" applyFill="1" applyBorder="1" applyAlignment="1" applyProtection="1">
      <alignment vertical="center"/>
      <protection hidden="1"/>
    </xf>
    <xf numFmtId="0" fontId="38" fillId="18" borderId="0" xfId="0" applyFont="1" applyFill="1" applyBorder="1" applyAlignment="1" applyProtection="1">
      <alignment horizontal="center" vertical="center"/>
      <protection hidden="1"/>
    </xf>
    <xf numFmtId="0" fontId="245" fillId="18" borderId="0" xfId="0" applyFont="1" applyFill="1" applyAlignment="1" applyProtection="1">
      <alignment horizontal="center" vertical="center"/>
      <protection hidden="1"/>
    </xf>
    <xf numFmtId="0" fontId="245" fillId="18" borderId="0" xfId="0" applyFont="1" applyFill="1" applyAlignment="1" applyProtection="1">
      <alignment vertical="center"/>
      <protection hidden="1"/>
    </xf>
    <xf numFmtId="0" fontId="2" fillId="18" borderId="0" xfId="0" applyFont="1" applyFill="1" applyAlignment="1" applyProtection="1">
      <alignment horizontal="center" vertical="center"/>
      <protection hidden="1"/>
    </xf>
    <xf numFmtId="0" fontId="29" fillId="18" borderId="0" xfId="0" applyFont="1" applyFill="1" applyAlignment="1" applyProtection="1">
      <alignment horizontal="center" vertical="center"/>
      <protection hidden="1"/>
    </xf>
    <xf numFmtId="0" fontId="246" fillId="45" borderId="68" xfId="0" applyFont="1" applyFill="1" applyBorder="1" applyAlignment="1" applyProtection="1">
      <protection hidden="1"/>
    </xf>
    <xf numFmtId="0" fontId="248" fillId="45" borderId="113" xfId="0" applyFont="1" applyFill="1" applyBorder="1" applyAlignment="1" applyProtection="1">
      <alignment horizontal="left" vertical="center" indent="1"/>
      <protection hidden="1"/>
    </xf>
    <xf numFmtId="0" fontId="248" fillId="45" borderId="81" xfId="0" applyFont="1" applyFill="1" applyBorder="1" applyAlignment="1" applyProtection="1">
      <alignment horizontal="left" vertical="center" indent="1"/>
      <protection hidden="1"/>
    </xf>
    <xf numFmtId="0" fontId="55" fillId="20" borderId="74" xfId="0" applyFont="1" applyFill="1" applyBorder="1" applyAlignment="1" applyProtection="1">
      <alignment horizontal="center" vertical="center"/>
      <protection hidden="1"/>
    </xf>
    <xf numFmtId="0" fontId="57" fillId="25" borderId="135" xfId="0" applyFont="1" applyFill="1" applyBorder="1" applyAlignment="1" applyProtection="1">
      <alignment horizontal="center" vertical="center"/>
      <protection hidden="1"/>
    </xf>
    <xf numFmtId="0" fontId="15" fillId="0" borderId="73" xfId="0" applyFont="1" applyBorder="1" applyAlignment="1" applyProtection="1">
      <alignment horizontal="center" vertical="center"/>
      <protection hidden="1"/>
    </xf>
    <xf numFmtId="0" fontId="15" fillId="0" borderId="122" xfId="0" applyFont="1" applyBorder="1" applyAlignment="1" applyProtection="1">
      <alignment vertical="center"/>
      <protection hidden="1"/>
    </xf>
    <xf numFmtId="0" fontId="2" fillId="0" borderId="0" xfId="0" applyFont="1" applyBorder="1" applyAlignment="1" applyProtection="1">
      <alignment horizontal="left" vertical="center"/>
      <protection hidden="1"/>
    </xf>
    <xf numFmtId="0" fontId="53" fillId="0" borderId="20" xfId="0" applyFont="1" applyBorder="1" applyAlignment="1" applyProtection="1">
      <alignment horizontal="center" vertical="center" wrapText="1"/>
      <protection locked="0"/>
    </xf>
    <xf numFmtId="0" fontId="27" fillId="12" borderId="28" xfId="0" applyFont="1" applyFill="1" applyBorder="1" applyAlignment="1" applyProtection="1">
      <alignment vertical="center" wrapText="1"/>
      <protection hidden="1"/>
    </xf>
    <xf numFmtId="0" fontId="2" fillId="52" borderId="7" xfId="0" applyFont="1" applyFill="1" applyBorder="1" applyAlignment="1" applyProtection="1">
      <alignment horizontal="center" vertical="center"/>
      <protection hidden="1"/>
    </xf>
    <xf numFmtId="0" fontId="8" fillId="0" borderId="10" xfId="0" applyFont="1" applyBorder="1" applyAlignment="1" applyProtection="1">
      <alignment vertical="center" wrapText="1"/>
      <protection locked="0"/>
    </xf>
    <xf numFmtId="0" fontId="8" fillId="13" borderId="172" xfId="0" applyFont="1" applyFill="1" applyBorder="1" applyAlignment="1" applyProtection="1">
      <alignment vertical="center" wrapText="1"/>
      <protection locked="0"/>
    </xf>
    <xf numFmtId="0" fontId="8" fillId="0" borderId="135" xfId="0" applyFont="1" applyBorder="1" applyAlignment="1" applyProtection="1">
      <alignment vertical="center" wrapText="1"/>
      <protection locked="0"/>
    </xf>
    <xf numFmtId="0" fontId="53" fillId="0" borderId="26" xfId="0" applyFont="1" applyBorder="1" applyAlignment="1" applyProtection="1">
      <alignment horizontal="center" vertical="center" wrapText="1"/>
      <protection locked="0"/>
    </xf>
    <xf numFmtId="0" fontId="2" fillId="52" borderId="4" xfId="0" applyFont="1" applyFill="1" applyBorder="1" applyAlignment="1" applyProtection="1">
      <alignment horizontal="center" vertical="center"/>
      <protection hidden="1"/>
    </xf>
    <xf numFmtId="0" fontId="8" fillId="0" borderId="2" xfId="0" applyFont="1" applyBorder="1" applyAlignment="1" applyProtection="1">
      <alignment vertical="center" wrapText="1"/>
      <protection locked="0"/>
    </xf>
    <xf numFmtId="0" fontId="8" fillId="13" borderId="112" xfId="0" applyFont="1" applyFill="1" applyBorder="1" applyAlignment="1" applyProtection="1">
      <alignment vertical="center" wrapText="1"/>
      <protection locked="0"/>
    </xf>
    <xf numFmtId="0" fontId="8" fillId="0" borderId="34" xfId="0" applyFont="1" applyBorder="1" applyAlignment="1" applyProtection="1">
      <alignment vertical="center" wrapText="1"/>
      <protection locked="0"/>
    </xf>
    <xf numFmtId="0" fontId="8" fillId="0" borderId="36" xfId="0" applyFont="1" applyBorder="1" applyAlignment="1" applyProtection="1">
      <alignment vertical="center" wrapText="1"/>
      <protection locked="0"/>
    </xf>
    <xf numFmtId="0" fontId="2" fillId="52" borderId="11" xfId="0" applyFont="1" applyFill="1" applyBorder="1" applyAlignment="1" applyProtection="1">
      <alignment horizontal="center" vertical="center"/>
      <protection hidden="1"/>
    </xf>
    <xf numFmtId="0" fontId="8" fillId="0" borderId="15" xfId="0" applyFont="1" applyBorder="1" applyAlignment="1" applyProtection="1">
      <alignment vertical="center" wrapText="1"/>
      <protection locked="0"/>
    </xf>
    <xf numFmtId="0" fontId="8" fillId="13" borderId="17" xfId="0" applyFont="1" applyFill="1" applyBorder="1" applyAlignment="1" applyProtection="1">
      <alignment vertical="center" wrapText="1"/>
      <protection locked="0"/>
    </xf>
    <xf numFmtId="0" fontId="8" fillId="0" borderId="53" xfId="0" applyFont="1" applyBorder="1" applyAlignment="1" applyProtection="1">
      <alignment vertical="center" wrapText="1"/>
      <protection locked="0"/>
    </xf>
    <xf numFmtId="0" fontId="8" fillId="0" borderId="219" xfId="0" applyFont="1" applyBorder="1" applyAlignment="1" applyProtection="1">
      <alignment vertical="center" wrapText="1"/>
      <protection locked="0"/>
    </xf>
    <xf numFmtId="0" fontId="246" fillId="45" borderId="73" xfId="0" applyFont="1" applyFill="1" applyBorder="1" applyAlignment="1" applyProtection="1">
      <alignment vertical="center"/>
      <protection hidden="1"/>
    </xf>
    <xf numFmtId="0" fontId="248" fillId="45" borderId="0" xfId="0" applyFont="1" applyFill="1" applyBorder="1" applyAlignment="1" applyProtection="1">
      <alignment horizontal="center" vertical="center" wrapText="1"/>
      <protection hidden="1"/>
    </xf>
    <xf numFmtId="0" fontId="248" fillId="45" borderId="0" xfId="0" applyFont="1" applyFill="1" applyBorder="1" applyAlignment="1" applyProtection="1">
      <alignment vertical="top" wrapText="1"/>
      <protection hidden="1"/>
    </xf>
    <xf numFmtId="0" fontId="248" fillId="45" borderId="106" xfId="0" applyFont="1" applyFill="1" applyBorder="1" applyAlignment="1" applyProtection="1">
      <alignment vertical="top" wrapText="1"/>
      <protection hidden="1"/>
    </xf>
    <xf numFmtId="0" fontId="248" fillId="45" borderId="122" xfId="0" applyFont="1" applyFill="1" applyBorder="1" applyAlignment="1" applyProtection="1">
      <alignment vertical="top" wrapText="1"/>
      <protection hidden="1"/>
    </xf>
    <xf numFmtId="0" fontId="2" fillId="52" borderId="176" xfId="0" applyFont="1" applyFill="1" applyBorder="1" applyAlignment="1" applyProtection="1">
      <alignment horizontal="center" vertical="center"/>
      <protection hidden="1"/>
    </xf>
    <xf numFmtId="0" fontId="211" fillId="52" borderId="220" xfId="0" applyFont="1" applyFill="1" applyBorder="1" applyAlignment="1" applyProtection="1">
      <alignment horizontal="center" vertical="center" wrapText="1"/>
      <protection hidden="1"/>
    </xf>
    <xf numFmtId="0" fontId="211" fillId="52" borderId="168" xfId="0" applyFont="1" applyFill="1" applyBorder="1" applyAlignment="1" applyProtection="1">
      <alignment horizontal="center" vertical="center" wrapText="1"/>
      <protection hidden="1"/>
    </xf>
    <xf numFmtId="0" fontId="211" fillId="52" borderId="170" xfId="0" applyFont="1" applyFill="1" applyBorder="1" applyAlignment="1" applyProtection="1">
      <alignment horizontal="center" vertical="center" wrapText="1"/>
      <protection hidden="1"/>
    </xf>
    <xf numFmtId="0" fontId="211" fillId="52" borderId="171" xfId="0" applyFont="1" applyFill="1" applyBorder="1" applyAlignment="1" applyProtection="1">
      <alignment horizontal="center" vertical="center" wrapText="1"/>
      <protection hidden="1"/>
    </xf>
    <xf numFmtId="0" fontId="198" fillId="4" borderId="0" xfId="0" applyFont="1" applyFill="1" applyAlignment="1" applyProtection="1">
      <alignment horizontal="left" vertical="center"/>
      <protection hidden="1"/>
    </xf>
    <xf numFmtId="0" fontId="2" fillId="19" borderId="221" xfId="0" applyFont="1" applyFill="1" applyBorder="1" applyAlignment="1" applyProtection="1">
      <alignment horizontal="center" vertical="center"/>
      <protection hidden="1"/>
    </xf>
    <xf numFmtId="0" fontId="7" fillId="19" borderId="222" xfId="0" applyFont="1" applyFill="1" applyBorder="1" applyAlignment="1" applyProtection="1">
      <alignment horizontal="center" vertical="center"/>
      <protection hidden="1"/>
    </xf>
    <xf numFmtId="0" fontId="7" fillId="19" borderId="222" xfId="0" applyFont="1" applyFill="1" applyBorder="1" applyAlignment="1" applyProtection="1">
      <alignment vertical="center" wrapText="1"/>
      <protection hidden="1"/>
    </xf>
    <xf numFmtId="0" fontId="7" fillId="19" borderId="223" xfId="0" applyFont="1" applyFill="1" applyBorder="1" applyAlignment="1" applyProtection="1">
      <alignment horizontal="center" vertical="center"/>
      <protection hidden="1"/>
    </xf>
    <xf numFmtId="0" fontId="53" fillId="0" borderId="221" xfId="0" applyFont="1" applyBorder="1" applyAlignment="1" applyProtection="1">
      <alignment horizontal="center" vertical="center" wrapText="1"/>
      <protection locked="0"/>
    </xf>
    <xf numFmtId="0" fontId="27" fillId="12" borderId="223" xfId="0" applyFont="1" applyFill="1" applyBorder="1" applyAlignment="1" applyProtection="1">
      <alignment vertical="center" wrapText="1"/>
      <protection hidden="1"/>
    </xf>
    <xf numFmtId="0" fontId="234" fillId="45" borderId="127" xfId="0" applyFont="1" applyFill="1" applyBorder="1" applyAlignment="1" applyProtection="1">
      <alignment horizontal="center" vertical="center"/>
      <protection hidden="1"/>
    </xf>
    <xf numFmtId="0" fontId="236" fillId="45" borderId="127" xfId="0" applyFont="1" applyFill="1" applyBorder="1" applyAlignment="1" applyProtection="1">
      <alignment horizontal="center" vertical="center"/>
      <protection hidden="1"/>
    </xf>
    <xf numFmtId="0" fontId="234" fillId="45" borderId="127" xfId="0" applyFont="1" applyFill="1" applyBorder="1" applyAlignment="1" applyProtection="1">
      <alignment horizontal="left" vertical="center"/>
      <protection hidden="1"/>
    </xf>
    <xf numFmtId="0" fontId="38" fillId="45" borderId="127" xfId="0" applyFont="1" applyFill="1" applyBorder="1" applyAlignment="1" applyProtection="1">
      <alignment horizontal="center" vertical="center" shrinkToFit="1"/>
      <protection hidden="1"/>
    </xf>
    <xf numFmtId="0" fontId="95" fillId="45" borderId="127" xfId="0" applyFont="1" applyFill="1" applyBorder="1" applyAlignment="1" applyProtection="1">
      <alignment horizontal="center" vertical="center"/>
      <protection hidden="1"/>
    </xf>
    <xf numFmtId="0" fontId="7" fillId="45" borderId="127" xfId="0" applyFont="1" applyFill="1" applyBorder="1" applyAlignment="1" applyProtection="1">
      <alignment vertical="center"/>
      <protection hidden="1"/>
    </xf>
    <xf numFmtId="0" fontId="35" fillId="45" borderId="127" xfId="0" applyFont="1" applyFill="1" applyBorder="1" applyAlignment="1" applyProtection="1">
      <alignment vertical="center"/>
      <protection hidden="1"/>
    </xf>
    <xf numFmtId="0" fontId="0" fillId="4" borderId="0" xfId="0" applyFill="1" applyAlignment="1">
      <alignment vertical="center"/>
    </xf>
    <xf numFmtId="0" fontId="7" fillId="11" borderId="190" xfId="0" applyFont="1" applyFill="1" applyBorder="1" applyAlignment="1" applyProtection="1">
      <alignment horizontal="center" vertical="center" wrapText="1"/>
      <protection hidden="1"/>
    </xf>
    <xf numFmtId="0" fontId="7" fillId="11" borderId="224" xfId="0" applyFont="1" applyFill="1" applyBorder="1" applyAlignment="1" applyProtection="1">
      <alignment horizontal="center" vertical="top" shrinkToFit="1"/>
      <protection hidden="1"/>
    </xf>
    <xf numFmtId="0" fontId="95" fillId="53" borderId="191" xfId="0" applyFont="1" applyFill="1" applyBorder="1" applyAlignment="1" applyProtection="1">
      <alignment horizontal="right" vertical="top" shrinkToFit="1"/>
      <protection hidden="1"/>
    </xf>
    <xf numFmtId="0" fontId="2" fillId="53" borderId="191" xfId="0" applyFont="1" applyFill="1" applyBorder="1" applyAlignment="1" applyProtection="1">
      <alignment horizontal="left" vertical="top" shrinkToFit="1"/>
      <protection hidden="1"/>
    </xf>
    <xf numFmtId="0" fontId="7" fillId="53" borderId="192" xfId="0" applyFont="1" applyFill="1" applyBorder="1" applyAlignment="1" applyProtection="1">
      <alignment vertical="top" shrinkToFit="1"/>
      <protection hidden="1"/>
    </xf>
    <xf numFmtId="0" fontId="179" fillId="53" borderId="226" xfId="0" applyFont="1" applyFill="1" applyBorder="1" applyAlignment="1" applyProtection="1">
      <alignment horizontal="center" vertical="center" shrinkToFit="1"/>
      <protection hidden="1"/>
    </xf>
    <xf numFmtId="0" fontId="7" fillId="53" borderId="226" xfId="0" applyFont="1" applyFill="1" applyBorder="1" applyAlignment="1" applyProtection="1">
      <alignment vertical="center"/>
      <protection hidden="1"/>
    </xf>
    <xf numFmtId="0" fontId="7" fillId="11" borderId="228" xfId="0" applyFont="1" applyFill="1" applyBorder="1" applyAlignment="1" applyProtection="1">
      <alignment horizontal="center" vertical="top" shrinkToFit="1"/>
      <protection hidden="1"/>
    </xf>
    <xf numFmtId="0" fontId="179" fillId="53" borderId="226" xfId="0" applyFont="1" applyFill="1" applyBorder="1" applyAlignment="1" applyProtection="1">
      <alignment horizontal="center" shrinkToFit="1"/>
      <protection hidden="1"/>
    </xf>
    <xf numFmtId="0" fontId="95" fillId="53" borderId="191" xfId="0" applyFont="1" applyFill="1" applyBorder="1" applyAlignment="1" applyProtection="1">
      <alignment vertical="center"/>
      <protection hidden="1"/>
    </xf>
    <xf numFmtId="0" fontId="179" fillId="53" borderId="191" xfId="0" applyFont="1" applyFill="1" applyBorder="1" applyAlignment="1" applyProtection="1">
      <alignment horizontal="center" shrinkToFit="1"/>
      <protection hidden="1"/>
    </xf>
    <xf numFmtId="0" fontId="7" fillId="53" borderId="191" xfId="0" applyFont="1" applyFill="1" applyBorder="1" applyAlignment="1" applyProtection="1">
      <alignment vertical="center"/>
      <protection hidden="1"/>
    </xf>
    <xf numFmtId="0" fontId="7" fillId="53" borderId="192" xfId="0" applyFont="1" applyFill="1" applyBorder="1" applyAlignment="1" applyProtection="1">
      <alignment vertical="center" shrinkToFit="1"/>
      <protection hidden="1"/>
    </xf>
    <xf numFmtId="0" fontId="2" fillId="53" borderId="226" xfId="0" applyFont="1" applyFill="1" applyBorder="1" applyAlignment="1" applyProtection="1">
      <alignment vertical="top"/>
      <protection hidden="1"/>
    </xf>
    <xf numFmtId="0" fontId="7" fillId="11" borderId="228" xfId="0" applyFont="1" applyFill="1" applyBorder="1" applyAlignment="1" applyProtection="1">
      <alignment vertical="top" shrinkToFit="1"/>
      <protection hidden="1"/>
    </xf>
    <xf numFmtId="0" fontId="95" fillId="53" borderId="225" xfId="0" applyFont="1" applyFill="1" applyBorder="1" applyAlignment="1" applyProtection="1">
      <alignment vertical="center"/>
      <protection hidden="1"/>
    </xf>
    <xf numFmtId="0" fontId="7" fillId="53" borderId="226" xfId="0" applyFont="1" applyFill="1" applyBorder="1" applyAlignment="1" applyProtection="1">
      <alignment vertical="center" wrapText="1" shrinkToFit="1"/>
      <protection hidden="1"/>
    </xf>
    <xf numFmtId="0" fontId="7" fillId="53" borderId="227" xfId="0" applyFont="1" applyFill="1" applyBorder="1" applyAlignment="1" applyProtection="1">
      <alignment vertical="center" wrapText="1" shrinkToFit="1"/>
      <protection hidden="1"/>
    </xf>
    <xf numFmtId="0" fontId="7" fillId="11" borderId="188" xfId="0" applyFont="1" applyFill="1" applyBorder="1" applyAlignment="1" applyProtection="1">
      <alignment vertical="top" shrinkToFit="1"/>
      <protection hidden="1"/>
    </xf>
    <xf numFmtId="0" fontId="7" fillId="11" borderId="234" xfId="0" applyFont="1" applyFill="1" applyBorder="1" applyAlignment="1" applyProtection="1">
      <alignment horizontal="center" vertical="top" shrinkToFit="1"/>
      <protection hidden="1"/>
    </xf>
    <xf numFmtId="0" fontId="2" fillId="53" borderId="204" xfId="0" applyFont="1" applyFill="1" applyBorder="1" applyAlignment="1" applyProtection="1">
      <alignment horizontal="left" vertical="top" shrinkToFit="1"/>
      <protection hidden="1"/>
    </xf>
    <xf numFmtId="0" fontId="36" fillId="0" borderId="1" xfId="0" applyFont="1" applyBorder="1" applyAlignment="1" applyProtection="1">
      <alignment horizontal="center" vertical="center"/>
      <protection hidden="1"/>
    </xf>
    <xf numFmtId="0" fontId="36" fillId="0" borderId="12" xfId="0" applyFont="1" applyBorder="1" applyAlignment="1" applyProtection="1">
      <alignment horizontal="center" vertical="center"/>
      <protection hidden="1"/>
    </xf>
    <xf numFmtId="0" fontId="224" fillId="0" borderId="0" xfId="0" applyFont="1" applyAlignment="1" applyProtection="1">
      <alignment vertical="center" shrinkToFit="1"/>
      <protection hidden="1"/>
    </xf>
    <xf numFmtId="0" fontId="37" fillId="0" borderId="12" xfId="0" applyFont="1" applyFill="1" applyBorder="1" applyAlignment="1" applyProtection="1">
      <alignment horizontal="center" vertical="center" wrapText="1"/>
      <protection locked="0"/>
    </xf>
    <xf numFmtId="0" fontId="65" fillId="3" borderId="0" xfId="0" applyFont="1" applyFill="1" applyBorder="1" applyAlignment="1" applyProtection="1">
      <alignment vertical="center"/>
      <protection locked="0" hidden="1"/>
    </xf>
    <xf numFmtId="0" fontId="105" fillId="3" borderId="0" xfId="0" applyFont="1" applyFill="1" applyBorder="1" applyAlignment="1" applyProtection="1">
      <alignment vertical="center"/>
      <protection hidden="1"/>
    </xf>
    <xf numFmtId="0" fontId="66" fillId="3" borderId="0" xfId="0" applyFont="1" applyFill="1" applyBorder="1" applyProtection="1">
      <protection hidden="1"/>
    </xf>
    <xf numFmtId="0" fontId="65" fillId="3" borderId="0" xfId="0" applyFont="1" applyFill="1" applyBorder="1" applyAlignment="1" applyProtection="1">
      <alignment vertical="center"/>
      <protection hidden="1"/>
    </xf>
    <xf numFmtId="0" fontId="65" fillId="3" borderId="0" xfId="0" applyFont="1" applyFill="1" applyBorder="1" applyAlignment="1" applyProtection="1">
      <alignment horizontal="left" vertical="center"/>
      <protection hidden="1"/>
    </xf>
    <xf numFmtId="0" fontId="65" fillId="3" borderId="0" xfId="0" applyFont="1" applyFill="1" applyBorder="1" applyAlignment="1" applyProtection="1">
      <alignment horizontal="center" vertical="center"/>
      <protection hidden="1"/>
    </xf>
    <xf numFmtId="0" fontId="10" fillId="0" borderId="15" xfId="0" applyFont="1" applyFill="1" applyBorder="1" applyAlignment="1" applyProtection="1">
      <alignment horizontal="center" vertical="center"/>
      <protection hidden="1"/>
    </xf>
    <xf numFmtId="0" fontId="8" fillId="0" borderId="25" xfId="0" applyFont="1" applyFill="1" applyBorder="1" applyAlignment="1" applyProtection="1">
      <alignment horizontal="center" vertical="center"/>
      <protection locked="0"/>
    </xf>
    <xf numFmtId="0" fontId="8" fillId="0" borderId="122" xfId="0" applyFont="1" applyFill="1" applyBorder="1" applyAlignment="1" applyProtection="1">
      <alignment horizontal="center" vertical="center"/>
      <protection locked="0"/>
    </xf>
    <xf numFmtId="0" fontId="0" fillId="30" borderId="108" xfId="0" applyFill="1" applyBorder="1" applyAlignment="1" applyProtection="1">
      <alignment horizontal="right"/>
      <protection locked="0"/>
    </xf>
    <xf numFmtId="0" fontId="8" fillId="0" borderId="30" xfId="0" applyFont="1" applyFill="1" applyBorder="1" applyAlignment="1" applyProtection="1">
      <alignment horizontal="center" vertical="center"/>
      <protection locked="0"/>
    </xf>
    <xf numFmtId="0" fontId="8" fillId="0" borderId="236" xfId="0" applyFont="1" applyFill="1" applyBorder="1" applyAlignment="1" applyProtection="1">
      <alignment horizontal="center" vertical="center"/>
      <protection locked="0"/>
    </xf>
    <xf numFmtId="0" fontId="0" fillId="30" borderId="109" xfId="0" applyFill="1" applyBorder="1" applyAlignment="1" applyProtection="1">
      <alignment horizontal="center"/>
      <protection locked="0"/>
    </xf>
    <xf numFmtId="0" fontId="0" fillId="30" borderId="109" xfId="0" applyFill="1" applyBorder="1" applyAlignment="1" applyProtection="1">
      <alignment horizontal="right"/>
      <protection locked="0"/>
    </xf>
    <xf numFmtId="0" fontId="2" fillId="0" borderId="221" xfId="0" applyFont="1" applyFill="1" applyBorder="1" applyAlignment="1" applyProtection="1">
      <alignment horizontal="center" vertical="center"/>
      <protection hidden="1"/>
    </xf>
    <xf numFmtId="0" fontId="7" fillId="0" borderId="222" xfId="0" applyFont="1" applyFill="1" applyBorder="1" applyAlignment="1" applyProtection="1">
      <alignment horizontal="center" vertical="center"/>
      <protection hidden="1"/>
    </xf>
    <xf numFmtId="0" fontId="7" fillId="0" borderId="222" xfId="0" applyFont="1" applyFill="1" applyBorder="1" applyAlignment="1" applyProtection="1">
      <alignment vertical="center"/>
      <protection hidden="1"/>
    </xf>
    <xf numFmtId="0" fontId="7" fillId="0" borderId="223" xfId="0" applyFont="1" applyFill="1" applyBorder="1" applyAlignment="1" applyProtection="1">
      <alignment horizontal="center" vertical="center"/>
      <protection hidden="1"/>
    </xf>
    <xf numFmtId="0" fontId="8" fillId="0" borderId="221" xfId="0" applyFont="1" applyFill="1" applyBorder="1" applyAlignment="1" applyProtection="1">
      <alignment horizontal="center" vertical="center"/>
      <protection locked="0"/>
    </xf>
    <xf numFmtId="0" fontId="8" fillId="0" borderId="222" xfId="0" applyFont="1" applyFill="1" applyBorder="1" applyAlignment="1" applyProtection="1">
      <alignment horizontal="center" vertical="center"/>
      <protection locked="0"/>
    </xf>
    <xf numFmtId="0" fontId="8" fillId="0" borderId="237" xfId="0" applyFont="1" applyFill="1" applyBorder="1" applyAlignment="1" applyProtection="1">
      <alignment horizontal="center" vertical="center"/>
      <protection locked="0"/>
    </xf>
    <xf numFmtId="0" fontId="8" fillId="0" borderId="223" xfId="0" applyFont="1" applyFill="1" applyBorder="1" applyAlignment="1" applyProtection="1">
      <alignment horizontal="center" vertical="center"/>
      <protection locked="0"/>
    </xf>
    <xf numFmtId="0" fontId="2" fillId="0" borderId="238" xfId="0" applyFont="1" applyFill="1" applyBorder="1" applyAlignment="1" applyProtection="1">
      <alignment horizontal="center" vertical="center"/>
      <protection locked="0"/>
    </xf>
    <xf numFmtId="0" fontId="8" fillId="0" borderId="239" xfId="0" applyFont="1" applyFill="1" applyBorder="1" applyAlignment="1" applyProtection="1">
      <alignment horizontal="center" vertical="center"/>
      <protection locked="0"/>
    </xf>
    <xf numFmtId="0" fontId="14" fillId="0" borderId="65" xfId="0" applyFont="1" applyFill="1" applyBorder="1" applyAlignment="1" applyProtection="1">
      <alignment vertical="center"/>
      <protection hidden="1"/>
    </xf>
    <xf numFmtId="0" fontId="14" fillId="0" borderId="66" xfId="0" applyFont="1" applyFill="1" applyBorder="1" applyAlignment="1" applyProtection="1">
      <alignment horizontal="center" vertical="center"/>
      <protection hidden="1"/>
    </xf>
    <xf numFmtId="0" fontId="26" fillId="0" borderId="26" xfId="0" applyFont="1" applyFill="1" applyBorder="1" applyAlignment="1" applyProtection="1">
      <alignment horizontal="center" vertical="center"/>
      <protection hidden="1"/>
    </xf>
    <xf numFmtId="0" fontId="2" fillId="0" borderId="50" xfId="0" applyFont="1" applyFill="1" applyBorder="1" applyAlignment="1" applyProtection="1">
      <alignment horizontal="center" vertical="center"/>
      <protection hidden="1"/>
    </xf>
    <xf numFmtId="0" fontId="7" fillId="0" borderId="222" xfId="0" applyFont="1" applyFill="1" applyBorder="1" applyAlignment="1" applyProtection="1">
      <alignment horizontal="center" vertical="center"/>
      <protection locked="0"/>
    </xf>
    <xf numFmtId="0" fontId="78" fillId="54" borderId="54" xfId="0" applyFont="1" applyFill="1" applyBorder="1" applyAlignment="1" applyProtection="1">
      <alignment horizontal="center" vertical="center"/>
      <protection hidden="1"/>
    </xf>
    <xf numFmtId="0" fontId="78" fillId="54" borderId="12" xfId="0" applyFont="1" applyFill="1" applyBorder="1" applyAlignment="1" applyProtection="1">
      <alignment horizontal="center" vertical="center"/>
      <protection hidden="1"/>
    </xf>
    <xf numFmtId="0" fontId="78" fillId="54" borderId="55" xfId="0" applyFont="1" applyFill="1" applyBorder="1" applyAlignment="1" applyProtection="1">
      <alignment horizontal="center" vertical="center"/>
      <protection hidden="1"/>
    </xf>
    <xf numFmtId="0" fontId="78" fillId="54" borderId="13" xfId="0" applyFont="1" applyFill="1" applyBorder="1" applyAlignment="1" applyProtection="1">
      <alignment horizontal="center" vertical="center"/>
      <protection hidden="1"/>
    </xf>
    <xf numFmtId="0" fontId="48" fillId="0" borderId="0" xfId="0" applyFont="1" applyBorder="1" applyAlignment="1" applyProtection="1">
      <alignment horizontal="center" vertical="center"/>
      <protection locked="0"/>
    </xf>
    <xf numFmtId="164" fontId="36" fillId="0" borderId="10" xfId="1" applyFont="1" applyBorder="1" applyAlignment="1" applyProtection="1">
      <alignment horizontal="center" vertical="center"/>
      <protection hidden="1"/>
    </xf>
    <xf numFmtId="0" fontId="36" fillId="0" borderId="135" xfId="0" applyFont="1" applyBorder="1" applyAlignment="1" applyProtection="1">
      <alignment vertical="top"/>
      <protection hidden="1"/>
    </xf>
    <xf numFmtId="164" fontId="36" fillId="0" borderId="2" xfId="1" applyFont="1" applyBorder="1" applyAlignment="1" applyProtection="1">
      <alignment horizontal="center" vertical="center"/>
      <protection hidden="1"/>
    </xf>
    <xf numFmtId="0" fontId="36" fillId="0" borderId="36" xfId="0" applyFont="1" applyBorder="1" applyAlignment="1" applyProtection="1">
      <alignment vertical="top"/>
      <protection hidden="1"/>
    </xf>
    <xf numFmtId="0" fontId="251" fillId="4" borderId="0" xfId="0" applyFont="1" applyFill="1" applyProtection="1">
      <protection hidden="1"/>
    </xf>
    <xf numFmtId="0" fontId="0" fillId="4" borderId="0" xfId="0" applyFill="1" applyAlignment="1" applyProtection="1">
      <alignment vertical="center"/>
      <protection locked="0" hidden="1"/>
    </xf>
    <xf numFmtId="0" fontId="99" fillId="13" borderId="0" xfId="0" applyFont="1" applyFill="1" applyAlignment="1" applyProtection="1">
      <alignment vertical="center"/>
      <protection hidden="1"/>
    </xf>
    <xf numFmtId="0" fontId="99" fillId="13" borderId="0" xfId="0" applyFont="1" applyFill="1" applyAlignment="1" applyProtection="1">
      <alignment horizontal="left" vertical="center"/>
      <protection hidden="1"/>
    </xf>
    <xf numFmtId="0" fontId="253" fillId="26" borderId="229" xfId="0" applyFont="1" applyFill="1" applyBorder="1" applyAlignment="1" applyProtection="1">
      <alignment horizontal="left" vertical="center" indent="1"/>
      <protection hidden="1"/>
    </xf>
    <xf numFmtId="0" fontId="135" fillId="26" borderId="0" xfId="0" applyFont="1" applyFill="1" applyBorder="1" applyAlignment="1" applyProtection="1">
      <alignment vertical="center"/>
      <protection hidden="1"/>
    </xf>
    <xf numFmtId="0" fontId="254" fillId="26" borderId="241" xfId="0" applyFont="1" applyFill="1" applyBorder="1" applyAlignment="1" applyProtection="1">
      <alignment horizontal="left" vertical="center" indent="1"/>
      <protection hidden="1"/>
    </xf>
    <xf numFmtId="0" fontId="255" fillId="26" borderId="241" xfId="0" applyFont="1" applyFill="1" applyBorder="1" applyAlignment="1" applyProtection="1">
      <alignment horizontal="left" vertical="center" indent="1"/>
      <protection hidden="1"/>
    </xf>
    <xf numFmtId="0" fontId="256" fillId="26" borderId="0" xfId="0" applyFont="1" applyFill="1" applyBorder="1" applyAlignment="1" applyProtection="1">
      <alignment vertical="center"/>
      <protection hidden="1"/>
    </xf>
    <xf numFmtId="0" fontId="176" fillId="0" borderId="0" xfId="0" applyFont="1" applyFill="1" applyBorder="1" applyAlignment="1" applyProtection="1">
      <alignment vertical="center"/>
      <protection hidden="1"/>
    </xf>
    <xf numFmtId="0" fontId="161" fillId="0" borderId="0" xfId="0" applyFont="1" applyFill="1" applyBorder="1" applyAlignment="1" applyProtection="1">
      <alignment horizontal="left" vertical="center" indent="1"/>
      <protection hidden="1"/>
    </xf>
    <xf numFmtId="0" fontId="257" fillId="11" borderId="1" xfId="2" applyFont="1" applyFill="1" applyBorder="1" applyAlignment="1" applyProtection="1">
      <alignment horizontal="center" vertical="center"/>
      <protection locked="0" hidden="1"/>
    </xf>
    <xf numFmtId="0" fontId="18" fillId="0" borderId="2" xfId="0" applyFont="1" applyBorder="1" applyAlignment="1" applyProtection="1">
      <alignment vertical="center"/>
      <protection hidden="1"/>
    </xf>
    <xf numFmtId="0" fontId="18" fillId="0" borderId="34" xfId="0" applyFont="1" applyBorder="1" applyAlignment="1" applyProtection="1">
      <alignment vertical="center"/>
      <protection hidden="1"/>
    </xf>
    <xf numFmtId="0" fontId="18" fillId="0" borderId="3" xfId="0" applyFont="1" applyBorder="1" applyAlignment="1" applyProtection="1">
      <alignment vertical="center"/>
      <protection hidden="1"/>
    </xf>
    <xf numFmtId="0" fontId="6" fillId="0" borderId="1" xfId="0" applyFont="1" applyBorder="1" applyAlignment="1" applyProtection="1">
      <alignment horizontal="center" vertical="center" shrinkToFit="1"/>
      <protection hidden="1"/>
    </xf>
    <xf numFmtId="0" fontId="6" fillId="0" borderId="1" xfId="0" quotePrefix="1" applyFont="1" applyBorder="1" applyAlignment="1" applyProtection="1">
      <alignment horizontal="center" vertical="center" shrinkToFit="1"/>
      <protection hidden="1"/>
    </xf>
    <xf numFmtId="0" fontId="100" fillId="0" borderId="0" xfId="0" applyFont="1" applyAlignment="1" applyProtection="1">
      <alignment vertical="top"/>
      <protection hidden="1"/>
    </xf>
    <xf numFmtId="0" fontId="0" fillId="0" borderId="0" xfId="0" applyAlignment="1" applyProtection="1">
      <alignment vertical="top" wrapText="1"/>
      <protection hidden="1"/>
    </xf>
    <xf numFmtId="0" fontId="259" fillId="26" borderId="0" xfId="0" applyFont="1" applyFill="1" applyAlignment="1" applyProtection="1">
      <alignment horizontal="left" vertical="center" indent="1"/>
      <protection locked="0" hidden="1"/>
    </xf>
    <xf numFmtId="0" fontId="260" fillId="4" borderId="0" xfId="0" applyFont="1" applyFill="1" applyAlignment="1" applyProtection="1">
      <alignment horizontal="center" vertical="center"/>
      <protection hidden="1"/>
    </xf>
    <xf numFmtId="0" fontId="100" fillId="0" borderId="0" xfId="0" applyFont="1" applyAlignment="1">
      <alignment vertical="top" wrapText="1"/>
    </xf>
    <xf numFmtId="0" fontId="115" fillId="0" borderId="0" xfId="0" applyFont="1" applyAlignment="1">
      <alignment vertical="top" wrapText="1"/>
    </xf>
    <xf numFmtId="0" fontId="262" fillId="0" borderId="0" xfId="0" applyFont="1" applyAlignment="1" applyProtection="1">
      <alignment vertical="top"/>
      <protection hidden="1"/>
    </xf>
    <xf numFmtId="0" fontId="0" fillId="0" borderId="0" xfId="0" applyAlignment="1" applyProtection="1">
      <alignment vertical="top"/>
      <protection hidden="1"/>
    </xf>
    <xf numFmtId="0" fontId="36" fillId="0" borderId="0" xfId="0" applyFont="1" applyAlignment="1" applyProtection="1">
      <alignment vertical="top"/>
      <protection hidden="1"/>
    </xf>
    <xf numFmtId="0" fontId="43" fillId="35" borderId="1" xfId="0" applyFont="1" applyFill="1" applyBorder="1" applyAlignment="1" applyProtection="1">
      <alignment horizontal="center" vertical="center"/>
      <protection hidden="1"/>
    </xf>
    <xf numFmtId="0" fontId="78" fillId="2" borderId="1" xfId="0" applyFont="1" applyFill="1" applyBorder="1" applyAlignment="1" applyProtection="1">
      <alignment horizontal="center" vertical="center" wrapText="1"/>
      <protection locked="0"/>
    </xf>
    <xf numFmtId="0" fontId="36" fillId="0" borderId="0" xfId="0" applyFont="1" applyBorder="1" applyAlignment="1" applyProtection="1">
      <alignment horizontal="left" vertical="top" indent="1"/>
      <protection hidden="1"/>
    </xf>
    <xf numFmtId="0" fontId="56" fillId="0" borderId="1" xfId="0" applyFont="1" applyBorder="1" applyAlignment="1" applyProtection="1">
      <alignment horizontal="center" vertical="center"/>
      <protection hidden="1"/>
    </xf>
    <xf numFmtId="0" fontId="155" fillId="13" borderId="242" xfId="0" applyFont="1" applyFill="1" applyBorder="1" applyAlignment="1" applyProtection="1">
      <alignment horizontal="center" vertical="center"/>
      <protection locked="0"/>
    </xf>
    <xf numFmtId="0" fontId="143" fillId="15" borderId="0" xfId="0" applyFont="1" applyFill="1" applyAlignment="1" applyProtection="1">
      <alignment horizontal="right" vertical="center"/>
      <protection hidden="1"/>
    </xf>
    <xf numFmtId="0" fontId="36" fillId="0" borderId="0" xfId="0" applyFont="1" applyBorder="1" applyAlignment="1" applyProtection="1">
      <alignment vertical="top" shrinkToFit="1"/>
      <protection hidden="1"/>
    </xf>
    <xf numFmtId="1" fontId="143" fillId="15" borderId="0" xfId="0" applyNumberFormat="1" applyFont="1" applyFill="1" applyAlignment="1" applyProtection="1">
      <alignment vertical="top"/>
      <protection hidden="1"/>
    </xf>
    <xf numFmtId="0" fontId="46" fillId="0" borderId="0" xfId="0" applyFont="1" applyBorder="1" applyAlignment="1" applyProtection="1">
      <alignment horizontal="left" vertical="center" indent="1"/>
      <protection hidden="1"/>
    </xf>
    <xf numFmtId="0" fontId="46" fillId="0" borderId="0" xfId="0" applyFont="1" applyBorder="1" applyAlignment="1" applyProtection="1">
      <alignment horizontal="center" vertical="center"/>
      <protection hidden="1"/>
    </xf>
    <xf numFmtId="0" fontId="77" fillId="0" borderId="0" xfId="0" applyFont="1" applyBorder="1" applyAlignment="1" applyProtection="1">
      <alignment horizontal="left" vertical="center"/>
      <protection hidden="1"/>
    </xf>
    <xf numFmtId="0" fontId="36" fillId="6" borderId="0" xfId="0" applyFont="1" applyFill="1" applyAlignment="1" applyProtection="1">
      <alignment horizontal="center"/>
      <protection hidden="1"/>
    </xf>
    <xf numFmtId="0" fontId="36" fillId="6" borderId="0" xfId="0" applyFont="1" applyFill="1" applyAlignment="1" applyProtection="1">
      <alignment horizontal="center" vertical="top" wrapText="1"/>
      <protection hidden="1"/>
    </xf>
    <xf numFmtId="0" fontId="37" fillId="3" borderId="0" xfId="0" applyFont="1" applyFill="1" applyAlignment="1" applyProtection="1">
      <alignment vertical="top"/>
      <protection hidden="1"/>
    </xf>
    <xf numFmtId="0" fontId="41" fillId="3" borderId="0" xfId="0" applyFont="1" applyFill="1" applyAlignment="1" applyProtection="1">
      <alignment vertical="top"/>
      <protection hidden="1"/>
    </xf>
    <xf numFmtId="0" fontId="37" fillId="3" borderId="0" xfId="0" applyFont="1" applyFill="1" applyAlignment="1" applyProtection="1">
      <alignment vertical="center"/>
      <protection hidden="1"/>
    </xf>
    <xf numFmtId="0" fontId="48" fillId="3" borderId="0" xfId="0" applyFont="1" applyFill="1" applyAlignment="1" applyProtection="1">
      <alignment vertical="top"/>
      <protection hidden="1"/>
    </xf>
    <xf numFmtId="0" fontId="36" fillId="3" borderId="0" xfId="0" applyFont="1" applyFill="1" applyAlignment="1" applyProtection="1">
      <protection hidden="1"/>
    </xf>
    <xf numFmtId="0" fontId="36" fillId="3" borderId="0" xfId="0" applyFont="1" applyFill="1" applyAlignment="1" applyProtection="1">
      <alignment horizontal="right" vertical="top"/>
      <protection hidden="1"/>
    </xf>
    <xf numFmtId="0" fontId="56" fillId="15" borderId="243" xfId="0" applyFont="1" applyFill="1" applyBorder="1" applyAlignment="1" applyProtection="1">
      <alignment horizontal="center" vertical="center"/>
      <protection hidden="1"/>
    </xf>
    <xf numFmtId="0" fontId="56" fillId="15" borderId="133" xfId="0" applyFont="1" applyFill="1" applyBorder="1" applyAlignment="1" applyProtection="1">
      <alignment horizontal="center" vertical="center"/>
      <protection hidden="1"/>
    </xf>
    <xf numFmtId="0" fontId="56" fillId="44" borderId="133" xfId="0" applyFont="1" applyFill="1" applyBorder="1" applyAlignment="1" applyProtection="1">
      <alignment horizontal="center" vertical="center"/>
      <protection locked="0"/>
    </xf>
    <xf numFmtId="0" fontId="263" fillId="4" borderId="0" xfId="0" applyFont="1" applyFill="1" applyBorder="1" applyAlignment="1" applyProtection="1">
      <alignment horizontal="center" vertical="center"/>
      <protection hidden="1"/>
    </xf>
    <xf numFmtId="0" fontId="155" fillId="13" borderId="244" xfId="0" applyFont="1" applyFill="1" applyBorder="1" applyAlignment="1" applyProtection="1">
      <alignment horizontal="center" vertical="center"/>
      <protection locked="0"/>
    </xf>
    <xf numFmtId="0" fontId="36" fillId="3" borderId="0" xfId="0" applyFont="1" applyFill="1" applyBorder="1" applyAlignment="1" applyProtection="1">
      <alignment vertical="center"/>
      <protection hidden="1"/>
    </xf>
    <xf numFmtId="0" fontId="37" fillId="3" borderId="0" xfId="0" applyFont="1" applyFill="1" applyAlignment="1" applyProtection="1">
      <alignment horizontal="right" vertical="top"/>
      <protection hidden="1"/>
    </xf>
    <xf numFmtId="0" fontId="36" fillId="3" borderId="0" xfId="0" applyFont="1" applyFill="1" applyAlignment="1" applyProtection="1">
      <alignment horizontal="center" vertical="center"/>
      <protection hidden="1"/>
    </xf>
    <xf numFmtId="0" fontId="36" fillId="0" borderId="0" xfId="0" applyFont="1" applyAlignment="1" applyProtection="1">
      <alignment vertical="top"/>
      <protection hidden="1"/>
    </xf>
    <xf numFmtId="0" fontId="36" fillId="0" borderId="0" xfId="0" applyFont="1" applyFill="1" applyBorder="1" applyAlignment="1" applyProtection="1">
      <alignment horizontal="left" vertical="top" wrapText="1"/>
      <protection hidden="1"/>
    </xf>
    <xf numFmtId="0" fontId="36" fillId="0" borderId="0" xfId="0" applyFont="1" applyFill="1" applyBorder="1" applyAlignment="1" applyProtection="1">
      <alignment horizontal="center" vertical="center" wrapText="1"/>
      <protection hidden="1"/>
    </xf>
    <xf numFmtId="0" fontId="265" fillId="0" borderId="0" xfId="0" applyFont="1" applyFill="1" applyAlignment="1" applyProtection="1">
      <alignment vertical="center"/>
      <protection hidden="1"/>
    </xf>
    <xf numFmtId="0" fontId="266" fillId="0" borderId="0" xfId="0" applyFont="1" applyFill="1" applyAlignment="1" applyProtection="1">
      <protection hidden="1"/>
    </xf>
    <xf numFmtId="0" fontId="266" fillId="0" borderId="0" xfId="0" applyFont="1" applyFill="1" applyAlignment="1" applyProtection="1">
      <alignment vertical="center"/>
      <protection hidden="1"/>
    </xf>
    <xf numFmtId="0" fontId="265" fillId="0" borderId="0" xfId="0" applyFont="1" applyFill="1" applyBorder="1" applyAlignment="1" applyProtection="1">
      <alignment horizontal="center" vertical="top" shrinkToFit="1"/>
      <protection hidden="1"/>
    </xf>
    <xf numFmtId="0" fontId="265" fillId="0" borderId="0" xfId="0" applyFont="1" applyFill="1" applyBorder="1" applyAlignment="1" applyProtection="1">
      <alignment vertical="top" wrapText="1"/>
      <protection hidden="1"/>
    </xf>
    <xf numFmtId="0" fontId="265" fillId="0" borderId="49" xfId="0" applyFont="1" applyFill="1" applyBorder="1" applyAlignment="1" applyProtection="1">
      <alignment vertical="top"/>
      <protection hidden="1"/>
    </xf>
    <xf numFmtId="164" fontId="267" fillId="0" borderId="49" xfId="1" applyFont="1" applyFill="1" applyBorder="1" applyAlignment="1" applyProtection="1">
      <alignment vertical="center"/>
      <protection hidden="1"/>
    </xf>
    <xf numFmtId="0" fontId="265" fillId="0" borderId="49" xfId="0" applyFont="1" applyFill="1" applyBorder="1" applyAlignment="1" applyProtection="1">
      <alignment vertical="center"/>
      <protection hidden="1"/>
    </xf>
    <xf numFmtId="0" fontId="268" fillId="0" borderId="49" xfId="0" applyFont="1" applyFill="1" applyBorder="1" applyAlignment="1" applyProtection="1">
      <alignment horizontal="right" vertical="center" wrapText="1"/>
      <protection hidden="1"/>
    </xf>
    <xf numFmtId="0" fontId="265" fillId="0" borderId="0" xfId="0" applyFont="1" applyFill="1" applyBorder="1" applyAlignment="1" applyProtection="1">
      <alignment vertical="center"/>
      <protection hidden="1"/>
    </xf>
    <xf numFmtId="0" fontId="269" fillId="0" borderId="0" xfId="0" applyFont="1" applyFill="1" applyBorder="1" applyAlignment="1" applyProtection="1">
      <alignment vertical="center"/>
      <protection hidden="1"/>
    </xf>
    <xf numFmtId="0" fontId="270" fillId="0" borderId="0" xfId="0" applyFont="1" applyFill="1" applyBorder="1" applyAlignment="1" applyProtection="1">
      <alignment vertical="center" wrapText="1"/>
      <protection hidden="1"/>
    </xf>
    <xf numFmtId="1" fontId="265" fillId="0" borderId="0" xfId="0" applyNumberFormat="1" applyFont="1" applyFill="1" applyBorder="1" applyAlignment="1" applyProtection="1">
      <alignment horizontal="center" vertical="center"/>
      <protection hidden="1"/>
    </xf>
    <xf numFmtId="0" fontId="265" fillId="0" borderId="0" xfId="0" applyFont="1" applyFill="1" applyBorder="1" applyAlignment="1" applyProtection="1">
      <alignment horizontal="center" vertical="center"/>
      <protection hidden="1"/>
    </xf>
    <xf numFmtId="0" fontId="269" fillId="0" borderId="0" xfId="0" applyFont="1" applyFill="1" applyBorder="1" applyAlignment="1" applyProtection="1">
      <alignment horizontal="left" vertical="center" wrapText="1"/>
      <protection hidden="1"/>
    </xf>
    <xf numFmtId="0" fontId="265" fillId="0" borderId="0" xfId="0" applyFont="1" applyFill="1" applyBorder="1" applyAlignment="1" applyProtection="1">
      <alignment horizontal="left" vertical="center"/>
      <protection hidden="1"/>
    </xf>
    <xf numFmtId="0" fontId="266" fillId="0" borderId="0" xfId="0" applyFont="1" applyFill="1" applyAlignment="1" applyProtection="1">
      <alignment horizontal="left" vertical="center"/>
      <protection hidden="1"/>
    </xf>
    <xf numFmtId="0" fontId="266" fillId="0" borderId="1" xfId="0" applyFont="1" applyFill="1" applyBorder="1" applyAlignment="1" applyProtection="1">
      <alignment horizontal="center" vertical="center"/>
      <protection hidden="1"/>
    </xf>
    <xf numFmtId="0" fontId="271" fillId="0" borderId="1" xfId="0" applyFont="1" applyFill="1" applyBorder="1" applyAlignment="1" applyProtection="1">
      <alignment horizontal="center" vertical="center"/>
      <protection hidden="1"/>
    </xf>
    <xf numFmtId="0" fontId="272" fillId="0" borderId="1" xfId="0" applyFont="1" applyFill="1" applyBorder="1" applyAlignment="1" applyProtection="1">
      <alignment horizontal="center" vertical="center"/>
      <protection hidden="1"/>
    </xf>
    <xf numFmtId="0" fontId="266" fillId="0" borderId="2" xfId="0" applyFont="1" applyFill="1" applyBorder="1" applyAlignment="1" applyProtection="1">
      <alignment vertical="center"/>
      <protection hidden="1"/>
    </xf>
    <xf numFmtId="0" fontId="266" fillId="0" borderId="34" xfId="0" applyFont="1" applyFill="1" applyBorder="1" applyAlignment="1" applyProtection="1">
      <alignment vertical="center"/>
      <protection hidden="1"/>
    </xf>
    <xf numFmtId="0" fontId="265" fillId="0" borderId="34" xfId="0" applyFont="1" applyFill="1" applyBorder="1" applyAlignment="1" applyProtection="1">
      <alignment vertical="center"/>
      <protection hidden="1"/>
    </xf>
    <xf numFmtId="0" fontId="265" fillId="0" borderId="1" xfId="0" applyFont="1" applyFill="1" applyBorder="1" applyAlignment="1" applyProtection="1">
      <alignment horizontal="center" vertical="center"/>
      <protection hidden="1"/>
    </xf>
    <xf numFmtId="1" fontId="265" fillId="0" borderId="1" xfId="0" applyNumberFormat="1" applyFont="1" applyFill="1" applyBorder="1" applyAlignment="1" applyProtection="1">
      <alignment horizontal="center" vertical="center"/>
      <protection hidden="1"/>
    </xf>
    <xf numFmtId="0" fontId="265" fillId="0" borderId="0" xfId="0" applyFont="1" applyFill="1" applyBorder="1" applyAlignment="1" applyProtection="1">
      <alignment horizontal="left" vertical="top" wrapText="1"/>
      <protection hidden="1"/>
    </xf>
    <xf numFmtId="0" fontId="266" fillId="0" borderId="3" xfId="0" applyFont="1" applyFill="1" applyBorder="1" applyAlignment="1" applyProtection="1">
      <alignment vertical="center"/>
      <protection hidden="1"/>
    </xf>
    <xf numFmtId="0" fontId="265" fillId="0" borderId="2" xfId="0" applyFont="1" applyFill="1" applyBorder="1" applyAlignment="1" applyProtection="1">
      <alignment vertical="center"/>
      <protection hidden="1"/>
    </xf>
    <xf numFmtId="1" fontId="265" fillId="0" borderId="34" xfId="0" applyNumberFormat="1" applyFont="1" applyFill="1" applyBorder="1" applyAlignment="1" applyProtection="1">
      <alignment horizontal="center" vertical="center"/>
      <protection hidden="1"/>
    </xf>
    <xf numFmtId="0" fontId="265" fillId="0" borderId="34" xfId="0" applyFont="1" applyFill="1" applyBorder="1" applyAlignment="1" applyProtection="1">
      <alignment horizontal="center" vertical="center"/>
      <protection hidden="1"/>
    </xf>
    <xf numFmtId="0" fontId="269" fillId="0" borderId="34" xfId="0" applyFont="1" applyFill="1" applyBorder="1" applyAlignment="1" applyProtection="1">
      <alignment horizontal="left" vertical="center" wrapText="1" indent="1"/>
      <protection hidden="1"/>
    </xf>
    <xf numFmtId="0" fontId="269" fillId="0" borderId="3" xfId="0" applyFont="1" applyFill="1" applyBorder="1" applyAlignment="1" applyProtection="1">
      <alignment horizontal="left" vertical="center" wrapText="1" indent="1"/>
      <protection hidden="1"/>
    </xf>
    <xf numFmtId="0" fontId="265" fillId="0" borderId="21" xfId="0" applyFont="1" applyFill="1" applyBorder="1" applyAlignment="1" applyProtection="1">
      <alignment horizontal="center" vertical="center"/>
      <protection hidden="1"/>
    </xf>
    <xf numFmtId="1" fontId="265" fillId="0" borderId="21" xfId="0" applyNumberFormat="1" applyFont="1" applyFill="1" applyBorder="1" applyAlignment="1" applyProtection="1">
      <alignment horizontal="center" vertical="center"/>
      <protection hidden="1"/>
    </xf>
    <xf numFmtId="0" fontId="273" fillId="0" borderId="0" xfId="0" applyFont="1" applyFill="1" applyBorder="1" applyAlignment="1" applyProtection="1">
      <protection hidden="1"/>
    </xf>
    <xf numFmtId="0" fontId="270" fillId="0" borderId="0" xfId="0" applyFont="1" applyFill="1" applyBorder="1" applyAlignment="1" applyProtection="1">
      <alignment wrapText="1"/>
      <protection hidden="1"/>
    </xf>
    <xf numFmtId="1" fontId="265" fillId="0" borderId="0" xfId="0" applyNumberFormat="1" applyFont="1" applyFill="1" applyBorder="1" applyAlignment="1" applyProtection="1">
      <alignment horizontal="center"/>
      <protection hidden="1"/>
    </xf>
    <xf numFmtId="0" fontId="265" fillId="0" borderId="0" xfId="0" applyFont="1" applyFill="1" applyBorder="1" applyAlignment="1" applyProtection="1">
      <alignment horizontal="center"/>
      <protection hidden="1"/>
    </xf>
    <xf numFmtId="0" fontId="269" fillId="0" borderId="0" xfId="0" applyFont="1" applyFill="1" applyBorder="1" applyAlignment="1" applyProtection="1">
      <alignment horizontal="left" wrapText="1"/>
      <protection hidden="1"/>
    </xf>
    <xf numFmtId="0" fontId="265" fillId="0" borderId="0" xfId="0" applyFont="1" applyFill="1" applyBorder="1" applyAlignment="1" applyProtection="1">
      <alignment horizontal="left"/>
      <protection hidden="1"/>
    </xf>
    <xf numFmtId="0" fontId="269" fillId="0" borderId="0" xfId="0" applyFont="1" applyFill="1" applyBorder="1" applyAlignment="1" applyProtection="1">
      <alignment wrapText="1"/>
      <protection hidden="1"/>
    </xf>
    <xf numFmtId="0" fontId="274" fillId="0" borderId="0" xfId="0" applyFont="1" applyFill="1" applyBorder="1" applyAlignment="1" applyProtection="1">
      <alignment horizontal="right" wrapText="1"/>
      <protection hidden="1"/>
    </xf>
    <xf numFmtId="0" fontId="270" fillId="0" borderId="49" xfId="0" applyFont="1" applyFill="1" applyBorder="1" applyAlignment="1" applyProtection="1">
      <alignment vertical="center" wrapText="1"/>
      <protection hidden="1"/>
    </xf>
    <xf numFmtId="0" fontId="270" fillId="0" borderId="49" xfId="0" applyFont="1" applyFill="1" applyBorder="1" applyAlignment="1" applyProtection="1">
      <alignment horizontal="center" vertical="center" wrapText="1"/>
      <protection hidden="1"/>
    </xf>
    <xf numFmtId="1" fontId="265" fillId="0" borderId="49" xfId="0" applyNumberFormat="1" applyFont="1" applyFill="1" applyBorder="1" applyAlignment="1" applyProtection="1">
      <alignment horizontal="center" vertical="center"/>
      <protection hidden="1"/>
    </xf>
    <xf numFmtId="0" fontId="265" fillId="0" borderId="49" xfId="0" applyFont="1" applyFill="1" applyBorder="1" applyAlignment="1" applyProtection="1">
      <alignment horizontal="center" vertical="center"/>
      <protection hidden="1"/>
    </xf>
    <xf numFmtId="0" fontId="269" fillId="0" borderId="49" xfId="0" applyFont="1" applyFill="1" applyBorder="1" applyAlignment="1" applyProtection="1">
      <alignment horizontal="left" vertical="center" wrapText="1"/>
      <protection hidden="1"/>
    </xf>
    <xf numFmtId="0" fontId="265" fillId="0" borderId="0" xfId="0" applyFont="1" applyFill="1" applyAlignment="1" applyProtection="1">
      <alignment vertical="top"/>
      <protection hidden="1"/>
    </xf>
    <xf numFmtId="164" fontId="269" fillId="0" borderId="0" xfId="1" applyFont="1" applyFill="1" applyBorder="1" applyAlignment="1" applyProtection="1">
      <alignment vertical="center"/>
      <protection hidden="1"/>
    </xf>
    <xf numFmtId="0" fontId="269" fillId="0" borderId="0" xfId="0" applyFont="1" applyFill="1" applyBorder="1" applyAlignment="1" applyProtection="1">
      <alignment vertical="center" wrapText="1"/>
      <protection hidden="1"/>
    </xf>
    <xf numFmtId="0" fontId="266" fillId="0" borderId="0" xfId="0" applyFont="1" applyFill="1" applyBorder="1" applyAlignment="1" applyProtection="1">
      <protection hidden="1"/>
    </xf>
    <xf numFmtId="0" fontId="266" fillId="0" borderId="0" xfId="0" applyFont="1" applyFill="1" applyBorder="1" applyAlignment="1" applyProtection="1">
      <alignment vertical="center"/>
      <protection hidden="1"/>
    </xf>
    <xf numFmtId="0" fontId="274" fillId="0" borderId="0" xfId="0" applyFont="1" applyFill="1" applyBorder="1" applyAlignment="1" applyProtection="1">
      <alignment horizontal="right" vertical="center" wrapText="1"/>
      <protection hidden="1"/>
    </xf>
    <xf numFmtId="0" fontId="265" fillId="0" borderId="0" xfId="0" applyFont="1" applyFill="1" applyBorder="1" applyAlignment="1" applyProtection="1">
      <alignment horizontal="left" vertical="center" wrapText="1"/>
      <protection hidden="1"/>
    </xf>
    <xf numFmtId="0" fontId="266" fillId="0" borderId="24" xfId="0" applyFont="1" applyFill="1" applyBorder="1" applyAlignment="1" applyProtection="1">
      <alignment horizontal="center" vertical="center"/>
      <protection hidden="1"/>
    </xf>
    <xf numFmtId="0" fontId="266" fillId="0" borderId="0" xfId="0" applyFont="1" applyFill="1" applyBorder="1" applyAlignment="1" applyProtection="1">
      <alignment horizontal="left" vertical="center"/>
      <protection hidden="1"/>
    </xf>
    <xf numFmtId="0" fontId="266" fillId="0" borderId="0" xfId="0" applyFont="1" applyFill="1" applyBorder="1" applyAlignment="1" applyProtection="1">
      <alignment vertical="center" wrapText="1"/>
      <protection hidden="1"/>
    </xf>
    <xf numFmtId="0" fontId="265" fillId="0" borderId="25" xfId="0" applyFont="1" applyFill="1" applyBorder="1" applyAlignment="1" applyProtection="1">
      <alignment vertical="center"/>
      <protection hidden="1"/>
    </xf>
    <xf numFmtId="0" fontId="265" fillId="0" borderId="0" xfId="0" applyFont="1" applyFill="1" applyBorder="1" applyAlignment="1" applyProtection="1">
      <alignment vertical="top"/>
      <protection hidden="1"/>
    </xf>
    <xf numFmtId="0" fontId="265" fillId="0" borderId="24" xfId="0" applyFont="1" applyFill="1" applyBorder="1" applyAlignment="1" applyProtection="1">
      <alignment vertical="top"/>
      <protection hidden="1"/>
    </xf>
    <xf numFmtId="0" fontId="265" fillId="0" borderId="177" xfId="0" applyFont="1" applyFill="1" applyBorder="1" applyAlignment="1" applyProtection="1">
      <alignment horizontal="center" vertical="center"/>
      <protection hidden="1"/>
    </xf>
    <xf numFmtId="0" fontId="270" fillId="0" borderId="177" xfId="0" applyFont="1" applyFill="1" applyBorder="1" applyAlignment="1" applyProtection="1">
      <alignment vertical="center" wrapText="1"/>
      <protection hidden="1"/>
    </xf>
    <xf numFmtId="1" fontId="265" fillId="0" borderId="177" xfId="0" applyNumberFormat="1" applyFont="1" applyFill="1" applyBorder="1" applyAlignment="1" applyProtection="1">
      <alignment horizontal="center" vertical="center"/>
      <protection hidden="1"/>
    </xf>
    <xf numFmtId="0" fontId="269" fillId="0" borderId="177" xfId="0" applyFont="1" applyFill="1" applyBorder="1" applyAlignment="1" applyProtection="1">
      <alignment horizontal="left" vertical="center" wrapText="1"/>
      <protection hidden="1"/>
    </xf>
    <xf numFmtId="0" fontId="270" fillId="0" borderId="0" xfId="1" applyNumberFormat="1" applyFont="1" applyFill="1" applyBorder="1" applyAlignment="1" applyProtection="1">
      <alignment vertical="center"/>
      <protection hidden="1"/>
    </xf>
    <xf numFmtId="0" fontId="266" fillId="0" borderId="2" xfId="0" applyFont="1" applyFill="1" applyBorder="1" applyAlignment="1" applyProtection="1">
      <alignment horizontal="center" vertical="center" wrapText="1"/>
      <protection locked="0"/>
    </xf>
    <xf numFmtId="0" fontId="266" fillId="0" borderId="1" xfId="0" applyFont="1" applyFill="1" applyBorder="1" applyAlignment="1" applyProtection="1">
      <alignment horizontal="center" vertical="center" wrapText="1"/>
      <protection locked="0"/>
    </xf>
    <xf numFmtId="0" fontId="191" fillId="0" borderId="1" xfId="0" applyFont="1" applyFill="1" applyBorder="1" applyAlignment="1" applyProtection="1">
      <alignment horizontal="center" vertical="center"/>
      <protection hidden="1"/>
    </xf>
    <xf numFmtId="0" fontId="266" fillId="0" borderId="2" xfId="0" applyFont="1" applyFill="1" applyBorder="1" applyAlignment="1" applyProtection="1">
      <alignment horizontal="center" vertical="center"/>
      <protection hidden="1"/>
    </xf>
    <xf numFmtId="0" fontId="270" fillId="0" borderId="8" xfId="0" applyFont="1" applyFill="1" applyBorder="1" applyAlignment="1" applyProtection="1">
      <alignment horizontal="center" vertical="center"/>
      <protection hidden="1"/>
    </xf>
    <xf numFmtId="1" fontId="275" fillId="0" borderId="1" xfId="0" quotePrefix="1" applyNumberFormat="1" applyFont="1" applyBorder="1" applyAlignment="1">
      <alignment horizontal="left"/>
    </xf>
    <xf numFmtId="0" fontId="276" fillId="0" borderId="1" xfId="0" applyFont="1" applyFill="1" applyBorder="1" applyAlignment="1"/>
    <xf numFmtId="14" fontId="44" fillId="28" borderId="97" xfId="0" applyNumberFormat="1" applyFont="1" applyFill="1" applyBorder="1" applyAlignment="1" applyProtection="1">
      <alignment horizontal="center" vertical="center" shrinkToFit="1"/>
      <protection locked="0"/>
    </xf>
    <xf numFmtId="0" fontId="0" fillId="0" borderId="1" xfId="0" applyFill="1" applyBorder="1"/>
    <xf numFmtId="15" fontId="44" fillId="28" borderId="98" xfId="0" applyNumberFormat="1" applyFont="1" applyFill="1" applyBorder="1" applyAlignment="1" applyProtection="1">
      <alignment horizontal="center" vertical="center" shrinkToFit="1"/>
      <protection locked="0"/>
    </xf>
    <xf numFmtId="0" fontId="8" fillId="0" borderId="246" xfId="0" applyFont="1" applyFill="1" applyBorder="1" applyAlignment="1" applyProtection="1">
      <alignment vertical="center" shrinkToFit="1"/>
      <protection locked="0"/>
    </xf>
    <xf numFmtId="0" fontId="8" fillId="0" borderId="248" xfId="0" applyFont="1" applyFill="1" applyBorder="1" applyAlignment="1" applyProtection="1">
      <alignment vertical="center" shrinkToFit="1"/>
      <protection locked="0"/>
    </xf>
    <xf numFmtId="0" fontId="278" fillId="0" borderId="1" xfId="4" applyFont="1" applyBorder="1" applyAlignment="1" applyProtection="1">
      <alignment horizontal="center" vertical="center"/>
      <protection locked="0"/>
    </xf>
    <xf numFmtId="1" fontId="278" fillId="0" borderId="1" xfId="4" applyNumberFormat="1" applyFont="1" applyBorder="1" applyAlignment="1" applyProtection="1">
      <alignment horizontal="center" vertical="center"/>
      <protection locked="0"/>
    </xf>
    <xf numFmtId="0" fontId="8" fillId="0" borderId="66" xfId="0" applyFont="1" applyBorder="1" applyAlignment="1" applyProtection="1">
      <alignment horizontal="center" vertical="center"/>
      <protection locked="0"/>
    </xf>
    <xf numFmtId="0" fontId="8" fillId="0" borderId="111" xfId="0" applyFont="1" applyBorder="1" applyAlignment="1" applyProtection="1">
      <alignment horizontal="center" vertical="center"/>
      <protection locked="0"/>
    </xf>
    <xf numFmtId="1" fontId="0" fillId="0" borderId="0" xfId="0" applyNumberFormat="1" applyAlignment="1" applyProtection="1">
      <alignment horizontal="center" vertical="center"/>
      <protection locked="0"/>
    </xf>
    <xf numFmtId="0" fontId="279" fillId="0" borderId="0" xfId="0" applyFont="1" applyProtection="1">
      <protection locked="0"/>
    </xf>
    <xf numFmtId="0" fontId="224" fillId="0" borderId="0" xfId="0" applyFont="1" applyAlignment="1">
      <alignment horizontal="left" vertical="center" indent="2"/>
    </xf>
    <xf numFmtId="0" fontId="224" fillId="0" borderId="0" xfId="0" applyFont="1" applyAlignment="1">
      <alignment horizontal="left" vertical="center" wrapText="1" indent="2"/>
    </xf>
    <xf numFmtId="0" fontId="281" fillId="0" borderId="1" xfId="0" applyFont="1" applyBorder="1"/>
    <xf numFmtId="0" fontId="282" fillId="0" borderId="1" xfId="0" applyFont="1" applyBorder="1"/>
    <xf numFmtId="0" fontId="283" fillId="0" borderId="1" xfId="0" applyFont="1" applyBorder="1"/>
    <xf numFmtId="0" fontId="283" fillId="0" borderId="21" xfId="0" applyFont="1" applyBorder="1"/>
    <xf numFmtId="0" fontId="284" fillId="0" borderId="195" xfId="0" applyFont="1" applyFill="1" applyBorder="1" applyAlignment="1" applyProtection="1">
      <alignment vertical="center" shrinkToFit="1"/>
      <protection locked="0"/>
    </xf>
    <xf numFmtId="0" fontId="284" fillId="0" borderId="199" xfId="0" applyFont="1" applyFill="1" applyBorder="1" applyAlignment="1" applyProtection="1">
      <alignment vertical="center" shrinkToFit="1"/>
      <protection locked="0"/>
    </xf>
    <xf numFmtId="0" fontId="284" fillId="0" borderId="249" xfId="0" applyFont="1" applyFill="1" applyBorder="1" applyAlignment="1" applyProtection="1">
      <alignment vertical="center" shrinkToFit="1"/>
      <protection locked="0"/>
    </xf>
    <xf numFmtId="0" fontId="284" fillId="0" borderId="250" xfId="0" applyFont="1" applyFill="1" applyBorder="1" applyAlignment="1" applyProtection="1">
      <alignment vertical="center" shrinkToFit="1"/>
      <protection locked="0"/>
    </xf>
    <xf numFmtId="0" fontId="284" fillId="0" borderId="4" xfId="0" applyFont="1" applyBorder="1" applyAlignment="1" applyProtection="1">
      <alignment horizontal="center" vertical="center"/>
      <protection locked="0"/>
    </xf>
    <xf numFmtId="0" fontId="284" fillId="0" borderId="1" xfId="0" applyFont="1" applyBorder="1" applyAlignment="1" applyProtection="1">
      <alignment horizontal="center" vertical="center"/>
      <protection locked="0"/>
    </xf>
    <xf numFmtId="0" fontId="284" fillId="0" borderId="66" xfId="0" applyFont="1" applyBorder="1" applyAlignment="1" applyProtection="1">
      <alignment horizontal="center" vertical="center"/>
      <protection locked="0"/>
    </xf>
    <xf numFmtId="0" fontId="284" fillId="0" borderId="111" xfId="0" applyFont="1" applyBorder="1" applyAlignment="1" applyProtection="1">
      <alignment horizontal="center" vertical="center"/>
      <protection locked="0"/>
    </xf>
    <xf numFmtId="0" fontId="284" fillId="0" borderId="2" xfId="0" applyFont="1" applyBorder="1" applyAlignment="1" applyProtection="1">
      <alignment horizontal="center" vertical="center"/>
      <protection locked="0"/>
    </xf>
    <xf numFmtId="0" fontId="278" fillId="0" borderId="245" xfId="0" applyFont="1" applyFill="1" applyBorder="1" applyAlignment="1" applyProtection="1">
      <alignment vertical="center" shrinkToFit="1"/>
      <protection locked="0"/>
    </xf>
    <xf numFmtId="0" fontId="278" fillId="0" borderId="246" xfId="0" applyFont="1" applyFill="1" applyBorder="1" applyAlignment="1" applyProtection="1">
      <alignment vertical="center" shrinkToFit="1"/>
      <protection locked="0"/>
    </xf>
    <xf numFmtId="0" fontId="278" fillId="0" borderId="247" xfId="0" applyFont="1" applyFill="1" applyBorder="1" applyAlignment="1" applyProtection="1">
      <alignment vertical="center" shrinkToFit="1"/>
      <protection locked="0"/>
    </xf>
    <xf numFmtId="0" fontId="278" fillId="0" borderId="248" xfId="0" applyFont="1" applyFill="1" applyBorder="1" applyAlignment="1" applyProtection="1">
      <alignment vertical="center" shrinkToFit="1"/>
      <protection locked="0"/>
    </xf>
    <xf numFmtId="0" fontId="278" fillId="0" borderId="4" xfId="0" applyFont="1" applyBorder="1" applyAlignment="1" applyProtection="1">
      <alignment horizontal="center" vertical="center"/>
      <protection locked="0"/>
    </xf>
    <xf numFmtId="0" fontId="278" fillId="0" borderId="1" xfId="0" applyFont="1" applyBorder="1" applyAlignment="1" applyProtection="1">
      <alignment horizontal="center" vertical="center"/>
      <protection locked="0"/>
    </xf>
    <xf numFmtId="0" fontId="278" fillId="0" borderId="66" xfId="0" applyFont="1" applyBorder="1" applyAlignment="1" applyProtection="1">
      <alignment horizontal="center" vertical="center"/>
      <protection locked="0"/>
    </xf>
    <xf numFmtId="0" fontId="278" fillId="0" borderId="111" xfId="0" applyFont="1" applyBorder="1" applyAlignment="1" applyProtection="1">
      <alignment horizontal="center" vertical="center"/>
      <protection locked="0"/>
    </xf>
    <xf numFmtId="0" fontId="278" fillId="0" borderId="2" xfId="0" applyFont="1" applyBorder="1" applyAlignment="1" applyProtection="1">
      <alignment horizontal="center" vertical="center"/>
      <protection locked="0"/>
    </xf>
    <xf numFmtId="0" fontId="2" fillId="0" borderId="0" xfId="0" applyFont="1" applyBorder="1" applyAlignment="1" applyProtection="1">
      <alignment vertical="center"/>
      <protection locked="0" hidden="1"/>
    </xf>
    <xf numFmtId="0" fontId="121" fillId="39" borderId="68" xfId="0" applyFont="1" applyFill="1" applyBorder="1" applyAlignment="1" applyProtection="1">
      <alignment horizontal="center" vertical="center" wrapText="1"/>
      <protection hidden="1"/>
    </xf>
    <xf numFmtId="0" fontId="121" fillId="39" borderId="113" xfId="0" applyFont="1" applyFill="1" applyBorder="1" applyAlignment="1" applyProtection="1">
      <alignment horizontal="center" vertical="center" wrapText="1"/>
      <protection hidden="1"/>
    </xf>
    <xf numFmtId="0" fontId="121" fillId="39" borderId="81" xfId="0" applyFont="1" applyFill="1" applyBorder="1" applyAlignment="1" applyProtection="1">
      <alignment horizontal="center" vertical="center" wrapText="1"/>
      <protection hidden="1"/>
    </xf>
    <xf numFmtId="0" fontId="121" fillId="39" borderId="56" xfId="0" applyFont="1" applyFill="1" applyBorder="1" applyAlignment="1" applyProtection="1">
      <alignment horizontal="center" vertical="center" wrapText="1"/>
      <protection hidden="1"/>
    </xf>
    <xf numFmtId="0" fontId="121" fillId="39" borderId="16" xfId="0" applyFont="1" applyFill="1" applyBorder="1" applyAlignment="1" applyProtection="1">
      <alignment horizontal="center" vertical="center" wrapText="1"/>
      <protection hidden="1"/>
    </xf>
    <xf numFmtId="0" fontId="121" fillId="39" borderId="121" xfId="0" applyFont="1" applyFill="1" applyBorder="1" applyAlignment="1" applyProtection="1">
      <alignment horizontal="center" vertical="center" wrapText="1"/>
      <protection hidden="1"/>
    </xf>
    <xf numFmtId="0" fontId="154" fillId="16" borderId="16" xfId="0" applyFont="1" applyFill="1" applyBorder="1" applyAlignment="1" applyProtection="1">
      <alignment horizontal="center" vertical="center" shrinkToFit="1"/>
      <protection hidden="1"/>
    </xf>
    <xf numFmtId="164" fontId="41" fillId="37" borderId="22" xfId="1" applyFont="1" applyFill="1" applyBorder="1" applyAlignment="1" applyProtection="1">
      <alignment vertical="center"/>
      <protection hidden="1"/>
    </xf>
    <xf numFmtId="164" fontId="41" fillId="37" borderId="39" xfId="1" applyFont="1" applyFill="1" applyBorder="1" applyAlignment="1" applyProtection="1">
      <alignment vertical="center"/>
      <protection hidden="1"/>
    </xf>
    <xf numFmtId="49" fontId="6" fillId="0" borderId="83" xfId="0" applyNumberFormat="1" applyFont="1" applyBorder="1" applyAlignment="1" applyProtection="1">
      <alignment horizontal="left" vertical="center" wrapText="1" indent="1" shrinkToFit="1"/>
      <protection locked="0"/>
    </xf>
    <xf numFmtId="49" fontId="6" fillId="0" borderId="39" xfId="0" applyNumberFormat="1" applyFont="1" applyBorder="1" applyAlignment="1" applyProtection="1">
      <alignment horizontal="left" vertical="center" wrapText="1" indent="1" shrinkToFit="1"/>
      <protection locked="0"/>
    </xf>
    <xf numFmtId="0" fontId="64" fillId="16" borderId="77" xfId="0" applyFont="1" applyFill="1" applyBorder="1" applyAlignment="1" applyProtection="1">
      <alignment horizontal="left" vertical="center" wrapText="1" indent="1"/>
      <protection hidden="1"/>
    </xf>
    <xf numFmtId="0" fontId="64" fillId="16" borderId="16" xfId="0" applyFont="1" applyFill="1" applyBorder="1" applyAlignment="1" applyProtection="1">
      <alignment horizontal="left" vertical="center" wrapText="1" indent="1"/>
      <protection hidden="1"/>
    </xf>
    <xf numFmtId="0" fontId="96" fillId="16" borderId="0" xfId="0" applyFont="1" applyFill="1" applyBorder="1" applyAlignment="1" applyProtection="1">
      <alignment horizontal="right" vertical="center" shrinkToFit="1"/>
      <protection hidden="1"/>
    </xf>
    <xf numFmtId="0" fontId="13" fillId="38" borderId="57" xfId="0" applyFont="1" applyFill="1" applyBorder="1" applyAlignment="1" applyProtection="1">
      <alignment horizontal="center" vertical="center"/>
      <protection hidden="1"/>
    </xf>
    <xf numFmtId="0" fontId="13" fillId="38" borderId="58" xfId="0" applyFont="1" applyFill="1" applyBorder="1" applyAlignment="1" applyProtection="1">
      <alignment horizontal="center" vertical="center"/>
      <protection hidden="1"/>
    </xf>
    <xf numFmtId="0" fontId="13" fillId="38" borderId="2" xfId="0" applyFont="1" applyFill="1" applyBorder="1" applyAlignment="1" applyProtection="1">
      <alignment horizontal="center" vertical="center"/>
      <protection hidden="1"/>
    </xf>
    <xf numFmtId="0" fontId="13" fillId="38" borderId="3" xfId="0" applyFont="1" applyFill="1" applyBorder="1" applyAlignment="1" applyProtection="1">
      <alignment horizontal="center" vertical="center"/>
      <protection hidden="1"/>
    </xf>
    <xf numFmtId="0" fontId="77" fillId="38" borderId="2" xfId="0" applyFont="1" applyFill="1" applyBorder="1" applyAlignment="1" applyProtection="1">
      <alignment horizontal="center" vertical="center" shrinkToFit="1"/>
      <protection hidden="1"/>
    </xf>
    <xf numFmtId="0" fontId="77" fillId="38" borderId="3" xfId="0" applyFont="1" applyFill="1" applyBorder="1" applyAlignment="1" applyProtection="1">
      <alignment horizontal="center" vertical="center" shrinkToFit="1"/>
      <protection hidden="1"/>
    </xf>
    <xf numFmtId="0" fontId="91" fillId="39" borderId="91" xfId="0" applyFont="1" applyFill="1" applyBorder="1" applyAlignment="1" applyProtection="1">
      <alignment horizontal="center" vertical="center"/>
      <protection hidden="1"/>
    </xf>
    <xf numFmtId="0" fontId="91" fillId="39" borderId="86" xfId="0" applyFont="1" applyFill="1" applyBorder="1" applyAlignment="1" applyProtection="1">
      <alignment horizontal="center" vertical="center"/>
      <protection hidden="1"/>
    </xf>
    <xf numFmtId="0" fontId="91" fillId="39" borderId="87" xfId="0" applyFont="1" applyFill="1" applyBorder="1" applyAlignment="1" applyProtection="1">
      <alignment horizontal="center" vertical="center"/>
      <protection hidden="1"/>
    </xf>
    <xf numFmtId="0" fontId="92" fillId="39" borderId="91" xfId="0" applyFont="1" applyFill="1" applyBorder="1" applyAlignment="1" applyProtection="1">
      <alignment horizontal="center" vertical="center"/>
      <protection hidden="1"/>
    </xf>
    <xf numFmtId="0" fontId="92" fillId="39" borderId="87" xfId="0" applyFont="1" applyFill="1" applyBorder="1" applyAlignment="1" applyProtection="1">
      <alignment horizontal="center" vertical="center"/>
      <protection hidden="1"/>
    </xf>
    <xf numFmtId="0" fontId="94" fillId="39" borderId="85" xfId="0" applyFont="1" applyFill="1" applyBorder="1" applyAlignment="1" applyProtection="1">
      <alignment horizontal="left" vertical="center"/>
      <protection hidden="1"/>
    </xf>
    <xf numFmtId="0" fontId="94" fillId="39" borderId="86" xfId="0" applyFont="1" applyFill="1" applyBorder="1" applyAlignment="1" applyProtection="1">
      <alignment horizontal="left" vertical="center"/>
      <protection hidden="1"/>
    </xf>
    <xf numFmtId="0" fontId="94" fillId="39" borderId="87" xfId="0" applyFont="1" applyFill="1" applyBorder="1" applyAlignment="1" applyProtection="1">
      <alignment horizontal="left" vertical="center"/>
      <protection hidden="1"/>
    </xf>
    <xf numFmtId="0" fontId="229" fillId="18" borderId="148" xfId="0" applyFont="1" applyFill="1" applyBorder="1" applyAlignment="1" applyProtection="1">
      <alignment vertical="top" wrapText="1"/>
      <protection hidden="1"/>
    </xf>
    <xf numFmtId="0" fontId="229" fillId="18" borderId="178" xfId="0" applyFont="1" applyFill="1" applyBorder="1" applyAlignment="1" applyProtection="1">
      <alignment vertical="top" wrapText="1"/>
      <protection hidden="1"/>
    </xf>
    <xf numFmtId="0" fontId="229" fillId="18" borderId="149" xfId="0" applyFont="1" applyFill="1" applyBorder="1" applyAlignment="1" applyProtection="1">
      <alignment horizontal="left" vertical="top" wrapText="1"/>
      <protection hidden="1"/>
    </xf>
    <xf numFmtId="0" fontId="229" fillId="18" borderId="147" xfId="0" applyFont="1" applyFill="1" applyBorder="1" applyAlignment="1" applyProtection="1">
      <alignment horizontal="left" vertical="top" wrapText="1"/>
      <protection hidden="1"/>
    </xf>
    <xf numFmtId="0" fontId="131" fillId="0" borderId="154" xfId="0" applyFont="1" applyBorder="1" applyAlignment="1" applyProtection="1">
      <alignment horizontal="center" vertical="center" shrinkToFit="1"/>
      <protection locked="0"/>
    </xf>
    <xf numFmtId="0" fontId="131" fillId="0" borderId="155" xfId="0" applyFont="1" applyBorder="1" applyAlignment="1" applyProtection="1">
      <alignment horizontal="center" vertical="center" shrinkToFit="1"/>
      <protection locked="0"/>
    </xf>
    <xf numFmtId="0" fontId="38" fillId="32" borderId="152" xfId="0" applyFont="1" applyFill="1" applyBorder="1" applyAlignment="1" applyProtection="1">
      <alignment horizontal="right" vertical="center" wrapText="1"/>
      <protection hidden="1"/>
    </xf>
    <xf numFmtId="0" fontId="38" fillId="32" borderId="150" xfId="0" applyFont="1" applyFill="1" applyBorder="1" applyAlignment="1" applyProtection="1">
      <alignment horizontal="right" vertical="center" wrapText="1"/>
      <protection hidden="1"/>
    </xf>
    <xf numFmtId="0" fontId="38" fillId="32" borderId="153" xfId="0" applyFont="1" applyFill="1" applyBorder="1" applyAlignment="1" applyProtection="1">
      <alignment horizontal="right" vertical="center" wrapText="1"/>
      <protection hidden="1"/>
    </xf>
    <xf numFmtId="0" fontId="38" fillId="32" borderId="151" xfId="0" applyFont="1" applyFill="1" applyBorder="1" applyAlignment="1" applyProtection="1">
      <alignment horizontal="right" vertical="center" wrapText="1"/>
      <protection hidden="1"/>
    </xf>
    <xf numFmtId="0" fontId="189" fillId="18" borderId="148" xfId="0" applyFont="1" applyFill="1" applyBorder="1" applyAlignment="1" applyProtection="1">
      <alignment horizontal="left" vertical="top" wrapText="1"/>
      <protection hidden="1"/>
    </xf>
    <xf numFmtId="0" fontId="189" fillId="18" borderId="178" xfId="0" applyFont="1" applyFill="1" applyBorder="1" applyAlignment="1" applyProtection="1">
      <alignment horizontal="left" vertical="top" wrapText="1"/>
      <protection hidden="1"/>
    </xf>
    <xf numFmtId="0" fontId="230" fillId="18" borderId="0" xfId="0" applyFont="1" applyFill="1" applyBorder="1" applyAlignment="1" applyProtection="1">
      <alignment horizontal="left" vertical="center" wrapText="1"/>
      <protection hidden="1"/>
    </xf>
    <xf numFmtId="0" fontId="98" fillId="15" borderId="2" xfId="0" applyFont="1" applyFill="1" applyBorder="1" applyAlignment="1" applyProtection="1">
      <alignment horizontal="center" vertical="center"/>
      <protection hidden="1"/>
    </xf>
    <xf numFmtId="0" fontId="98" fillId="15" borderId="34" xfId="0" applyFont="1" applyFill="1" applyBorder="1" applyAlignment="1" applyProtection="1">
      <alignment horizontal="center" vertical="center"/>
      <protection hidden="1"/>
    </xf>
    <xf numFmtId="0" fontId="98" fillId="15" borderId="3" xfId="0" applyFont="1" applyFill="1" applyBorder="1" applyAlignment="1" applyProtection="1">
      <alignment horizontal="center" vertical="center"/>
      <protection hidden="1"/>
    </xf>
    <xf numFmtId="0" fontId="157" fillId="2" borderId="2" xfId="0" applyFont="1" applyFill="1" applyBorder="1" applyAlignment="1" applyProtection="1">
      <alignment horizontal="center" vertical="center"/>
      <protection hidden="1"/>
    </xf>
    <xf numFmtId="0" fontId="157" fillId="2" borderId="34" xfId="0" applyFont="1" applyFill="1" applyBorder="1" applyAlignment="1" applyProtection="1">
      <alignment horizontal="center" vertical="center"/>
      <protection hidden="1"/>
    </xf>
    <xf numFmtId="0" fontId="157" fillId="2" borderId="3" xfId="0" applyFont="1" applyFill="1" applyBorder="1" applyAlignment="1" applyProtection="1">
      <alignment horizontal="center" vertical="center"/>
      <protection hidden="1"/>
    </xf>
    <xf numFmtId="0" fontId="95" fillId="23" borderId="83" xfId="0" applyFont="1" applyFill="1" applyBorder="1" applyAlignment="1" applyProtection="1">
      <alignment horizontal="right" vertical="center" wrapText="1" shrinkToFit="1"/>
    </xf>
    <xf numFmtId="0" fontId="95" fillId="23" borderId="22" xfId="0" applyFont="1" applyFill="1" applyBorder="1" applyAlignment="1" applyProtection="1">
      <alignment horizontal="right" vertical="center" wrapText="1" shrinkToFit="1"/>
    </xf>
    <xf numFmtId="0" fontId="95" fillId="23" borderId="48" xfId="0" applyFont="1" applyFill="1" applyBorder="1" applyAlignment="1" applyProtection="1">
      <alignment horizontal="right" vertical="center" wrapText="1" shrinkToFit="1"/>
    </xf>
    <xf numFmtId="0" fontId="108" fillId="15" borderId="51" xfId="0" applyFont="1" applyFill="1" applyBorder="1" applyAlignment="1" applyProtection="1">
      <alignment horizontal="center" vertical="center"/>
      <protection hidden="1"/>
    </xf>
    <xf numFmtId="0" fontId="108" fillId="15" borderId="52" xfId="0" applyFont="1" applyFill="1" applyBorder="1" applyAlignment="1" applyProtection="1">
      <alignment horizontal="center" vertical="center"/>
      <protection hidden="1"/>
    </xf>
    <xf numFmtId="0" fontId="157" fillId="2" borderId="15" xfId="0" applyFont="1" applyFill="1" applyBorder="1" applyAlignment="1" applyProtection="1">
      <alignment horizontal="center" vertical="center"/>
      <protection hidden="1"/>
    </xf>
    <xf numFmtId="0" fontId="157" fillId="2" borderId="53" xfId="0" applyFont="1" applyFill="1" applyBorder="1" applyAlignment="1" applyProtection="1">
      <alignment horizontal="center" vertical="center"/>
      <protection hidden="1"/>
    </xf>
    <xf numFmtId="0" fontId="157" fillId="2" borderId="14" xfId="0" applyFont="1" applyFill="1" applyBorder="1" applyAlignment="1" applyProtection="1">
      <alignment horizontal="center" vertical="center"/>
      <protection hidden="1"/>
    </xf>
    <xf numFmtId="0" fontId="108" fillId="15" borderId="2" xfId="0" applyFont="1" applyFill="1" applyBorder="1" applyAlignment="1" applyProtection="1">
      <alignment horizontal="center" vertical="center"/>
      <protection hidden="1"/>
    </xf>
    <xf numFmtId="0" fontId="108" fillId="15" borderId="34" xfId="0" applyFont="1" applyFill="1" applyBorder="1" applyAlignment="1" applyProtection="1">
      <alignment horizontal="center" vertical="center"/>
      <protection hidden="1"/>
    </xf>
    <xf numFmtId="0" fontId="108" fillId="15" borderId="3" xfId="0" applyFont="1" applyFill="1" applyBorder="1" applyAlignment="1" applyProtection="1">
      <alignment horizontal="center" vertical="center"/>
      <protection hidden="1"/>
    </xf>
    <xf numFmtId="0" fontId="23" fillId="48" borderId="83" xfId="0" applyFont="1" applyFill="1" applyBorder="1" applyAlignment="1" applyProtection="1">
      <alignment horizontal="right" vertical="center" wrapText="1" shrinkToFit="1"/>
      <protection hidden="1"/>
    </xf>
    <xf numFmtId="0" fontId="23" fillId="48" borderId="22" xfId="0" applyFont="1" applyFill="1" applyBorder="1" applyAlignment="1" applyProtection="1">
      <alignment horizontal="right" vertical="center" wrapText="1" shrinkToFit="1"/>
      <protection hidden="1"/>
    </xf>
    <xf numFmtId="0" fontId="194" fillId="18" borderId="0" xfId="0" applyFont="1" applyFill="1" applyBorder="1" applyAlignment="1" applyProtection="1">
      <alignment horizontal="right" wrapText="1"/>
      <protection hidden="1"/>
    </xf>
    <xf numFmtId="0" fontId="199" fillId="18" borderId="19" xfId="0" applyFont="1" applyFill="1" applyBorder="1" applyAlignment="1" applyProtection="1">
      <alignment horizontal="right" vertical="center" wrapText="1"/>
      <protection hidden="1"/>
    </xf>
    <xf numFmtId="0" fontId="195" fillId="18" borderId="157" xfId="0" applyFont="1" applyFill="1" applyBorder="1" applyAlignment="1" applyProtection="1">
      <alignment horizontal="center" vertical="top" wrapText="1"/>
      <protection hidden="1"/>
    </xf>
    <xf numFmtId="0" fontId="196" fillId="18" borderId="0" xfId="0" applyFont="1" applyFill="1" applyBorder="1" applyAlignment="1" applyProtection="1">
      <alignment horizontal="center" vertical="top" wrapText="1"/>
      <protection hidden="1"/>
    </xf>
    <xf numFmtId="0" fontId="196" fillId="18" borderId="156" xfId="0" applyFont="1" applyFill="1" applyBorder="1" applyAlignment="1" applyProtection="1">
      <alignment horizontal="center" vertical="top" wrapText="1"/>
      <protection hidden="1"/>
    </xf>
    <xf numFmtId="0" fontId="196" fillId="18" borderId="19" xfId="0" applyFont="1" applyFill="1" applyBorder="1" applyAlignment="1" applyProtection="1">
      <alignment horizontal="center" vertical="top" wrapText="1"/>
      <protection hidden="1"/>
    </xf>
    <xf numFmtId="0" fontId="8" fillId="17" borderId="22" xfId="0" applyFont="1" applyFill="1" applyBorder="1" applyAlignment="1" applyProtection="1">
      <alignment horizontal="right" vertical="center" wrapText="1" shrinkToFit="1"/>
      <protection locked="0"/>
    </xf>
    <xf numFmtId="0" fontId="8" fillId="17" borderId="48" xfId="0" applyFont="1" applyFill="1" applyBorder="1" applyAlignment="1" applyProtection="1">
      <alignment horizontal="right" vertical="center" wrapText="1" shrinkToFit="1"/>
      <protection locked="0"/>
    </xf>
    <xf numFmtId="0" fontId="95" fillId="41" borderId="22" xfId="0" applyFont="1" applyFill="1" applyBorder="1" applyAlignment="1" applyProtection="1">
      <alignment horizontal="right" vertical="center" wrapText="1" shrinkToFit="1"/>
    </xf>
    <xf numFmtId="0" fontId="95" fillId="47" borderId="83" xfId="0" applyFont="1" applyFill="1" applyBorder="1" applyAlignment="1" applyProtection="1">
      <alignment horizontal="right" vertical="center" wrapText="1" shrinkToFit="1"/>
    </xf>
    <xf numFmtId="0" fontId="95" fillId="47" borderId="22" xfId="0" applyFont="1" applyFill="1" applyBorder="1" applyAlignment="1" applyProtection="1">
      <alignment horizontal="right" vertical="center" wrapText="1" shrinkToFit="1"/>
    </xf>
    <xf numFmtId="0" fontId="95" fillId="47" borderId="48" xfId="0" applyFont="1" applyFill="1" applyBorder="1" applyAlignment="1" applyProtection="1">
      <alignment horizontal="right" vertical="center" wrapText="1" shrinkToFit="1"/>
    </xf>
    <xf numFmtId="0" fontId="0" fillId="0" borderId="30" xfId="0" applyFill="1" applyBorder="1" applyAlignment="1" applyProtection="1">
      <protection locked="0"/>
    </xf>
    <xf numFmtId="0" fontId="0" fillId="0" borderId="43" xfId="0" applyFill="1" applyBorder="1" applyAlignment="1" applyProtection="1">
      <protection locked="0"/>
    </xf>
    <xf numFmtId="0" fontId="0" fillId="0" borderId="236" xfId="0" applyFill="1" applyBorder="1" applyAlignment="1" applyProtection="1">
      <protection locked="0"/>
    </xf>
    <xf numFmtId="0" fontId="0" fillId="0" borderId="237" xfId="0" applyFill="1" applyBorder="1" applyAlignment="1" applyProtection="1">
      <protection locked="0"/>
    </xf>
    <xf numFmtId="0" fontId="0" fillId="0" borderId="240" xfId="0" applyFill="1" applyBorder="1" applyAlignment="1" applyProtection="1">
      <protection locked="0"/>
    </xf>
    <xf numFmtId="0" fontId="0" fillId="0" borderId="239" xfId="0" applyFill="1" applyBorder="1" applyAlignment="1" applyProtection="1">
      <protection locked="0"/>
    </xf>
    <xf numFmtId="0" fontId="34" fillId="0" borderId="49" xfId="0" applyFont="1" applyFill="1" applyBorder="1" applyAlignment="1" applyProtection="1">
      <alignment horizontal="center" vertical="top" wrapText="1" shrinkToFit="1"/>
      <protection hidden="1"/>
    </xf>
    <xf numFmtId="0" fontId="0" fillId="0" borderId="44" xfId="0" applyFill="1" applyBorder="1" applyAlignment="1" applyProtection="1">
      <protection locked="0"/>
    </xf>
    <xf numFmtId="0" fontId="0" fillId="0" borderId="38" xfId="0" applyFill="1" applyBorder="1" applyAlignment="1" applyProtection="1">
      <protection locked="0"/>
    </xf>
    <xf numFmtId="0" fontId="0" fillId="0" borderId="125" xfId="0" applyFill="1" applyBorder="1" applyAlignment="1" applyProtection="1">
      <protection locked="0"/>
    </xf>
    <xf numFmtId="0" fontId="33" fillId="0" borderId="30" xfId="0" applyFont="1" applyFill="1" applyBorder="1" applyAlignment="1" applyProtection="1">
      <alignment vertical="center"/>
      <protection hidden="1"/>
    </xf>
    <xf numFmtId="0" fontId="33" fillId="0" borderId="43" xfId="0" applyFont="1" applyFill="1" applyBorder="1" applyAlignment="1" applyProtection="1">
      <alignment vertical="center"/>
      <protection hidden="1"/>
    </xf>
    <xf numFmtId="0" fontId="33" fillId="0" borderId="236" xfId="0" applyFont="1" applyFill="1" applyBorder="1" applyAlignment="1" applyProtection="1">
      <alignment vertical="center"/>
      <protection hidden="1"/>
    </xf>
    <xf numFmtId="0" fontId="33" fillId="0" borderId="30" xfId="0" applyFont="1" applyFill="1" applyBorder="1" applyAlignment="1" applyProtection="1">
      <protection hidden="1"/>
    </xf>
    <xf numFmtId="0" fontId="33" fillId="0" borderId="43" xfId="0" applyFont="1" applyFill="1" applyBorder="1" applyAlignment="1" applyProtection="1">
      <protection hidden="1"/>
    </xf>
    <xf numFmtId="0" fontId="33" fillId="0" borderId="236" xfId="0" applyFont="1" applyFill="1" applyBorder="1" applyAlignment="1" applyProtection="1">
      <protection hidden="1"/>
    </xf>
    <xf numFmtId="0" fontId="14" fillId="0" borderId="57" xfId="0" applyFont="1" applyFill="1" applyBorder="1" applyAlignment="1" applyProtection="1">
      <alignment horizontal="center" vertical="center" shrinkToFit="1"/>
      <protection hidden="1"/>
    </xf>
    <xf numFmtId="0" fontId="14" fillId="0" borderId="58" xfId="0" applyFont="1" applyFill="1" applyBorder="1" applyAlignment="1" applyProtection="1">
      <alignment horizontal="center" vertical="center" shrinkToFit="1"/>
      <protection hidden="1"/>
    </xf>
    <xf numFmtId="0" fontId="14" fillId="0" borderId="59" xfId="0" applyFont="1" applyFill="1" applyBorder="1" applyAlignment="1" applyProtection="1">
      <alignment horizontal="center" vertical="center" shrinkToFit="1"/>
      <protection hidden="1"/>
    </xf>
    <xf numFmtId="0" fontId="9" fillId="0" borderId="179" xfId="0" applyFont="1" applyFill="1" applyBorder="1" applyAlignment="1" applyProtection="1">
      <alignment horizontal="center" vertical="center" wrapText="1"/>
      <protection hidden="1"/>
    </xf>
    <xf numFmtId="0" fontId="9" fillId="0" borderId="41" xfId="0" applyFont="1" applyFill="1" applyBorder="1" applyAlignment="1" applyProtection="1">
      <alignment horizontal="center" vertical="center" wrapText="1"/>
      <protection hidden="1"/>
    </xf>
    <xf numFmtId="0" fontId="9" fillId="0" borderId="81" xfId="0" applyFont="1" applyFill="1" applyBorder="1" applyAlignment="1" applyProtection="1">
      <alignment horizontal="center" vertical="center" wrapText="1"/>
      <protection hidden="1"/>
    </xf>
    <xf numFmtId="0" fontId="9" fillId="0" borderId="121" xfId="0" applyFont="1" applyFill="1" applyBorder="1" applyAlignment="1" applyProtection="1">
      <alignment horizontal="center" vertical="center" wrapText="1"/>
      <protection hidden="1"/>
    </xf>
    <xf numFmtId="0" fontId="9" fillId="0" borderId="65" xfId="0" applyFont="1" applyFill="1" applyBorder="1" applyAlignment="1" applyProtection="1">
      <alignment horizontal="center" vertical="center"/>
      <protection hidden="1"/>
    </xf>
    <xf numFmtId="0" fontId="9" fillId="0" borderId="11" xfId="0" applyFont="1" applyFill="1" applyBorder="1" applyAlignment="1" applyProtection="1">
      <alignment horizontal="center" vertical="center"/>
      <protection hidden="1"/>
    </xf>
    <xf numFmtId="0" fontId="9" fillId="0" borderId="66" xfId="0" applyFont="1" applyFill="1" applyBorder="1" applyAlignment="1" applyProtection="1">
      <alignment horizontal="center" vertical="center"/>
      <protection hidden="1"/>
    </xf>
    <xf numFmtId="0" fontId="9" fillId="0" borderId="12" xfId="0" applyFont="1" applyFill="1" applyBorder="1" applyAlignment="1" applyProtection="1">
      <alignment horizontal="center" vertical="center"/>
      <protection hidden="1"/>
    </xf>
    <xf numFmtId="0" fontId="9" fillId="0" borderId="67" xfId="0" applyFont="1" applyFill="1" applyBorder="1" applyAlignment="1" applyProtection="1">
      <alignment horizontal="center" vertical="center"/>
      <protection hidden="1"/>
    </xf>
    <xf numFmtId="0" fontId="9" fillId="0" borderId="18" xfId="0" applyFont="1" applyFill="1" applyBorder="1" applyAlignment="1" applyProtection="1">
      <alignment horizontal="center" vertical="center"/>
      <protection hidden="1"/>
    </xf>
    <xf numFmtId="0" fontId="10" fillId="0" borderId="57" xfId="0" applyFont="1" applyFill="1" applyBorder="1" applyAlignment="1" applyProtection="1">
      <alignment horizontal="center" vertical="center"/>
      <protection hidden="1"/>
    </xf>
    <xf numFmtId="0" fontId="10" fillId="0" borderId="58" xfId="0" applyFont="1" applyFill="1" applyBorder="1" applyAlignment="1" applyProtection="1">
      <alignment horizontal="center" vertical="center"/>
      <protection hidden="1"/>
    </xf>
    <xf numFmtId="0" fontId="14" fillId="0" borderId="111" xfId="0" applyFont="1" applyFill="1" applyBorder="1" applyAlignment="1" applyProtection="1">
      <alignment horizontal="center" vertical="center"/>
      <protection hidden="1"/>
    </xf>
    <xf numFmtId="0" fontId="14" fillId="0" borderId="58" xfId="0" applyFont="1" applyFill="1" applyBorder="1" applyAlignment="1" applyProtection="1">
      <alignment horizontal="center" vertical="center"/>
      <protection hidden="1"/>
    </xf>
    <xf numFmtId="0" fontId="14" fillId="0" borderId="59" xfId="0" applyFont="1" applyFill="1" applyBorder="1" applyAlignment="1" applyProtection="1">
      <alignment horizontal="center" vertical="center"/>
      <protection hidden="1"/>
    </xf>
    <xf numFmtId="0" fontId="14" fillId="0" borderId="66" xfId="0" applyFont="1" applyFill="1" applyBorder="1" applyAlignment="1" applyProtection="1">
      <alignment horizontal="center" vertical="center"/>
      <protection hidden="1"/>
    </xf>
    <xf numFmtId="0" fontId="14" fillId="0" borderId="69" xfId="0" applyFont="1" applyFill="1" applyBorder="1" applyAlignment="1" applyProtection="1">
      <alignment horizontal="center" vertical="center"/>
      <protection hidden="1"/>
    </xf>
    <xf numFmtId="0" fontId="65" fillId="26" borderId="0" xfId="0" applyFont="1" applyFill="1" applyBorder="1" applyAlignment="1" applyProtection="1">
      <alignment vertical="center" wrapText="1"/>
      <protection hidden="1"/>
    </xf>
    <xf numFmtId="0" fontId="9" fillId="0" borderId="0" xfId="0" applyFont="1" applyFill="1" applyAlignment="1" applyProtection="1">
      <alignment vertical="center" shrinkToFit="1"/>
      <protection hidden="1"/>
    </xf>
    <xf numFmtId="0" fontId="24" fillId="0" borderId="0" xfId="0" applyFont="1" applyFill="1" applyProtection="1">
      <protection hidden="1"/>
    </xf>
    <xf numFmtId="0" fontId="14" fillId="20" borderId="57" xfId="0" applyFont="1" applyFill="1" applyBorder="1" applyAlignment="1" applyProtection="1">
      <alignment horizontal="center" vertical="center"/>
      <protection hidden="1"/>
    </xf>
    <xf numFmtId="0" fontId="14" fillId="20" borderId="136" xfId="0" applyFont="1" applyFill="1" applyBorder="1" applyAlignment="1" applyProtection="1">
      <alignment horizontal="center" vertical="center"/>
      <protection hidden="1"/>
    </xf>
    <xf numFmtId="0" fontId="249" fillId="52" borderId="110" xfId="0" applyFont="1" applyFill="1" applyBorder="1" applyAlignment="1" applyProtection="1">
      <alignment horizontal="center" vertical="center"/>
      <protection locked="0"/>
    </xf>
    <xf numFmtId="0" fontId="249" fillId="52" borderId="17" xfId="0" applyFont="1" applyFill="1" applyBorder="1" applyAlignment="1" applyProtection="1">
      <alignment horizontal="center" vertical="center"/>
      <protection locked="0"/>
    </xf>
    <xf numFmtId="0" fontId="249" fillId="52" borderId="58" xfId="0" applyFont="1" applyFill="1" applyBorder="1" applyAlignment="1" applyProtection="1">
      <alignment horizontal="center" vertical="center"/>
      <protection locked="0"/>
    </xf>
    <xf numFmtId="0" fontId="249" fillId="52" borderId="53" xfId="0" applyFont="1" applyFill="1" applyBorder="1" applyAlignment="1" applyProtection="1">
      <alignment horizontal="center" vertical="center"/>
      <protection locked="0"/>
    </xf>
    <xf numFmtId="0" fontId="249" fillId="52" borderId="59" xfId="0" applyFont="1" applyFill="1" applyBorder="1" applyAlignment="1" applyProtection="1">
      <alignment horizontal="center" vertical="center"/>
      <protection locked="0"/>
    </xf>
    <xf numFmtId="0" fontId="249" fillId="52" borderId="219" xfId="0" applyFont="1" applyFill="1" applyBorder="1" applyAlignment="1" applyProtection="1">
      <alignment horizontal="center" vertical="center"/>
      <protection locked="0"/>
    </xf>
    <xf numFmtId="0" fontId="9" fillId="20" borderId="7" xfId="0" applyFont="1" applyFill="1" applyBorder="1" applyAlignment="1" applyProtection="1">
      <alignment horizontal="center" vertical="center"/>
      <protection hidden="1"/>
    </xf>
    <xf numFmtId="0" fontId="9" fillId="20" borderId="11" xfId="0" applyFont="1" applyFill="1" applyBorder="1" applyAlignment="1" applyProtection="1">
      <alignment horizontal="center" vertical="center"/>
      <protection hidden="1"/>
    </xf>
    <xf numFmtId="0" fontId="9" fillId="20" borderId="8" xfId="0" applyFont="1" applyFill="1" applyBorder="1" applyAlignment="1" applyProtection="1">
      <alignment horizontal="center" vertical="center"/>
      <protection hidden="1"/>
    </xf>
    <xf numFmtId="0" fontId="9" fillId="20" borderId="12" xfId="0" applyFont="1" applyFill="1" applyBorder="1" applyAlignment="1" applyProtection="1">
      <alignment horizontal="center" vertical="center"/>
      <protection hidden="1"/>
    </xf>
    <xf numFmtId="0" fontId="9" fillId="20" borderId="23" xfId="0" applyFont="1" applyFill="1" applyBorder="1" applyAlignment="1" applyProtection="1">
      <alignment horizontal="center" vertical="center"/>
      <protection hidden="1"/>
    </xf>
    <xf numFmtId="0" fontId="9" fillId="20" borderId="18" xfId="0" applyFont="1" applyFill="1" applyBorder="1" applyAlignment="1" applyProtection="1">
      <alignment horizontal="center" vertical="center"/>
      <protection hidden="1"/>
    </xf>
    <xf numFmtId="0" fontId="244" fillId="33" borderId="214" xfId="0" applyFont="1" applyFill="1" applyBorder="1" applyAlignment="1" applyProtection="1">
      <alignment vertical="center" wrapText="1"/>
      <protection hidden="1"/>
    </xf>
    <xf numFmtId="0" fontId="244" fillId="33" borderId="81" xfId="0" applyFont="1" applyFill="1" applyBorder="1" applyAlignment="1" applyProtection="1">
      <alignment vertical="center" wrapText="1"/>
      <protection hidden="1"/>
    </xf>
    <xf numFmtId="0" fontId="244" fillId="33" borderId="25" xfId="0" applyFont="1" applyFill="1" applyBorder="1" applyAlignment="1" applyProtection="1">
      <alignment vertical="center" wrapText="1"/>
      <protection hidden="1"/>
    </xf>
    <xf numFmtId="0" fontId="244" fillId="33" borderId="122" xfId="0" applyFont="1" applyFill="1" applyBorder="1" applyAlignment="1" applyProtection="1">
      <alignment vertical="center" wrapText="1"/>
      <protection hidden="1"/>
    </xf>
    <xf numFmtId="0" fontId="40" fillId="18" borderId="73" xfId="0" applyFont="1" applyFill="1" applyBorder="1" applyAlignment="1" applyProtection="1">
      <alignment horizontal="left" vertical="center" wrapText="1" indent="1"/>
      <protection hidden="1"/>
    </xf>
    <xf numFmtId="0" fontId="40" fillId="18" borderId="0" xfId="0" applyFont="1" applyFill="1" applyBorder="1" applyAlignment="1" applyProtection="1">
      <alignment horizontal="left" vertical="center" wrapText="1" indent="1"/>
      <protection hidden="1"/>
    </xf>
    <xf numFmtId="0" fontId="40" fillId="18" borderId="56" xfId="0" applyFont="1" applyFill="1" applyBorder="1" applyAlignment="1" applyProtection="1">
      <alignment horizontal="left" vertical="center" wrapText="1" indent="1"/>
      <protection hidden="1"/>
    </xf>
    <xf numFmtId="0" fontId="40" fillId="18" borderId="16" xfId="0" applyFont="1" applyFill="1" applyBorder="1" applyAlignment="1" applyProtection="1">
      <alignment horizontal="left" vertical="center" wrapText="1" indent="1"/>
      <protection hidden="1"/>
    </xf>
    <xf numFmtId="0" fontId="222" fillId="18" borderId="25" xfId="0" applyFont="1" applyFill="1" applyBorder="1" applyAlignment="1" applyProtection="1">
      <alignment vertical="center" wrapText="1"/>
      <protection hidden="1"/>
    </xf>
    <xf numFmtId="0" fontId="222" fillId="18" borderId="122" xfId="0" applyFont="1" applyFill="1" applyBorder="1" applyAlignment="1" applyProtection="1">
      <alignment vertical="center" wrapText="1"/>
      <protection hidden="1"/>
    </xf>
    <xf numFmtId="0" fontId="222" fillId="18" borderId="37" xfId="0" applyFont="1" applyFill="1" applyBorder="1" applyAlignment="1" applyProtection="1">
      <alignment vertical="center" wrapText="1"/>
      <protection hidden="1"/>
    </xf>
    <xf numFmtId="0" fontId="222" fillId="18" borderId="121" xfId="0" applyFont="1" applyFill="1" applyBorder="1" applyAlignment="1" applyProtection="1">
      <alignment vertical="center" wrapText="1"/>
      <protection hidden="1"/>
    </xf>
    <xf numFmtId="0" fontId="2" fillId="52" borderId="65" xfId="0" applyFont="1" applyFill="1" applyBorder="1" applyAlignment="1" applyProtection="1">
      <alignment horizontal="center" vertical="center"/>
      <protection hidden="1"/>
    </xf>
    <xf numFmtId="0" fontId="2" fillId="52" borderId="11" xfId="0" applyFont="1" applyFill="1" applyBorder="1" applyAlignment="1" applyProtection="1">
      <alignment horizontal="center" vertical="center"/>
      <protection hidden="1"/>
    </xf>
    <xf numFmtId="0" fontId="249" fillId="52" borderId="111" xfId="0" applyFont="1" applyFill="1" applyBorder="1" applyAlignment="1" applyProtection="1">
      <alignment horizontal="center" vertical="center"/>
      <protection locked="0"/>
    </xf>
    <xf numFmtId="0" fontId="249" fillId="52" borderId="15" xfId="0" applyFont="1" applyFill="1" applyBorder="1" applyAlignment="1" applyProtection="1">
      <alignment horizontal="center" vertical="center"/>
      <protection locked="0"/>
    </xf>
    <xf numFmtId="0" fontId="14" fillId="20" borderId="105" xfId="0" applyFont="1" applyFill="1" applyBorder="1" applyAlignment="1" applyProtection="1">
      <alignment horizontal="center" vertical="center"/>
      <protection hidden="1"/>
    </xf>
    <xf numFmtId="0" fontId="14" fillId="20" borderId="56" xfId="0" applyFont="1" applyFill="1" applyBorder="1" applyAlignment="1" applyProtection="1">
      <alignment horizontal="center" vertical="center"/>
      <protection hidden="1"/>
    </xf>
    <xf numFmtId="0" fontId="14" fillId="20" borderId="6" xfId="0" applyFont="1" applyFill="1" applyBorder="1" applyAlignment="1" applyProtection="1">
      <alignment horizontal="center" vertical="center"/>
      <protection hidden="1"/>
    </xf>
    <xf numFmtId="0" fontId="14" fillId="20" borderId="18" xfId="0" applyFont="1" applyFill="1" applyBorder="1" applyAlignment="1" applyProtection="1">
      <alignment horizontal="center" vertical="center"/>
      <protection hidden="1"/>
    </xf>
    <xf numFmtId="0" fontId="14" fillId="20" borderId="111" xfId="0" applyFont="1" applyFill="1" applyBorder="1" applyAlignment="1" applyProtection="1">
      <alignment horizontal="center" vertical="center"/>
      <protection hidden="1"/>
    </xf>
    <xf numFmtId="0" fontId="14" fillId="20" borderId="58" xfId="0" applyFont="1" applyFill="1" applyBorder="1" applyAlignment="1" applyProtection="1">
      <alignment horizontal="center" vertical="center"/>
      <protection hidden="1"/>
    </xf>
    <xf numFmtId="0" fontId="14" fillId="20" borderId="59" xfId="0" applyFont="1" applyFill="1" applyBorder="1" applyAlignment="1" applyProtection="1">
      <alignment horizontal="center" vertical="center"/>
      <protection hidden="1"/>
    </xf>
    <xf numFmtId="0" fontId="18" fillId="0" borderId="0" xfId="0" applyFont="1" applyBorder="1" applyAlignment="1" applyProtection="1">
      <alignment vertical="center"/>
      <protection hidden="1"/>
    </xf>
    <xf numFmtId="0" fontId="27" fillId="22" borderId="79" xfId="0" applyFont="1" applyFill="1" applyBorder="1" applyAlignment="1" applyProtection="1">
      <alignment vertical="center"/>
      <protection hidden="1"/>
    </xf>
    <xf numFmtId="0" fontId="14" fillId="0" borderId="1" xfId="0" applyFont="1" applyBorder="1" applyAlignment="1" applyProtection="1">
      <alignment horizontal="center" vertical="center"/>
      <protection hidden="1"/>
    </xf>
    <xf numFmtId="0" fontId="14" fillId="0" borderId="1" xfId="0" applyFont="1" applyBorder="1" applyAlignment="1" applyProtection="1">
      <alignment horizontal="center"/>
      <protection hidden="1"/>
    </xf>
    <xf numFmtId="0" fontId="9" fillId="24" borderId="114" xfId="0" applyFont="1" applyFill="1" applyBorder="1" applyAlignment="1" applyProtection="1">
      <alignment horizontal="center" vertical="center"/>
      <protection hidden="1"/>
    </xf>
    <xf numFmtId="0" fontId="9" fillId="24" borderId="42" xfId="0" applyFont="1" applyFill="1" applyBorder="1" applyAlignment="1" applyProtection="1">
      <alignment horizontal="center" vertical="center"/>
      <protection hidden="1"/>
    </xf>
    <xf numFmtId="0" fontId="11" fillId="24" borderId="16" xfId="0" applyFont="1" applyFill="1" applyBorder="1" applyAlignment="1" applyProtection="1">
      <alignment horizontal="center" vertical="center" wrapText="1"/>
      <protection hidden="1"/>
    </xf>
    <xf numFmtId="0" fontId="11" fillId="24" borderId="16" xfId="0" applyFont="1" applyFill="1" applyBorder="1" applyAlignment="1" applyProtection="1">
      <alignment horizontal="center" vertical="center"/>
      <protection hidden="1"/>
    </xf>
    <xf numFmtId="0" fontId="9" fillId="24" borderId="8" xfId="0" applyFont="1" applyFill="1" applyBorder="1" applyAlignment="1" applyProtection="1">
      <alignment horizontal="center" vertical="center" wrapText="1"/>
      <protection hidden="1"/>
    </xf>
    <xf numFmtId="0" fontId="9" fillId="24" borderId="12" xfId="0" applyFont="1" applyFill="1" applyBorder="1" applyAlignment="1" applyProtection="1">
      <alignment horizontal="center" vertical="center" wrapText="1"/>
      <protection hidden="1"/>
    </xf>
    <xf numFmtId="0" fontId="13" fillId="20" borderId="68" xfId="0" applyFont="1" applyFill="1" applyBorder="1" applyAlignment="1" applyProtection="1">
      <alignment horizontal="center" vertical="center"/>
      <protection hidden="1"/>
    </xf>
    <xf numFmtId="0" fontId="13" fillId="20" borderId="113" xfId="0" applyFont="1" applyFill="1" applyBorder="1" applyAlignment="1" applyProtection="1">
      <alignment horizontal="center" vertical="center"/>
      <protection hidden="1"/>
    </xf>
    <xf numFmtId="0" fontId="13" fillId="20" borderId="56" xfId="0" applyFont="1" applyFill="1" applyBorder="1" applyAlignment="1" applyProtection="1">
      <alignment horizontal="center" vertical="center"/>
      <protection hidden="1"/>
    </xf>
    <xf numFmtId="0" fontId="13" fillId="20" borderId="16" xfId="0" applyFont="1" applyFill="1" applyBorder="1" applyAlignment="1" applyProtection="1">
      <alignment horizontal="center" vertical="center"/>
      <protection hidden="1"/>
    </xf>
    <xf numFmtId="0" fontId="13" fillId="20" borderId="214" xfId="0" applyFont="1" applyFill="1" applyBorder="1" applyAlignment="1" applyProtection="1">
      <alignment horizontal="center" vertical="center"/>
      <protection hidden="1"/>
    </xf>
    <xf numFmtId="0" fontId="13" fillId="20" borderId="81" xfId="0" applyFont="1" applyFill="1" applyBorder="1" applyAlignment="1" applyProtection="1">
      <alignment horizontal="center" vertical="center"/>
      <protection hidden="1"/>
    </xf>
    <xf numFmtId="0" fontId="13" fillId="20" borderId="37" xfId="0" applyFont="1" applyFill="1" applyBorder="1" applyAlignment="1" applyProtection="1">
      <alignment horizontal="center" vertical="center"/>
      <protection hidden="1"/>
    </xf>
    <xf numFmtId="0" fontId="13" fillId="20" borderId="121" xfId="0" applyFont="1" applyFill="1" applyBorder="1" applyAlignment="1" applyProtection="1">
      <alignment horizontal="center" vertical="center"/>
      <protection hidden="1"/>
    </xf>
    <xf numFmtId="0" fontId="9" fillId="20" borderId="65" xfId="0" applyFont="1" applyFill="1" applyBorder="1" applyAlignment="1" applyProtection="1">
      <alignment horizontal="center" vertical="center"/>
      <protection hidden="1"/>
    </xf>
    <xf numFmtId="0" fontId="9" fillId="20" borderId="66" xfId="0" applyFont="1" applyFill="1" applyBorder="1" applyAlignment="1" applyProtection="1">
      <alignment horizontal="center" vertical="center"/>
      <protection hidden="1"/>
    </xf>
    <xf numFmtId="0" fontId="9" fillId="20" borderId="67" xfId="0" applyFont="1" applyFill="1" applyBorder="1" applyAlignment="1" applyProtection="1">
      <alignment horizontal="center" vertical="center"/>
      <protection hidden="1"/>
    </xf>
    <xf numFmtId="0" fontId="9" fillId="24" borderId="124" xfId="0" applyFont="1" applyFill="1" applyBorder="1" applyAlignment="1" applyProtection="1">
      <alignment horizontal="center" vertical="center"/>
      <protection hidden="1"/>
    </xf>
    <xf numFmtId="0" fontId="9" fillId="24" borderId="47" xfId="0" applyFont="1" applyFill="1" applyBorder="1" applyAlignment="1" applyProtection="1">
      <alignment horizontal="center" vertical="center"/>
      <protection hidden="1"/>
    </xf>
    <xf numFmtId="0" fontId="9" fillId="25" borderId="68" xfId="0" applyFont="1" applyFill="1" applyBorder="1" applyAlignment="1" applyProtection="1">
      <alignment horizontal="center" vertical="center"/>
      <protection hidden="1"/>
    </xf>
    <xf numFmtId="0" fontId="9" fillId="25" borderId="56" xfId="0" applyFont="1" applyFill="1" applyBorder="1" applyAlignment="1" applyProtection="1">
      <alignment horizontal="center" vertical="center"/>
      <protection hidden="1"/>
    </xf>
    <xf numFmtId="0" fontId="9" fillId="25" borderId="114" xfId="0" applyFont="1" applyFill="1" applyBorder="1" applyAlignment="1" applyProtection="1">
      <alignment horizontal="center" vertical="center" wrapText="1"/>
      <protection hidden="1"/>
    </xf>
    <xf numFmtId="0" fontId="9" fillId="25" borderId="42" xfId="0" applyFont="1" applyFill="1" applyBorder="1" applyAlignment="1" applyProtection="1">
      <alignment horizontal="center" vertical="center" wrapText="1"/>
      <protection hidden="1"/>
    </xf>
    <xf numFmtId="0" fontId="14" fillId="25" borderId="57" xfId="0" applyFont="1" applyFill="1" applyBorder="1" applyAlignment="1" applyProtection="1">
      <alignment horizontal="center" vertical="center" shrinkToFit="1"/>
      <protection hidden="1"/>
    </xf>
    <xf numFmtId="0" fontId="14" fillId="25" borderId="58" xfId="0" applyFont="1" applyFill="1" applyBorder="1" applyAlignment="1" applyProtection="1">
      <alignment horizontal="center" vertical="center" shrinkToFit="1"/>
      <protection hidden="1"/>
    </xf>
    <xf numFmtId="0" fontId="14" fillId="25" borderId="59" xfId="0" applyFont="1" applyFill="1" applyBorder="1" applyAlignment="1" applyProtection="1">
      <alignment horizontal="center" vertical="center" shrinkToFit="1"/>
      <protection hidden="1"/>
    </xf>
    <xf numFmtId="0" fontId="9" fillId="25" borderId="66" xfId="0" applyFont="1" applyFill="1" applyBorder="1" applyAlignment="1" applyProtection="1">
      <alignment horizontal="center" vertical="center" wrapText="1"/>
      <protection hidden="1"/>
    </xf>
    <xf numFmtId="0" fontId="9" fillId="25" borderId="12" xfId="0" applyFont="1" applyFill="1" applyBorder="1" applyAlignment="1" applyProtection="1">
      <alignment horizontal="center" vertical="center" wrapText="1"/>
      <protection hidden="1"/>
    </xf>
    <xf numFmtId="0" fontId="11" fillId="25" borderId="16" xfId="0" applyFont="1" applyFill="1" applyBorder="1" applyAlignment="1" applyProtection="1">
      <alignment horizontal="center" vertical="center" wrapText="1"/>
      <protection hidden="1"/>
    </xf>
    <xf numFmtId="0" fontId="14" fillId="24" borderId="79" xfId="0" applyFont="1" applyFill="1" applyBorder="1" applyAlignment="1" applyProtection="1">
      <alignment horizontal="center" vertical="center"/>
      <protection hidden="1"/>
    </xf>
    <xf numFmtId="0" fontId="9" fillId="24" borderId="80" xfId="0" applyFont="1" applyFill="1" applyBorder="1" applyAlignment="1" applyProtection="1">
      <alignment horizontal="center" vertical="center"/>
      <protection hidden="1"/>
    </xf>
    <xf numFmtId="0" fontId="9" fillId="24" borderId="79" xfId="0" applyFont="1" applyFill="1" applyBorder="1" applyAlignment="1" applyProtection="1">
      <alignment horizontal="center"/>
      <protection hidden="1"/>
    </xf>
    <xf numFmtId="0" fontId="105" fillId="23" borderId="2" xfId="0" applyFont="1" applyFill="1" applyBorder="1" applyAlignment="1" applyProtection="1">
      <alignment horizontal="center" vertical="center"/>
      <protection hidden="1"/>
    </xf>
    <xf numFmtId="0" fontId="105" fillId="23" borderId="34" xfId="0" applyFont="1" applyFill="1" applyBorder="1" applyAlignment="1" applyProtection="1">
      <alignment horizontal="center" vertical="center"/>
      <protection hidden="1"/>
    </xf>
    <xf numFmtId="0" fontId="105" fillId="23" borderId="3" xfId="0" applyFont="1" applyFill="1" applyBorder="1" applyAlignment="1" applyProtection="1">
      <alignment horizontal="center" vertical="center"/>
      <protection hidden="1"/>
    </xf>
    <xf numFmtId="0" fontId="11" fillId="25" borderId="16" xfId="0" applyFont="1" applyFill="1" applyBorder="1" applyAlignment="1" applyProtection="1">
      <alignment horizontal="center" vertical="center"/>
      <protection hidden="1"/>
    </xf>
    <xf numFmtId="0" fontId="18" fillId="0" borderId="2" xfId="0" applyFont="1" applyBorder="1" applyAlignment="1" applyProtection="1">
      <alignment vertical="center"/>
      <protection hidden="1"/>
    </xf>
    <xf numFmtId="0" fontId="18" fillId="0" borderId="34" xfId="0" applyFont="1" applyBorder="1" applyAlignment="1" applyProtection="1">
      <alignment vertical="center"/>
      <protection hidden="1"/>
    </xf>
    <xf numFmtId="0" fontId="18" fillId="0" borderId="3" xfId="0" applyFont="1" applyBorder="1" applyAlignment="1" applyProtection="1">
      <alignment vertical="center"/>
      <protection hidden="1"/>
    </xf>
    <xf numFmtId="0" fontId="10" fillId="24" borderId="124" xfId="0" applyFont="1" applyFill="1" applyBorder="1" applyAlignment="1" applyProtection="1">
      <alignment horizontal="center" vertical="center"/>
      <protection hidden="1"/>
    </xf>
    <xf numFmtId="0" fontId="10" fillId="24" borderId="47" xfId="0" applyFont="1" applyFill="1" applyBorder="1" applyAlignment="1" applyProtection="1">
      <alignment horizontal="center" vertical="center"/>
      <protection hidden="1"/>
    </xf>
    <xf numFmtId="0" fontId="10" fillId="24" borderId="83" xfId="0" applyFont="1" applyFill="1" applyBorder="1" applyAlignment="1" applyProtection="1">
      <alignment horizontal="center" vertical="center"/>
      <protection hidden="1"/>
    </xf>
    <xf numFmtId="0" fontId="10" fillId="24" borderId="48" xfId="0" applyFont="1" applyFill="1" applyBorder="1" applyAlignment="1" applyProtection="1">
      <alignment horizontal="center" vertical="center"/>
      <protection hidden="1"/>
    </xf>
    <xf numFmtId="0" fontId="14" fillId="0" borderId="2" xfId="0" applyFont="1" applyBorder="1" applyAlignment="1" applyProtection="1">
      <alignment horizontal="center" vertical="center"/>
      <protection hidden="1"/>
    </xf>
    <xf numFmtId="0" fontId="14" fillId="0" borderId="34" xfId="0" applyFont="1" applyBorder="1" applyAlignment="1" applyProtection="1">
      <alignment horizontal="center" vertical="center"/>
      <protection hidden="1"/>
    </xf>
    <xf numFmtId="0" fontId="14" fillId="0" borderId="3" xfId="0" applyFont="1" applyBorder="1" applyAlignment="1" applyProtection="1">
      <alignment horizontal="center" vertical="center"/>
      <protection hidden="1"/>
    </xf>
    <xf numFmtId="0" fontId="7" fillId="11" borderId="190" xfId="0" applyFont="1" applyFill="1" applyBorder="1" applyAlignment="1" applyProtection="1">
      <alignment horizontal="center" vertical="top" wrapText="1"/>
      <protection hidden="1"/>
    </xf>
    <xf numFmtId="0" fontId="7" fillId="11" borderId="203" xfId="0" applyFont="1" applyFill="1" applyBorder="1" applyAlignment="1" applyProtection="1">
      <alignment horizontal="center" vertical="top" wrapText="1"/>
      <protection hidden="1"/>
    </xf>
    <xf numFmtId="0" fontId="9" fillId="53" borderId="225" xfId="0" applyFont="1" applyFill="1" applyBorder="1" applyAlignment="1" applyProtection="1">
      <alignment vertical="top" wrapText="1"/>
      <protection hidden="1"/>
    </xf>
    <xf numFmtId="0" fontId="9" fillId="53" borderId="226" xfId="0" applyFont="1" applyFill="1" applyBorder="1" applyAlignment="1" applyProtection="1">
      <alignment vertical="top" wrapText="1"/>
      <protection hidden="1"/>
    </xf>
    <xf numFmtId="0" fontId="9" fillId="53" borderId="227" xfId="0" applyFont="1" applyFill="1" applyBorder="1" applyAlignment="1" applyProtection="1">
      <alignment vertical="top" wrapText="1"/>
      <protection hidden="1"/>
    </xf>
    <xf numFmtId="0" fontId="9" fillId="53" borderId="231" xfId="0" applyFont="1" applyFill="1" applyBorder="1" applyAlignment="1" applyProtection="1">
      <alignment vertical="top" wrapText="1"/>
      <protection hidden="1"/>
    </xf>
    <xf numFmtId="0" fontId="9" fillId="53" borderId="232" xfId="0" applyFont="1" applyFill="1" applyBorder="1" applyAlignment="1" applyProtection="1">
      <alignment vertical="top" wrapText="1"/>
      <protection hidden="1"/>
    </xf>
    <xf numFmtId="0" fontId="9" fillId="53" borderId="233" xfId="0" applyFont="1" applyFill="1" applyBorder="1" applyAlignment="1" applyProtection="1">
      <alignment vertical="top" wrapText="1"/>
      <protection hidden="1"/>
    </xf>
    <xf numFmtId="0" fontId="38" fillId="45" borderId="127" xfId="0" applyFont="1" applyFill="1" applyBorder="1" applyAlignment="1" applyProtection="1">
      <alignment horizontal="center" vertical="center" shrinkToFit="1"/>
      <protection hidden="1"/>
    </xf>
    <xf numFmtId="0" fontId="237" fillId="53" borderId="191" xfId="0" applyFont="1" applyFill="1" applyBorder="1" applyAlignment="1" applyProtection="1">
      <alignment vertical="top" wrapText="1"/>
      <protection hidden="1"/>
    </xf>
    <xf numFmtId="0" fontId="237" fillId="53" borderId="192" xfId="0" applyFont="1" applyFill="1" applyBorder="1" applyAlignment="1" applyProtection="1">
      <alignment vertical="top" wrapText="1"/>
      <protection hidden="1"/>
    </xf>
    <xf numFmtId="0" fontId="7" fillId="11" borderId="190" xfId="0" applyFont="1" applyFill="1" applyBorder="1" applyAlignment="1" applyProtection="1">
      <alignment horizontal="center" vertical="top" shrinkToFit="1"/>
      <protection hidden="1"/>
    </xf>
    <xf numFmtId="0" fontId="237" fillId="53" borderId="191" xfId="0" applyFont="1" applyFill="1" applyBorder="1" applyAlignment="1" applyProtection="1">
      <alignment vertical="top" wrapText="1" shrinkToFit="1"/>
      <protection hidden="1"/>
    </xf>
    <xf numFmtId="0" fontId="237" fillId="53" borderId="192" xfId="0" applyFont="1" applyFill="1" applyBorder="1" applyAlignment="1" applyProtection="1">
      <alignment vertical="top" wrapText="1" shrinkToFit="1"/>
      <protection hidden="1"/>
    </xf>
    <xf numFmtId="0" fontId="168" fillId="45" borderId="215" xfId="0" applyFont="1" applyFill="1" applyBorder="1" applyAlignment="1" applyProtection="1">
      <alignment vertical="center"/>
      <protection hidden="1"/>
    </xf>
    <xf numFmtId="0" fontId="168" fillId="45" borderId="127" xfId="0" applyFont="1" applyFill="1" applyBorder="1" applyAlignment="1" applyProtection="1">
      <alignment vertical="center"/>
      <protection hidden="1"/>
    </xf>
    <xf numFmtId="0" fontId="238" fillId="53" borderId="191" xfId="0" applyFont="1" applyFill="1" applyBorder="1" applyAlignment="1" applyProtection="1">
      <alignment vertical="top" wrapText="1"/>
      <protection hidden="1"/>
    </xf>
    <xf numFmtId="0" fontId="238" fillId="53" borderId="192" xfId="0" applyFont="1" applyFill="1" applyBorder="1" applyAlignment="1" applyProtection="1">
      <alignment vertical="top" wrapText="1"/>
      <protection hidden="1"/>
    </xf>
    <xf numFmtId="0" fontId="237" fillId="53" borderId="191" xfId="0" applyFont="1" applyFill="1" applyBorder="1" applyAlignment="1" applyProtection="1">
      <alignment horizontal="left" vertical="top" wrapText="1" shrinkToFit="1"/>
      <protection hidden="1"/>
    </xf>
    <xf numFmtId="0" fontId="237" fillId="53" borderId="192" xfId="0" applyFont="1" applyFill="1" applyBorder="1" applyAlignment="1" applyProtection="1">
      <alignment horizontal="left" vertical="top" wrapText="1" shrinkToFit="1"/>
      <protection hidden="1"/>
    </xf>
    <xf numFmtId="0" fontId="7" fillId="11" borderId="224" xfId="0" applyFont="1" applyFill="1" applyBorder="1" applyAlignment="1" applyProtection="1">
      <alignment horizontal="center" vertical="top" shrinkToFit="1"/>
      <protection hidden="1"/>
    </xf>
    <xf numFmtId="0" fontId="7" fillId="11" borderId="228" xfId="0" applyFont="1" applyFill="1" applyBorder="1" applyAlignment="1" applyProtection="1">
      <alignment horizontal="center" vertical="top" shrinkToFit="1"/>
      <protection hidden="1"/>
    </xf>
    <xf numFmtId="0" fontId="2" fillId="53" borderId="225" xfId="0" applyFont="1" applyFill="1" applyBorder="1" applyAlignment="1" applyProtection="1">
      <alignment vertical="top" wrapText="1"/>
      <protection hidden="1"/>
    </xf>
    <xf numFmtId="0" fontId="2" fillId="53" borderId="226" xfId="0" applyFont="1" applyFill="1" applyBorder="1" applyAlignment="1" applyProtection="1">
      <alignment vertical="top" wrapText="1"/>
      <protection hidden="1"/>
    </xf>
    <xf numFmtId="0" fontId="2" fillId="53" borderId="227" xfId="0" applyFont="1" applyFill="1" applyBorder="1" applyAlignment="1" applyProtection="1">
      <alignment vertical="top" wrapText="1"/>
      <protection hidden="1"/>
    </xf>
    <xf numFmtId="0" fontId="148" fillId="25" borderId="0" xfId="0" applyFont="1" applyFill="1" applyBorder="1" applyAlignment="1" applyProtection="1">
      <alignment horizontal="right" vertical="center" wrapText="1" shrinkToFit="1"/>
      <protection hidden="1"/>
    </xf>
    <xf numFmtId="0" fontId="148" fillId="25" borderId="122" xfId="0" applyFont="1" applyFill="1" applyBorder="1" applyAlignment="1" applyProtection="1">
      <alignment horizontal="right" vertical="center" wrapText="1" shrinkToFit="1"/>
      <protection hidden="1"/>
    </xf>
    <xf numFmtId="0" fontId="240" fillId="46" borderId="212" xfId="0" applyFont="1" applyFill="1" applyBorder="1" applyAlignment="1" applyProtection="1">
      <alignment vertical="center" shrinkToFit="1"/>
      <protection hidden="1"/>
    </xf>
    <xf numFmtId="0" fontId="240" fillId="46" borderId="213" xfId="0" applyFont="1" applyFill="1" applyBorder="1" applyAlignment="1" applyProtection="1">
      <alignment vertical="center" shrinkToFit="1"/>
      <protection hidden="1"/>
    </xf>
    <xf numFmtId="0" fontId="240" fillId="46" borderId="215" xfId="0" applyFont="1" applyFill="1" applyBorder="1" applyAlignment="1" applyProtection="1">
      <alignment vertical="center" shrinkToFit="1"/>
      <protection hidden="1"/>
    </xf>
    <xf numFmtId="0" fontId="240" fillId="46" borderId="216" xfId="0" applyFont="1" applyFill="1" applyBorder="1" applyAlignment="1" applyProtection="1">
      <alignment vertical="center" shrinkToFit="1"/>
      <protection hidden="1"/>
    </xf>
    <xf numFmtId="0" fontId="241" fillId="33" borderId="214" xfId="0" applyFont="1" applyFill="1" applyBorder="1" applyAlignment="1" applyProtection="1">
      <alignment horizontal="right" vertical="center" wrapText="1"/>
      <protection hidden="1"/>
    </xf>
    <xf numFmtId="0" fontId="241" fillId="33" borderId="81" xfId="0" applyFont="1" applyFill="1" applyBorder="1" applyAlignment="1" applyProtection="1">
      <alignment horizontal="right" vertical="center" wrapText="1"/>
      <protection hidden="1"/>
    </xf>
    <xf numFmtId="0" fontId="241" fillId="33" borderId="25" xfId="0" applyFont="1" applyFill="1" applyBorder="1" applyAlignment="1" applyProtection="1">
      <alignment horizontal="right" vertical="center" wrapText="1"/>
      <protection hidden="1"/>
    </xf>
    <xf numFmtId="0" fontId="241" fillId="33" borderId="122" xfId="0" applyFont="1" applyFill="1" applyBorder="1" applyAlignment="1" applyProtection="1">
      <alignment horizontal="right" vertical="center" wrapText="1"/>
      <protection hidden="1"/>
    </xf>
    <xf numFmtId="0" fontId="9" fillId="46" borderId="73" xfId="0" applyFont="1" applyFill="1" applyBorder="1" applyAlignment="1" applyProtection="1">
      <alignment horizontal="left" vertical="center" indent="1"/>
      <protection hidden="1"/>
    </xf>
    <xf numFmtId="0" fontId="9" fillId="46" borderId="24" xfId="0" applyFont="1" applyFill="1" applyBorder="1" applyAlignment="1" applyProtection="1">
      <alignment horizontal="left" vertical="center" indent="1"/>
      <protection hidden="1"/>
    </xf>
    <xf numFmtId="0" fontId="181" fillId="49" borderId="25" xfId="0" applyFont="1" applyFill="1" applyBorder="1" applyAlignment="1" applyProtection="1">
      <alignment horizontal="right" vertical="center" wrapText="1"/>
      <protection hidden="1"/>
    </xf>
    <xf numFmtId="0" fontId="181" fillId="49" borderId="122" xfId="0" applyFont="1" applyFill="1" applyBorder="1" applyAlignment="1" applyProtection="1">
      <alignment horizontal="right" vertical="center" wrapText="1"/>
      <protection hidden="1"/>
    </xf>
    <xf numFmtId="0" fontId="181" fillId="49" borderId="37" xfId="0" applyFont="1" applyFill="1" applyBorder="1" applyAlignment="1" applyProtection="1">
      <alignment horizontal="right" vertical="center" wrapText="1"/>
      <protection hidden="1"/>
    </xf>
    <xf numFmtId="0" fontId="181" fillId="49" borderId="121" xfId="0" applyFont="1" applyFill="1" applyBorder="1" applyAlignment="1" applyProtection="1">
      <alignment horizontal="right" vertical="center" wrapText="1"/>
      <protection hidden="1"/>
    </xf>
    <xf numFmtId="0" fontId="242" fillId="51" borderId="68" xfId="2" applyFont="1" applyFill="1" applyBorder="1" applyAlignment="1" applyProtection="1">
      <alignment horizontal="center" vertical="center"/>
      <protection locked="0" hidden="1"/>
    </xf>
    <xf numFmtId="0" fontId="242" fillId="51" borderId="179" xfId="2" applyFont="1" applyFill="1" applyBorder="1" applyAlignment="1" applyProtection="1">
      <alignment horizontal="center" vertical="center"/>
      <protection locked="0" hidden="1"/>
    </xf>
    <xf numFmtId="0" fontId="242" fillId="51" borderId="217" xfId="2" applyFont="1" applyFill="1" applyBorder="1" applyAlignment="1" applyProtection="1">
      <alignment horizontal="center" vertical="center"/>
      <protection locked="0" hidden="1"/>
    </xf>
    <xf numFmtId="0" fontId="242" fillId="51" borderId="218" xfId="2" applyFont="1" applyFill="1" applyBorder="1" applyAlignment="1" applyProtection="1">
      <alignment horizontal="center" vertical="center"/>
      <protection locked="0" hidden="1"/>
    </xf>
    <xf numFmtId="0" fontId="95" fillId="53" borderId="225" xfId="0" applyFont="1" applyFill="1" applyBorder="1" applyAlignment="1" applyProtection="1">
      <alignment horizontal="center" vertical="top"/>
      <protection hidden="1"/>
    </xf>
    <xf numFmtId="0" fontId="7" fillId="53" borderId="227" xfId="0" applyFont="1" applyFill="1" applyBorder="1" applyAlignment="1" applyProtection="1">
      <alignment vertical="center" wrapText="1" shrinkToFit="1"/>
      <protection hidden="1"/>
    </xf>
    <xf numFmtId="0" fontId="95" fillId="53" borderId="191" xfId="0" applyFont="1" applyFill="1" applyBorder="1" applyAlignment="1" applyProtection="1">
      <alignment horizontal="right" vertical="top" shrinkToFit="1"/>
      <protection hidden="1"/>
    </xf>
    <xf numFmtId="0" fontId="7" fillId="53" borderId="192" xfId="0" applyFont="1" applyFill="1" applyBorder="1" applyAlignment="1" applyProtection="1">
      <alignment vertical="top" wrapText="1" shrinkToFit="1"/>
      <protection hidden="1"/>
    </xf>
    <xf numFmtId="0" fontId="7" fillId="11" borderId="190" xfId="0" applyFont="1" applyFill="1" applyBorder="1" applyAlignment="1" applyProtection="1">
      <alignment horizontal="center" vertical="top"/>
      <protection hidden="1"/>
    </xf>
    <xf numFmtId="0" fontId="7" fillId="53" borderId="225" xfId="0" applyFont="1" applyFill="1" applyBorder="1" applyAlignment="1" applyProtection="1">
      <alignment horizontal="left" vertical="center" wrapText="1" indent="1" shrinkToFit="1"/>
      <protection hidden="1"/>
    </xf>
    <xf numFmtId="0" fontId="7" fillId="53" borderId="226" xfId="0" applyFont="1" applyFill="1" applyBorder="1" applyAlignment="1" applyProtection="1">
      <alignment horizontal="left" vertical="center" wrapText="1" indent="1" shrinkToFit="1"/>
      <protection hidden="1"/>
    </xf>
    <xf numFmtId="0" fontId="7" fillId="53" borderId="227" xfId="0" applyFont="1" applyFill="1" applyBorder="1" applyAlignment="1" applyProtection="1">
      <alignment horizontal="left" vertical="center" wrapText="1" indent="1" shrinkToFit="1"/>
      <protection hidden="1"/>
    </xf>
    <xf numFmtId="0" fontId="237" fillId="53" borderId="225" xfId="0" applyFont="1" applyFill="1" applyBorder="1" applyAlignment="1" applyProtection="1">
      <alignment vertical="top" wrapText="1" shrinkToFit="1"/>
      <protection hidden="1"/>
    </xf>
    <xf numFmtId="0" fontId="237" fillId="53" borderId="226" xfId="0" applyFont="1" applyFill="1" applyBorder="1" applyAlignment="1" applyProtection="1">
      <alignment vertical="top" wrapText="1" shrinkToFit="1"/>
      <protection hidden="1"/>
    </xf>
    <xf numFmtId="0" fontId="237" fillId="53" borderId="227" xfId="0" applyFont="1" applyFill="1" applyBorder="1" applyAlignment="1" applyProtection="1">
      <alignment vertical="top" wrapText="1" shrinkToFit="1"/>
      <protection hidden="1"/>
    </xf>
    <xf numFmtId="0" fontId="7" fillId="11" borderId="203" xfId="0" applyFont="1" applyFill="1" applyBorder="1" applyAlignment="1" applyProtection="1">
      <alignment horizontal="center" vertical="top"/>
      <protection hidden="1"/>
    </xf>
    <xf numFmtId="0" fontId="7" fillId="53" borderId="231" xfId="0" applyFont="1" applyFill="1" applyBorder="1" applyAlignment="1" applyProtection="1">
      <alignment horizontal="left" vertical="center" wrapText="1" indent="1" shrinkToFit="1"/>
      <protection hidden="1"/>
    </xf>
    <xf numFmtId="0" fontId="7" fillId="53" borderId="232" xfId="0" applyFont="1" applyFill="1" applyBorder="1" applyAlignment="1" applyProtection="1">
      <alignment horizontal="left" vertical="center" wrapText="1" indent="1" shrinkToFit="1"/>
      <protection hidden="1"/>
    </xf>
    <xf numFmtId="0" fontId="7" fillId="53" borderId="233" xfId="0" applyFont="1" applyFill="1" applyBorder="1" applyAlignment="1" applyProtection="1">
      <alignment horizontal="left" vertical="center" wrapText="1" indent="1" shrinkToFit="1"/>
      <protection hidden="1"/>
    </xf>
    <xf numFmtId="0" fontId="95" fillId="53" borderId="204" xfId="0" applyFont="1" applyFill="1" applyBorder="1" applyAlignment="1" applyProtection="1">
      <alignment horizontal="right" vertical="top" shrinkToFit="1"/>
      <protection hidden="1"/>
    </xf>
    <xf numFmtId="0" fontId="7" fillId="53" borderId="205" xfId="0" applyFont="1" applyFill="1" applyBorder="1" applyAlignment="1" applyProtection="1">
      <alignment vertical="top" wrapText="1" shrinkToFit="1"/>
      <protection hidden="1"/>
    </xf>
    <xf numFmtId="0" fontId="7" fillId="11" borderId="234" xfId="0" applyFont="1" applyFill="1" applyBorder="1" applyAlignment="1" applyProtection="1">
      <alignment horizontal="center" vertical="top" shrinkToFit="1"/>
      <protection hidden="1"/>
    </xf>
    <xf numFmtId="0" fontId="2" fillId="53" borderId="229" xfId="0" applyFont="1" applyFill="1" applyBorder="1" applyAlignment="1" applyProtection="1">
      <alignment vertical="top" wrapText="1" shrinkToFit="1"/>
      <protection hidden="1"/>
    </xf>
    <xf numFmtId="0" fontId="2" fillId="53" borderId="126" xfId="0" applyFont="1" applyFill="1" applyBorder="1" applyAlignment="1" applyProtection="1">
      <alignment vertical="top" wrapText="1" shrinkToFit="1"/>
      <protection hidden="1"/>
    </xf>
    <xf numFmtId="0" fontId="2" fillId="53" borderId="230" xfId="0" applyFont="1" applyFill="1" applyBorder="1" applyAlignment="1" applyProtection="1">
      <alignment vertical="top" wrapText="1" shrinkToFit="1"/>
      <protection hidden="1"/>
    </xf>
    <xf numFmtId="0" fontId="2" fillId="53" borderId="235" xfId="0" applyFont="1" applyFill="1" applyBorder="1" applyAlignment="1" applyProtection="1">
      <alignment vertical="top" wrapText="1" shrinkToFit="1"/>
      <protection hidden="1"/>
    </xf>
    <xf numFmtId="0" fontId="2" fillId="53" borderId="16" xfId="0" applyFont="1" applyFill="1" applyBorder="1" applyAlignment="1" applyProtection="1">
      <alignment vertical="top" wrapText="1" shrinkToFit="1"/>
      <protection hidden="1"/>
    </xf>
    <xf numFmtId="0" fontId="2" fillId="53" borderId="121" xfId="0" applyFont="1" applyFill="1" applyBorder="1" applyAlignment="1" applyProtection="1">
      <alignment vertical="top" wrapText="1" shrinkToFit="1"/>
      <protection hidden="1"/>
    </xf>
    <xf numFmtId="0" fontId="10" fillId="24" borderId="67" xfId="0" applyFont="1" applyFill="1" applyBorder="1" applyAlignment="1" applyProtection="1">
      <alignment horizontal="center" vertical="center"/>
      <protection hidden="1"/>
    </xf>
    <xf numFmtId="0" fontId="10" fillId="24" borderId="18" xfId="0" applyFont="1" applyFill="1" applyBorder="1" applyAlignment="1" applyProtection="1">
      <alignment horizontal="center" vertical="center"/>
      <protection hidden="1"/>
    </xf>
    <xf numFmtId="0" fontId="13" fillId="25" borderId="57" xfId="0" applyFont="1" applyFill="1" applyBorder="1" applyAlignment="1" applyProtection="1">
      <alignment horizontal="center" vertical="center" shrinkToFit="1"/>
      <protection hidden="1"/>
    </xf>
    <xf numFmtId="0" fontId="13" fillId="25" borderId="58" xfId="0" applyFont="1" applyFill="1" applyBorder="1" applyAlignment="1" applyProtection="1">
      <alignment horizontal="center" vertical="center" shrinkToFit="1"/>
      <protection hidden="1"/>
    </xf>
    <xf numFmtId="0" fontId="13" fillId="25" borderId="59" xfId="0" applyFont="1" applyFill="1" applyBorder="1" applyAlignment="1" applyProtection="1">
      <alignment horizontal="center" vertical="center" shrinkToFit="1"/>
      <protection hidden="1"/>
    </xf>
    <xf numFmtId="0" fontId="9" fillId="24" borderId="106" xfId="0" applyFont="1" applyFill="1" applyBorder="1" applyAlignment="1" applyProtection="1">
      <alignment horizontal="center" vertical="center"/>
      <protection hidden="1"/>
    </xf>
    <xf numFmtId="0" fontId="9" fillId="24" borderId="20" xfId="0" applyFont="1" applyFill="1" applyBorder="1" applyAlignment="1" applyProtection="1">
      <alignment horizontal="center" vertical="center"/>
      <protection hidden="1"/>
    </xf>
    <xf numFmtId="0" fontId="40" fillId="50" borderId="182" xfId="0" applyFont="1" applyFill="1" applyBorder="1" applyAlignment="1" applyProtection="1">
      <alignment horizontal="center" vertical="center"/>
      <protection hidden="1"/>
    </xf>
    <xf numFmtId="0" fontId="40" fillId="50" borderId="183" xfId="0" applyFont="1" applyFill="1" applyBorder="1" applyAlignment="1" applyProtection="1">
      <alignment horizontal="center" vertical="center"/>
      <protection hidden="1"/>
    </xf>
    <xf numFmtId="0" fontId="95" fillId="23" borderId="186" xfId="0" applyFont="1" applyFill="1" applyBorder="1" applyAlignment="1" applyProtection="1">
      <alignment horizontal="center" vertical="center" shrinkToFit="1"/>
      <protection hidden="1"/>
    </xf>
    <xf numFmtId="0" fontId="95" fillId="23" borderId="189" xfId="0" applyFont="1" applyFill="1" applyBorder="1" applyAlignment="1" applyProtection="1">
      <alignment horizontal="center" vertical="center" shrinkToFit="1"/>
      <protection hidden="1"/>
    </xf>
    <xf numFmtId="0" fontId="237" fillId="13" borderId="191" xfId="0" applyFont="1" applyFill="1" applyBorder="1" applyAlignment="1" applyProtection="1">
      <alignment vertical="top" wrapText="1"/>
      <protection hidden="1"/>
    </xf>
    <xf numFmtId="0" fontId="237" fillId="13" borderId="192" xfId="0" applyFont="1" applyFill="1" applyBorder="1" applyAlignment="1" applyProtection="1">
      <alignment vertical="top" wrapText="1"/>
      <protection hidden="1"/>
    </xf>
    <xf numFmtId="0" fontId="7" fillId="23" borderId="190" xfId="0" applyFont="1" applyFill="1" applyBorder="1" applyAlignment="1" applyProtection="1">
      <alignment horizontal="center" vertical="top" shrinkToFit="1"/>
      <protection hidden="1"/>
    </xf>
    <xf numFmtId="0" fontId="238" fillId="13" borderId="191" xfId="0" applyFont="1" applyFill="1" applyBorder="1" applyAlignment="1" applyProtection="1">
      <alignment vertical="top" wrapText="1" shrinkToFit="1"/>
      <protection hidden="1"/>
    </xf>
    <xf numFmtId="0" fontId="237" fillId="13" borderId="191" xfId="0" applyFont="1" applyFill="1" applyBorder="1" applyAlignment="1" applyProtection="1">
      <alignment vertical="top" wrapText="1" shrinkToFit="1"/>
      <protection hidden="1"/>
    </xf>
    <xf numFmtId="0" fontId="237" fillId="13" borderId="192" xfId="0" applyFont="1" applyFill="1" applyBorder="1" applyAlignment="1" applyProtection="1">
      <alignment vertical="top" wrapText="1" shrinkToFit="1"/>
      <protection hidden="1"/>
    </xf>
    <xf numFmtId="0" fontId="15" fillId="50" borderId="190" xfId="0" applyFont="1" applyFill="1" applyBorder="1" applyAlignment="1" applyProtection="1">
      <alignment horizontal="center" vertical="top" wrapText="1"/>
      <protection hidden="1"/>
    </xf>
    <xf numFmtId="0" fontId="238" fillId="13" borderId="191" xfId="0" applyFont="1" applyFill="1" applyBorder="1" applyAlignment="1" applyProtection="1">
      <alignment vertical="top" wrapText="1"/>
      <protection hidden="1"/>
    </xf>
    <xf numFmtId="0" fontId="238" fillId="13" borderId="192" xfId="0" applyFont="1" applyFill="1" applyBorder="1" applyAlignment="1" applyProtection="1">
      <alignment vertical="top" wrapText="1"/>
      <protection hidden="1"/>
    </xf>
    <xf numFmtId="0" fontId="237" fillId="13" borderId="191" xfId="0" applyFont="1" applyFill="1" applyBorder="1" applyAlignment="1" applyProtection="1">
      <alignment horizontal="left" vertical="top" wrapText="1" shrinkToFit="1"/>
      <protection hidden="1"/>
    </xf>
    <xf numFmtId="0" fontId="237" fillId="13" borderId="192" xfId="0" applyFont="1" applyFill="1" applyBorder="1" applyAlignment="1" applyProtection="1">
      <alignment horizontal="left" vertical="top" wrapText="1" shrinkToFit="1"/>
      <protection hidden="1"/>
    </xf>
    <xf numFmtId="0" fontId="2" fillId="13" borderId="191" xfId="0" applyFont="1" applyFill="1" applyBorder="1" applyAlignment="1" applyProtection="1">
      <alignment vertical="top" wrapText="1"/>
      <protection hidden="1"/>
    </xf>
    <xf numFmtId="0" fontId="2" fillId="13" borderId="192" xfId="0" applyFont="1" applyFill="1" applyBorder="1" applyAlignment="1" applyProtection="1">
      <alignment vertical="top" wrapText="1"/>
      <protection hidden="1"/>
    </xf>
    <xf numFmtId="0" fontId="7" fillId="23" borderId="203" xfId="0" applyFont="1" applyFill="1" applyBorder="1" applyAlignment="1" applyProtection="1">
      <alignment horizontal="center" vertical="top" shrinkToFit="1"/>
      <protection hidden="1"/>
    </xf>
    <xf numFmtId="0" fontId="2" fillId="13" borderId="191" xfId="0" applyFont="1" applyFill="1" applyBorder="1" applyAlignment="1" applyProtection="1">
      <alignment horizontal="left" vertical="top" wrapText="1" shrinkToFit="1"/>
      <protection hidden="1"/>
    </xf>
    <xf numFmtId="0" fontId="2" fillId="13" borderId="192" xfId="0" applyFont="1" applyFill="1" applyBorder="1" applyAlignment="1" applyProtection="1">
      <alignment horizontal="left" vertical="top" wrapText="1" shrinkToFit="1"/>
      <protection hidden="1"/>
    </xf>
    <xf numFmtId="0" fontId="2" fillId="13" borderId="204" xfId="0" applyFont="1" applyFill="1" applyBorder="1" applyAlignment="1" applyProtection="1">
      <alignment horizontal="left" vertical="top" wrapText="1" shrinkToFit="1"/>
      <protection hidden="1"/>
    </xf>
    <xf numFmtId="0" fontId="2" fillId="13" borderId="205" xfId="0" applyFont="1" applyFill="1" applyBorder="1" applyAlignment="1" applyProtection="1">
      <alignment horizontal="left" vertical="top" wrapText="1" shrinkToFit="1"/>
      <protection hidden="1"/>
    </xf>
    <xf numFmtId="0" fontId="2" fillId="13" borderId="204" xfId="0" applyFont="1" applyFill="1" applyBorder="1" applyAlignment="1" applyProtection="1">
      <alignment vertical="top"/>
      <protection hidden="1"/>
    </xf>
    <xf numFmtId="0" fontId="2" fillId="13" borderId="205" xfId="0" applyFont="1" applyFill="1" applyBorder="1" applyAlignment="1" applyProtection="1">
      <alignment vertical="top"/>
      <protection hidden="1"/>
    </xf>
    <xf numFmtId="0" fontId="178" fillId="25" borderId="0" xfId="0" applyFont="1" applyFill="1" applyBorder="1" applyAlignment="1" applyProtection="1">
      <alignment horizontal="right" vertical="center" wrapText="1" shrinkToFit="1"/>
      <protection hidden="1"/>
    </xf>
    <xf numFmtId="0" fontId="178" fillId="25" borderId="122" xfId="0" applyFont="1" applyFill="1" applyBorder="1" applyAlignment="1" applyProtection="1">
      <alignment horizontal="right" vertical="center" wrapText="1" shrinkToFit="1"/>
      <protection hidden="1"/>
    </xf>
    <xf numFmtId="0" fontId="44" fillId="0" borderId="1" xfId="0" applyFont="1" applyFill="1" applyBorder="1" applyAlignment="1" applyProtection="1">
      <alignment vertical="center"/>
      <protection locked="0"/>
    </xf>
    <xf numFmtId="0" fontId="44" fillId="0" borderId="40" xfId="0" applyFont="1" applyFill="1" applyBorder="1" applyAlignment="1" applyProtection="1">
      <alignment horizontal="left" vertical="center" indent="1" shrinkToFit="1"/>
      <protection locked="0"/>
    </xf>
    <xf numFmtId="0" fontId="44" fillId="0" borderId="21" xfId="0" applyFont="1" applyFill="1" applyBorder="1" applyAlignment="1" applyProtection="1">
      <alignment horizontal="left" vertical="center" indent="1" shrinkToFit="1"/>
      <protection locked="0"/>
    </xf>
    <xf numFmtId="0" fontId="44" fillId="0" borderId="51" xfId="0" applyFont="1" applyFill="1" applyBorder="1" applyAlignment="1" applyProtection="1">
      <alignment horizontal="left" vertical="center" indent="1" shrinkToFit="1"/>
      <protection locked="0"/>
    </xf>
    <xf numFmtId="0" fontId="44" fillId="0" borderId="3" xfId="0" applyFont="1" applyFill="1" applyBorder="1" applyAlignment="1" applyProtection="1">
      <alignment horizontal="left" vertical="center" indent="1" shrinkToFit="1"/>
      <protection locked="0"/>
    </xf>
    <xf numFmtId="0" fontId="44" fillId="0" borderId="1" xfId="0" applyFont="1" applyFill="1" applyBorder="1" applyAlignment="1" applyProtection="1">
      <alignment horizontal="left" vertical="center" indent="1" shrinkToFit="1"/>
      <protection locked="0"/>
    </xf>
    <xf numFmtId="0" fontId="44" fillId="0" borderId="2" xfId="0" applyFont="1" applyFill="1" applyBorder="1" applyAlignment="1" applyProtection="1">
      <alignment horizontal="left" vertical="center" indent="1" shrinkToFit="1"/>
      <protection locked="0"/>
    </xf>
    <xf numFmtId="0" fontId="40" fillId="32" borderId="3" xfId="0" applyFont="1" applyFill="1" applyBorder="1" applyAlignment="1" applyProtection="1">
      <alignment horizontal="center" vertical="center"/>
      <protection hidden="1"/>
    </xf>
    <xf numFmtId="0" fontId="40" fillId="32" borderId="1" xfId="0" applyFont="1" applyFill="1" applyBorder="1" applyAlignment="1" applyProtection="1">
      <alignment horizontal="center" vertical="center"/>
      <protection hidden="1"/>
    </xf>
    <xf numFmtId="0" fontId="44" fillId="0" borderId="9" xfId="0" applyFont="1" applyFill="1" applyBorder="1" applyAlignment="1" applyProtection="1">
      <alignment horizontal="left" vertical="center" indent="1" shrinkToFit="1"/>
      <protection locked="0"/>
    </xf>
    <xf numFmtId="0" fontId="44" fillId="0" borderId="8" xfId="0" applyFont="1" applyFill="1" applyBorder="1" applyAlignment="1" applyProtection="1">
      <alignment horizontal="left" vertical="center" indent="1" shrinkToFit="1"/>
      <protection locked="0"/>
    </xf>
    <xf numFmtId="0" fontId="44" fillId="0" borderId="10" xfId="0" applyFont="1" applyFill="1" applyBorder="1" applyAlignment="1" applyProtection="1">
      <alignment horizontal="left" vertical="center" indent="1" shrinkToFit="1"/>
      <protection locked="0"/>
    </xf>
    <xf numFmtId="0" fontId="44" fillId="0" borderId="8" xfId="0" applyFont="1" applyFill="1" applyBorder="1" applyAlignment="1" applyProtection="1">
      <alignment vertical="center"/>
      <protection locked="0"/>
    </xf>
    <xf numFmtId="0" fontId="9" fillId="8" borderId="169" xfId="0" applyFont="1" applyFill="1" applyBorder="1" applyAlignment="1" applyProtection="1">
      <alignment horizontal="center" vertical="center" shrinkToFit="1"/>
      <protection hidden="1"/>
    </xf>
    <xf numFmtId="0" fontId="9" fillId="8" borderId="170" xfId="0" applyFont="1" applyFill="1" applyBorder="1" applyAlignment="1" applyProtection="1">
      <alignment horizontal="center" vertical="center" shrinkToFit="1"/>
      <protection hidden="1"/>
    </xf>
    <xf numFmtId="0" fontId="9" fillId="8" borderId="171" xfId="0" applyFont="1" applyFill="1" applyBorder="1" applyAlignment="1" applyProtection="1">
      <alignment horizontal="center" vertical="center" shrinkToFit="1"/>
      <protection hidden="1"/>
    </xf>
    <xf numFmtId="0" fontId="113" fillId="8" borderId="68" xfId="0" applyFont="1" applyFill="1" applyBorder="1" applyAlignment="1" applyProtection="1">
      <alignment horizontal="center" vertical="center" wrapText="1"/>
      <protection hidden="1"/>
    </xf>
    <xf numFmtId="0" fontId="113" fillId="8" borderId="113" xfId="0" applyFont="1" applyFill="1" applyBorder="1" applyAlignment="1" applyProtection="1">
      <alignment horizontal="center" vertical="center" wrapText="1"/>
      <protection hidden="1"/>
    </xf>
    <xf numFmtId="0" fontId="113" fillId="8" borderId="56" xfId="0" applyFont="1" applyFill="1" applyBorder="1" applyAlignment="1" applyProtection="1">
      <alignment horizontal="center" vertical="center" wrapText="1"/>
      <protection hidden="1"/>
    </xf>
    <xf numFmtId="0" fontId="113" fillId="8" borderId="16" xfId="0" applyFont="1" applyFill="1" applyBorder="1" applyAlignment="1" applyProtection="1">
      <alignment horizontal="center" vertical="center" wrapText="1"/>
      <protection hidden="1"/>
    </xf>
    <xf numFmtId="0" fontId="44" fillId="0" borderId="106" xfId="0" applyFont="1" applyFill="1" applyBorder="1" applyAlignment="1" applyProtection="1">
      <alignment vertical="top" wrapText="1" shrinkToFit="1"/>
      <protection locked="0"/>
    </xf>
    <xf numFmtId="0" fontId="44" fillId="0" borderId="42" xfId="0" applyFont="1" applyFill="1" applyBorder="1" applyAlignment="1" applyProtection="1">
      <alignment vertical="top" wrapText="1" shrinkToFit="1"/>
      <protection locked="0"/>
    </xf>
    <xf numFmtId="0" fontId="95" fillId="13" borderId="47" xfId="0" applyFont="1" applyFill="1" applyBorder="1" applyAlignment="1" applyProtection="1">
      <alignment horizontal="center" vertical="center"/>
      <protection hidden="1"/>
    </xf>
    <xf numFmtId="0" fontId="95" fillId="13" borderId="48" xfId="0" applyFont="1" applyFill="1" applyBorder="1" applyAlignment="1" applyProtection="1">
      <alignment horizontal="center" vertical="center"/>
      <protection hidden="1"/>
    </xf>
    <xf numFmtId="0" fontId="95" fillId="13" borderId="37" xfId="0" applyFont="1" applyFill="1" applyBorder="1" applyAlignment="1" applyProtection="1">
      <alignment horizontal="center" vertical="center"/>
      <protection hidden="1"/>
    </xf>
    <xf numFmtId="0" fontId="95" fillId="13" borderId="18" xfId="0" applyFont="1" applyFill="1" applyBorder="1" applyAlignment="1" applyProtection="1">
      <alignment horizontal="center" vertical="center"/>
      <protection hidden="1"/>
    </xf>
    <xf numFmtId="0" fontId="95" fillId="13" borderId="41" xfId="0" applyFont="1" applyFill="1" applyBorder="1" applyAlignment="1" applyProtection="1">
      <alignment horizontal="center" vertical="center"/>
      <protection hidden="1"/>
    </xf>
    <xf numFmtId="0" fontId="113" fillId="8" borderId="68" xfId="0" applyFont="1" applyFill="1" applyBorder="1" applyAlignment="1" applyProtection="1">
      <alignment horizontal="center" vertical="center"/>
      <protection hidden="1"/>
    </xf>
    <xf numFmtId="0" fontId="113" fillId="8" borderId="113" xfId="0" applyFont="1" applyFill="1" applyBorder="1" applyAlignment="1" applyProtection="1">
      <alignment horizontal="center" vertical="center"/>
      <protection hidden="1"/>
    </xf>
    <xf numFmtId="0" fontId="95" fillId="8" borderId="114" xfId="0" applyFont="1" applyFill="1" applyBorder="1" applyAlignment="1" applyProtection="1">
      <alignment horizontal="center" vertical="center" wrapText="1"/>
      <protection hidden="1"/>
    </xf>
    <xf numFmtId="0" fontId="95" fillId="8" borderId="106" xfId="0" applyFont="1" applyFill="1" applyBorder="1" applyAlignment="1" applyProtection="1">
      <alignment horizontal="center" vertical="center" wrapText="1"/>
      <protection hidden="1"/>
    </xf>
    <xf numFmtId="0" fontId="95" fillId="8" borderId="42" xfId="0" applyFont="1" applyFill="1" applyBorder="1" applyAlignment="1" applyProtection="1">
      <alignment horizontal="center" vertical="center" wrapText="1"/>
      <protection hidden="1"/>
    </xf>
    <xf numFmtId="0" fontId="9" fillId="8" borderId="173" xfId="0" applyFont="1" applyFill="1" applyBorder="1" applyAlignment="1" applyProtection="1">
      <alignment horizontal="center" vertical="center" wrapText="1" shrinkToFit="1"/>
      <protection hidden="1"/>
    </xf>
    <xf numFmtId="0" fontId="9" fillId="8" borderId="166" xfId="0" applyFont="1" applyFill="1" applyBorder="1" applyAlignment="1" applyProtection="1">
      <alignment horizontal="center" vertical="center" wrapText="1" shrinkToFit="1"/>
      <protection hidden="1"/>
    </xf>
    <xf numFmtId="0" fontId="9" fillId="8" borderId="167" xfId="0" applyFont="1" applyFill="1" applyBorder="1" applyAlignment="1" applyProtection="1">
      <alignment horizontal="center" vertical="center" wrapText="1" shrinkToFit="1"/>
      <protection hidden="1"/>
    </xf>
    <xf numFmtId="0" fontId="2" fillId="8" borderId="114" xfId="0" applyFont="1" applyFill="1" applyBorder="1" applyAlignment="1" applyProtection="1">
      <alignment horizontal="center" vertical="center" textRotation="90" wrapText="1"/>
      <protection hidden="1"/>
    </xf>
    <xf numFmtId="0" fontId="2" fillId="8" borderId="106" xfId="0" applyFont="1" applyFill="1" applyBorder="1" applyAlignment="1" applyProtection="1">
      <alignment horizontal="center" vertical="center" textRotation="90"/>
      <protection hidden="1"/>
    </xf>
    <xf numFmtId="0" fontId="2" fillId="8" borderId="42" xfId="0" applyFont="1" applyFill="1" applyBorder="1" applyAlignment="1" applyProtection="1">
      <alignment horizontal="center" vertical="center" textRotation="90"/>
      <protection hidden="1"/>
    </xf>
    <xf numFmtId="0" fontId="151" fillId="20" borderId="73" xfId="0" applyFont="1" applyFill="1" applyBorder="1" applyAlignment="1" applyProtection="1">
      <alignment horizontal="left" vertical="center" wrapText="1"/>
      <protection hidden="1"/>
    </xf>
    <xf numFmtId="0" fontId="151" fillId="20" borderId="0" xfId="0" applyFont="1" applyFill="1" applyBorder="1" applyAlignment="1" applyProtection="1">
      <alignment horizontal="left" vertical="center" wrapText="1"/>
      <protection hidden="1"/>
    </xf>
    <xf numFmtId="0" fontId="151" fillId="20" borderId="122" xfId="0" applyFont="1" applyFill="1" applyBorder="1" applyAlignment="1" applyProtection="1">
      <alignment horizontal="left" vertical="center" wrapText="1"/>
      <protection hidden="1"/>
    </xf>
    <xf numFmtId="0" fontId="9" fillId="20" borderId="4" xfId="0" applyFont="1" applyFill="1" applyBorder="1" applyAlignment="1" applyProtection="1">
      <alignment horizontal="center" vertical="center"/>
      <protection hidden="1"/>
    </xf>
    <xf numFmtId="0" fontId="9" fillId="20" borderId="1" xfId="0" applyFont="1" applyFill="1" applyBorder="1" applyAlignment="1" applyProtection="1">
      <alignment horizontal="center" vertical="center"/>
      <protection hidden="1"/>
    </xf>
    <xf numFmtId="0" fontId="9" fillId="20" borderId="5" xfId="0" applyFont="1" applyFill="1" applyBorder="1" applyAlignment="1" applyProtection="1">
      <alignment horizontal="center" vertical="center"/>
      <protection hidden="1"/>
    </xf>
    <xf numFmtId="0" fontId="9" fillId="20" borderId="13" xfId="0" applyFont="1" applyFill="1" applyBorder="1" applyAlignment="1" applyProtection="1">
      <alignment horizontal="center" vertical="center"/>
      <protection hidden="1"/>
    </xf>
    <xf numFmtId="0" fontId="14" fillId="20" borderId="40" xfId="0" applyFont="1" applyFill="1" applyBorder="1" applyAlignment="1" applyProtection="1">
      <alignment horizontal="center" vertical="center"/>
      <protection hidden="1"/>
    </xf>
    <xf numFmtId="0" fontId="14" fillId="20" borderId="51" xfId="0" applyFont="1" applyFill="1" applyBorder="1" applyAlignment="1" applyProtection="1">
      <alignment horizontal="center" vertical="center"/>
      <protection hidden="1"/>
    </xf>
    <xf numFmtId="0" fontId="14" fillId="20" borderId="174" xfId="0" applyFont="1" applyFill="1" applyBorder="1" applyAlignment="1" applyProtection="1">
      <alignment horizontal="center" vertical="center"/>
      <protection hidden="1"/>
    </xf>
    <xf numFmtId="0" fontId="9" fillId="8" borderId="113" xfId="0" applyFont="1" applyFill="1" applyBorder="1" applyAlignment="1" applyProtection="1">
      <alignment horizontal="center" vertical="center" wrapText="1" shrinkToFit="1"/>
      <protection hidden="1"/>
    </xf>
    <xf numFmtId="0" fontId="9" fillId="8" borderId="81" xfId="0" applyFont="1" applyFill="1" applyBorder="1" applyAlignment="1" applyProtection="1">
      <alignment horizontal="center" vertical="center" wrapText="1" shrinkToFit="1"/>
      <protection hidden="1"/>
    </xf>
    <xf numFmtId="0" fontId="9" fillId="8" borderId="16" xfId="0" applyFont="1" applyFill="1" applyBorder="1" applyAlignment="1" applyProtection="1">
      <alignment horizontal="center" vertical="center" wrapText="1" shrinkToFit="1"/>
      <protection hidden="1"/>
    </xf>
    <xf numFmtId="0" fontId="9" fillId="8" borderId="121" xfId="0" applyFont="1" applyFill="1" applyBorder="1" applyAlignment="1" applyProtection="1">
      <alignment horizontal="center" vertical="center" wrapText="1" shrinkToFit="1"/>
      <protection hidden="1"/>
    </xf>
    <xf numFmtId="0" fontId="9" fillId="8" borderId="7" xfId="0" applyFont="1" applyFill="1" applyBorder="1" applyAlignment="1" applyProtection="1">
      <alignment horizontal="center" vertical="center" wrapText="1"/>
      <protection hidden="1"/>
    </xf>
    <xf numFmtId="0" fontId="9" fillId="8" borderId="123" xfId="0" applyFont="1" applyFill="1" applyBorder="1" applyAlignment="1" applyProtection="1">
      <alignment horizontal="center" vertical="center" wrapText="1"/>
      <protection hidden="1"/>
    </xf>
    <xf numFmtId="0" fontId="9" fillId="8" borderId="11" xfId="0" applyFont="1" applyFill="1" applyBorder="1" applyAlignment="1" applyProtection="1">
      <alignment horizontal="center" vertical="center" wrapText="1"/>
      <protection hidden="1"/>
    </xf>
    <xf numFmtId="0" fontId="9" fillId="8" borderId="13" xfId="0" applyFont="1" applyFill="1" applyBorder="1" applyAlignment="1" applyProtection="1">
      <alignment horizontal="center" vertical="center" wrapText="1"/>
      <protection hidden="1"/>
    </xf>
    <xf numFmtId="0" fontId="9" fillId="3" borderId="0" xfId="0" applyFont="1" applyFill="1" applyAlignment="1" applyProtection="1">
      <alignment vertical="center" shrinkToFit="1"/>
      <protection hidden="1"/>
    </xf>
    <xf numFmtId="0" fontId="37" fillId="11" borderId="57" xfId="0" applyFont="1" applyFill="1" applyBorder="1" applyAlignment="1" applyProtection="1">
      <alignment horizontal="center" vertical="center" shrinkToFit="1"/>
      <protection hidden="1"/>
    </xf>
    <xf numFmtId="0" fontId="37" fillId="11" borderId="58" xfId="0" applyFont="1" applyFill="1" applyBorder="1" applyAlignment="1" applyProtection="1">
      <alignment horizontal="center" vertical="center" shrinkToFit="1"/>
      <protection hidden="1"/>
    </xf>
    <xf numFmtId="0" fontId="37" fillId="11" borderId="59" xfId="0" applyFont="1" applyFill="1" applyBorder="1" applyAlignment="1" applyProtection="1">
      <alignment horizontal="center" vertical="center" shrinkToFit="1"/>
      <protection hidden="1"/>
    </xf>
    <xf numFmtId="0" fontId="46" fillId="14" borderId="57" xfId="0" applyFont="1" applyFill="1" applyBorder="1" applyAlignment="1" applyProtection="1">
      <alignment horizontal="center" vertical="center" shrinkToFit="1"/>
      <protection hidden="1"/>
    </xf>
    <xf numFmtId="0" fontId="46" fillId="14" borderId="58" xfId="0" applyFont="1" applyFill="1" applyBorder="1" applyAlignment="1" applyProtection="1">
      <alignment horizontal="center" vertical="center" shrinkToFit="1"/>
      <protection hidden="1"/>
    </xf>
    <xf numFmtId="0" fontId="46" fillId="54" borderId="76" xfId="0" applyFont="1" applyFill="1" applyBorder="1" applyAlignment="1" applyProtection="1">
      <alignment horizontal="center" vertical="center" shrinkToFit="1"/>
      <protection hidden="1"/>
    </xf>
    <xf numFmtId="0" fontId="46" fillId="54" borderId="58" xfId="0" applyFont="1" applyFill="1" applyBorder="1" applyAlignment="1" applyProtection="1">
      <alignment horizontal="center" vertical="center" shrinkToFit="1"/>
      <protection hidden="1"/>
    </xf>
    <xf numFmtId="0" fontId="46" fillId="54" borderId="84" xfId="0" applyFont="1" applyFill="1" applyBorder="1" applyAlignment="1" applyProtection="1">
      <alignment horizontal="center" vertical="center" shrinkToFit="1"/>
      <protection hidden="1"/>
    </xf>
    <xf numFmtId="0" fontId="46" fillId="14" borderId="76" xfId="0" applyFont="1" applyFill="1" applyBorder="1" applyAlignment="1" applyProtection="1">
      <alignment horizontal="center" vertical="center" shrinkToFit="1"/>
      <protection hidden="1"/>
    </xf>
    <xf numFmtId="0" fontId="46" fillId="14" borderId="84" xfId="0" applyFont="1" applyFill="1" applyBorder="1" applyAlignment="1" applyProtection="1">
      <alignment horizontal="center" vertical="center" shrinkToFit="1"/>
      <protection hidden="1"/>
    </xf>
    <xf numFmtId="0" fontId="43" fillId="12" borderId="65" xfId="0" applyFont="1" applyFill="1" applyBorder="1" applyAlignment="1" applyProtection="1">
      <alignment horizontal="center" vertical="center"/>
      <protection hidden="1"/>
    </xf>
    <xf numFmtId="0" fontId="43" fillId="12" borderId="11" xfId="0" applyFont="1" applyFill="1" applyBorder="1" applyAlignment="1" applyProtection="1">
      <alignment horizontal="center" vertical="center"/>
      <protection hidden="1"/>
    </xf>
    <xf numFmtId="0" fontId="43" fillId="12" borderId="66" xfId="0" applyFont="1" applyFill="1" applyBorder="1" applyAlignment="1" applyProtection="1">
      <alignment horizontal="center" vertical="center" wrapText="1"/>
      <protection hidden="1"/>
    </xf>
    <xf numFmtId="0" fontId="43" fillId="12" borderId="12" xfId="0" applyFont="1" applyFill="1" applyBorder="1" applyAlignment="1" applyProtection="1">
      <alignment horizontal="center" vertical="center"/>
      <protection hidden="1"/>
    </xf>
    <xf numFmtId="0" fontId="43" fillId="12" borderId="66" xfId="0" applyFont="1" applyFill="1" applyBorder="1" applyAlignment="1" applyProtection="1">
      <alignment horizontal="center" vertical="center"/>
      <protection hidden="1"/>
    </xf>
    <xf numFmtId="0" fontId="43" fillId="12" borderId="67" xfId="0" applyFont="1" applyFill="1" applyBorder="1" applyAlignment="1" applyProtection="1">
      <alignment horizontal="center" vertical="center"/>
      <protection hidden="1"/>
    </xf>
    <xf numFmtId="0" fontId="43" fillId="12" borderId="18" xfId="0" applyFont="1" applyFill="1" applyBorder="1" applyAlignment="1" applyProtection="1">
      <alignment horizontal="center" vertical="center"/>
      <protection hidden="1"/>
    </xf>
    <xf numFmtId="0" fontId="9" fillId="0" borderId="81" xfId="0" applyFont="1" applyFill="1" applyBorder="1" applyAlignment="1" applyProtection="1">
      <alignment horizontal="center" vertical="center"/>
      <protection hidden="1"/>
    </xf>
    <xf numFmtId="0" fontId="9" fillId="0" borderId="42" xfId="0" applyFont="1" applyFill="1" applyBorder="1" applyAlignment="1" applyProtection="1">
      <alignment horizontal="center" vertical="center"/>
      <protection hidden="1"/>
    </xf>
    <xf numFmtId="0" fontId="46" fillId="54" borderId="59" xfId="0" applyFont="1" applyFill="1" applyBorder="1" applyAlignment="1" applyProtection="1">
      <alignment horizontal="center" vertical="center" shrinkToFit="1"/>
      <protection hidden="1"/>
    </xf>
    <xf numFmtId="0" fontId="8" fillId="0" borderId="144" xfId="0" applyFont="1" applyFill="1" applyBorder="1" applyAlignment="1" applyProtection="1">
      <alignment vertical="center" wrapText="1"/>
      <protection locked="0"/>
    </xf>
    <xf numFmtId="0" fontId="8" fillId="0" borderId="133" xfId="0" applyFont="1" applyFill="1" applyBorder="1" applyAlignment="1" applyProtection="1">
      <alignment vertical="center" wrapText="1"/>
      <protection locked="0"/>
    </xf>
    <xf numFmtId="0" fontId="8" fillId="0" borderId="134" xfId="0" applyFont="1" applyFill="1" applyBorder="1" applyAlignment="1" applyProtection="1">
      <alignment vertical="center" wrapText="1"/>
      <protection locked="0"/>
    </xf>
    <xf numFmtId="0" fontId="8" fillId="0" borderId="139" xfId="0" applyFont="1" applyFill="1" applyBorder="1" applyAlignment="1" applyProtection="1">
      <alignment vertical="center" wrapText="1" shrinkToFit="1"/>
      <protection locked="0"/>
    </xf>
    <xf numFmtId="0" fontId="8" fillId="0" borderId="133" xfId="0" applyFont="1" applyFill="1" applyBorder="1" applyAlignment="1" applyProtection="1">
      <alignment vertical="center" wrapText="1" shrinkToFit="1"/>
      <protection locked="0"/>
    </xf>
    <xf numFmtId="0" fontId="9" fillId="43" borderId="65" xfId="0" applyFont="1" applyFill="1" applyBorder="1" applyAlignment="1" applyProtection="1">
      <alignment horizontal="center" vertical="center"/>
      <protection hidden="1"/>
    </xf>
    <xf numFmtId="0" fontId="9" fillId="43" borderId="69" xfId="0" applyFont="1" applyFill="1" applyBorder="1" applyAlignment="1" applyProtection="1">
      <alignment horizontal="center" vertical="center"/>
      <protection hidden="1"/>
    </xf>
    <xf numFmtId="0" fontId="9" fillId="43" borderId="136" xfId="0" applyFont="1" applyFill="1" applyBorder="1" applyAlignment="1" applyProtection="1">
      <alignment horizontal="center" vertical="center"/>
      <protection hidden="1"/>
    </xf>
    <xf numFmtId="0" fontId="9" fillId="43" borderId="111" xfId="0" applyFont="1" applyFill="1" applyBorder="1" applyAlignment="1" applyProtection="1">
      <alignment horizontal="center" vertical="center"/>
      <protection hidden="1"/>
    </xf>
    <xf numFmtId="0" fontId="164" fillId="32" borderId="4" xfId="0" applyFont="1" applyFill="1" applyBorder="1" applyAlignment="1" applyProtection="1">
      <alignment horizontal="center"/>
      <protection hidden="1"/>
    </xf>
    <xf numFmtId="0" fontId="164" fillId="32" borderId="1" xfId="0" applyFont="1" applyFill="1" applyBorder="1" applyAlignment="1" applyProtection="1">
      <alignment horizontal="center"/>
      <protection hidden="1"/>
    </xf>
    <xf numFmtId="0" fontId="164" fillId="32" borderId="5" xfId="0" applyFont="1" applyFill="1" applyBorder="1" applyAlignment="1" applyProtection="1">
      <alignment horizontal="center"/>
      <protection hidden="1"/>
    </xf>
    <xf numFmtId="0" fontId="160" fillId="11" borderId="0" xfId="0" applyFont="1" applyFill="1" applyBorder="1" applyAlignment="1" applyProtection="1">
      <alignment horizontal="right" vertical="center"/>
      <protection hidden="1"/>
    </xf>
    <xf numFmtId="0" fontId="160" fillId="11" borderId="122" xfId="0" applyFont="1" applyFill="1" applyBorder="1" applyAlignment="1" applyProtection="1">
      <alignment horizontal="right" vertical="center"/>
      <protection hidden="1"/>
    </xf>
    <xf numFmtId="0" fontId="8" fillId="0" borderId="137" xfId="0" applyFont="1" applyFill="1" applyBorder="1" applyAlignment="1" applyProtection="1">
      <alignment vertical="center" wrapText="1" shrinkToFit="1"/>
      <protection locked="0"/>
    </xf>
    <xf numFmtId="0" fontId="8" fillId="0" borderId="138" xfId="0" applyFont="1" applyFill="1" applyBorder="1" applyAlignment="1" applyProtection="1">
      <alignment vertical="center" wrapText="1" shrinkToFit="1"/>
      <protection locked="0"/>
    </xf>
    <xf numFmtId="0" fontId="8" fillId="0" borderId="142" xfId="0" applyFont="1" applyFill="1" applyBorder="1" applyAlignment="1" applyProtection="1">
      <alignment vertical="center" wrapText="1"/>
      <protection locked="0"/>
    </xf>
    <xf numFmtId="0" fontId="8" fillId="0" borderId="138" xfId="0" applyFont="1" applyFill="1" applyBorder="1" applyAlignment="1" applyProtection="1">
      <alignment vertical="center" wrapText="1"/>
      <protection locked="0"/>
    </xf>
    <xf numFmtId="0" fontId="8" fillId="0" borderId="143" xfId="0" applyFont="1" applyFill="1" applyBorder="1" applyAlignment="1" applyProtection="1">
      <alignment vertical="center" wrapText="1"/>
      <protection locked="0"/>
    </xf>
    <xf numFmtId="0" fontId="9" fillId="43" borderId="48" xfId="0" applyFont="1" applyFill="1" applyBorder="1" applyAlignment="1" applyProtection="1">
      <alignment horizontal="center" vertical="center" wrapText="1"/>
      <protection hidden="1"/>
    </xf>
    <xf numFmtId="0" fontId="2" fillId="13" borderId="0" xfId="0" applyFont="1" applyFill="1" applyBorder="1" applyAlignment="1" applyProtection="1">
      <alignment horizontal="left" vertical="top" wrapText="1" indent="2"/>
      <protection hidden="1"/>
    </xf>
    <xf numFmtId="0" fontId="2" fillId="13" borderId="122" xfId="0" applyFont="1" applyFill="1" applyBorder="1" applyAlignment="1" applyProtection="1">
      <alignment horizontal="left" vertical="top" wrapText="1" indent="2"/>
      <protection hidden="1"/>
    </xf>
    <xf numFmtId="0" fontId="2" fillId="13" borderId="24" xfId="0" applyFont="1" applyFill="1" applyBorder="1" applyAlignment="1" applyProtection="1">
      <alignment horizontal="left" vertical="top" wrapText="1" indent="1"/>
      <protection hidden="1"/>
    </xf>
    <xf numFmtId="0" fontId="2" fillId="13" borderId="9" xfId="0" applyFont="1" applyFill="1" applyBorder="1" applyAlignment="1" applyProtection="1">
      <alignment horizontal="left" vertical="top" wrapText="1" indent="1"/>
      <protection hidden="1"/>
    </xf>
    <xf numFmtId="0" fontId="8" fillId="0" borderId="140" xfId="0" applyFont="1" applyFill="1" applyBorder="1" applyAlignment="1" applyProtection="1">
      <alignment vertical="center" wrapText="1" shrinkToFit="1"/>
      <protection locked="0"/>
    </xf>
    <xf numFmtId="0" fontId="8" fillId="0" borderId="141" xfId="0" applyFont="1" applyFill="1" applyBorder="1" applyAlignment="1" applyProtection="1">
      <alignment vertical="center" wrapText="1" shrinkToFit="1"/>
      <protection locked="0"/>
    </xf>
    <xf numFmtId="0" fontId="8" fillId="0" borderId="145" xfId="0" applyFont="1" applyFill="1" applyBorder="1" applyAlignment="1" applyProtection="1">
      <alignment vertical="center" wrapText="1"/>
      <protection locked="0"/>
    </xf>
    <xf numFmtId="0" fontId="8" fillId="0" borderId="141" xfId="0" applyFont="1" applyFill="1" applyBorder="1" applyAlignment="1" applyProtection="1">
      <alignment vertical="center" wrapText="1"/>
      <protection locked="0"/>
    </xf>
    <xf numFmtId="0" fontId="8" fillId="0" borderId="146" xfId="0" applyFont="1" applyFill="1" applyBorder="1" applyAlignment="1" applyProtection="1">
      <alignment vertical="center" wrapText="1"/>
      <protection locked="0"/>
    </xf>
    <xf numFmtId="0" fontId="9" fillId="43" borderId="66" xfId="0" applyFont="1" applyFill="1" applyBorder="1" applyAlignment="1" applyProtection="1">
      <alignment horizontal="center" vertical="center" wrapText="1"/>
      <protection hidden="1"/>
    </xf>
    <xf numFmtId="0" fontId="9" fillId="43" borderId="111" xfId="0" applyFont="1" applyFill="1" applyBorder="1" applyAlignment="1" applyProtection="1">
      <alignment horizontal="center" vertical="center" wrapText="1"/>
      <protection hidden="1"/>
    </xf>
    <xf numFmtId="0" fontId="49" fillId="0" borderId="2" xfId="0" applyFont="1" applyBorder="1" applyAlignment="1" applyProtection="1">
      <alignment vertical="center" wrapText="1"/>
      <protection hidden="1"/>
    </xf>
    <xf numFmtId="0" fontId="49" fillId="0" borderId="3" xfId="0" applyFont="1" applyBorder="1" applyAlignment="1" applyProtection="1">
      <alignment vertical="center" wrapText="1"/>
      <protection hidden="1"/>
    </xf>
    <xf numFmtId="0" fontId="137" fillId="11" borderId="21" xfId="0" applyFont="1" applyFill="1" applyBorder="1" applyAlignment="1" applyProtection="1">
      <alignment horizontal="center" vertical="center" shrinkToFit="1"/>
      <protection locked="0"/>
    </xf>
    <xf numFmtId="0" fontId="137" fillId="11" borderId="8" xfId="0" applyFont="1" applyFill="1" applyBorder="1" applyAlignment="1" applyProtection="1">
      <alignment horizontal="center" vertical="center" shrinkToFit="1"/>
      <protection locked="0"/>
    </xf>
    <xf numFmtId="0" fontId="36" fillId="0" borderId="0" xfId="0" applyFont="1" applyAlignment="1" applyProtection="1">
      <alignment vertical="center"/>
      <protection hidden="1"/>
    </xf>
    <xf numFmtId="0" fontId="141" fillId="0" borderId="2" xfId="0" applyFont="1" applyBorder="1" applyAlignment="1" applyProtection="1">
      <alignment vertical="center" wrapText="1"/>
      <protection hidden="1"/>
    </xf>
    <xf numFmtId="0" fontId="141" fillId="0" borderId="3" xfId="0" applyFont="1" applyBorder="1" applyAlignment="1" applyProtection="1">
      <alignment vertical="center" wrapText="1"/>
      <protection hidden="1"/>
    </xf>
    <xf numFmtId="0" fontId="49" fillId="0" borderId="51" xfId="0" applyFont="1" applyBorder="1" applyAlignment="1" applyProtection="1">
      <alignment vertical="center" wrapText="1"/>
      <protection hidden="1"/>
    </xf>
    <xf numFmtId="0" fontId="49" fillId="0" borderId="40" xfId="0" applyFont="1" applyBorder="1" applyAlignment="1" applyProtection="1">
      <alignment vertical="center" wrapText="1"/>
      <protection hidden="1"/>
    </xf>
    <xf numFmtId="0" fontId="48" fillId="0" borderId="4" xfId="0" applyFont="1" applyBorder="1" applyAlignment="1" applyProtection="1">
      <alignment horizontal="center" vertical="center"/>
      <protection hidden="1"/>
    </xf>
    <xf numFmtId="0" fontId="48" fillId="0" borderId="1" xfId="0" applyFont="1" applyBorder="1" applyAlignment="1" applyProtection="1">
      <alignment horizontal="center" vertical="center"/>
      <protection hidden="1"/>
    </xf>
    <xf numFmtId="0" fontId="37" fillId="0" borderId="65" xfId="0" applyFont="1" applyFill="1" applyBorder="1" applyAlignment="1" applyProtection="1">
      <alignment horizontal="center" vertical="center"/>
      <protection locked="0"/>
    </xf>
    <xf numFmtId="0" fontId="37" fillId="0" borderId="66" xfId="0" applyFont="1" applyFill="1" applyBorder="1" applyAlignment="1" applyProtection="1">
      <alignment horizontal="center" vertical="center"/>
      <protection locked="0"/>
    </xf>
    <xf numFmtId="0" fontId="37" fillId="0" borderId="11" xfId="0" applyFont="1" applyFill="1" applyBorder="1" applyAlignment="1" applyProtection="1">
      <alignment horizontal="center" vertical="center"/>
      <protection locked="0"/>
    </xf>
    <xf numFmtId="0" fontId="37" fillId="0" borderId="12" xfId="0" applyFont="1" applyFill="1" applyBorder="1" applyAlignment="1" applyProtection="1">
      <alignment horizontal="center" vertical="center"/>
      <protection locked="0"/>
    </xf>
    <xf numFmtId="0" fontId="49" fillId="0" borderId="37" xfId="0" applyFont="1" applyBorder="1" applyAlignment="1" applyProtection="1">
      <alignment vertical="center" wrapText="1"/>
      <protection hidden="1"/>
    </xf>
    <xf numFmtId="0" fontId="49" fillId="0" borderId="41" xfId="0" applyFont="1" applyBorder="1" applyAlignment="1" applyProtection="1">
      <alignment vertical="center" wrapText="1"/>
      <protection hidden="1"/>
    </xf>
    <xf numFmtId="0" fontId="37" fillId="0" borderId="15" xfId="0" applyFont="1" applyFill="1" applyBorder="1" applyAlignment="1" applyProtection="1">
      <alignment horizontal="center" vertical="center" wrapText="1"/>
      <protection locked="0"/>
    </xf>
    <xf numFmtId="0" fontId="37" fillId="0" borderId="53" xfId="0" applyFont="1" applyFill="1" applyBorder="1" applyAlignment="1" applyProtection="1">
      <alignment horizontal="center" vertical="center" wrapText="1"/>
      <protection locked="0"/>
    </xf>
    <xf numFmtId="0" fontId="37" fillId="0" borderId="219" xfId="0" applyFont="1" applyFill="1" applyBorder="1" applyAlignment="1" applyProtection="1">
      <alignment horizontal="center" vertical="center" wrapText="1"/>
      <protection locked="0"/>
    </xf>
    <xf numFmtId="0" fontId="36" fillId="0" borderId="1" xfId="0" applyFont="1" applyBorder="1" applyAlignment="1" applyProtection="1">
      <alignment horizontal="center" vertical="center"/>
      <protection hidden="1"/>
    </xf>
    <xf numFmtId="0" fontId="36" fillId="0" borderId="5" xfId="0" applyFont="1" applyBorder="1" applyAlignment="1" applyProtection="1">
      <alignment horizontal="center" vertical="center"/>
      <protection hidden="1"/>
    </xf>
    <xf numFmtId="0" fontId="36" fillId="0" borderId="12" xfId="0" applyFont="1" applyBorder="1" applyAlignment="1" applyProtection="1">
      <alignment horizontal="center" vertical="center"/>
      <protection hidden="1"/>
    </xf>
    <xf numFmtId="0" fontId="37" fillId="0" borderId="14" xfId="0" applyFont="1" applyFill="1" applyBorder="1" applyAlignment="1" applyProtection="1">
      <alignment horizontal="center" vertical="center" wrapText="1"/>
      <protection locked="0"/>
    </xf>
    <xf numFmtId="0" fontId="48" fillId="0" borderId="11" xfId="0" applyFont="1" applyBorder="1" applyAlignment="1" applyProtection="1">
      <alignment horizontal="center" vertical="center"/>
      <protection hidden="1"/>
    </xf>
    <xf numFmtId="0" fontId="48" fillId="0" borderId="12" xfId="0" applyFont="1" applyBorder="1" applyAlignment="1" applyProtection="1">
      <alignment horizontal="center" vertical="center"/>
      <protection hidden="1"/>
    </xf>
    <xf numFmtId="0" fontId="43" fillId="0" borderId="1" xfId="0" applyFont="1" applyFill="1" applyBorder="1" applyAlignment="1" applyProtection="1">
      <alignment horizontal="center" vertical="center" wrapText="1"/>
      <protection hidden="1"/>
    </xf>
    <xf numFmtId="0" fontId="43" fillId="0" borderId="65" xfId="0" applyFont="1" applyFill="1" applyBorder="1" applyAlignment="1" applyProtection="1">
      <alignment horizontal="center" vertical="center"/>
      <protection hidden="1"/>
    </xf>
    <xf numFmtId="0" fontId="43" fillId="0" borderId="4" xfId="0" applyFont="1" applyFill="1" applyBorder="1" applyAlignment="1" applyProtection="1">
      <alignment horizontal="center" vertical="center"/>
      <protection hidden="1"/>
    </xf>
    <xf numFmtId="0" fontId="43" fillId="0" borderId="11" xfId="0" applyFont="1" applyFill="1" applyBorder="1" applyAlignment="1" applyProtection="1">
      <alignment horizontal="center" vertical="center"/>
      <protection hidden="1"/>
    </xf>
    <xf numFmtId="0" fontId="43" fillId="0" borderId="66" xfId="0" applyFont="1" applyFill="1" applyBorder="1" applyAlignment="1" applyProtection="1">
      <alignment horizontal="center" vertical="center"/>
      <protection hidden="1"/>
    </xf>
    <xf numFmtId="0" fontId="43" fillId="0" borderId="1" xfId="0" applyFont="1" applyFill="1" applyBorder="1" applyAlignment="1" applyProtection="1">
      <alignment horizontal="center" vertical="center"/>
      <protection hidden="1"/>
    </xf>
    <xf numFmtId="0" fontId="43" fillId="0" borderId="12" xfId="0" applyFont="1" applyFill="1" applyBorder="1" applyAlignment="1" applyProtection="1">
      <alignment horizontal="center" vertical="center"/>
      <protection hidden="1"/>
    </xf>
    <xf numFmtId="0" fontId="37" fillId="0" borderId="66" xfId="0" applyFont="1" applyFill="1" applyBorder="1" applyAlignment="1" applyProtection="1">
      <alignment horizontal="center" vertical="center"/>
      <protection hidden="1"/>
    </xf>
    <xf numFmtId="0" fontId="36" fillId="15" borderId="52" xfId="0" applyFont="1" applyFill="1" applyBorder="1" applyAlignment="1" applyProtection="1">
      <alignment vertical="center" wrapText="1"/>
      <protection hidden="1"/>
    </xf>
    <xf numFmtId="0" fontId="36" fillId="15" borderId="0" xfId="0" applyFont="1" applyFill="1" applyBorder="1" applyAlignment="1" applyProtection="1">
      <alignment vertical="center" wrapText="1"/>
      <protection hidden="1"/>
    </xf>
    <xf numFmtId="0" fontId="41" fillId="15" borderId="0" xfId="0" applyFont="1" applyFill="1" applyBorder="1" applyAlignment="1" applyProtection="1">
      <alignment vertical="center" wrapText="1"/>
      <protection hidden="1"/>
    </xf>
    <xf numFmtId="0" fontId="48" fillId="15" borderId="0" xfId="0" applyFont="1" applyFill="1" applyBorder="1" applyAlignment="1" applyProtection="1">
      <alignment wrapText="1"/>
      <protection hidden="1"/>
    </xf>
    <xf numFmtId="0" fontId="48" fillId="15" borderId="164" xfId="0" applyFont="1" applyFill="1" applyBorder="1" applyAlignment="1" applyProtection="1">
      <alignment wrapText="1"/>
      <protection hidden="1"/>
    </xf>
    <xf numFmtId="0" fontId="43" fillId="0" borderId="66" xfId="0" applyFont="1" applyFill="1" applyBorder="1" applyAlignment="1" applyProtection="1">
      <alignment horizontal="center" vertical="center" wrapText="1"/>
      <protection hidden="1"/>
    </xf>
    <xf numFmtId="0" fontId="43" fillId="0" borderId="12" xfId="0" applyFont="1" applyFill="1" applyBorder="1" applyAlignment="1" applyProtection="1">
      <alignment horizontal="center" vertical="center" wrapText="1"/>
      <protection hidden="1"/>
    </xf>
    <xf numFmtId="0" fontId="43" fillId="0" borderId="1" xfId="0" quotePrefix="1" applyFont="1" applyFill="1" applyBorder="1" applyAlignment="1" applyProtection="1">
      <alignment horizontal="center" vertical="center"/>
      <protection hidden="1"/>
    </xf>
    <xf numFmtId="0" fontId="151" fillId="0" borderId="0" xfId="0" applyFont="1" applyFill="1" applyAlignment="1" applyProtection="1">
      <alignment horizontal="center" vertical="center"/>
      <protection hidden="1"/>
    </xf>
    <xf numFmtId="0" fontId="41" fillId="0" borderId="56" xfId="0" applyFont="1" applyBorder="1" applyAlignment="1" applyProtection="1">
      <alignment vertical="center" shrinkToFit="1"/>
      <protection hidden="1"/>
    </xf>
    <xf numFmtId="0" fontId="41" fillId="0" borderId="41" xfId="0" applyFont="1" applyBorder="1" applyAlignment="1" applyProtection="1">
      <alignment vertical="center" shrinkToFit="1"/>
      <protection hidden="1"/>
    </xf>
    <xf numFmtId="0" fontId="36" fillId="0" borderId="0" xfId="0" applyFont="1" applyAlignment="1" applyProtection="1">
      <alignment horizontal="left" vertical="top"/>
      <protection hidden="1"/>
    </xf>
    <xf numFmtId="0" fontId="75" fillId="0" borderId="0" xfId="0" applyFont="1" applyAlignment="1" applyProtection="1">
      <alignment horizontal="left" shrinkToFit="1"/>
      <protection hidden="1"/>
    </xf>
    <xf numFmtId="0" fontId="36" fillId="0" borderId="35" xfId="0" applyFont="1" applyBorder="1" applyAlignment="1" applyProtection="1">
      <alignment vertical="center"/>
      <protection hidden="1"/>
    </xf>
    <xf numFmtId="0" fontId="36" fillId="0" borderId="3" xfId="0" applyFont="1" applyBorder="1" applyAlignment="1" applyProtection="1">
      <alignment vertical="center"/>
      <protection hidden="1"/>
    </xf>
    <xf numFmtId="0" fontId="36" fillId="0" borderId="105" xfId="0" applyFont="1" applyBorder="1" applyAlignment="1" applyProtection="1">
      <alignment vertical="center"/>
      <protection hidden="1"/>
    </xf>
    <xf numFmtId="0" fontId="36" fillId="0" borderId="40" xfId="0" applyFont="1" applyBorder="1" applyAlignment="1" applyProtection="1">
      <alignment vertical="center"/>
      <protection hidden="1"/>
    </xf>
    <xf numFmtId="0" fontId="36" fillId="0" borderId="0" xfId="0" applyFont="1" applyAlignment="1" applyProtection="1">
      <alignment horizontal="left" vertical="center"/>
      <protection hidden="1"/>
    </xf>
    <xf numFmtId="0" fontId="36" fillId="0" borderId="0" xfId="0" applyFont="1" applyAlignment="1" applyProtection="1">
      <alignment vertical="top"/>
      <protection hidden="1"/>
    </xf>
    <xf numFmtId="165" fontId="203" fillId="0" borderId="0" xfId="0" applyNumberFormat="1" applyFont="1" applyFill="1" applyAlignment="1" applyProtection="1">
      <alignment horizontal="center" vertical="center"/>
      <protection locked="0" hidden="1"/>
    </xf>
    <xf numFmtId="0" fontId="85" fillId="0" borderId="0" xfId="0" applyFont="1" applyAlignment="1" applyProtection="1">
      <alignment horizontal="center" vertical="center"/>
      <protection locked="0" hidden="1"/>
    </xf>
    <xf numFmtId="0" fontId="224" fillId="0" borderId="0" xfId="0" applyFont="1" applyAlignment="1" applyProtection="1">
      <alignment vertical="center" shrinkToFit="1"/>
      <protection hidden="1"/>
    </xf>
    <xf numFmtId="0" fontId="223" fillId="0" borderId="0" xfId="0" applyFont="1" applyAlignment="1" applyProtection="1">
      <alignment vertical="center" shrinkToFit="1"/>
      <protection hidden="1"/>
    </xf>
    <xf numFmtId="0" fontId="36" fillId="0" borderId="13" xfId="0" applyFont="1" applyBorder="1" applyAlignment="1" applyProtection="1">
      <alignment horizontal="center" vertical="center"/>
      <protection hidden="1"/>
    </xf>
    <xf numFmtId="0" fontId="37" fillId="0" borderId="111" xfId="0" applyFont="1" applyFill="1" applyBorder="1" applyAlignment="1" applyProtection="1">
      <alignment horizontal="center" vertical="center"/>
      <protection locked="0"/>
    </xf>
    <xf numFmtId="0" fontId="37" fillId="0" borderId="58" xfId="0" applyFont="1" applyFill="1" applyBorder="1" applyAlignment="1" applyProtection="1">
      <alignment horizontal="center" vertical="center"/>
      <protection locked="0"/>
    </xf>
    <xf numFmtId="0" fontId="37" fillId="0" borderId="59" xfId="0" applyFont="1" applyFill="1" applyBorder="1" applyAlignment="1" applyProtection="1">
      <alignment horizontal="center" vertical="center"/>
      <protection locked="0"/>
    </xf>
    <xf numFmtId="0" fontId="37" fillId="0" borderId="69" xfId="0" applyFont="1" applyFill="1" applyBorder="1" applyAlignment="1" applyProtection="1">
      <alignment horizontal="center" vertical="center"/>
      <protection locked="0"/>
    </xf>
    <xf numFmtId="0" fontId="37" fillId="0" borderId="13" xfId="0" applyFont="1" applyFill="1" applyBorder="1" applyAlignment="1" applyProtection="1">
      <alignment horizontal="center" vertical="center"/>
      <protection locked="0"/>
    </xf>
    <xf numFmtId="0" fontId="36" fillId="0" borderId="74" xfId="0" applyFont="1" applyFill="1" applyBorder="1" applyAlignment="1" applyProtection="1">
      <alignment vertical="center" wrapText="1"/>
      <protection locked="0"/>
    </xf>
    <xf numFmtId="0" fontId="36" fillId="0" borderId="9" xfId="0" applyFont="1" applyFill="1" applyBorder="1" applyAlignment="1" applyProtection="1">
      <alignment vertical="center" wrapText="1"/>
      <protection locked="0"/>
    </xf>
    <xf numFmtId="164" fontId="36" fillId="0" borderId="2" xfId="1" applyFont="1" applyBorder="1" applyAlignment="1" applyProtection="1">
      <alignment horizontal="center" vertical="center"/>
      <protection hidden="1"/>
    </xf>
    <xf numFmtId="164" fontId="36" fillId="0" borderId="15" xfId="1" applyFont="1" applyBorder="1" applyAlignment="1" applyProtection="1">
      <alignment horizontal="center" vertical="center"/>
      <protection hidden="1"/>
    </xf>
    <xf numFmtId="0" fontId="36" fillId="0" borderId="174" xfId="0" applyFont="1" applyBorder="1" applyAlignment="1" applyProtection="1">
      <alignment vertical="center"/>
      <protection hidden="1"/>
    </xf>
    <xf numFmtId="0" fontId="36" fillId="0" borderId="121" xfId="0" applyFont="1" applyBorder="1" applyAlignment="1" applyProtection="1">
      <alignment vertical="center"/>
      <protection hidden="1"/>
    </xf>
    <xf numFmtId="0" fontId="36" fillId="0" borderId="0" xfId="0" applyFont="1" applyAlignment="1" applyProtection="1">
      <alignment horizontal="left" vertical="top" shrinkToFit="1"/>
      <protection hidden="1"/>
    </xf>
    <xf numFmtId="0" fontId="270" fillId="0" borderId="2" xfId="0" applyFont="1" applyFill="1" applyBorder="1" applyAlignment="1" applyProtection="1">
      <alignment vertical="center" shrinkToFit="1"/>
      <protection hidden="1"/>
    </xf>
    <xf numFmtId="0" fontId="270" fillId="0" borderId="34" xfId="0" applyFont="1" applyFill="1" applyBorder="1" applyAlignment="1" applyProtection="1">
      <alignment vertical="center" shrinkToFit="1"/>
      <protection hidden="1"/>
    </xf>
    <xf numFmtId="0" fontId="270" fillId="0" borderId="3" xfId="0" applyFont="1" applyFill="1" applyBorder="1" applyAlignment="1" applyProtection="1">
      <alignment vertical="center" shrinkToFit="1"/>
      <protection hidden="1"/>
    </xf>
    <xf numFmtId="0" fontId="270" fillId="0" borderId="1" xfId="0" applyFont="1" applyFill="1" applyBorder="1" applyAlignment="1" applyProtection="1">
      <alignment horizontal="left" vertical="center" shrinkToFit="1"/>
      <protection hidden="1"/>
    </xf>
    <xf numFmtId="0" fontId="36" fillId="0" borderId="1" xfId="0" applyFont="1" applyBorder="1" applyAlignment="1" applyProtection="1">
      <alignment horizontal="left" vertical="center" indent="1"/>
      <protection hidden="1"/>
    </xf>
    <xf numFmtId="0" fontId="36" fillId="0" borderId="1" xfId="0" applyFont="1" applyBorder="1" applyAlignment="1" applyProtection="1">
      <alignment horizontal="left" vertical="center" wrapText="1" indent="1"/>
      <protection hidden="1"/>
    </xf>
    <xf numFmtId="0" fontId="36" fillId="0" borderId="51" xfId="0" applyFont="1" applyBorder="1" applyAlignment="1" applyProtection="1">
      <alignment horizontal="left" vertical="top" wrapText="1" indent="1"/>
      <protection hidden="1"/>
    </xf>
    <xf numFmtId="0" fontId="36" fillId="0" borderId="52" xfId="0" applyFont="1" applyBorder="1" applyAlignment="1" applyProtection="1">
      <alignment horizontal="left" vertical="top" wrapText="1" indent="1"/>
      <protection hidden="1"/>
    </xf>
    <xf numFmtId="0" fontId="36" fillId="0" borderId="40" xfId="0" applyFont="1" applyBorder="1" applyAlignment="1" applyProtection="1">
      <alignment horizontal="left" vertical="top" wrapText="1" indent="1"/>
      <protection hidden="1"/>
    </xf>
    <xf numFmtId="0" fontId="36" fillId="0" borderId="25" xfId="0" applyFont="1" applyBorder="1" applyAlignment="1" applyProtection="1">
      <alignment horizontal="left" vertical="top" wrapText="1" indent="1"/>
      <protection hidden="1"/>
    </xf>
    <xf numFmtId="0" fontId="36" fillId="0" borderId="0" xfId="0" applyFont="1" applyBorder="1" applyAlignment="1" applyProtection="1">
      <alignment horizontal="left" vertical="top" wrapText="1" indent="1"/>
      <protection hidden="1"/>
    </xf>
    <xf numFmtId="0" fontId="36" fillId="0" borderId="24" xfId="0" applyFont="1" applyBorder="1" applyAlignment="1" applyProtection="1">
      <alignment horizontal="left" vertical="top" wrapText="1" indent="1"/>
      <protection hidden="1"/>
    </xf>
    <xf numFmtId="0" fontId="36" fillId="0" borderId="10" xfId="0" applyFont="1" applyBorder="1" applyAlignment="1" applyProtection="1">
      <alignment horizontal="left" vertical="top" wrapText="1" indent="1"/>
      <protection hidden="1"/>
    </xf>
    <xf numFmtId="0" fontId="36" fillId="0" borderId="19" xfId="0" applyFont="1" applyBorder="1" applyAlignment="1" applyProtection="1">
      <alignment horizontal="left" vertical="top" wrapText="1" indent="1"/>
      <protection hidden="1"/>
    </xf>
    <xf numFmtId="0" fontId="36" fillId="0" borderId="9" xfId="0" applyFont="1" applyBorder="1" applyAlignment="1" applyProtection="1">
      <alignment horizontal="left" vertical="top" wrapText="1" indent="1"/>
      <protection hidden="1"/>
    </xf>
    <xf numFmtId="0" fontId="37" fillId="2" borderId="2" xfId="0" applyFont="1" applyFill="1" applyBorder="1" applyAlignment="1" applyProtection="1">
      <alignment horizontal="center" vertical="center"/>
      <protection hidden="1"/>
    </xf>
    <xf numFmtId="0" fontId="37" fillId="2" borderId="34" xfId="0" applyFont="1" applyFill="1" applyBorder="1" applyAlignment="1" applyProtection="1">
      <alignment horizontal="center" vertical="center"/>
      <protection hidden="1"/>
    </xf>
    <xf numFmtId="0" fontId="37" fillId="2" borderId="3" xfId="0" applyFont="1" applyFill="1" applyBorder="1" applyAlignment="1" applyProtection="1">
      <alignment horizontal="center" vertical="center"/>
      <protection hidden="1"/>
    </xf>
    <xf numFmtId="0" fontId="36" fillId="0" borderId="2" xfId="1" applyNumberFormat="1" applyFont="1" applyBorder="1" applyAlignment="1" applyProtection="1">
      <alignment horizontal="left" vertical="center" shrinkToFit="1"/>
      <protection hidden="1"/>
    </xf>
    <xf numFmtId="0" fontId="36" fillId="0" borderId="34" xfId="1" applyNumberFormat="1" applyFont="1" applyBorder="1" applyAlignment="1" applyProtection="1">
      <alignment horizontal="left" vertical="center" shrinkToFit="1"/>
      <protection hidden="1"/>
    </xf>
    <xf numFmtId="0" fontId="36" fillId="0" borderId="3" xfId="1" applyNumberFormat="1" applyFont="1" applyBorder="1" applyAlignment="1" applyProtection="1">
      <alignment horizontal="left" vertical="center" shrinkToFit="1"/>
      <protection hidden="1"/>
    </xf>
    <xf numFmtId="0" fontId="41" fillId="0" borderId="2" xfId="0" applyFont="1" applyBorder="1" applyAlignment="1" applyProtection="1">
      <alignment vertical="center" shrinkToFit="1"/>
      <protection hidden="1"/>
    </xf>
    <xf numFmtId="0" fontId="41" fillId="0" borderId="34" xfId="0" applyFont="1" applyBorder="1" applyAlignment="1" applyProtection="1">
      <alignment vertical="center" shrinkToFit="1"/>
      <protection hidden="1"/>
    </xf>
    <xf numFmtId="0" fontId="41" fillId="0" borderId="3" xfId="0" applyFont="1" applyBorder="1" applyAlignment="1" applyProtection="1">
      <alignment vertical="center" shrinkToFit="1"/>
      <protection hidden="1"/>
    </xf>
    <xf numFmtId="0" fontId="41" fillId="0" borderId="1" xfId="0" applyFont="1" applyBorder="1" applyAlignment="1" applyProtection="1">
      <alignment horizontal="left" vertical="center" shrinkToFit="1"/>
      <protection hidden="1"/>
    </xf>
    <xf numFmtId="0" fontId="36" fillId="0" borderId="0" xfId="0" applyFont="1" applyAlignment="1" applyProtection="1">
      <alignment shrinkToFit="1"/>
      <protection hidden="1"/>
    </xf>
    <xf numFmtId="0" fontId="36" fillId="0" borderId="0" xfId="0" applyFont="1" applyAlignment="1" applyProtection="1">
      <alignment horizontal="left" vertical="center" shrinkToFit="1"/>
      <protection hidden="1"/>
    </xf>
    <xf numFmtId="0" fontId="36" fillId="0" borderId="0" xfId="0" applyFont="1" applyAlignment="1" applyProtection="1">
      <alignment vertical="center" shrinkToFit="1"/>
      <protection hidden="1"/>
    </xf>
    <xf numFmtId="49" fontId="37" fillId="0" borderId="0" xfId="0" applyNumberFormat="1" applyFont="1" applyAlignment="1" applyProtection="1">
      <alignment horizontal="left" shrinkToFit="1"/>
      <protection hidden="1"/>
    </xf>
    <xf numFmtId="0" fontId="266" fillId="0" borderId="2" xfId="0" applyFont="1" applyFill="1" applyBorder="1" applyAlignment="1" applyProtection="1">
      <alignment horizontal="center" vertical="center"/>
      <protection hidden="1"/>
    </xf>
    <xf numFmtId="0" fontId="266" fillId="0" borderId="34" xfId="0" applyFont="1" applyFill="1" applyBorder="1" applyAlignment="1" applyProtection="1">
      <alignment horizontal="center" vertical="center"/>
      <protection hidden="1"/>
    </xf>
    <xf numFmtId="0" fontId="266" fillId="0" borderId="3" xfId="0" applyFont="1" applyFill="1" applyBorder="1" applyAlignment="1" applyProtection="1">
      <alignment horizontal="center" vertical="center"/>
      <protection hidden="1"/>
    </xf>
    <xf numFmtId="0" fontId="270" fillId="0" borderId="2" xfId="0" applyFont="1" applyFill="1" applyBorder="1" applyAlignment="1" applyProtection="1">
      <alignment vertical="center" wrapText="1"/>
      <protection hidden="1"/>
    </xf>
    <xf numFmtId="0" fontId="270" fillId="0" borderId="3" xfId="0" applyFont="1" applyFill="1" applyBorder="1" applyAlignment="1" applyProtection="1">
      <alignment vertical="center" wrapText="1"/>
      <protection hidden="1"/>
    </xf>
    <xf numFmtId="0" fontId="48" fillId="6" borderId="0" xfId="0" applyFont="1" applyFill="1" applyBorder="1" applyAlignment="1" applyProtection="1">
      <alignment horizontal="center" wrapText="1"/>
      <protection hidden="1"/>
    </xf>
    <xf numFmtId="0" fontId="48" fillId="6" borderId="0" xfId="0" applyFont="1" applyFill="1" applyAlignment="1" applyProtection="1">
      <alignment horizontal="center" wrapText="1"/>
      <protection hidden="1"/>
    </xf>
    <xf numFmtId="0" fontId="194" fillId="0" borderId="0" xfId="0" applyFont="1" applyFill="1" applyAlignment="1" applyProtection="1">
      <alignment horizontal="center" vertical="center" wrapText="1"/>
      <protection hidden="1"/>
    </xf>
    <xf numFmtId="0" fontId="194" fillId="0" borderId="19" xfId="0" applyFont="1" applyFill="1" applyBorder="1" applyAlignment="1" applyProtection="1">
      <alignment horizontal="center" vertical="center" wrapText="1"/>
      <protection hidden="1"/>
    </xf>
    <xf numFmtId="0" fontId="269" fillId="0" borderId="1" xfId="0" applyFont="1" applyFill="1" applyBorder="1" applyAlignment="1" applyProtection="1">
      <alignment vertical="center" wrapText="1"/>
      <protection hidden="1"/>
    </xf>
    <xf numFmtId="0" fontId="267" fillId="0" borderId="1" xfId="0" applyFont="1" applyFill="1" applyBorder="1" applyAlignment="1" applyProtection="1">
      <alignment horizontal="center" vertical="center" wrapText="1"/>
      <protection hidden="1"/>
    </xf>
    <xf numFmtId="0" fontId="269" fillId="0" borderId="21" xfId="0" applyFont="1" applyFill="1" applyBorder="1" applyAlignment="1" applyProtection="1">
      <alignment horizontal="left" vertical="center" wrapText="1"/>
      <protection hidden="1"/>
    </xf>
    <xf numFmtId="0" fontId="269" fillId="0" borderId="1" xfId="0" applyFont="1" applyFill="1" applyBorder="1" applyAlignment="1" applyProtection="1">
      <alignment horizontal="left" vertical="center" wrapText="1"/>
      <protection hidden="1"/>
    </xf>
    <xf numFmtId="0" fontId="265" fillId="0" borderId="1" xfId="0" applyFont="1" applyFill="1" applyBorder="1" applyAlignment="1" applyProtection="1">
      <alignment horizontal="left" vertical="center" indent="1"/>
      <protection hidden="1"/>
    </xf>
    <xf numFmtId="0" fontId="266" fillId="0" borderId="1" xfId="0" applyFont="1" applyFill="1" applyBorder="1" applyAlignment="1" applyProtection="1">
      <alignment horizontal="center" vertical="center"/>
      <protection hidden="1"/>
    </xf>
    <xf numFmtId="0" fontId="270" fillId="0" borderId="51" xfId="0" applyFont="1" applyFill="1" applyBorder="1" applyAlignment="1" applyProtection="1">
      <alignment vertical="center" wrapText="1"/>
      <protection hidden="1"/>
    </xf>
    <xf numFmtId="0" fontId="270" fillId="0" borderId="40" xfId="0" applyFont="1" applyFill="1" applyBorder="1" applyAlignment="1" applyProtection="1">
      <alignment vertical="center" wrapText="1"/>
      <protection hidden="1"/>
    </xf>
    <xf numFmtId="0" fontId="270" fillId="0" borderId="34" xfId="0" applyFont="1" applyFill="1" applyBorder="1" applyAlignment="1" applyProtection="1">
      <alignment vertical="center"/>
      <protection hidden="1"/>
    </xf>
    <xf numFmtId="0" fontId="270" fillId="0" borderId="3" xfId="0" applyFont="1" applyFill="1" applyBorder="1" applyAlignment="1" applyProtection="1">
      <alignment vertical="center"/>
      <protection hidden="1"/>
    </xf>
    <xf numFmtId="0" fontId="37" fillId="0" borderId="0" xfId="0" applyFont="1" applyBorder="1" applyAlignment="1" applyProtection="1">
      <alignment horizontal="left" vertical="top" indent="1" shrinkToFit="1"/>
      <protection hidden="1"/>
    </xf>
    <xf numFmtId="0" fontId="269" fillId="0" borderId="1" xfId="0" applyFont="1" applyFill="1" applyBorder="1" applyAlignment="1" applyProtection="1">
      <alignment horizontal="left" vertical="center" wrapText="1" indent="1"/>
      <protection hidden="1"/>
    </xf>
    <xf numFmtId="0" fontId="265" fillId="0" borderId="1" xfId="0" applyFont="1" applyFill="1" applyBorder="1" applyAlignment="1" applyProtection="1">
      <alignment vertical="top" wrapText="1"/>
      <protection hidden="1"/>
    </xf>
    <xf numFmtId="0" fontId="265" fillId="0" borderId="34" xfId="0" applyFont="1" applyFill="1" applyBorder="1" applyAlignment="1" applyProtection="1">
      <alignment vertical="center"/>
      <protection hidden="1"/>
    </xf>
    <xf numFmtId="0" fontId="265" fillId="0" borderId="3" xfId="0" applyFont="1" applyFill="1" applyBorder="1" applyAlignment="1" applyProtection="1">
      <alignment vertical="center"/>
      <protection hidden="1"/>
    </xf>
    <xf numFmtId="0" fontId="265" fillId="0" borderId="1" xfId="0" applyFont="1" applyFill="1" applyBorder="1" applyAlignment="1" applyProtection="1">
      <alignment horizontal="center" vertical="top" shrinkToFit="1"/>
      <protection hidden="1"/>
    </xf>
    <xf numFmtId="0" fontId="137" fillId="11" borderId="21" xfId="0" applyFont="1" applyFill="1" applyBorder="1" applyAlignment="1" applyProtection="1">
      <alignment horizontal="center" vertical="center"/>
      <protection locked="0"/>
    </xf>
    <xf numFmtId="0" fontId="137" fillId="11" borderId="8" xfId="0" applyFont="1" applyFill="1" applyBorder="1" applyAlignment="1" applyProtection="1">
      <alignment horizontal="center" vertical="center"/>
      <protection locked="0"/>
    </xf>
    <xf numFmtId="0" fontId="264" fillId="0" borderId="0" xfId="0" applyFont="1" applyAlignment="1" applyProtection="1">
      <alignment horizontal="center" vertical="center"/>
      <protection hidden="1"/>
    </xf>
    <xf numFmtId="0" fontId="41" fillId="6" borderId="0" xfId="0" applyFont="1" applyFill="1" applyAlignment="1" applyProtection="1">
      <alignment horizontal="left" vertical="top" wrapText="1" indent="2"/>
      <protection hidden="1"/>
    </xf>
    <xf numFmtId="0" fontId="36" fillId="6" borderId="0" xfId="0" applyFont="1" applyFill="1" applyBorder="1" applyAlignment="1" applyProtection="1">
      <alignment horizontal="center" vertical="center" wrapText="1"/>
      <protection hidden="1"/>
    </xf>
    <xf numFmtId="0" fontId="191" fillId="0" borderId="8" xfId="0" applyFont="1" applyFill="1" applyBorder="1" applyAlignment="1" applyProtection="1">
      <alignment horizontal="center" vertical="center"/>
      <protection hidden="1"/>
    </xf>
    <xf numFmtId="0" fontId="191" fillId="0" borderId="2" xfId="0" applyFont="1" applyFill="1" applyBorder="1" applyAlignment="1" applyProtection="1">
      <alignment horizontal="center" vertical="center"/>
      <protection hidden="1"/>
    </xf>
    <xf numFmtId="0" fontId="191" fillId="0" borderId="34" xfId="0" applyFont="1" applyFill="1" applyBorder="1" applyAlignment="1" applyProtection="1">
      <alignment horizontal="center" vertical="center"/>
      <protection hidden="1"/>
    </xf>
    <xf numFmtId="0" fontId="191" fillId="0" borderId="3" xfId="0" applyFont="1" applyFill="1" applyBorder="1" applyAlignment="1" applyProtection="1">
      <alignment horizontal="center" vertical="center"/>
      <protection hidden="1"/>
    </xf>
    <xf numFmtId="0" fontId="266" fillId="0" borderId="1" xfId="0" applyFont="1" applyFill="1" applyBorder="1" applyAlignment="1" applyProtection="1">
      <alignment horizontal="center" vertical="center" wrapText="1"/>
      <protection locked="0"/>
    </xf>
    <xf numFmtId="0" fontId="266" fillId="0" borderId="2" xfId="0" applyFont="1" applyFill="1" applyBorder="1" applyAlignment="1" applyProtection="1">
      <alignment horizontal="center" vertical="center"/>
      <protection locked="0"/>
    </xf>
    <xf numFmtId="0" fontId="266" fillId="0" borderId="34" xfId="0" applyFont="1" applyFill="1" applyBorder="1" applyAlignment="1" applyProtection="1">
      <alignment horizontal="center" vertical="center"/>
      <protection locked="0"/>
    </xf>
    <xf numFmtId="0" fontId="266" fillId="0" borderId="3" xfId="0" applyFont="1" applyFill="1" applyBorder="1" applyAlignment="1" applyProtection="1">
      <alignment horizontal="center" vertical="center"/>
      <protection locked="0"/>
    </xf>
    <xf numFmtId="0" fontId="266" fillId="0" borderId="1" xfId="0" applyFont="1" applyFill="1" applyBorder="1" applyAlignment="1" applyProtection="1">
      <alignment horizontal="center" vertical="center"/>
      <protection locked="0"/>
    </xf>
    <xf numFmtId="0" fontId="56" fillId="0" borderId="21" xfId="0" applyFont="1" applyBorder="1" applyAlignment="1" applyProtection="1">
      <alignment horizontal="left" vertical="center" wrapText="1"/>
      <protection hidden="1"/>
    </xf>
    <xf numFmtId="0" fontId="56" fillId="0" borderId="1" xfId="0" applyFont="1" applyBorder="1" applyAlignment="1" applyProtection="1">
      <alignment horizontal="left" vertical="center" wrapText="1"/>
      <protection hidden="1"/>
    </xf>
    <xf numFmtId="0" fontId="43" fillId="2" borderId="1" xfId="0" applyFont="1" applyFill="1" applyBorder="1" applyAlignment="1" applyProtection="1">
      <alignment horizontal="center" vertical="center"/>
      <protection locked="0"/>
    </xf>
    <xf numFmtId="0" fontId="56" fillId="0" borderId="1" xfId="0" applyFont="1" applyBorder="1" applyAlignment="1" applyProtection="1">
      <alignment horizontal="center" vertical="center"/>
      <protection hidden="1"/>
    </xf>
    <xf numFmtId="0" fontId="78" fillId="2" borderId="1" xfId="0" applyFont="1" applyFill="1" applyBorder="1" applyAlignment="1" applyProtection="1">
      <alignment horizontal="center" vertical="center" wrapText="1"/>
      <protection locked="0"/>
    </xf>
    <xf numFmtId="0" fontId="49" fillId="0" borderId="1" xfId="0" applyFont="1" applyBorder="1" applyAlignment="1" applyProtection="1">
      <alignment horizontal="center" vertical="center"/>
      <protection hidden="1"/>
    </xf>
    <xf numFmtId="0" fontId="48" fillId="6" borderId="52" xfId="0" applyFont="1" applyFill="1" applyBorder="1" applyAlignment="1" applyProtection="1">
      <alignment horizontal="center" wrapText="1"/>
      <protection hidden="1"/>
    </xf>
    <xf numFmtId="0" fontId="48" fillId="6" borderId="19" xfId="0" applyFont="1" applyFill="1" applyBorder="1" applyAlignment="1" applyProtection="1">
      <alignment horizontal="center" wrapText="1"/>
      <protection hidden="1"/>
    </xf>
    <xf numFmtId="0" fontId="56" fillId="0" borderId="1" xfId="0" applyFont="1" applyBorder="1" applyAlignment="1" applyProtection="1">
      <alignment vertical="center" wrapText="1"/>
      <protection hidden="1"/>
    </xf>
    <xf numFmtId="0" fontId="36" fillId="6" borderId="52" xfId="0" applyFont="1" applyFill="1" applyBorder="1" applyAlignment="1" applyProtection="1">
      <alignment horizontal="center" wrapText="1"/>
      <protection hidden="1"/>
    </xf>
    <xf numFmtId="0" fontId="36" fillId="6" borderId="19" xfId="0" applyFont="1" applyFill="1" applyBorder="1" applyAlignment="1" applyProtection="1">
      <alignment horizontal="center" wrapText="1"/>
      <protection hidden="1"/>
    </xf>
    <xf numFmtId="0" fontId="36" fillId="2" borderId="34" xfId="0" applyFont="1" applyFill="1" applyBorder="1" applyAlignment="1" applyProtection="1">
      <alignment horizontal="left" vertical="center" indent="1"/>
      <protection hidden="1"/>
    </xf>
    <xf numFmtId="0" fontId="36" fillId="2" borderId="3" xfId="0" applyFont="1" applyFill="1" applyBorder="1" applyAlignment="1" applyProtection="1">
      <alignment horizontal="left" vertical="center" indent="1"/>
      <protection hidden="1"/>
    </xf>
    <xf numFmtId="0" fontId="43" fillId="2" borderId="2" xfId="0" applyFont="1" applyFill="1" applyBorder="1" applyAlignment="1" applyProtection="1">
      <alignment horizontal="center" vertical="center"/>
      <protection locked="0"/>
    </xf>
    <xf numFmtId="0" fontId="43" fillId="2" borderId="34" xfId="0" applyFont="1" applyFill="1" applyBorder="1" applyAlignment="1" applyProtection="1">
      <alignment horizontal="center" vertical="center"/>
      <protection locked="0"/>
    </xf>
    <xf numFmtId="0" fontId="43" fillId="2" borderId="3" xfId="0" applyFont="1" applyFill="1" applyBorder="1" applyAlignment="1" applyProtection="1">
      <alignment horizontal="center" vertical="center"/>
      <protection locked="0"/>
    </xf>
    <xf numFmtId="0" fontId="142" fillId="2" borderId="2" xfId="0" applyFont="1" applyFill="1" applyBorder="1" applyAlignment="1" applyProtection="1">
      <alignment horizontal="center" vertical="center"/>
      <protection hidden="1"/>
    </xf>
    <xf numFmtId="0" fontId="142" fillId="2" borderId="34" xfId="0" applyFont="1" applyFill="1" applyBorder="1" applyAlignment="1" applyProtection="1">
      <alignment horizontal="center" vertical="center"/>
      <protection hidden="1"/>
    </xf>
    <xf numFmtId="0" fontId="142" fillId="2" borderId="3" xfId="0" applyFont="1" applyFill="1" applyBorder="1" applyAlignment="1" applyProtection="1">
      <alignment horizontal="center" vertical="center"/>
      <protection hidden="1"/>
    </xf>
    <xf numFmtId="0" fontId="141" fillId="0" borderId="2" xfId="0" applyFont="1" applyBorder="1" applyAlignment="1" applyProtection="1">
      <alignment vertical="center" shrinkToFit="1"/>
      <protection hidden="1"/>
    </xf>
    <xf numFmtId="0" fontId="141" fillId="0" borderId="34" xfId="0" applyFont="1" applyBorder="1" applyAlignment="1" applyProtection="1">
      <alignment vertical="center" shrinkToFit="1"/>
      <protection hidden="1"/>
    </xf>
    <xf numFmtId="0" fontId="141" fillId="0" borderId="3" xfId="0" applyFont="1" applyBorder="1" applyAlignment="1" applyProtection="1">
      <alignment vertical="center" shrinkToFit="1"/>
      <protection hidden="1"/>
    </xf>
    <xf numFmtId="0" fontId="36" fillId="2" borderId="2" xfId="0" applyFont="1" applyFill="1" applyBorder="1" applyAlignment="1" applyProtection="1">
      <alignment vertical="center" wrapText="1"/>
      <protection hidden="1"/>
    </xf>
    <xf numFmtId="0" fontId="36" fillId="2" borderId="34" xfId="0" applyFont="1" applyFill="1" applyBorder="1" applyAlignment="1" applyProtection="1">
      <alignment vertical="center" wrapText="1"/>
      <protection hidden="1"/>
    </xf>
    <xf numFmtId="0" fontId="49" fillId="0" borderId="1" xfId="0" applyFont="1" applyBorder="1" applyAlignment="1" applyProtection="1">
      <alignment vertical="center" wrapText="1"/>
      <protection hidden="1"/>
    </xf>
    <xf numFmtId="0" fontId="43" fillId="35" borderId="1" xfId="0" applyFont="1" applyFill="1" applyBorder="1" applyAlignment="1" applyProtection="1">
      <alignment horizontal="center" vertical="center"/>
      <protection hidden="1"/>
    </xf>
    <xf numFmtId="0" fontId="43" fillId="35" borderId="1" xfId="0" applyFont="1" applyFill="1" applyBorder="1" applyAlignment="1" applyProtection="1">
      <alignment horizontal="center" vertical="center" wrapText="1"/>
      <protection hidden="1"/>
    </xf>
    <xf numFmtId="0" fontId="139" fillId="0" borderId="0" xfId="0" applyFont="1" applyAlignment="1" applyProtection="1">
      <alignment horizontal="center" vertical="center" wrapText="1"/>
      <protection hidden="1"/>
    </xf>
    <xf numFmtId="0" fontId="139" fillId="0" borderId="19" xfId="0" applyFont="1" applyBorder="1" applyAlignment="1" applyProtection="1">
      <alignment horizontal="center" vertical="center" wrapText="1"/>
      <protection hidden="1"/>
    </xf>
    <xf numFmtId="0" fontId="36" fillId="2" borderId="2" xfId="0" applyFont="1" applyFill="1" applyBorder="1" applyAlignment="1" applyProtection="1">
      <alignment vertical="center"/>
      <protection hidden="1"/>
    </xf>
    <xf numFmtId="0" fontId="36" fillId="2" borderId="34" xfId="0" applyFont="1" applyFill="1" applyBorder="1" applyAlignment="1" applyProtection="1">
      <alignment vertical="center"/>
      <protection hidden="1"/>
    </xf>
    <xf numFmtId="0" fontId="36" fillId="2" borderId="3" xfId="0" applyFont="1" applyFill="1" applyBorder="1" applyAlignment="1" applyProtection="1">
      <alignment vertical="center"/>
      <protection hidden="1"/>
    </xf>
    <xf numFmtId="0" fontId="36" fillId="0" borderId="1" xfId="0" applyFont="1" applyBorder="1" applyAlignment="1" applyProtection="1">
      <alignment horizontal="center" vertical="top" shrinkToFit="1"/>
      <protection hidden="1"/>
    </xf>
    <xf numFmtId="0" fontId="36" fillId="0" borderId="1" xfId="0" applyFont="1" applyBorder="1" applyAlignment="1" applyProtection="1">
      <alignment horizontal="left" vertical="top" wrapText="1"/>
      <protection hidden="1"/>
    </xf>
    <xf numFmtId="0" fontId="37" fillId="2" borderId="1" xfId="0" applyFont="1" applyFill="1" applyBorder="1" applyAlignment="1" applyProtection="1">
      <alignment horizontal="center" vertical="center"/>
      <protection hidden="1"/>
    </xf>
    <xf numFmtId="0" fontId="36" fillId="0" borderId="1" xfId="0" applyFont="1" applyBorder="1" applyAlignment="1" applyProtection="1">
      <alignment vertical="top" wrapText="1"/>
      <protection hidden="1"/>
    </xf>
    <xf numFmtId="0" fontId="56" fillId="2" borderId="34" xfId="0" applyFont="1" applyFill="1" applyBorder="1" applyAlignment="1" applyProtection="1">
      <alignment horizontal="left" vertical="center" wrapText="1"/>
      <protection hidden="1"/>
    </xf>
    <xf numFmtId="0" fontId="56" fillId="2" borderId="3" xfId="0" applyFont="1" applyFill="1" applyBorder="1" applyAlignment="1" applyProtection="1">
      <alignment horizontal="left" vertical="center" wrapText="1"/>
      <protection hidden="1"/>
    </xf>
    <xf numFmtId="0" fontId="36" fillId="2" borderId="3" xfId="0" applyFont="1" applyFill="1" applyBorder="1" applyAlignment="1" applyProtection="1">
      <alignment vertical="center" wrapText="1"/>
      <protection hidden="1"/>
    </xf>
    <xf numFmtId="0" fontId="56" fillId="2" borderId="1" xfId="0" applyFont="1" applyFill="1" applyBorder="1" applyAlignment="1" applyProtection="1">
      <alignment horizontal="left" vertical="center" wrapText="1"/>
      <protection hidden="1"/>
    </xf>
    <xf numFmtId="0" fontId="141" fillId="0" borderId="51" xfId="0" applyFont="1" applyBorder="1" applyAlignment="1" applyProtection="1">
      <alignment vertical="center" wrapText="1"/>
      <protection hidden="1"/>
    </xf>
    <xf numFmtId="0" fontId="141" fillId="0" borderId="40" xfId="0" applyFont="1" applyBorder="1" applyAlignment="1" applyProtection="1">
      <alignment vertical="center" wrapText="1"/>
      <protection hidden="1"/>
    </xf>
    <xf numFmtId="0" fontId="141" fillId="0" borderId="10" xfId="0" applyFont="1" applyBorder="1" applyAlignment="1" applyProtection="1">
      <alignment vertical="center" wrapText="1"/>
      <protection hidden="1"/>
    </xf>
    <xf numFmtId="0" fontId="141" fillId="0" borderId="9" xfId="0" applyFont="1" applyBorder="1" applyAlignment="1" applyProtection="1">
      <alignment vertical="center" wrapText="1"/>
      <protection hidden="1"/>
    </xf>
    <xf numFmtId="0" fontId="56" fillId="0" borderId="2" xfId="0" applyFont="1" applyBorder="1" applyAlignment="1" applyProtection="1">
      <alignment horizontal="left" vertical="center" wrapText="1"/>
      <protection hidden="1"/>
    </xf>
    <xf numFmtId="0" fontId="56" fillId="0" borderId="34" xfId="0" applyFont="1" applyBorder="1" applyAlignment="1" applyProtection="1">
      <alignment horizontal="left" vertical="center" wrapText="1"/>
      <protection hidden="1"/>
    </xf>
    <xf numFmtId="0" fontId="56" fillId="0" borderId="3" xfId="0" applyFont="1" applyBorder="1" applyAlignment="1" applyProtection="1">
      <alignment horizontal="left" vertical="center" wrapText="1"/>
      <protection hidden="1"/>
    </xf>
    <xf numFmtId="0" fontId="141" fillId="0" borderId="1" xfId="0" applyFont="1" applyBorder="1" applyAlignment="1" applyProtection="1">
      <alignment vertical="center"/>
      <protection hidden="1"/>
    </xf>
    <xf numFmtId="0" fontId="56" fillId="0" borderId="2" xfId="0" applyFont="1" applyBorder="1" applyAlignment="1" applyProtection="1">
      <alignment vertical="center" wrapText="1"/>
      <protection hidden="1"/>
    </xf>
    <xf numFmtId="0" fontId="56" fillId="0" borderId="34" xfId="0" applyFont="1" applyBorder="1" applyAlignment="1" applyProtection="1">
      <alignment vertical="center" wrapText="1"/>
      <protection hidden="1"/>
    </xf>
    <xf numFmtId="0" fontId="56" fillId="0" borderId="3" xfId="0" applyFont="1" applyBorder="1" applyAlignment="1" applyProtection="1">
      <alignment vertical="center" wrapText="1"/>
      <protection hidden="1"/>
    </xf>
    <xf numFmtId="0" fontId="37" fillId="2" borderId="2" xfId="0" applyFont="1" applyFill="1" applyBorder="1" applyAlignment="1" applyProtection="1">
      <alignment horizontal="center" vertical="center" wrapText="1"/>
      <protection locked="0"/>
    </xf>
    <xf numFmtId="0" fontId="37" fillId="2" borderId="3" xfId="0" applyFont="1" applyFill="1" applyBorder="1" applyAlignment="1" applyProtection="1">
      <alignment horizontal="center" vertical="center" wrapText="1"/>
      <protection locked="0"/>
    </xf>
    <xf numFmtId="0" fontId="43" fillId="35" borderId="2" xfId="0" applyFont="1" applyFill="1" applyBorder="1" applyAlignment="1" applyProtection="1">
      <alignment horizontal="center" vertical="center"/>
      <protection hidden="1"/>
    </xf>
    <xf numFmtId="0" fontId="43" fillId="35" borderId="3" xfId="0" applyFont="1" applyFill="1" applyBorder="1" applyAlignment="1" applyProtection="1">
      <alignment horizontal="center" vertical="center"/>
      <protection hidden="1"/>
    </xf>
    <xf numFmtId="0" fontId="78" fillId="35" borderId="1" xfId="0" applyFont="1" applyFill="1" applyBorder="1" applyAlignment="1" applyProtection="1">
      <alignment horizontal="center" vertical="center" wrapText="1" shrinkToFit="1"/>
      <protection hidden="1"/>
    </xf>
    <xf numFmtId="0" fontId="37" fillId="2" borderId="51" xfId="0" applyFont="1" applyFill="1" applyBorder="1" applyAlignment="1" applyProtection="1">
      <alignment horizontal="center" vertical="center"/>
      <protection locked="0"/>
    </xf>
    <xf numFmtId="0" fontId="37" fillId="2" borderId="40" xfId="0" applyFont="1" applyFill="1" applyBorder="1" applyAlignment="1" applyProtection="1">
      <alignment horizontal="center" vertical="center"/>
      <protection locked="0"/>
    </xf>
    <xf numFmtId="0" fontId="37" fillId="2" borderId="10" xfId="0" applyFont="1" applyFill="1" applyBorder="1" applyAlignment="1" applyProtection="1">
      <alignment horizontal="center" vertical="center"/>
      <protection locked="0"/>
    </xf>
    <xf numFmtId="0" fontId="37" fillId="2" borderId="9" xfId="0" applyFont="1" applyFill="1" applyBorder="1" applyAlignment="1" applyProtection="1">
      <alignment horizontal="center" vertical="center"/>
      <protection locked="0"/>
    </xf>
    <xf numFmtId="0" fontId="37" fillId="2" borderId="2" xfId="0" applyFont="1" applyFill="1" applyBorder="1" applyAlignment="1" applyProtection="1">
      <alignment horizontal="center" vertical="center"/>
      <protection locked="0"/>
    </xf>
    <xf numFmtId="0" fontId="37" fillId="2" borderId="34" xfId="0" applyFont="1" applyFill="1" applyBorder="1" applyAlignment="1" applyProtection="1">
      <alignment horizontal="center" vertical="center"/>
      <protection locked="0"/>
    </xf>
    <xf numFmtId="0" fontId="37" fillId="2" borderId="3" xfId="0" applyFont="1" applyFill="1" applyBorder="1" applyAlignment="1" applyProtection="1">
      <alignment horizontal="center" vertical="center"/>
      <protection locked="0"/>
    </xf>
    <xf numFmtId="0" fontId="36" fillId="0" borderId="2" xfId="0" applyFont="1" applyBorder="1" applyAlignment="1" applyProtection="1">
      <alignment horizontal="center" vertical="center"/>
      <protection hidden="1"/>
    </xf>
    <xf numFmtId="0" fontId="36" fillId="0" borderId="34" xfId="0" applyFont="1" applyBorder="1" applyAlignment="1" applyProtection="1">
      <alignment horizontal="center" vertical="center"/>
      <protection hidden="1"/>
    </xf>
    <xf numFmtId="0" fontId="36" fillId="0" borderId="3" xfId="0" applyFont="1" applyBorder="1" applyAlignment="1" applyProtection="1">
      <alignment horizontal="center" vertical="center"/>
      <protection hidden="1"/>
    </xf>
    <xf numFmtId="0" fontId="49" fillId="0" borderId="1" xfId="0" applyFont="1" applyBorder="1" applyAlignment="1" applyProtection="1">
      <alignment horizontal="left" vertical="center" wrapText="1"/>
      <protection hidden="1"/>
    </xf>
    <xf numFmtId="0" fontId="36" fillId="0" borderId="21" xfId="0" applyFont="1" applyBorder="1" applyAlignment="1" applyProtection="1">
      <alignment horizontal="center" vertical="center"/>
      <protection hidden="1"/>
    </xf>
    <xf numFmtId="0" fontId="36" fillId="0" borderId="8" xfId="0" applyFont="1" applyBorder="1" applyAlignment="1" applyProtection="1">
      <alignment horizontal="center" vertical="center"/>
      <protection hidden="1"/>
    </xf>
    <xf numFmtId="0" fontId="36" fillId="0" borderId="1" xfId="1" applyNumberFormat="1" applyFont="1" applyBorder="1" applyAlignment="1" applyProtection="1">
      <alignment horizontal="left" vertical="center" shrinkToFit="1"/>
      <protection hidden="1"/>
    </xf>
    <xf numFmtId="0" fontId="41" fillId="0" borderId="2" xfId="0" applyFont="1" applyBorder="1" applyAlignment="1" applyProtection="1">
      <alignment horizontal="left" vertical="center" shrinkToFit="1"/>
      <protection hidden="1"/>
    </xf>
    <xf numFmtId="0" fontId="41" fillId="0" borderId="34" xfId="0" applyFont="1" applyBorder="1" applyAlignment="1" applyProtection="1">
      <alignment horizontal="left" vertical="center" shrinkToFit="1"/>
      <protection hidden="1"/>
    </xf>
    <xf numFmtId="0" fontId="41" fillId="0" borderId="3" xfId="0" applyFont="1" applyBorder="1" applyAlignment="1" applyProtection="1">
      <alignment horizontal="left" vertical="center" shrinkToFit="1"/>
      <protection hidden="1"/>
    </xf>
    <xf numFmtId="0" fontId="142" fillId="2" borderId="1" xfId="0" applyFont="1" applyFill="1" applyBorder="1" applyAlignment="1" applyProtection="1">
      <alignment horizontal="center" vertical="center"/>
      <protection hidden="1"/>
    </xf>
    <xf numFmtId="0" fontId="141" fillId="0" borderId="1" xfId="0" applyFont="1" applyBorder="1" applyAlignment="1" applyProtection="1">
      <alignment vertical="center" shrinkToFit="1"/>
      <protection hidden="1"/>
    </xf>
    <xf numFmtId="0" fontId="41" fillId="0" borderId="1" xfId="0" applyFont="1" applyBorder="1" applyAlignment="1" applyProtection="1">
      <alignment vertical="center" shrinkToFit="1"/>
      <protection hidden="1"/>
    </xf>
    <xf numFmtId="0" fontId="36" fillId="0" borderId="0" xfId="0" applyFont="1" applyAlignment="1" applyProtection="1">
      <alignment horizontal="center" vertical="top"/>
      <protection hidden="1"/>
    </xf>
    <xf numFmtId="0" fontId="36" fillId="0" borderId="34" xfId="0" applyFont="1" applyBorder="1" applyAlignment="1" applyProtection="1">
      <alignment vertical="center"/>
      <protection hidden="1"/>
    </xf>
    <xf numFmtId="0" fontId="36" fillId="0" borderId="0" xfId="0" applyFont="1" applyAlignment="1" applyProtection="1">
      <alignment horizontal="left" indent="2" shrinkToFit="1"/>
      <protection hidden="1"/>
    </xf>
    <xf numFmtId="0" fontId="36" fillId="0" borderId="0" xfId="0" applyFont="1" applyAlignment="1" applyProtection="1">
      <alignment horizontal="left" vertical="top" indent="2" shrinkToFit="1"/>
      <protection hidden="1"/>
    </xf>
    <xf numFmtId="0" fontId="36" fillId="0" borderId="0" xfId="0" applyFont="1" applyAlignment="1" applyProtection="1">
      <alignment horizontal="center"/>
      <protection hidden="1"/>
    </xf>
    <xf numFmtId="49" fontId="37" fillId="0" borderId="0" xfId="0" applyNumberFormat="1" applyFont="1" applyAlignment="1" applyProtection="1">
      <alignment horizontal="center" vertical="top" shrinkToFit="1"/>
      <protection hidden="1"/>
    </xf>
    <xf numFmtId="0" fontId="37" fillId="0" borderId="0" xfId="0" applyFont="1" applyAlignment="1" applyProtection="1">
      <alignment horizontal="center" vertical="top" shrinkToFit="1"/>
      <protection hidden="1"/>
    </xf>
    <xf numFmtId="49" fontId="37" fillId="0" borderId="0" xfId="0" applyNumberFormat="1" applyFont="1" applyAlignment="1" applyProtection="1">
      <alignment horizontal="left" vertical="center" indent="2" shrinkToFit="1"/>
      <protection hidden="1"/>
    </xf>
    <xf numFmtId="0" fontId="37" fillId="0" borderId="0" xfId="0" applyFont="1" applyAlignment="1" applyProtection="1">
      <alignment horizontal="left" vertical="center" indent="2" shrinkToFit="1"/>
      <protection hidden="1"/>
    </xf>
    <xf numFmtId="0" fontId="36" fillId="0" borderId="0" xfId="0" applyFont="1" applyAlignment="1" applyProtection="1">
      <alignment horizontal="left" vertical="center" indent="1"/>
      <protection hidden="1"/>
    </xf>
    <xf numFmtId="0" fontId="36" fillId="0" borderId="0" xfId="0" applyFont="1" applyAlignment="1" applyProtection="1">
      <alignment horizontal="center" shrinkToFit="1"/>
      <protection hidden="1"/>
    </xf>
    <xf numFmtId="0" fontId="36" fillId="0" borderId="0" xfId="0" applyFont="1" applyBorder="1" applyAlignment="1" applyProtection="1">
      <alignment horizontal="left" vertical="top" indent="1"/>
      <protection hidden="1"/>
    </xf>
    <xf numFmtId="0" fontId="36" fillId="0" borderId="51" xfId="0" applyFont="1" applyBorder="1" applyAlignment="1" applyProtection="1">
      <alignment horizontal="center" vertical="center"/>
      <protection hidden="1"/>
    </xf>
    <xf numFmtId="0" fontId="36" fillId="0" borderId="10" xfId="0" applyFont="1" applyBorder="1" applyAlignment="1" applyProtection="1">
      <alignment horizontal="center" vertical="center"/>
      <protection hidden="1"/>
    </xf>
    <xf numFmtId="0" fontId="141" fillId="0" borderId="1" xfId="0" applyFont="1" applyBorder="1" applyAlignment="1" applyProtection="1">
      <alignment horizontal="left" vertical="center" wrapText="1"/>
      <protection hidden="1"/>
    </xf>
    <xf numFmtId="0" fontId="36" fillId="2" borderId="34" xfId="0" applyFont="1" applyFill="1" applyBorder="1" applyAlignment="1" applyProtection="1">
      <alignment horizontal="center" vertical="center"/>
      <protection hidden="1"/>
    </xf>
    <xf numFmtId="0" fontId="141" fillId="0" borderId="51" xfId="0" applyFont="1" applyBorder="1" applyAlignment="1" applyProtection="1">
      <alignment horizontal="left" vertical="center" wrapText="1"/>
      <protection hidden="1"/>
    </xf>
    <xf numFmtId="0" fontId="141" fillId="0" borderId="40" xfId="0" applyFont="1" applyBorder="1" applyAlignment="1" applyProtection="1">
      <alignment horizontal="left" vertical="center" wrapText="1"/>
      <protection hidden="1"/>
    </xf>
    <xf numFmtId="0" fontId="141" fillId="0" borderId="10" xfId="0" applyFont="1" applyBorder="1" applyAlignment="1" applyProtection="1">
      <alignment horizontal="left" vertical="center" wrapText="1"/>
      <protection hidden="1"/>
    </xf>
    <xf numFmtId="0" fontId="141" fillId="0" borderId="9" xfId="0" applyFont="1" applyBorder="1" applyAlignment="1" applyProtection="1">
      <alignment horizontal="left" vertical="center" wrapText="1"/>
      <protection hidden="1"/>
    </xf>
    <xf numFmtId="0" fontId="36" fillId="2" borderId="3" xfId="0" applyFont="1" applyFill="1" applyBorder="1" applyAlignment="1" applyProtection="1">
      <alignment horizontal="center" vertical="center"/>
      <protection hidden="1"/>
    </xf>
    <xf numFmtId="0" fontId="141" fillId="0" borderId="1" xfId="0" applyFont="1" applyBorder="1" applyAlignment="1" applyProtection="1">
      <alignment vertical="center" wrapText="1"/>
      <protection hidden="1"/>
    </xf>
    <xf numFmtId="0" fontId="78" fillId="35" borderId="21" xfId="0" applyFont="1" applyFill="1" applyBorder="1" applyAlignment="1" applyProtection="1">
      <alignment horizontal="center" vertical="center" wrapText="1" shrinkToFit="1"/>
      <protection hidden="1"/>
    </xf>
    <xf numFmtId="0" fontId="78" fillId="35" borderId="8" xfId="0" applyFont="1" applyFill="1" applyBorder="1" applyAlignment="1" applyProtection="1">
      <alignment horizontal="center" vertical="center" wrapText="1" shrinkToFit="1"/>
      <protection hidden="1"/>
    </xf>
    <xf numFmtId="0" fontId="43" fillId="35" borderId="21" xfId="0" applyFont="1" applyFill="1" applyBorder="1" applyAlignment="1" applyProtection="1">
      <alignment horizontal="center" vertical="center" wrapText="1" shrinkToFit="1"/>
      <protection hidden="1"/>
    </xf>
    <xf numFmtId="0" fontId="43" fillId="35" borderId="8" xfId="0" applyFont="1" applyFill="1" applyBorder="1" applyAlignment="1" applyProtection="1">
      <alignment horizontal="center" vertical="center" wrapText="1" shrinkToFit="1"/>
      <protection hidden="1"/>
    </xf>
    <xf numFmtId="0" fontId="56" fillId="0" borderId="51" xfId="0" applyFont="1" applyBorder="1" applyAlignment="1" applyProtection="1">
      <alignment vertical="center" wrapText="1"/>
      <protection hidden="1"/>
    </xf>
    <xf numFmtId="0" fontId="56" fillId="0" borderId="52" xfId="0" applyFont="1" applyBorder="1" applyAlignment="1" applyProtection="1">
      <alignment vertical="center" wrapText="1"/>
      <protection hidden="1"/>
    </xf>
    <xf numFmtId="0" fontId="56" fillId="0" borderId="40" xfId="0" applyFont="1" applyBorder="1" applyAlignment="1" applyProtection="1">
      <alignment vertical="center" wrapText="1"/>
      <protection hidden="1"/>
    </xf>
    <xf numFmtId="0" fontId="37" fillId="2" borderId="34" xfId="0" applyFont="1" applyFill="1" applyBorder="1" applyAlignment="1" applyProtection="1">
      <alignment horizontal="center" vertical="center" wrapText="1"/>
      <protection locked="0"/>
    </xf>
    <xf numFmtId="0" fontId="78" fillId="35" borderId="1" xfId="0" applyFont="1" applyFill="1" applyBorder="1" applyAlignment="1" applyProtection="1">
      <alignment horizontal="center" vertical="center" wrapText="1"/>
      <protection hidden="1"/>
    </xf>
    <xf numFmtId="0" fontId="43" fillId="35" borderId="51" xfId="0" applyFont="1" applyFill="1" applyBorder="1" applyAlignment="1" applyProtection="1">
      <alignment horizontal="center" vertical="center"/>
      <protection hidden="1"/>
    </xf>
    <xf numFmtId="0" fontId="43" fillId="35" borderId="52" xfId="0" applyFont="1" applyFill="1" applyBorder="1" applyAlignment="1" applyProtection="1">
      <alignment horizontal="center" vertical="center"/>
      <protection hidden="1"/>
    </xf>
    <xf numFmtId="0" fontId="43" fillId="35" borderId="40" xfId="0" applyFont="1" applyFill="1" applyBorder="1" applyAlignment="1" applyProtection="1">
      <alignment horizontal="center" vertical="center"/>
      <protection hidden="1"/>
    </xf>
    <xf numFmtId="0" fontId="43" fillId="35" borderId="10" xfId="0" applyFont="1" applyFill="1" applyBorder="1" applyAlignment="1" applyProtection="1">
      <alignment horizontal="center" vertical="center"/>
      <protection hidden="1"/>
    </xf>
    <xf numFmtId="0" fontId="43" fillId="35" borderId="19" xfId="0" applyFont="1" applyFill="1" applyBorder="1" applyAlignment="1" applyProtection="1">
      <alignment horizontal="center" vertical="center"/>
      <protection hidden="1"/>
    </xf>
    <xf numFmtId="0" fontId="43" fillId="35" borderId="9" xfId="0" applyFont="1" applyFill="1" applyBorder="1" applyAlignment="1" applyProtection="1">
      <alignment horizontal="center" vertical="center"/>
      <protection hidden="1"/>
    </xf>
    <xf numFmtId="0" fontId="36" fillId="2" borderId="0" xfId="0" applyFont="1" applyFill="1" applyBorder="1" applyAlignment="1" applyProtection="1">
      <alignment vertical="center"/>
      <protection hidden="1"/>
    </xf>
    <xf numFmtId="0" fontId="48" fillId="0" borderId="2" xfId="0" applyFont="1" applyBorder="1" applyAlignment="1" applyProtection="1">
      <alignment horizontal="center" vertical="center"/>
      <protection hidden="1"/>
    </xf>
    <xf numFmtId="0" fontId="48" fillId="0" borderId="3" xfId="0" applyFont="1" applyBorder="1" applyAlignment="1" applyProtection="1">
      <alignment horizontal="center" vertical="center"/>
      <protection hidden="1"/>
    </xf>
    <xf numFmtId="0" fontId="117" fillId="0" borderId="0" xfId="0" applyFont="1" applyAlignment="1" applyProtection="1">
      <alignment horizontal="center" vertical="center"/>
      <protection hidden="1"/>
    </xf>
    <xf numFmtId="0" fontId="37" fillId="0" borderId="0" xfId="0" applyFont="1" applyAlignment="1" applyProtection="1">
      <alignment vertical="center" shrinkToFit="1"/>
      <protection hidden="1"/>
    </xf>
    <xf numFmtId="164" fontId="56" fillId="0" borderId="1" xfId="1" applyFont="1" applyBorder="1" applyAlignment="1" applyProtection="1">
      <alignment horizontal="center" vertical="center"/>
      <protection hidden="1"/>
    </xf>
    <xf numFmtId="164" fontId="75" fillId="0" borderId="2" xfId="1" applyFont="1" applyBorder="1" applyAlignment="1" applyProtection="1">
      <alignment horizontal="center" vertical="center"/>
      <protection hidden="1"/>
    </xf>
    <xf numFmtId="164" fontId="75" fillId="0" borderId="34" xfId="1" applyFont="1" applyBorder="1" applyAlignment="1" applyProtection="1">
      <alignment horizontal="center" vertical="center"/>
      <protection hidden="1"/>
    </xf>
    <xf numFmtId="164" fontId="75" fillId="0" borderId="3" xfId="1" applyFont="1" applyBorder="1" applyAlignment="1" applyProtection="1">
      <alignment horizontal="center" vertical="center"/>
      <protection hidden="1"/>
    </xf>
    <xf numFmtId="0" fontId="36" fillId="0" borderId="0" xfId="0" applyFont="1" applyAlignment="1">
      <alignment shrinkToFit="1"/>
    </xf>
    <xf numFmtId="0" fontId="0" fillId="0" borderId="0" xfId="0" applyAlignment="1">
      <alignment shrinkToFit="1"/>
    </xf>
    <xf numFmtId="0" fontId="166" fillId="0" borderId="0" xfId="0" applyFont="1" applyBorder="1" applyAlignment="1" applyProtection="1">
      <alignment horizontal="center" vertical="center" shrinkToFit="1"/>
      <protection locked="0"/>
    </xf>
    <xf numFmtId="0" fontId="112" fillId="0" borderId="0" xfId="0" applyFont="1" applyAlignment="1" applyProtection="1">
      <alignment horizontal="center" vertical="center"/>
      <protection locked="0"/>
    </xf>
    <xf numFmtId="0" fontId="36" fillId="0" borderId="0" xfId="0" applyFont="1" applyAlignment="1">
      <alignment horizontal="center" vertical="center"/>
    </xf>
    <xf numFmtId="0" fontId="165" fillId="0" borderId="0" xfId="0" applyFont="1" applyBorder="1" applyAlignment="1" applyProtection="1">
      <alignment horizontal="center" vertical="center" shrinkToFit="1"/>
      <protection locked="0"/>
    </xf>
    <xf numFmtId="0" fontId="115" fillId="0" borderId="0" xfId="0" applyFont="1" applyAlignment="1">
      <alignment shrinkToFit="1"/>
    </xf>
    <xf numFmtId="0" fontId="111" fillId="0" borderId="22" xfId="0" applyFont="1" applyBorder="1" applyAlignment="1" applyProtection="1">
      <alignment vertical="center"/>
      <protection locked="0"/>
    </xf>
    <xf numFmtId="0" fontId="111" fillId="0" borderId="8" xfId="0" applyFont="1" applyBorder="1" applyAlignment="1" applyProtection="1">
      <alignment vertical="center"/>
      <protection locked="0"/>
    </xf>
    <xf numFmtId="0" fontId="69" fillId="0" borderId="25" xfId="0" applyFont="1" applyFill="1" applyBorder="1" applyAlignment="1" applyProtection="1">
      <alignment horizontal="left" vertical="center" indent="1"/>
      <protection hidden="1"/>
    </xf>
    <xf numFmtId="0" fontId="69" fillId="0" borderId="24" xfId="0" applyFont="1" applyFill="1" applyBorder="1" applyAlignment="1" applyProtection="1">
      <alignment horizontal="left" vertical="center" indent="1"/>
      <protection hidden="1"/>
    </xf>
    <xf numFmtId="0" fontId="69" fillId="0" borderId="10" xfId="0" applyFont="1" applyFill="1" applyBorder="1" applyAlignment="1" applyProtection="1">
      <alignment horizontal="left" vertical="center" indent="1"/>
      <protection hidden="1"/>
    </xf>
    <xf numFmtId="0" fontId="69" fillId="0" borderId="9" xfId="0" applyFont="1" applyFill="1" applyBorder="1" applyAlignment="1" applyProtection="1">
      <alignment horizontal="left" vertical="center" indent="1"/>
      <protection hidden="1"/>
    </xf>
    <xf numFmtId="0" fontId="111" fillId="0" borderId="51" xfId="0" applyFont="1" applyBorder="1" applyAlignment="1" applyProtection="1">
      <alignment horizontal="left" vertical="top" indent="1"/>
      <protection hidden="1"/>
    </xf>
    <xf numFmtId="0" fontId="111" fillId="0" borderId="40" xfId="0" applyFont="1" applyBorder="1" applyAlignment="1" applyProtection="1">
      <alignment horizontal="left" vertical="top" indent="1"/>
      <protection hidden="1"/>
    </xf>
    <xf numFmtId="0" fontId="151" fillId="0" borderId="0" xfId="0" applyFont="1" applyAlignment="1" applyProtection="1">
      <alignment horizontal="center" vertical="center"/>
      <protection locked="0"/>
    </xf>
    <xf numFmtId="0" fontId="148" fillId="2" borderId="1" xfId="0" applyFont="1" applyFill="1" applyBorder="1" applyAlignment="1" applyProtection="1">
      <alignment horizontal="center" vertical="center"/>
      <protection locked="0"/>
    </xf>
    <xf numFmtId="0" fontId="111" fillId="0" borderId="21" xfId="0" applyFont="1" applyBorder="1" applyAlignment="1" applyProtection="1">
      <alignment vertical="center"/>
      <protection locked="0"/>
    </xf>
    <xf numFmtId="0" fontId="69" fillId="0" borderId="10" xfId="0" applyFont="1" applyFill="1" applyBorder="1" applyAlignment="1" applyProtection="1">
      <alignment vertical="center"/>
      <protection hidden="1"/>
    </xf>
    <xf numFmtId="0" fontId="69" fillId="0" borderId="9" xfId="0" applyFont="1" applyFill="1" applyBorder="1" applyAlignment="1" applyProtection="1">
      <alignment vertical="center"/>
      <protection hidden="1"/>
    </xf>
    <xf numFmtId="0" fontId="112" fillId="0" borderId="0" xfId="0" applyFont="1" applyFill="1" applyAlignment="1" applyProtection="1">
      <alignment horizontal="center" vertical="center"/>
      <protection locked="0"/>
    </xf>
    <xf numFmtId="0" fontId="148" fillId="2" borderId="21" xfId="0" applyFont="1" applyFill="1" applyBorder="1" applyAlignment="1" applyProtection="1">
      <alignment horizontal="center" vertical="center"/>
      <protection hidden="1"/>
    </xf>
    <xf numFmtId="0" fontId="148" fillId="2" borderId="8" xfId="0" applyFont="1" applyFill="1" applyBorder="1" applyAlignment="1" applyProtection="1">
      <alignment horizontal="center" vertical="center"/>
      <protection hidden="1"/>
    </xf>
    <xf numFmtId="0" fontId="148" fillId="2" borderId="51" xfId="0" applyFont="1" applyFill="1" applyBorder="1" applyAlignment="1" applyProtection="1">
      <alignment horizontal="center" vertical="center"/>
      <protection hidden="1"/>
    </xf>
    <xf numFmtId="0" fontId="148" fillId="2" borderId="52" xfId="0" applyFont="1" applyFill="1" applyBorder="1" applyAlignment="1" applyProtection="1">
      <alignment horizontal="center" vertical="center"/>
      <protection hidden="1"/>
    </xf>
    <xf numFmtId="0" fontId="148" fillId="2" borderId="40" xfId="0" applyFont="1" applyFill="1" applyBorder="1" applyAlignment="1" applyProtection="1">
      <alignment horizontal="center" vertical="center"/>
      <protection hidden="1"/>
    </xf>
    <xf numFmtId="0" fontId="148" fillId="2" borderId="10" xfId="0" applyFont="1" applyFill="1" applyBorder="1" applyAlignment="1" applyProtection="1">
      <alignment horizontal="center" vertical="center"/>
      <protection hidden="1"/>
    </xf>
    <xf numFmtId="0" fontId="148" fillId="2" borderId="19" xfId="0" applyFont="1" applyFill="1" applyBorder="1" applyAlignment="1" applyProtection="1">
      <alignment horizontal="center" vertical="center"/>
      <protection hidden="1"/>
    </xf>
    <xf numFmtId="0" fontId="148" fillId="2" borderId="9" xfId="0" applyFont="1" applyFill="1" applyBorder="1" applyAlignment="1" applyProtection="1">
      <alignment horizontal="center" vertical="center"/>
      <protection hidden="1"/>
    </xf>
    <xf numFmtId="0" fontId="148" fillId="0" borderId="0" xfId="0" applyFont="1" applyFill="1" applyAlignment="1" applyProtection="1">
      <alignment horizontal="center" vertical="top"/>
      <protection locked="0"/>
    </xf>
    <xf numFmtId="0" fontId="111" fillId="0" borderId="25" xfId="0" applyFont="1" applyBorder="1" applyAlignment="1" applyProtection="1">
      <alignment vertical="top"/>
      <protection locked="0"/>
    </xf>
    <xf numFmtId="0" fontId="111" fillId="0" borderId="24" xfId="0" applyFont="1" applyBorder="1" applyAlignment="1" applyProtection="1">
      <alignment vertical="top"/>
      <protection locked="0"/>
    </xf>
    <xf numFmtId="0" fontId="111" fillId="0" borderId="10" xfId="0" applyFont="1" applyBorder="1" applyAlignment="1" applyProtection="1">
      <alignment vertical="top"/>
      <protection locked="0"/>
    </xf>
    <xf numFmtId="0" fontId="111" fillId="0" borderId="9" xfId="0" applyFont="1" applyBorder="1" applyAlignment="1" applyProtection="1">
      <alignment vertical="top"/>
      <protection locked="0"/>
    </xf>
    <xf numFmtId="0" fontId="111" fillId="0" borderId="51" xfId="0" applyFont="1" applyBorder="1" applyAlignment="1" applyProtection="1">
      <alignment vertical="top"/>
      <protection locked="0"/>
    </xf>
    <xf numFmtId="0" fontId="111" fillId="0" borderId="40" xfId="0" applyFont="1" applyBorder="1" applyAlignment="1" applyProtection="1">
      <alignment vertical="top"/>
      <protection locked="0"/>
    </xf>
    <xf numFmtId="0" fontId="112" fillId="0" borderId="0" xfId="0" applyFont="1" applyBorder="1" applyAlignment="1" applyProtection="1">
      <alignment horizontal="center" vertical="center"/>
      <protection locked="0"/>
    </xf>
    <xf numFmtId="0" fontId="13" fillId="2" borderId="1" xfId="0" applyFont="1" applyFill="1" applyBorder="1" applyAlignment="1" applyProtection="1">
      <alignment horizontal="center" vertical="center" wrapText="1"/>
      <protection hidden="1"/>
    </xf>
    <xf numFmtId="0" fontId="61" fillId="2" borderId="2" xfId="0" applyFont="1" applyFill="1" applyBorder="1" applyAlignment="1" applyProtection="1">
      <alignment horizontal="center" vertical="center"/>
      <protection hidden="1"/>
    </xf>
    <xf numFmtId="0" fontId="61" fillId="2" borderId="34" xfId="0" applyFont="1" applyFill="1" applyBorder="1" applyAlignment="1" applyProtection="1">
      <alignment horizontal="center" vertical="center"/>
      <protection hidden="1"/>
    </xf>
    <xf numFmtId="0" fontId="61" fillId="2" borderId="3" xfId="0" applyFont="1" applyFill="1" applyBorder="1" applyAlignment="1" applyProtection="1">
      <alignment horizontal="center" vertical="center"/>
      <protection hidden="1"/>
    </xf>
    <xf numFmtId="0" fontId="148" fillId="0" borderId="0" xfId="0" applyFont="1" applyAlignment="1" applyProtection="1">
      <alignment horizontal="center" vertical="center"/>
      <protection locked="0"/>
    </xf>
    <xf numFmtId="0" fontId="13" fillId="2" borderId="51" xfId="0" applyFont="1" applyFill="1" applyBorder="1" applyAlignment="1" applyProtection="1">
      <alignment horizontal="center" vertical="center" wrapText="1"/>
      <protection hidden="1"/>
    </xf>
    <xf numFmtId="0" fontId="13" fillId="2" borderId="40" xfId="0" applyFont="1" applyFill="1" applyBorder="1" applyAlignment="1" applyProtection="1">
      <alignment horizontal="center" vertical="center" wrapText="1"/>
      <protection hidden="1"/>
    </xf>
    <xf numFmtId="0" fontId="13" fillId="2" borderId="25" xfId="0" applyFont="1" applyFill="1" applyBorder="1" applyAlignment="1" applyProtection="1">
      <alignment horizontal="center" vertical="center" wrapText="1"/>
      <protection hidden="1"/>
    </xf>
    <xf numFmtId="0" fontId="13" fillId="2" borderId="24" xfId="0" applyFont="1" applyFill="1" applyBorder="1" applyAlignment="1" applyProtection="1">
      <alignment horizontal="center" vertical="center" wrapText="1"/>
      <protection hidden="1"/>
    </xf>
    <xf numFmtId="0" fontId="13" fillId="2" borderId="10" xfId="0" applyFont="1" applyFill="1" applyBorder="1" applyAlignment="1" applyProtection="1">
      <alignment horizontal="center" vertical="center" wrapText="1"/>
      <protection hidden="1"/>
    </xf>
    <xf numFmtId="0" fontId="13" fillId="2" borderId="9" xfId="0" applyFont="1" applyFill="1" applyBorder="1" applyAlignment="1" applyProtection="1">
      <alignment horizontal="center" vertical="center" wrapText="1"/>
      <protection hidden="1"/>
    </xf>
    <xf numFmtId="0" fontId="112" fillId="0" borderId="0" xfId="0" applyFont="1" applyBorder="1" applyAlignment="1" applyProtection="1">
      <alignment horizontal="center" vertical="top"/>
      <protection locked="0"/>
    </xf>
    <xf numFmtId="0" fontId="150" fillId="0" borderId="0" xfId="2" applyFont="1" applyBorder="1" applyAlignment="1" applyProtection="1">
      <alignment horizontal="left" vertical="top" wrapText="1"/>
      <protection locked="0"/>
    </xf>
    <xf numFmtId="0" fontId="147" fillId="0" borderId="0" xfId="0" applyFont="1" applyBorder="1" applyAlignment="1" applyProtection="1">
      <alignment horizontal="left" vertical="top" indent="1"/>
      <protection locked="0"/>
    </xf>
    <xf numFmtId="0" fontId="149" fillId="0" borderId="0" xfId="0" applyFont="1" applyBorder="1" applyAlignment="1" applyProtection="1">
      <alignment horizontal="left" vertical="top"/>
      <protection locked="0"/>
    </xf>
    <xf numFmtId="0" fontId="148" fillId="0" borderId="0" xfId="0" applyFont="1" applyBorder="1" applyAlignment="1" applyProtection="1">
      <alignment vertical="top" shrinkToFit="1"/>
      <protection hidden="1"/>
    </xf>
    <xf numFmtId="0" fontId="111" fillId="0" borderId="0" xfId="0" applyFont="1" applyBorder="1" applyAlignment="1" applyProtection="1">
      <alignment vertical="top" shrinkToFit="1"/>
      <protection hidden="1"/>
    </xf>
    <xf numFmtId="0" fontId="124" fillId="0" borderId="0" xfId="0" applyFont="1" applyAlignment="1" applyProtection="1">
      <alignment horizontal="center" vertical="top"/>
      <protection locked="0"/>
    </xf>
    <xf numFmtId="0" fontId="124" fillId="0" borderId="0" xfId="0" applyFont="1" applyAlignment="1" applyProtection="1">
      <alignment horizontal="center"/>
      <protection locked="0"/>
    </xf>
    <xf numFmtId="0" fontId="70" fillId="0" borderId="0" xfId="0" applyFont="1" applyAlignment="1" applyProtection="1">
      <alignment vertical="top"/>
      <protection hidden="1"/>
    </xf>
    <xf numFmtId="0" fontId="59" fillId="17" borderId="21" xfId="0" applyFont="1" applyFill="1" applyBorder="1" applyAlignment="1" applyProtection="1">
      <alignment horizontal="center" vertical="center" shrinkToFit="1"/>
      <protection locked="0"/>
    </xf>
    <xf numFmtId="0" fontId="59" fillId="17" borderId="8" xfId="0" applyFont="1" applyFill="1" applyBorder="1" applyAlignment="1" applyProtection="1">
      <alignment horizontal="center" vertical="center" shrinkToFit="1"/>
      <protection locked="0"/>
    </xf>
    <xf numFmtId="0" fontId="84" fillId="0" borderId="0" xfId="0" applyFont="1" applyAlignment="1" applyProtection="1">
      <alignment horizontal="center" vertical="top"/>
      <protection hidden="1"/>
    </xf>
    <xf numFmtId="0" fontId="112" fillId="0" borderId="21" xfId="0" applyFont="1" applyBorder="1" applyAlignment="1" applyProtection="1">
      <alignment horizontal="center" vertical="center" shrinkToFit="1"/>
      <protection hidden="1"/>
    </xf>
    <xf numFmtId="0" fontId="112" fillId="0" borderId="8" xfId="0" applyFont="1" applyBorder="1" applyAlignment="1" applyProtection="1">
      <alignment horizontal="center" vertical="center" shrinkToFit="1"/>
      <protection hidden="1"/>
    </xf>
    <xf numFmtId="0" fontId="226" fillId="0" borderId="0" xfId="0" applyFont="1" applyAlignment="1" applyProtection="1">
      <alignment horizontal="center" vertical="top"/>
      <protection hidden="1"/>
    </xf>
    <xf numFmtId="0" fontId="207" fillId="0" borderId="0" xfId="0" applyFont="1" applyAlignment="1" applyProtection="1">
      <alignment horizontal="center" vertical="top"/>
      <protection locked="0"/>
    </xf>
    <xf numFmtId="0" fontId="208" fillId="0" borderId="0" xfId="0" applyFont="1" applyAlignment="1" applyProtection="1">
      <alignment horizontal="center" vertical="top"/>
      <protection locked="0"/>
    </xf>
    <xf numFmtId="0" fontId="112" fillId="0" borderId="0" xfId="0" applyFont="1" applyAlignment="1" applyProtection="1">
      <alignment horizontal="center" vertical="top" shrinkToFit="1"/>
      <protection hidden="1"/>
    </xf>
    <xf numFmtId="164" fontId="48" fillId="0" borderId="1" xfId="1" applyFont="1" applyFill="1" applyBorder="1" applyAlignment="1" applyProtection="1">
      <alignment horizontal="center" textRotation="90"/>
      <protection hidden="1"/>
    </xf>
    <xf numFmtId="164" fontId="48" fillId="0" borderId="5" xfId="1" applyFont="1" applyFill="1" applyBorder="1" applyAlignment="1" applyProtection="1">
      <alignment horizontal="center" textRotation="90"/>
      <protection hidden="1"/>
    </xf>
    <xf numFmtId="0" fontId="37" fillId="0" borderId="78" xfId="0" applyFont="1" applyFill="1" applyBorder="1" applyAlignment="1" applyProtection="1">
      <alignment horizontal="left" vertical="center" indent="5"/>
      <protection hidden="1"/>
    </xf>
    <xf numFmtId="0" fontId="37" fillId="0" borderId="53" xfId="0" applyFont="1" applyFill="1" applyBorder="1" applyAlignment="1" applyProtection="1">
      <alignment horizontal="left" vertical="center" indent="5"/>
      <protection hidden="1"/>
    </xf>
    <xf numFmtId="0" fontId="37" fillId="0" borderId="14" xfId="0" applyFont="1" applyFill="1" applyBorder="1" applyAlignment="1" applyProtection="1">
      <alignment horizontal="left" vertical="center" indent="5"/>
      <protection hidden="1"/>
    </xf>
    <xf numFmtId="0" fontId="43" fillId="0" borderId="83" xfId="0" applyFont="1" applyFill="1" applyBorder="1" applyAlignment="1" applyProtection="1">
      <alignment horizontal="center" vertical="center" wrapText="1"/>
      <protection hidden="1"/>
    </xf>
    <xf numFmtId="0" fontId="43" fillId="0" borderId="22" xfId="0" applyFont="1" applyFill="1" applyBorder="1" applyAlignment="1" applyProtection="1">
      <alignment horizontal="center" vertical="center" wrapText="1"/>
      <protection hidden="1"/>
    </xf>
    <xf numFmtId="0" fontId="43" fillId="0" borderId="48" xfId="0" applyFont="1" applyFill="1" applyBorder="1" applyAlignment="1" applyProtection="1">
      <alignment horizontal="center" vertical="center" wrapText="1"/>
      <protection hidden="1"/>
    </xf>
    <xf numFmtId="0" fontId="43" fillId="0" borderId="83" xfId="0" applyFont="1" applyFill="1" applyBorder="1" applyAlignment="1" applyProtection="1">
      <alignment horizontal="center" vertical="center"/>
      <protection hidden="1"/>
    </xf>
    <xf numFmtId="0" fontId="43" fillId="0" borderId="22" xfId="0" applyFont="1" applyFill="1" applyBorder="1" applyAlignment="1" applyProtection="1">
      <alignment horizontal="center" vertical="center"/>
      <protection hidden="1"/>
    </xf>
    <xf numFmtId="0" fontId="43" fillId="0" borderId="48" xfId="0" applyFont="1" applyFill="1" applyBorder="1" applyAlignment="1" applyProtection="1">
      <alignment horizontal="center" vertical="center"/>
      <protection hidden="1"/>
    </xf>
    <xf numFmtId="0" fontId="43" fillId="0" borderId="67" xfId="0" applyFont="1" applyFill="1" applyBorder="1" applyAlignment="1" applyProtection="1">
      <alignment horizontal="center" vertical="center"/>
      <protection hidden="1"/>
    </xf>
    <xf numFmtId="0" fontId="43" fillId="0" borderId="23" xfId="0" applyFont="1" applyFill="1" applyBorder="1" applyAlignment="1" applyProtection="1">
      <alignment horizontal="center" vertical="center"/>
      <protection hidden="1"/>
    </xf>
    <xf numFmtId="0" fontId="43" fillId="0" borderId="18" xfId="0" applyFont="1" applyFill="1" applyBorder="1" applyAlignment="1" applyProtection="1">
      <alignment horizontal="center" vertical="center"/>
      <protection hidden="1"/>
    </xf>
    <xf numFmtId="0" fontId="43" fillId="0" borderId="124" xfId="0" applyFont="1" applyFill="1" applyBorder="1" applyAlignment="1" applyProtection="1">
      <alignment horizontal="center" vertical="center"/>
      <protection hidden="1"/>
    </xf>
    <xf numFmtId="0" fontId="43" fillId="0" borderId="20" xfId="0" applyFont="1" applyFill="1" applyBorder="1" applyAlignment="1" applyProtection="1">
      <alignment horizontal="center" vertical="center"/>
      <protection hidden="1"/>
    </xf>
    <xf numFmtId="0" fontId="43" fillId="0" borderId="47" xfId="0" applyFont="1" applyFill="1" applyBorder="1" applyAlignment="1" applyProtection="1">
      <alignment horizontal="center" vertical="center"/>
      <protection hidden="1"/>
    </xf>
    <xf numFmtId="0" fontId="37" fillId="0" borderId="35" xfId="0" applyFont="1" applyFill="1" applyBorder="1" applyAlignment="1" applyProtection="1">
      <alignment horizontal="left" vertical="center" indent="5"/>
      <protection hidden="1"/>
    </xf>
    <xf numFmtId="0" fontId="37" fillId="0" borderId="34" xfId="0" applyFont="1" applyFill="1" applyBorder="1" applyAlignment="1" applyProtection="1">
      <alignment horizontal="left" vertical="center" indent="5"/>
      <protection hidden="1"/>
    </xf>
    <xf numFmtId="0" fontId="37" fillId="0" borderId="3" xfId="0" applyFont="1" applyFill="1" applyBorder="1" applyAlignment="1" applyProtection="1">
      <alignment horizontal="left" vertical="center" indent="5"/>
      <protection hidden="1"/>
    </xf>
    <xf numFmtId="0" fontId="172" fillId="0" borderId="2" xfId="0" applyFont="1" applyFill="1" applyBorder="1" applyAlignment="1" applyProtection="1">
      <alignment horizontal="center" vertical="center"/>
      <protection locked="0"/>
    </xf>
    <xf numFmtId="0" fontId="172" fillId="0" borderId="3" xfId="0" applyFont="1" applyFill="1" applyBorder="1" applyAlignment="1" applyProtection="1">
      <alignment horizontal="center" vertical="center"/>
      <protection locked="0"/>
    </xf>
    <xf numFmtId="0" fontId="37" fillId="0" borderId="57" xfId="0" applyFont="1" applyFill="1" applyBorder="1" applyAlignment="1" applyProtection="1">
      <alignment horizontal="center" vertical="center"/>
      <protection hidden="1"/>
    </xf>
    <xf numFmtId="0" fontId="37" fillId="0" borderId="58" xfId="0" applyFont="1" applyFill="1" applyBorder="1" applyAlignment="1" applyProtection="1">
      <alignment horizontal="center" vertical="center"/>
      <protection hidden="1"/>
    </xf>
    <xf numFmtId="0" fontId="37" fillId="0" borderId="59" xfId="0" applyFont="1" applyFill="1" applyBorder="1" applyAlignment="1" applyProtection="1">
      <alignment horizontal="center" vertical="center"/>
      <protection hidden="1"/>
    </xf>
    <xf numFmtId="164" fontId="48" fillId="0" borderId="4" xfId="1" applyFont="1" applyFill="1" applyBorder="1" applyAlignment="1" applyProtection="1">
      <alignment horizontal="center" textRotation="90"/>
      <protection hidden="1"/>
    </xf>
    <xf numFmtId="0" fontId="46" fillId="0" borderId="0" xfId="0" applyFont="1" applyFill="1" applyAlignment="1" applyProtection="1">
      <alignment vertical="top"/>
      <protection hidden="1"/>
    </xf>
    <xf numFmtId="0" fontId="48" fillId="0" borderId="0" xfId="0" applyFont="1" applyFill="1" applyBorder="1" applyAlignment="1" applyProtection="1">
      <alignment vertical="top" wrapText="1"/>
      <protection hidden="1"/>
    </xf>
    <xf numFmtId="0" fontId="48" fillId="0" borderId="16" xfId="0" applyFont="1" applyFill="1" applyBorder="1" applyAlignment="1" applyProtection="1">
      <alignment vertical="top" wrapText="1"/>
      <protection hidden="1"/>
    </xf>
    <xf numFmtId="0" fontId="43" fillId="0" borderId="67" xfId="0" applyFont="1" applyFill="1" applyBorder="1" applyAlignment="1" applyProtection="1">
      <alignment horizontal="center" vertical="center" textRotation="90"/>
      <protection hidden="1"/>
    </xf>
    <xf numFmtId="0" fontId="43" fillId="0" borderId="23" xfId="0" applyFont="1" applyFill="1" applyBorder="1" applyAlignment="1" applyProtection="1">
      <alignment horizontal="center" vertical="center" textRotation="90"/>
      <protection hidden="1"/>
    </xf>
    <xf numFmtId="0" fontId="43" fillId="0" borderId="18" xfId="0" applyFont="1" applyFill="1" applyBorder="1" applyAlignment="1" applyProtection="1">
      <alignment horizontal="center" vertical="center" textRotation="90"/>
      <protection hidden="1"/>
    </xf>
    <xf numFmtId="0" fontId="56" fillId="0" borderId="105" xfId="0" applyFont="1" applyFill="1" applyBorder="1" applyAlignment="1" applyProtection="1">
      <alignment horizontal="center" vertical="center" wrapText="1"/>
      <protection hidden="1"/>
    </xf>
    <xf numFmtId="0" fontId="56" fillId="0" borderId="74" xfId="0" applyFont="1" applyFill="1" applyBorder="1" applyAlignment="1" applyProtection="1">
      <alignment horizontal="center" vertical="center" wrapText="1"/>
      <protection hidden="1"/>
    </xf>
    <xf numFmtId="0" fontId="56" fillId="0" borderId="21" xfId="0" applyFont="1" applyFill="1" applyBorder="1" applyAlignment="1" applyProtection="1">
      <alignment horizontal="center" vertical="center" wrapText="1"/>
      <protection hidden="1"/>
    </xf>
    <xf numFmtId="0" fontId="56" fillId="0" borderId="8" xfId="0" applyFont="1" applyFill="1" applyBorder="1" applyAlignment="1" applyProtection="1">
      <alignment horizontal="center" vertical="center" wrapText="1"/>
      <protection hidden="1"/>
    </xf>
    <xf numFmtId="164" fontId="36" fillId="0" borderId="1" xfId="1" applyFont="1" applyFill="1" applyBorder="1" applyAlignment="1" applyProtection="1">
      <alignment horizontal="center" textRotation="90"/>
      <protection hidden="1"/>
    </xf>
    <xf numFmtId="164" fontId="36" fillId="0" borderId="5" xfId="1" applyFont="1" applyFill="1" applyBorder="1" applyAlignment="1" applyProtection="1">
      <alignment horizontal="center" textRotation="90"/>
      <protection hidden="1"/>
    </xf>
    <xf numFmtId="164" fontId="41" fillId="0" borderId="46" xfId="1" applyFont="1" applyFill="1" applyBorder="1" applyAlignment="1" applyProtection="1">
      <alignment horizontal="center" textRotation="90"/>
      <protection hidden="1"/>
    </xf>
    <xf numFmtId="164" fontId="41" fillId="0" borderId="20" xfId="1" applyFont="1" applyFill="1" applyBorder="1" applyAlignment="1" applyProtection="1">
      <alignment horizontal="center" textRotation="90"/>
      <protection hidden="1"/>
    </xf>
    <xf numFmtId="164" fontId="41" fillId="0" borderId="47" xfId="1" applyFont="1" applyFill="1" applyBorder="1" applyAlignment="1" applyProtection="1">
      <alignment horizontal="center" textRotation="90"/>
      <protection hidden="1"/>
    </xf>
    <xf numFmtId="164" fontId="36" fillId="0" borderId="6" xfId="1" applyFont="1" applyFill="1" applyBorder="1" applyAlignment="1" applyProtection="1">
      <alignment horizontal="center" textRotation="90"/>
      <protection hidden="1"/>
    </xf>
    <xf numFmtId="164" fontId="36" fillId="0" borderId="23" xfId="1" applyFont="1" applyFill="1" applyBorder="1" applyAlignment="1" applyProtection="1">
      <alignment horizontal="center" textRotation="90"/>
      <protection hidden="1"/>
    </xf>
    <xf numFmtId="164" fontId="36" fillId="0" borderId="18" xfId="1" applyFont="1" applyFill="1" applyBorder="1" applyAlignment="1" applyProtection="1">
      <alignment horizontal="center" textRotation="90"/>
      <protection hidden="1"/>
    </xf>
    <xf numFmtId="0" fontId="79" fillId="0" borderId="0" xfId="0" applyFont="1" applyFill="1" applyBorder="1" applyAlignment="1" applyProtection="1">
      <alignment vertical="center"/>
      <protection hidden="1"/>
    </xf>
    <xf numFmtId="164" fontId="36" fillId="0" borderId="4" xfId="1" applyFont="1" applyFill="1" applyBorder="1" applyAlignment="1" applyProtection="1">
      <alignment horizontal="center" textRotation="90"/>
      <protection hidden="1"/>
    </xf>
    <xf numFmtId="0" fontId="182" fillId="0" borderId="68" xfId="0" applyFont="1" applyBorder="1" applyAlignment="1" applyProtection="1">
      <alignment horizontal="center" vertical="center"/>
      <protection hidden="1"/>
    </xf>
    <xf numFmtId="0" fontId="182" fillId="0" borderId="81" xfId="0" applyFont="1" applyBorder="1" applyAlignment="1" applyProtection="1">
      <alignment horizontal="center" vertical="center"/>
      <protection hidden="1"/>
    </xf>
    <xf numFmtId="0" fontId="182" fillId="0" borderId="74" xfId="0" applyFont="1" applyBorder="1" applyAlignment="1" applyProtection="1">
      <alignment horizontal="center" vertical="center"/>
      <protection hidden="1"/>
    </xf>
    <xf numFmtId="0" fontId="182" fillId="0" borderId="135" xfId="0" applyFont="1" applyBorder="1" applyAlignment="1" applyProtection="1">
      <alignment horizontal="center" vertical="center"/>
      <protection hidden="1"/>
    </xf>
    <xf numFmtId="0" fontId="182" fillId="0" borderId="113" xfId="0" applyFont="1" applyBorder="1" applyAlignment="1" applyProtection="1">
      <alignment horizontal="center" vertical="center"/>
      <protection hidden="1"/>
    </xf>
    <xf numFmtId="0" fontId="182" fillId="0" borderId="19" xfId="0" applyFont="1" applyBorder="1" applyAlignment="1" applyProtection="1">
      <alignment horizontal="center" vertical="center"/>
      <protection hidden="1"/>
    </xf>
    <xf numFmtId="0" fontId="183" fillId="0" borderId="2" xfId="0" applyFont="1" applyBorder="1" applyAlignment="1" applyProtection="1">
      <alignment horizontal="center" vertical="center"/>
      <protection hidden="1"/>
    </xf>
    <xf numFmtId="0" fontId="183" fillId="0" borderId="34" xfId="0" applyFont="1" applyBorder="1" applyAlignment="1" applyProtection="1">
      <alignment horizontal="center" vertical="center"/>
      <protection hidden="1"/>
    </xf>
    <xf numFmtId="0" fontId="184" fillId="0" borderId="2" xfId="0" applyFont="1" applyBorder="1" applyAlignment="1" applyProtection="1">
      <alignment horizontal="left" vertical="center"/>
      <protection hidden="1"/>
    </xf>
    <xf numFmtId="0" fontId="184" fillId="0" borderId="34" xfId="0" applyFont="1" applyBorder="1" applyAlignment="1" applyProtection="1">
      <alignment horizontal="left" vertical="center"/>
      <protection hidden="1"/>
    </xf>
    <xf numFmtId="0" fontId="184" fillId="0" borderId="36" xfId="0" applyFont="1" applyBorder="1" applyAlignment="1" applyProtection="1">
      <alignment horizontal="left" vertical="center"/>
      <protection hidden="1"/>
    </xf>
    <xf numFmtId="0" fontId="182" fillId="0" borderId="111" xfId="0" applyFont="1" applyBorder="1" applyAlignment="1" applyProtection="1">
      <alignment horizontal="center" vertical="center"/>
      <protection hidden="1"/>
    </xf>
    <xf numFmtId="0" fontId="182" fillId="0" borderId="58" xfId="0" applyFont="1" applyBorder="1" applyAlignment="1" applyProtection="1">
      <alignment horizontal="center" vertical="center"/>
      <protection hidden="1"/>
    </xf>
    <xf numFmtId="0" fontId="182" fillId="0" borderId="111" xfId="0" applyFont="1" applyBorder="1" applyAlignment="1" applyProtection="1">
      <alignment horizontal="left" vertical="center"/>
      <protection hidden="1"/>
    </xf>
    <xf numFmtId="0" fontId="182" fillId="0" borderId="58" xfId="0" applyFont="1" applyBorder="1" applyAlignment="1" applyProtection="1">
      <alignment horizontal="left" vertical="center"/>
      <protection hidden="1"/>
    </xf>
    <xf numFmtId="0" fontId="182" fillId="0" borderId="59" xfId="0" applyFont="1" applyBorder="1" applyAlignment="1" applyProtection="1">
      <alignment horizontal="left" vertical="center"/>
      <protection hidden="1"/>
    </xf>
    <xf numFmtId="0" fontId="182" fillId="0" borderId="179" xfId="0" applyFont="1" applyBorder="1" applyAlignment="1" applyProtection="1">
      <alignment horizontal="center" vertical="center"/>
      <protection hidden="1"/>
    </xf>
    <xf numFmtId="0" fontId="182" fillId="0" borderId="9" xfId="0" applyFont="1" applyBorder="1" applyAlignment="1" applyProtection="1">
      <alignment horizontal="center" vertical="center"/>
      <protection hidden="1"/>
    </xf>
    <xf numFmtId="0" fontId="67" fillId="0" borderId="6" xfId="0" applyFont="1" applyBorder="1" applyAlignment="1" applyProtection="1">
      <alignment horizontal="center" textRotation="90"/>
      <protection hidden="1"/>
    </xf>
    <xf numFmtId="0" fontId="67" fillId="0" borderId="23" xfId="0" applyFont="1" applyBorder="1" applyAlignment="1" applyProtection="1">
      <alignment horizontal="center" textRotation="90"/>
      <protection hidden="1"/>
    </xf>
    <xf numFmtId="0" fontId="67" fillId="0" borderId="18" xfId="0" applyFont="1" applyBorder="1" applyAlignment="1" applyProtection="1">
      <alignment horizontal="center" textRotation="90"/>
      <protection hidden="1"/>
    </xf>
    <xf numFmtId="0" fontId="67" fillId="0" borderId="114" xfId="0" applyFont="1" applyBorder="1" applyAlignment="1" applyProtection="1">
      <alignment horizontal="center" textRotation="90" wrapText="1"/>
      <protection hidden="1"/>
    </xf>
    <xf numFmtId="0" fontId="67" fillId="0" borderId="106" xfId="0" applyFont="1" applyBorder="1" applyAlignment="1" applyProtection="1">
      <alignment horizontal="center" textRotation="90" wrapText="1"/>
      <protection hidden="1"/>
    </xf>
    <xf numFmtId="0" fontId="67" fillId="0" borderId="42" xfId="0" applyFont="1" applyBorder="1" applyAlignment="1" applyProtection="1">
      <alignment horizontal="center" textRotation="90" wrapText="1"/>
      <protection hidden="1"/>
    </xf>
    <xf numFmtId="0" fontId="67" fillId="0" borderId="114" xfId="0" applyFont="1" applyBorder="1" applyAlignment="1" applyProtection="1">
      <alignment horizontal="center" textRotation="90"/>
      <protection hidden="1"/>
    </xf>
    <xf numFmtId="0" fontId="67" fillId="0" borderId="106" xfId="0" applyFont="1" applyBorder="1" applyAlignment="1" applyProtection="1">
      <alignment horizontal="center" textRotation="90"/>
      <protection hidden="1"/>
    </xf>
    <xf numFmtId="0" fontId="67" fillId="0" borderId="42" xfId="0" applyFont="1" applyBorder="1" applyAlignment="1" applyProtection="1">
      <alignment horizontal="center" textRotation="90"/>
      <protection hidden="1"/>
    </xf>
    <xf numFmtId="0" fontId="67" fillId="0" borderId="114" xfId="0" applyFont="1" applyBorder="1" applyAlignment="1" applyProtection="1">
      <alignment vertical="center"/>
      <protection hidden="1"/>
    </xf>
    <xf numFmtId="0" fontId="67" fillId="0" borderId="106" xfId="0" applyFont="1" applyBorder="1" applyAlignment="1" applyProtection="1">
      <alignment vertical="center"/>
      <protection hidden="1"/>
    </xf>
    <xf numFmtId="0" fontId="67" fillId="0" borderId="42" xfId="0" applyFont="1" applyBorder="1" applyAlignment="1" applyProtection="1">
      <alignment vertical="center"/>
      <protection hidden="1"/>
    </xf>
    <xf numFmtId="0" fontId="67" fillId="0" borderId="124" xfId="0" applyFont="1" applyBorder="1" applyAlignment="1" applyProtection="1">
      <alignment horizontal="center" vertical="center"/>
      <protection hidden="1"/>
    </xf>
    <xf numFmtId="0" fontId="67" fillId="0" borderId="20" xfId="0" applyFont="1" applyBorder="1" applyAlignment="1" applyProtection="1">
      <alignment horizontal="center" vertical="center"/>
      <protection hidden="1"/>
    </xf>
    <xf numFmtId="0" fontId="67" fillId="0" borderId="47" xfId="0" applyFont="1" applyBorder="1" applyAlignment="1" applyProtection="1">
      <alignment horizontal="center" vertical="center"/>
      <protection hidden="1"/>
    </xf>
    <xf numFmtId="0" fontId="67" fillId="0" borderId="83" xfId="0" applyFont="1" applyBorder="1" applyAlignment="1" applyProtection="1">
      <alignment horizontal="center" vertical="center"/>
      <protection hidden="1"/>
    </xf>
    <xf numFmtId="0" fontId="67" fillId="0" borderId="22" xfId="0" applyFont="1" applyBorder="1" applyAlignment="1" applyProtection="1">
      <alignment horizontal="center" vertical="center"/>
      <protection hidden="1"/>
    </xf>
    <xf numFmtId="0" fontId="67" fillId="0" borderId="48" xfId="0" applyFont="1" applyBorder="1" applyAlignment="1" applyProtection="1">
      <alignment horizontal="center" vertical="center"/>
      <protection hidden="1"/>
    </xf>
    <xf numFmtId="0" fontId="67" fillId="0" borderId="67" xfId="0" applyFont="1" applyBorder="1" applyAlignment="1" applyProtection="1">
      <alignment horizontal="center" vertical="center"/>
      <protection hidden="1"/>
    </xf>
    <xf numFmtId="0" fontId="67" fillId="0" borderId="23" xfId="0" applyFont="1" applyBorder="1" applyAlignment="1" applyProtection="1">
      <alignment horizontal="center" vertical="center"/>
      <protection hidden="1"/>
    </xf>
    <xf numFmtId="0" fontId="67" fillId="0" borderId="18" xfId="0" applyFont="1" applyBorder="1" applyAlignment="1" applyProtection="1">
      <alignment horizontal="center" vertical="center"/>
      <protection hidden="1"/>
    </xf>
    <xf numFmtId="0" fontId="67" fillId="0" borderId="46" xfId="0" applyFont="1" applyBorder="1" applyAlignment="1" applyProtection="1">
      <alignment horizontal="center" textRotation="90"/>
      <protection hidden="1"/>
    </xf>
    <xf numFmtId="0" fontId="67" fillId="0" borderId="20" xfId="0" applyFont="1" applyBorder="1" applyAlignment="1" applyProtection="1">
      <alignment horizontal="center" textRotation="90"/>
      <protection hidden="1"/>
    </xf>
    <xf numFmtId="0" fontId="67" fillId="0" borderId="47" xfId="0" applyFont="1" applyBorder="1" applyAlignment="1" applyProtection="1">
      <alignment horizontal="center" textRotation="90"/>
      <protection hidden="1"/>
    </xf>
    <xf numFmtId="0" fontId="67" fillId="0" borderId="21" xfId="0" applyFont="1" applyBorder="1" applyAlignment="1" applyProtection="1">
      <alignment horizontal="center" textRotation="90"/>
      <protection hidden="1"/>
    </xf>
    <xf numFmtId="0" fontId="67" fillId="0" borderId="22" xfId="0" applyFont="1" applyBorder="1" applyAlignment="1" applyProtection="1">
      <alignment horizontal="center" textRotation="90"/>
      <protection hidden="1"/>
    </xf>
    <xf numFmtId="0" fontId="67" fillId="0" borderId="48" xfId="0" applyFont="1" applyBorder="1" applyAlignment="1" applyProtection="1">
      <alignment horizontal="center" textRotation="90"/>
      <protection hidden="1"/>
    </xf>
    <xf numFmtId="0" fontId="67" fillId="0" borderId="51" xfId="0" applyFont="1" applyBorder="1" applyAlignment="1" applyProtection="1">
      <alignment horizontal="center" textRotation="90"/>
      <protection hidden="1"/>
    </xf>
    <xf numFmtId="0" fontId="67" fillId="0" borderId="25" xfId="0" applyFont="1" applyBorder="1" applyAlignment="1" applyProtection="1">
      <alignment horizontal="center" textRotation="90"/>
      <protection hidden="1"/>
    </xf>
    <xf numFmtId="0" fontId="67" fillId="0" borderId="37" xfId="0" applyFont="1" applyBorder="1" applyAlignment="1" applyProtection="1">
      <alignment horizontal="center" textRotation="90"/>
      <protection hidden="1"/>
    </xf>
    <xf numFmtId="0" fontId="183" fillId="0" borderId="1" xfId="0" applyFont="1" applyBorder="1" applyAlignment="1" applyProtection="1">
      <alignment horizontal="center" textRotation="90" wrapText="1"/>
      <protection hidden="1"/>
    </xf>
    <xf numFmtId="0" fontId="68" fillId="0" borderId="114" xfId="0" applyFont="1" applyBorder="1" applyAlignment="1" applyProtection="1">
      <alignment horizontal="center" vertical="center"/>
      <protection hidden="1"/>
    </xf>
    <xf numFmtId="0" fontId="68" fillId="0" borderId="106" xfId="0" applyFont="1" applyBorder="1" applyAlignment="1" applyProtection="1">
      <alignment horizontal="center" vertical="center"/>
      <protection hidden="1"/>
    </xf>
    <xf numFmtId="0" fontId="68" fillId="0" borderId="42" xfId="0" applyFont="1" applyBorder="1" applyAlignment="1" applyProtection="1">
      <alignment horizontal="center" vertical="center"/>
      <protection hidden="1"/>
    </xf>
    <xf numFmtId="0" fontId="183" fillId="0" borderId="4" xfId="0" applyFont="1" applyBorder="1" applyAlignment="1" applyProtection="1">
      <alignment horizontal="center" textRotation="90" wrapText="1"/>
      <protection hidden="1"/>
    </xf>
    <xf numFmtId="0" fontId="67" fillId="0" borderId="114" xfId="0" applyFont="1" applyBorder="1" applyAlignment="1" applyProtection="1">
      <alignment horizontal="center" vertical="center" wrapText="1"/>
      <protection hidden="1"/>
    </xf>
    <xf numFmtId="0" fontId="67" fillId="0" borderId="106" xfId="0" applyFont="1" applyBorder="1" applyAlignment="1" applyProtection="1">
      <alignment horizontal="center" vertical="center" wrapText="1"/>
      <protection hidden="1"/>
    </xf>
    <xf numFmtId="0" fontId="67" fillId="0" borderId="42" xfId="0" applyFont="1" applyBorder="1" applyAlignment="1" applyProtection="1">
      <alignment horizontal="center" vertical="center" wrapText="1"/>
      <protection hidden="1"/>
    </xf>
    <xf numFmtId="0" fontId="183" fillId="0" borderId="5" xfId="0" applyFont="1" applyBorder="1" applyAlignment="1" applyProtection="1">
      <alignment horizontal="center" textRotation="90" wrapText="1"/>
      <protection hidden="1"/>
    </xf>
    <xf numFmtId="0" fontId="183" fillId="0" borderId="2" xfId="0" applyFont="1" applyBorder="1" applyAlignment="1" applyProtection="1">
      <alignment horizontal="center" textRotation="90" wrapText="1"/>
      <protection hidden="1"/>
    </xf>
    <xf numFmtId="0" fontId="218" fillId="0" borderId="0" xfId="0" applyFont="1" applyAlignment="1" applyProtection="1">
      <alignment horizontal="center" vertical="center"/>
      <protection locked="0"/>
    </xf>
    <xf numFmtId="0" fontId="163" fillId="0" borderId="0" xfId="0" applyFont="1" applyAlignment="1" applyProtection="1">
      <alignment horizontal="center" vertical="center"/>
      <protection hidden="1"/>
    </xf>
    <xf numFmtId="0" fontId="104" fillId="0" borderId="21" xfId="0" applyFont="1" applyBorder="1" applyAlignment="1" applyProtection="1">
      <alignment horizontal="center" vertical="center"/>
      <protection locked="0"/>
    </xf>
    <xf numFmtId="0" fontId="104" fillId="0" borderId="22" xfId="0" applyFont="1" applyBorder="1" applyAlignment="1" applyProtection="1">
      <alignment horizontal="center" vertical="center"/>
      <protection locked="0"/>
    </xf>
    <xf numFmtId="0" fontId="104" fillId="0" borderId="8" xfId="0" applyFont="1" applyBorder="1" applyAlignment="1" applyProtection="1">
      <alignment horizontal="center" vertical="center"/>
      <protection locked="0"/>
    </xf>
    <xf numFmtId="0" fontId="88" fillId="0" borderId="21" xfId="0" applyFont="1" applyBorder="1" applyAlignment="1" applyProtection="1">
      <alignment horizontal="center" vertical="center"/>
      <protection locked="0"/>
    </xf>
    <xf numFmtId="0" fontId="88" fillId="0" borderId="8" xfId="0" applyFont="1" applyBorder="1" applyAlignment="1" applyProtection="1">
      <alignment horizontal="center" vertical="center"/>
      <protection locked="0"/>
    </xf>
    <xf numFmtId="0" fontId="258" fillId="55" borderId="0" xfId="0" applyFont="1" applyFill="1" applyAlignment="1" applyProtection="1">
      <alignment horizontal="left" vertical="center" wrapText="1" indent="1"/>
      <protection hidden="1"/>
    </xf>
    <xf numFmtId="0" fontId="261" fillId="0" borderId="21" xfId="0" applyFont="1" applyBorder="1" applyAlignment="1" applyProtection="1">
      <alignment horizontal="left" vertical="top" wrapText="1" indent="3"/>
      <protection hidden="1"/>
    </xf>
    <xf numFmtId="0" fontId="261" fillId="0" borderId="22" xfId="0" applyFont="1" applyBorder="1" applyAlignment="1" applyProtection="1">
      <alignment horizontal="left" vertical="top" wrapText="1" indent="3"/>
      <protection hidden="1"/>
    </xf>
    <xf numFmtId="0" fontId="261" fillId="0" borderId="8" xfId="0" applyFont="1" applyBorder="1" applyAlignment="1" applyProtection="1">
      <alignment horizontal="left" vertical="top" wrapText="1" indent="3"/>
      <protection hidden="1"/>
    </xf>
    <xf numFmtId="0" fontId="49" fillId="13" borderId="0" xfId="0" applyFont="1" applyFill="1" applyAlignment="1" applyProtection="1">
      <alignment horizontal="center" vertical="center" wrapText="1"/>
      <protection hidden="1"/>
    </xf>
    <xf numFmtId="0" fontId="227" fillId="13" borderId="0" xfId="0" applyFont="1" applyFill="1" applyAlignment="1" applyProtection="1">
      <alignment horizontal="center"/>
      <protection hidden="1"/>
    </xf>
    <xf numFmtId="0" fontId="132" fillId="13" borderId="0" xfId="0" applyFont="1" applyFill="1" applyAlignment="1" applyProtection="1">
      <alignment horizontal="center"/>
      <protection hidden="1"/>
    </xf>
    <xf numFmtId="0" fontId="133" fillId="13" borderId="0" xfId="3" applyFont="1" applyFill="1" applyAlignment="1" applyProtection="1">
      <alignment horizontal="center" vertical="center"/>
      <protection hidden="1"/>
    </xf>
    <xf numFmtId="0" fontId="252" fillId="13" borderId="0" xfId="0" applyFont="1" applyFill="1" applyAlignment="1" applyProtection="1">
      <alignment horizontal="center" vertical="top" shrinkToFit="1"/>
      <protection hidden="1"/>
    </xf>
    <xf numFmtId="0" fontId="232" fillId="13" borderId="0" xfId="0" applyFont="1" applyFill="1" applyAlignment="1" applyProtection="1">
      <alignment horizontal="center" vertical="center" wrapText="1"/>
      <protection hidden="1"/>
    </xf>
    <xf numFmtId="0" fontId="232" fillId="13" borderId="0" xfId="0" applyFont="1" applyFill="1" applyAlignment="1" applyProtection="1">
      <alignment horizontal="center" vertical="center"/>
      <protection hidden="1"/>
    </xf>
  </cellXfs>
  <cellStyles count="5">
    <cellStyle name="Comma [0]" xfId="1" builtinId="6"/>
    <cellStyle name="Hyperlink" xfId="2" builtinId="8"/>
    <cellStyle name="Normal" xfId="0" builtinId="0"/>
    <cellStyle name="Normal 2" xfId="3"/>
    <cellStyle name="Normal 4" xfId="4"/>
  </cellStyles>
  <dxfs count="6351">
    <dxf>
      <font>
        <color auto="1"/>
      </font>
    </dxf>
    <dxf>
      <font>
        <color auto="1"/>
      </font>
    </dxf>
    <dxf>
      <font>
        <color auto="1"/>
      </font>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vertical/>
        <horizontal/>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i val="0"/>
      </font>
      <fill>
        <patternFill>
          <bgColor theme="0" tint="-0.14996795556505021"/>
        </patternFill>
      </fill>
    </dxf>
    <dxf>
      <border>
        <left/>
        <right/>
        <top/>
        <bottom/>
        <vertical/>
        <horizontal/>
      </border>
    </dxf>
    <dxf>
      <font>
        <b/>
        <i val="0"/>
      </font>
      <fill>
        <patternFill>
          <bgColor theme="0" tint="-0.14996795556505021"/>
        </patternFill>
      </fill>
    </dxf>
    <dxf>
      <border>
        <left/>
        <right/>
        <top/>
        <bottom/>
        <vertical/>
        <horizontal/>
      </border>
    </dxf>
    <dxf>
      <font>
        <b/>
        <i val="0"/>
      </font>
      <fill>
        <patternFill>
          <bgColor theme="0" tint="-0.14996795556505021"/>
        </patternFill>
      </fill>
    </dxf>
    <dxf>
      <border>
        <left/>
        <right/>
        <top/>
        <bottom/>
        <vertical/>
        <horizontal/>
      </border>
    </dxf>
    <dxf>
      <font>
        <b/>
        <i val="0"/>
      </font>
      <fill>
        <patternFill>
          <bgColor theme="0" tint="-0.14996795556505021"/>
        </patternFill>
      </fill>
    </dxf>
    <dxf>
      <border>
        <left/>
        <right/>
        <top/>
        <bottom/>
        <vertical/>
        <horizontal/>
      </border>
    </dxf>
    <dxf>
      <font>
        <b/>
        <i val="0"/>
      </font>
      <fill>
        <patternFill>
          <bgColor theme="0" tint="-0.14996795556505021"/>
        </patternFill>
      </fill>
    </dxf>
    <dxf>
      <border>
        <left/>
        <right/>
        <top/>
        <bottom/>
        <vertical/>
        <horizontal/>
      </border>
    </dxf>
    <dxf>
      <font>
        <b/>
        <i val="0"/>
      </font>
      <fill>
        <patternFill>
          <bgColor theme="0" tint="-0.14996795556505021"/>
        </patternFill>
      </fill>
    </dxf>
    <dxf>
      <border>
        <left/>
        <right/>
        <top/>
        <bottom/>
        <vertical/>
        <horizontal/>
      </border>
    </dxf>
    <dxf>
      <font>
        <color theme="0"/>
      </font>
    </dxf>
    <dxf>
      <fill>
        <patternFill>
          <bgColor theme="1"/>
        </patternFill>
      </fill>
    </dxf>
    <dxf>
      <fill>
        <patternFill>
          <bgColor theme="1"/>
        </patternFill>
      </fill>
    </dxf>
    <dxf>
      <border>
        <bottom style="thin">
          <color auto="1"/>
        </bottom>
        <vertical/>
        <horizontal/>
      </border>
    </dxf>
    <dxf>
      <border>
        <left/>
        <right/>
        <top/>
        <bottom/>
        <vertical/>
        <horizontal/>
      </border>
    </dxf>
    <dxf>
      <fill>
        <patternFill>
          <bgColor theme="1"/>
        </patternFill>
      </fill>
    </dxf>
    <dxf>
      <border>
        <left/>
        <right/>
        <bottom/>
        <vertical/>
        <horizontal/>
      </border>
    </dxf>
    <dxf>
      <border>
        <left/>
        <right/>
        <bottom/>
        <vertical/>
        <horizontal/>
      </border>
    </dxf>
    <dxf>
      <font>
        <color theme="0"/>
      </font>
      <border>
        <left/>
        <right/>
        <top/>
        <bottom/>
        <vertical/>
        <horizontal/>
      </border>
    </dxf>
    <dxf>
      <border>
        <left/>
        <right/>
        <top/>
        <bottom/>
        <vertical/>
        <horizontal/>
      </border>
    </dxf>
    <dxf>
      <border>
        <left/>
        <right/>
        <top/>
        <bottom/>
        <vertical/>
        <horizontal/>
      </border>
    </dxf>
    <dxf>
      <font>
        <color theme="0"/>
      </font>
      <border>
        <left/>
        <right/>
        <top/>
        <bottom/>
        <vertical/>
        <horizontal/>
      </border>
    </dxf>
    <dxf>
      <font>
        <color theme="0"/>
      </font>
      <border>
        <left/>
        <right/>
        <top/>
        <bottom/>
        <vertical/>
        <horizontal/>
      </border>
    </dxf>
    <dxf>
      <font>
        <color theme="1" tint="0.499984740745262"/>
      </font>
      <fill>
        <patternFill>
          <bgColor theme="1" tint="0.499984740745262"/>
        </patternFill>
      </fill>
      <border>
        <left/>
        <right/>
        <top/>
        <bottom/>
      </border>
    </dxf>
    <dxf>
      <border>
        <left/>
        <right/>
        <bottom/>
        <vertical/>
        <horizontal/>
      </border>
    </dxf>
    <dxf>
      <border>
        <left/>
        <right/>
        <bottom/>
        <vertical/>
        <horizontal/>
      </border>
    </dxf>
    <dxf>
      <font>
        <color theme="0"/>
      </font>
      <border>
        <left/>
        <right/>
        <top/>
        <bottom/>
        <vertical/>
        <horizontal/>
      </border>
    </dxf>
    <dxf>
      <border>
        <left/>
        <right/>
        <top/>
        <bottom/>
        <vertical/>
        <horizontal/>
      </border>
    </dxf>
    <dxf>
      <font>
        <color theme="0"/>
      </font>
      <border>
        <left/>
        <right/>
        <top/>
        <bottom/>
        <vertical/>
        <horizontal/>
      </border>
    </dxf>
    <dxf>
      <font>
        <color theme="0"/>
      </font>
      <border>
        <left/>
        <right/>
        <top/>
        <bottom/>
        <vertical/>
        <horizontal/>
      </border>
    </dxf>
    <dxf>
      <border>
        <left/>
        <right/>
        <top/>
        <bottom/>
        <vertical/>
        <horizontal/>
      </border>
    </dxf>
    <dxf>
      <fill>
        <patternFill>
          <bgColor theme="1"/>
        </patternFill>
      </fill>
    </dxf>
    <dxf>
      <border>
        <left/>
        <right/>
        <top/>
        <bottom/>
        <vertical/>
        <horizontal/>
      </border>
    </dxf>
    <dxf>
      <border>
        <left/>
        <right/>
        <top/>
        <bottom/>
        <vertical/>
        <horizontal/>
      </border>
    </dxf>
    <dxf>
      <font>
        <color theme="1" tint="0.499984740745262"/>
      </font>
      <fill>
        <patternFill>
          <bgColor theme="1" tint="0.499984740745262"/>
        </patternFill>
      </fill>
      <border>
        <left/>
        <right/>
        <top/>
        <bottom/>
      </border>
    </dxf>
    <dxf>
      <fill>
        <patternFill>
          <bgColor theme="1"/>
        </patternFill>
      </fill>
    </dxf>
    <dxf>
      <font>
        <color theme="0"/>
      </font>
      <border>
        <left/>
        <right/>
        <top/>
        <bottom/>
        <vertical/>
        <horizontal/>
      </border>
    </dxf>
    <dxf>
      <border>
        <bottom style="thin">
          <color auto="1"/>
        </bottom>
        <vertical/>
        <horizontal/>
      </border>
    </dxf>
    <dxf>
      <border>
        <left/>
        <right/>
        <top/>
        <bottom/>
        <vertical/>
        <horizontal/>
      </border>
    </dxf>
    <dxf>
      <font>
        <color theme="0"/>
      </font>
    </dxf>
    <dxf>
      <font>
        <color theme="0"/>
      </font>
    </dxf>
    <dxf>
      <font>
        <color theme="0"/>
      </font>
    </dxf>
    <dxf>
      <border>
        <bottom style="thin">
          <color auto="1"/>
        </bottom>
        <vertical/>
        <horizontal/>
      </border>
    </dxf>
    <dxf>
      <border>
        <left/>
        <right/>
        <top/>
        <bottom/>
        <vertical/>
        <horizontal/>
      </border>
    </dxf>
    <dxf>
      <font>
        <color theme="0"/>
      </font>
    </dxf>
    <dxf>
      <fill>
        <patternFill>
          <bgColor rgb="FFC00000"/>
        </patternFill>
      </fill>
    </dxf>
    <dxf>
      <font>
        <color auto="1"/>
      </font>
    </dxf>
    <dxf>
      <font>
        <color auto="1"/>
      </font>
    </dxf>
    <dxf>
      <font>
        <color auto="1"/>
      </font>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bgColor theme="0" tint="-4.9989318521683403E-2"/>
        </patternFill>
      </fill>
    </dxf>
    <dxf>
      <fill>
        <patternFill patternType="none">
          <bgColor auto="1"/>
        </patternFill>
      </fill>
      <border>
        <left/>
        <right/>
        <top/>
        <bottom/>
        <vertical/>
        <horizontal/>
      </border>
    </dxf>
    <dxf>
      <fill>
        <patternFill>
          <bgColor theme="0" tint="-4.9989318521683403E-2"/>
        </patternFill>
      </fill>
    </dxf>
    <dxf>
      <fill>
        <patternFill patternType="none">
          <bgColor auto="1"/>
        </patternFill>
      </fill>
      <border>
        <left/>
        <right/>
        <top/>
        <bottom/>
        <vertical/>
        <horizontal/>
      </border>
    </dxf>
    <dxf>
      <fill>
        <patternFill>
          <bgColor theme="0" tint="-4.9989318521683403E-2"/>
        </patternFill>
      </fill>
    </dxf>
    <dxf>
      <fill>
        <patternFill patternType="none">
          <bgColor auto="1"/>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ont>
        <color auto="1"/>
      </font>
      <fill>
        <patternFill patternType="solid">
          <bgColor rgb="FFFFFF00"/>
        </patternFill>
      </fill>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ont>
        <color auto="1"/>
      </font>
      <fill>
        <patternFill patternType="solid">
          <bgColor rgb="FFFFFF00"/>
        </patternFill>
      </fill>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ill>
        <patternFill patternType="none"/>
      </fill>
      <border>
        <left/>
        <right/>
        <top/>
        <bottom/>
      </border>
    </dxf>
    <dxf>
      <border>
        <bottom style="thin">
          <color auto="1"/>
        </bottom>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border>
        <left/>
        <right/>
        <top/>
        <bottom/>
      </border>
    </dxf>
    <dxf>
      <border>
        <left/>
        <right/>
        <top/>
        <bottom style="thin">
          <color indexed="64"/>
        </bottom>
      </border>
    </dxf>
    <dxf>
      <fill>
        <patternFill>
          <bgColor rgb="FFFFFF00"/>
        </patternFill>
      </fill>
    </dxf>
    <dxf>
      <border>
        <left/>
        <right/>
        <top/>
        <bottom/>
      </border>
    </dxf>
    <dxf>
      <border>
        <left/>
        <right/>
        <top/>
        <bottom style="thin">
          <color indexed="64"/>
        </bottom>
      </border>
    </dxf>
    <dxf>
      <border>
        <left/>
        <right/>
        <top/>
        <bottom/>
      </border>
    </dxf>
    <dxf>
      <border>
        <left/>
        <right/>
        <top/>
        <bottom style="thin">
          <color indexed="64"/>
        </bottom>
      </border>
    </dxf>
    <dxf>
      <border>
        <left/>
        <right/>
        <top/>
        <bottom/>
      </border>
    </dxf>
    <dxf>
      <border>
        <left/>
        <right/>
        <top/>
        <bottom style="thin">
          <color indexed="64"/>
        </bottom>
      </border>
    </dxf>
    <dxf>
      <border>
        <left/>
        <right/>
        <top/>
        <bottom/>
      </border>
    </dxf>
    <dxf>
      <border>
        <left/>
        <right/>
        <top/>
        <bottom style="thin">
          <color indexed="64"/>
        </bottom>
      </border>
    </dxf>
    <dxf>
      <border>
        <left/>
        <right/>
        <top/>
        <bottom/>
      </border>
    </dxf>
    <dxf>
      <border>
        <left/>
        <right/>
        <top/>
        <bottom style="thin">
          <color indexed="64"/>
        </bottom>
      </border>
    </dxf>
    <dxf>
      <border>
        <left/>
        <right/>
        <top/>
        <bottom/>
      </border>
    </dxf>
    <dxf>
      <border>
        <left/>
        <right/>
        <top/>
        <bottom style="thin">
          <color indexed="64"/>
        </bottom>
      </border>
    </dxf>
    <dxf>
      <border>
        <left/>
        <right/>
        <top/>
        <bottom/>
      </border>
    </dxf>
    <dxf>
      <border>
        <left/>
        <right/>
        <top/>
        <bottom style="thin">
          <color indexed="64"/>
        </bottom>
      </border>
    </dxf>
    <dxf>
      <border>
        <left/>
        <right/>
        <top/>
        <bottom/>
      </border>
    </dxf>
    <dxf>
      <border>
        <left/>
        <right/>
        <top/>
        <bottom style="thin">
          <color indexed="64"/>
        </bottom>
      </border>
    </dxf>
    <dxf>
      <border>
        <left/>
        <right/>
        <top/>
        <bottom/>
      </border>
    </dxf>
    <dxf>
      <border>
        <left/>
        <right/>
        <top/>
        <bottom style="thin">
          <color indexed="64"/>
        </bottom>
      </border>
    </dxf>
    <dxf>
      <border>
        <left/>
        <right/>
        <top/>
        <bottom/>
      </border>
    </dxf>
    <dxf>
      <border>
        <left/>
        <right/>
        <top/>
        <bottom style="thin">
          <color indexed="64"/>
        </bottom>
      </border>
    </dxf>
    <dxf>
      <border>
        <left/>
        <right/>
        <top/>
        <bottom/>
      </border>
    </dxf>
    <dxf>
      <border>
        <left/>
        <right/>
        <top/>
        <bottom style="thin">
          <color indexed="64"/>
        </bottom>
      </border>
    </dxf>
    <dxf>
      <border>
        <left/>
        <right/>
        <top/>
        <bottom/>
      </border>
    </dxf>
    <dxf>
      <border>
        <left/>
        <right/>
        <top/>
        <bottom style="thin">
          <color indexed="64"/>
        </bottom>
      </border>
    </dxf>
    <dxf>
      <border>
        <left/>
        <right/>
        <top/>
        <bottom/>
      </border>
    </dxf>
    <dxf>
      <border>
        <left/>
        <right/>
        <top/>
        <bottom style="thin">
          <color indexed="64"/>
        </bottom>
      </border>
    </dxf>
    <dxf>
      <border>
        <left/>
        <right/>
        <top/>
        <bottom/>
      </border>
    </dxf>
    <dxf>
      <border>
        <left/>
        <right/>
        <top/>
        <bottom style="thin">
          <color indexed="64"/>
        </bottom>
      </border>
    </dxf>
    <dxf>
      <border>
        <left/>
        <right/>
        <top/>
        <bottom/>
      </border>
    </dxf>
    <dxf>
      <border>
        <left/>
        <right/>
        <top/>
        <bottom style="thin">
          <color indexed="64"/>
        </bottom>
      </border>
    </dxf>
    <dxf>
      <border>
        <left/>
        <right/>
        <top/>
        <bottom/>
      </border>
    </dxf>
    <dxf>
      <border>
        <left/>
        <right/>
        <top/>
        <bottom style="thin">
          <color indexed="64"/>
        </bottom>
      </border>
    </dxf>
    <dxf>
      <fill>
        <patternFill>
          <bgColor rgb="FFFFFF00"/>
        </patternFill>
      </fill>
    </dxf>
    <dxf>
      <border>
        <left/>
        <right/>
        <top/>
        <bottom/>
      </border>
    </dxf>
    <dxf>
      <border>
        <left/>
        <right/>
        <top/>
        <bottom style="thin">
          <color indexed="64"/>
        </bottom>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ont>
        <color auto="1"/>
      </font>
      <fill>
        <patternFill>
          <bgColor rgb="FFFFFF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FF0000"/>
        </patternFill>
      </fill>
    </dxf>
    <dxf>
      <font>
        <b/>
        <i val="0"/>
        <color theme="0"/>
      </font>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bgColor theme="6" tint="0.79998168889431442"/>
        </patternFill>
      </fill>
    </dxf>
    <dxf>
      <fill>
        <patternFill>
          <bgColor theme="6" tint="0.59996337778862885"/>
        </patternFill>
      </fill>
    </dxf>
    <dxf>
      <fill>
        <patternFill>
          <bgColor theme="6" tint="0.59996337778862885"/>
        </patternFill>
      </fill>
    </dxf>
    <dxf>
      <fill>
        <patternFill>
          <bgColor theme="6" tint="0.79998168889431442"/>
        </patternFill>
      </fill>
    </dxf>
    <dxf>
      <fill>
        <patternFill>
          <bgColor rgb="FFC00000"/>
        </patternFill>
      </fill>
    </dxf>
    <dxf>
      <fill>
        <patternFill>
          <bgColor theme="6" tint="0.59996337778862885"/>
        </patternFill>
      </fill>
    </dxf>
    <dxf>
      <fill>
        <patternFill>
          <bgColor theme="6" tint="0.59996337778862885"/>
        </patternFill>
      </fill>
    </dxf>
    <dxf>
      <fill>
        <patternFill>
          <bgColor theme="6" tint="0.79998168889431442"/>
        </patternFill>
      </fill>
    </dxf>
  </dxfs>
  <tableStyles count="0" defaultTableStyle="TableStyleMedium2" defaultPivotStyle="PivotStyleLight16"/>
  <colors>
    <mruColors>
      <color rgb="FF0000FF"/>
      <color rgb="FFFFFF99"/>
      <color rgb="FF8ED2FC"/>
      <color rgb="FF1539EB"/>
      <color rgb="FFFFFFCC"/>
      <color rgb="FF0066FF"/>
      <color rgb="FF102E1B"/>
      <color rgb="FF47CFFF"/>
      <color rgb="FF8A0000"/>
      <color rgb="FF00EA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autoTitleDeleted val="0"/>
    <c:plotArea>
      <c:layout>
        <c:manualLayout>
          <c:layoutTarget val="inner"/>
          <c:xMode val="edge"/>
          <c:yMode val="edge"/>
          <c:x val="4.7439376859378109E-2"/>
          <c:y val="9.4119269890338211E-2"/>
          <c:w val="0.93677303792354305"/>
          <c:h val="0.8000992412417709"/>
        </c:manualLayout>
      </c:layout>
      <c:barChart>
        <c:barDir val="col"/>
        <c:grouping val="clustered"/>
        <c:varyColors val="0"/>
        <c:ser>
          <c:idx val="0"/>
          <c:order val="0"/>
          <c:tx>
            <c:strRef>
              <c:f>Grafik!$C$4</c:f>
              <c:strCache>
                <c:ptCount val="1"/>
                <c:pt idx="0">
                  <c:v>KKM</c:v>
                </c:pt>
              </c:strCache>
            </c:strRef>
          </c:tx>
          <c:invertIfNegative val="0"/>
          <c:cat>
            <c:strRef>
              <c:f>Grafik!$D$3:$V$3</c:f>
              <c:strCache>
                <c:ptCount val="19"/>
                <c:pt idx="0">
                  <c:v> PA </c:v>
                </c:pt>
                <c:pt idx="1">
                  <c:v> PPKn </c:v>
                </c:pt>
                <c:pt idx="2">
                  <c:v> BIND </c:v>
                </c:pt>
                <c:pt idx="3">
                  <c:v> MAT </c:v>
                </c:pt>
                <c:pt idx="4">
                  <c:v> SEJ </c:v>
                </c:pt>
                <c:pt idx="5">
                  <c:v> BING </c:v>
                </c:pt>
                <c:pt idx="6">
                  <c:v> SB </c:v>
                </c:pt>
                <c:pt idx="7">
                  <c:v> PJS </c:v>
                </c:pt>
                <c:pt idx="8">
                  <c:v> PKY </c:v>
                </c:pt>
                <c:pt idx="9">
                  <c:v> TIK </c:v>
                </c:pt>
                <c:pt idx="10">
                  <c:v>  </c:v>
                </c:pt>
                <c:pt idx="11">
                  <c:v> SOS </c:v>
                </c:pt>
                <c:pt idx="12">
                  <c:v> GEO </c:v>
                </c:pt>
                <c:pt idx="13">
                  <c:v> EKO </c:v>
                </c:pt>
                <c:pt idx="14">
                  <c:v> Sej.P </c:v>
                </c:pt>
                <c:pt idx="15">
                  <c:v>  </c:v>
                </c:pt>
                <c:pt idx="16">
                  <c:v>  </c:v>
                </c:pt>
                <c:pt idx="17">
                  <c:v> BIO </c:v>
                </c:pt>
                <c:pt idx="18">
                  <c:v> Fisika </c:v>
                </c:pt>
              </c:strCache>
            </c:strRef>
          </c:cat>
          <c:val>
            <c:numRef>
              <c:f>Grafik!$D$4:$V$4</c:f>
              <c:numCache>
                <c:formatCode>0</c:formatCode>
                <c:ptCount val="19"/>
                <c:pt idx="0">
                  <c:v>76</c:v>
                </c:pt>
                <c:pt idx="1">
                  <c:v>76</c:v>
                </c:pt>
                <c:pt idx="2">
                  <c:v>76</c:v>
                </c:pt>
                <c:pt idx="3">
                  <c:v>76</c:v>
                </c:pt>
                <c:pt idx="4">
                  <c:v>76</c:v>
                </c:pt>
                <c:pt idx="5">
                  <c:v>76</c:v>
                </c:pt>
                <c:pt idx="6">
                  <c:v>76</c:v>
                </c:pt>
                <c:pt idx="7">
                  <c:v>76</c:v>
                </c:pt>
                <c:pt idx="8">
                  <c:v>76</c:v>
                </c:pt>
                <c:pt idx="9">
                  <c:v>76</c:v>
                </c:pt>
                <c:pt idx="10">
                  <c:v>0</c:v>
                </c:pt>
                <c:pt idx="11">
                  <c:v>76</c:v>
                </c:pt>
                <c:pt idx="12">
                  <c:v>76</c:v>
                </c:pt>
                <c:pt idx="13">
                  <c:v>76</c:v>
                </c:pt>
                <c:pt idx="14">
                  <c:v>76</c:v>
                </c:pt>
                <c:pt idx="15">
                  <c:v>0</c:v>
                </c:pt>
                <c:pt idx="16">
                  <c:v>0</c:v>
                </c:pt>
                <c:pt idx="17">
                  <c:v>76</c:v>
                </c:pt>
                <c:pt idx="18">
                  <c:v>76</c:v>
                </c:pt>
              </c:numCache>
            </c:numRef>
          </c:val>
          <c:extLst>
            <c:ext xmlns:c16="http://schemas.microsoft.com/office/drawing/2014/chart" uri="{C3380CC4-5D6E-409C-BE32-E72D297353CC}">
              <c16:uniqueId val="{00000000-ABAC-465D-804D-1E1138BA2695}"/>
            </c:ext>
          </c:extLst>
        </c:ser>
        <c:ser>
          <c:idx val="1"/>
          <c:order val="1"/>
          <c:tx>
            <c:strRef>
              <c:f>Grafik!$C$5</c:f>
              <c:strCache>
                <c:ptCount val="1"/>
                <c:pt idx="0">
                  <c:v>Rerata Pengetahuan</c:v>
                </c:pt>
              </c:strCache>
            </c:strRef>
          </c:tx>
          <c:invertIfNegative val="0"/>
          <c:cat>
            <c:strRef>
              <c:f>Grafik!$D$3:$V$3</c:f>
              <c:strCache>
                <c:ptCount val="19"/>
                <c:pt idx="0">
                  <c:v> PA </c:v>
                </c:pt>
                <c:pt idx="1">
                  <c:v> PPKn </c:v>
                </c:pt>
                <c:pt idx="2">
                  <c:v> BIND </c:v>
                </c:pt>
                <c:pt idx="3">
                  <c:v> MAT </c:v>
                </c:pt>
                <c:pt idx="4">
                  <c:v> SEJ </c:v>
                </c:pt>
                <c:pt idx="5">
                  <c:v> BING </c:v>
                </c:pt>
                <c:pt idx="6">
                  <c:v> SB </c:v>
                </c:pt>
                <c:pt idx="7">
                  <c:v> PJS </c:v>
                </c:pt>
                <c:pt idx="8">
                  <c:v> PKY </c:v>
                </c:pt>
                <c:pt idx="9">
                  <c:v> TIK </c:v>
                </c:pt>
                <c:pt idx="10">
                  <c:v>  </c:v>
                </c:pt>
                <c:pt idx="11">
                  <c:v> SOS </c:v>
                </c:pt>
                <c:pt idx="12">
                  <c:v> GEO </c:v>
                </c:pt>
                <c:pt idx="13">
                  <c:v> EKO </c:v>
                </c:pt>
                <c:pt idx="14">
                  <c:v> Sej.P </c:v>
                </c:pt>
                <c:pt idx="15">
                  <c:v>  </c:v>
                </c:pt>
                <c:pt idx="16">
                  <c:v>  </c:v>
                </c:pt>
                <c:pt idx="17">
                  <c:v> BIO </c:v>
                </c:pt>
                <c:pt idx="18">
                  <c:v> Fisika </c:v>
                </c:pt>
              </c:strCache>
            </c:strRef>
          </c:cat>
          <c:val>
            <c:numRef>
              <c:f>Grafik!$D$5:$V$5</c:f>
              <c:numCache>
                <c:formatCode>0</c:formatCode>
                <c:ptCount val="19"/>
                <c:pt idx="0">
                  <c:v>59</c:v>
                </c:pt>
                <c:pt idx="1">
                  <c:v>0</c:v>
                </c:pt>
                <c:pt idx="2">
                  <c:v>60</c:v>
                </c:pt>
                <c:pt idx="3">
                  <c:v>15</c:v>
                </c:pt>
                <c:pt idx="4">
                  <c:v>0</c:v>
                </c:pt>
                <c:pt idx="5">
                  <c:v>80</c:v>
                </c:pt>
                <c:pt idx="6">
                  <c:v>78</c:v>
                </c:pt>
                <c:pt idx="7">
                  <c:v>38</c:v>
                </c:pt>
                <c:pt idx="8">
                  <c:v>64</c:v>
                </c:pt>
                <c:pt idx="9">
                  <c:v>0</c:v>
                </c:pt>
                <c:pt idx="10">
                  <c:v>0</c:v>
                </c:pt>
                <c:pt idx="11">
                  <c:v>59</c:v>
                </c:pt>
                <c:pt idx="12">
                  <c:v>0</c:v>
                </c:pt>
                <c:pt idx="13">
                  <c:v>79</c:v>
                </c:pt>
                <c:pt idx="14">
                  <c:v>81</c:v>
                </c:pt>
                <c:pt idx="15">
                  <c:v>0</c:v>
                </c:pt>
                <c:pt idx="16">
                  <c:v>0</c:v>
                </c:pt>
                <c:pt idx="17">
                  <c:v>74</c:v>
                </c:pt>
                <c:pt idx="18">
                  <c:v>76</c:v>
                </c:pt>
              </c:numCache>
            </c:numRef>
          </c:val>
          <c:extLst>
            <c:ext xmlns:c16="http://schemas.microsoft.com/office/drawing/2014/chart" uri="{C3380CC4-5D6E-409C-BE32-E72D297353CC}">
              <c16:uniqueId val="{00000001-ABAC-465D-804D-1E1138BA2695}"/>
            </c:ext>
          </c:extLst>
        </c:ser>
        <c:ser>
          <c:idx val="2"/>
          <c:order val="2"/>
          <c:tx>
            <c:strRef>
              <c:f>Grafik!$C$6</c:f>
              <c:strCache>
                <c:ptCount val="1"/>
                <c:pt idx="0">
                  <c:v>Rerata Keterampilan</c:v>
                </c:pt>
              </c:strCache>
            </c:strRef>
          </c:tx>
          <c:invertIfNegative val="0"/>
          <c:cat>
            <c:strRef>
              <c:f>Grafik!$D$3:$V$3</c:f>
              <c:strCache>
                <c:ptCount val="19"/>
                <c:pt idx="0">
                  <c:v> PA </c:v>
                </c:pt>
                <c:pt idx="1">
                  <c:v> PPKn </c:v>
                </c:pt>
                <c:pt idx="2">
                  <c:v> BIND </c:v>
                </c:pt>
                <c:pt idx="3">
                  <c:v> MAT </c:v>
                </c:pt>
                <c:pt idx="4">
                  <c:v> SEJ </c:v>
                </c:pt>
                <c:pt idx="5">
                  <c:v> BING </c:v>
                </c:pt>
                <c:pt idx="6">
                  <c:v> SB </c:v>
                </c:pt>
                <c:pt idx="7">
                  <c:v> PJS </c:v>
                </c:pt>
                <c:pt idx="8">
                  <c:v> PKY </c:v>
                </c:pt>
                <c:pt idx="9">
                  <c:v> TIK </c:v>
                </c:pt>
                <c:pt idx="10">
                  <c:v>  </c:v>
                </c:pt>
                <c:pt idx="11">
                  <c:v> SOS </c:v>
                </c:pt>
                <c:pt idx="12">
                  <c:v> GEO </c:v>
                </c:pt>
                <c:pt idx="13">
                  <c:v> EKO </c:v>
                </c:pt>
                <c:pt idx="14">
                  <c:v> Sej.P </c:v>
                </c:pt>
                <c:pt idx="15">
                  <c:v>  </c:v>
                </c:pt>
                <c:pt idx="16">
                  <c:v>  </c:v>
                </c:pt>
                <c:pt idx="17">
                  <c:v> BIO </c:v>
                </c:pt>
                <c:pt idx="18">
                  <c:v> Fisika </c:v>
                </c:pt>
              </c:strCache>
            </c:strRef>
          </c:cat>
          <c:val>
            <c:numRef>
              <c:f>Grafik!$D$6:$V$6</c:f>
              <c:numCache>
                <c:formatCode>0</c:formatCode>
                <c:ptCount val="19"/>
                <c:pt idx="0">
                  <c:v>85.891891891891888</c:v>
                </c:pt>
                <c:pt idx="1">
                  <c:v>90.297297297297291</c:v>
                </c:pt>
                <c:pt idx="2">
                  <c:v>88</c:v>
                </c:pt>
                <c:pt idx="3">
                  <c:v>80.459459459459453</c:v>
                </c:pt>
                <c:pt idx="4">
                  <c:v>0</c:v>
                </c:pt>
                <c:pt idx="5">
                  <c:v>86</c:v>
                </c:pt>
                <c:pt idx="6">
                  <c:v>90</c:v>
                </c:pt>
                <c:pt idx="7">
                  <c:v>84.675675675675677</c:v>
                </c:pt>
                <c:pt idx="8">
                  <c:v>84.86486486486487</c:v>
                </c:pt>
                <c:pt idx="9">
                  <c:v>0</c:v>
                </c:pt>
                <c:pt idx="10">
                  <c:v>0</c:v>
                </c:pt>
                <c:pt idx="11">
                  <c:v>81.648648648648646</c:v>
                </c:pt>
                <c:pt idx="12">
                  <c:v>90.297297297297291</c:v>
                </c:pt>
                <c:pt idx="13">
                  <c:v>88</c:v>
                </c:pt>
                <c:pt idx="14">
                  <c:v>83</c:v>
                </c:pt>
                <c:pt idx="15">
                  <c:v>0</c:v>
                </c:pt>
                <c:pt idx="16">
                  <c:v>0</c:v>
                </c:pt>
                <c:pt idx="17">
                  <c:v>78.21621621621621</c:v>
                </c:pt>
                <c:pt idx="18">
                  <c:v>87.405405405405403</c:v>
                </c:pt>
              </c:numCache>
            </c:numRef>
          </c:val>
          <c:extLst>
            <c:ext xmlns:c16="http://schemas.microsoft.com/office/drawing/2014/chart" uri="{C3380CC4-5D6E-409C-BE32-E72D297353CC}">
              <c16:uniqueId val="{00000002-ABAC-465D-804D-1E1138BA2695}"/>
            </c:ext>
          </c:extLst>
        </c:ser>
        <c:dLbls>
          <c:showLegendKey val="0"/>
          <c:showVal val="0"/>
          <c:showCatName val="0"/>
          <c:showSerName val="0"/>
          <c:showPercent val="0"/>
          <c:showBubbleSize val="0"/>
        </c:dLbls>
        <c:gapWidth val="150"/>
        <c:axId val="119672192"/>
        <c:axId val="119682176"/>
      </c:barChart>
      <c:catAx>
        <c:axId val="119672192"/>
        <c:scaling>
          <c:orientation val="minMax"/>
        </c:scaling>
        <c:delete val="0"/>
        <c:axPos val="b"/>
        <c:numFmt formatCode="General" sourceLinked="0"/>
        <c:majorTickMark val="out"/>
        <c:minorTickMark val="none"/>
        <c:tickLblPos val="nextTo"/>
        <c:txPr>
          <a:bodyPr/>
          <a:lstStyle/>
          <a:p>
            <a:pPr>
              <a:defRPr lang="en-US" sz="1100" b="1">
                <a:latin typeface="Arial" panose="020B0604020202020204" pitchFamily="34" charset="0"/>
                <a:cs typeface="Arial" panose="020B0604020202020204" pitchFamily="34" charset="0"/>
              </a:defRPr>
            </a:pPr>
            <a:endParaRPr lang="en-US"/>
          </a:p>
        </c:txPr>
        <c:crossAx val="119682176"/>
        <c:crosses val="autoZero"/>
        <c:auto val="1"/>
        <c:lblAlgn val="ctr"/>
        <c:lblOffset val="100"/>
        <c:noMultiLvlLbl val="0"/>
      </c:catAx>
      <c:valAx>
        <c:axId val="119682176"/>
        <c:scaling>
          <c:orientation val="minMax"/>
        </c:scaling>
        <c:delete val="0"/>
        <c:axPos val="l"/>
        <c:majorGridlines/>
        <c:numFmt formatCode="0" sourceLinked="1"/>
        <c:majorTickMark val="out"/>
        <c:minorTickMark val="none"/>
        <c:tickLblPos val="nextTo"/>
        <c:txPr>
          <a:bodyPr/>
          <a:lstStyle/>
          <a:p>
            <a:pPr>
              <a:defRPr lang="en-US" sz="1050">
                <a:latin typeface="Arial" panose="020B0604020202020204" pitchFamily="34" charset="0"/>
                <a:cs typeface="Arial" panose="020B0604020202020204" pitchFamily="34" charset="0"/>
              </a:defRPr>
            </a:pPr>
            <a:endParaRPr lang="en-US"/>
          </a:p>
        </c:txPr>
        <c:crossAx val="119672192"/>
        <c:crosses val="autoZero"/>
        <c:crossBetween val="between"/>
      </c:valAx>
    </c:plotArea>
    <c:legend>
      <c:legendPos val="t"/>
      <c:overlay val="0"/>
      <c:txPr>
        <a:bodyPr/>
        <a:lstStyle/>
        <a:p>
          <a:pPr>
            <a:defRPr lang="en-US" sz="1200"/>
          </a:pPr>
          <a:endParaRPr lang="en-US"/>
        </a:p>
      </c:txPr>
    </c:legend>
    <c:plotVisOnly val="1"/>
    <c:dispBlanksAs val="gap"/>
    <c:showDLblsOverMax val="0"/>
  </c:chart>
  <c:spPr>
    <a:ln w="19050">
      <a:solidFill>
        <a:sysClr val="windowText" lastClr="000000"/>
      </a:solidFill>
    </a:ln>
  </c:spPr>
  <c:printSettings>
    <c:headerFooter/>
    <c:pageMargins b="0.75000000000000044" l="0.7000000000000004" r="0.7000000000000004" t="0.75000000000000044" header="0.30000000000000021" footer="0.30000000000000021"/>
    <c:pageSetup/>
  </c:printSettings>
</c:chartSpace>
</file>

<file path=xl/ctrlProps/ctrlProp1.xml><?xml version="1.0" encoding="utf-8"?>
<formControlPr xmlns="http://schemas.microsoft.com/office/spreadsheetml/2009/9/main" objectType="Spin" dx="16" fmlaLink="$B$2" max="50" min="1" page="10"/>
</file>

<file path=xl/ctrlProps/ctrlProp2.xml><?xml version="1.0" encoding="utf-8"?>
<formControlPr xmlns="http://schemas.microsoft.com/office/spreadsheetml/2009/9/main" objectType="Spin" dx="16" fmlaLink="$B$2" max="50" min="1" page="10"/>
</file>

<file path=xl/ctrlProps/ctrlProp3.xml><?xml version="1.0" encoding="utf-8"?>
<formControlPr xmlns="http://schemas.microsoft.com/office/spreadsheetml/2009/9/main" objectType="Spin" dx="16" fmlaLink="$B$2" max="50" min="1" page="10" val="4"/>
</file>

<file path=xl/ctrlProps/ctrlProp4.xml><?xml version="1.0" encoding="utf-8"?>
<formControlPr xmlns="http://schemas.microsoft.com/office/spreadsheetml/2009/9/main" objectType="Spin" dx="16" fmlaLink="$B$2" max="50" min="1" page="10"/>
</file>

<file path=xl/ctrlProps/ctrlProp5.xml><?xml version="1.0" encoding="utf-8"?>
<formControlPr xmlns="http://schemas.microsoft.com/office/spreadsheetml/2009/9/main" objectType="Spin" dx="16" fmlaLink="$B$2" max="50" min="1" page="10"/>
</file>

<file path=xl/ctrlProps/ctrlProp6.xml><?xml version="1.0" encoding="utf-8"?>
<formControlPr xmlns="http://schemas.microsoft.com/office/spreadsheetml/2009/9/main" objectType="Spin" dx="16" fmlaLink="$B$5" inc="6" max="30000" min="1" page="10"/>
</file>

<file path=xl/ctrlProps/ctrlProp7.xml><?xml version="1.0" encoding="utf-8"?>
<formControlPr xmlns="http://schemas.microsoft.com/office/spreadsheetml/2009/9/main" objectType="Spin" dx="16" fmlaLink="$H$3" inc="6" max="50" min="1" page="10" val="20"/>
</file>

<file path=xl/drawings/_rels/drawing1.xml.rels><?xml version="1.0" encoding="UTF-8" standalone="yes"?>
<Relationships xmlns="http://schemas.openxmlformats.org/package/2006/relationships"><Relationship Id="rId2" Type="http://schemas.openxmlformats.org/officeDocument/2006/relationships/hyperlink" Target="#Data2!A1"/><Relationship Id="rId1" Type="http://schemas.openxmlformats.org/officeDocument/2006/relationships/hyperlink" Target="#Help!F5"/></Relationships>
</file>

<file path=xl/drawings/_rels/drawing2.xml.rels><?xml version="1.0" encoding="UTF-8" standalone="yes"?>
<Relationships xmlns="http://schemas.openxmlformats.org/package/2006/relationships"><Relationship Id="rId8" Type="http://schemas.openxmlformats.org/officeDocument/2006/relationships/hyperlink" Target="#'PA-Non'!A1"/><Relationship Id="rId13" Type="http://schemas.openxmlformats.org/officeDocument/2006/relationships/hyperlink" Target="#'Hal-3'!A1"/><Relationship Id="rId3" Type="http://schemas.openxmlformats.org/officeDocument/2006/relationships/hyperlink" Target="#'KKM-1'!A1"/><Relationship Id="rId7" Type="http://schemas.openxmlformats.org/officeDocument/2006/relationships/hyperlink" Target="#Blanko!A1"/><Relationship Id="rId12" Type="http://schemas.openxmlformats.org/officeDocument/2006/relationships/hyperlink" Target="#'Multi-KKM'!A1"/><Relationship Id="rId17" Type="http://schemas.openxmlformats.org/officeDocument/2006/relationships/hyperlink" Target="#Help!F5"/><Relationship Id="rId2" Type="http://schemas.openxmlformats.org/officeDocument/2006/relationships/hyperlink" Target="#AbEk!A1"/><Relationship Id="rId16" Type="http://schemas.openxmlformats.org/officeDocument/2006/relationships/hyperlink" Target="#NTS!A1"/><Relationship Id="rId1" Type="http://schemas.openxmlformats.org/officeDocument/2006/relationships/hyperlink" Target="#Data!A1"/><Relationship Id="rId6" Type="http://schemas.openxmlformats.org/officeDocument/2006/relationships/hyperlink" Target="#'Hal-1.2'!A1"/><Relationship Id="rId11" Type="http://schemas.openxmlformats.org/officeDocument/2006/relationships/hyperlink" Target="#Casi!A1"/><Relationship Id="rId5" Type="http://schemas.openxmlformats.org/officeDocument/2006/relationships/hyperlink" Target="#Buku1!A1"/><Relationship Id="rId15" Type="http://schemas.openxmlformats.org/officeDocument/2006/relationships/hyperlink" Target="#Leger!A1"/><Relationship Id="rId10" Type="http://schemas.openxmlformats.org/officeDocument/2006/relationships/hyperlink" Target="#Sikap!A1"/><Relationship Id="rId4" Type="http://schemas.openxmlformats.org/officeDocument/2006/relationships/hyperlink" Target="#DKN!A1"/><Relationship Id="rId9" Type="http://schemas.openxmlformats.org/officeDocument/2006/relationships/hyperlink" Target="#Grafik!A1"/><Relationship Id="rId14" Type="http://schemas.openxmlformats.org/officeDocument/2006/relationships/hyperlink" Target="#SKS!A1"/></Relationships>
</file>

<file path=xl/drawings/_rels/drawing3.xml.rels><?xml version="1.0" encoding="UTF-8" standalone="yes"?>
<Relationships xmlns="http://schemas.openxmlformats.org/package/2006/relationships"><Relationship Id="rId1" Type="http://schemas.openxmlformats.org/officeDocument/2006/relationships/hyperlink" Target="#Data2!A1"/></Relationships>
</file>

<file path=xl/drawings/_rels/drawing4.xml.rels><?xml version="1.0" encoding="UTF-8" standalone="yes"?>
<Relationships xmlns="http://schemas.openxmlformats.org/package/2006/relationships"><Relationship Id="rId1" Type="http://schemas.openxmlformats.org/officeDocument/2006/relationships/hyperlink" Target="#Data2!A1"/></Relationships>
</file>

<file path=xl/drawings/_rels/drawing5.xml.rels><?xml version="1.0" encoding="UTF-8" standalone="yes"?>
<Relationships xmlns="http://schemas.openxmlformats.org/package/2006/relationships"><Relationship Id="rId1" Type="http://schemas.openxmlformats.org/officeDocument/2006/relationships/hyperlink" Target="#'KD-PA'!A1"/></Relationships>
</file>

<file path=xl/drawings/_rels/drawing6.xml.rels><?xml version="1.0" encoding="UTF-8" standalone="yes"?>
<Relationships xmlns="http://schemas.openxmlformats.org/package/2006/relationships"><Relationship Id="rId1" Type="http://schemas.openxmlformats.org/officeDocument/2006/relationships/hyperlink" Target="#'PD1'!H68"/></Relationships>
</file>

<file path=xl/drawings/_rels/drawing7.xml.rels><?xml version="1.0" encoding="UTF-8" standalone="yes"?>
<Relationships xmlns="http://schemas.openxmlformats.org/package/2006/relationships"><Relationship Id="rId1" Type="http://schemas.openxmlformats.org/officeDocument/2006/relationships/hyperlink" Target="#Data2!A1"/></Relationships>
</file>

<file path=xl/drawings/_rels/drawing8.xml.rels><?xml version="1.0" encoding="UTF-8" standalone="yes"?>
<Relationships xmlns="http://schemas.openxmlformats.org/package/2006/relationships"><Relationship Id="rId1" Type="http://schemas.openxmlformats.org/officeDocument/2006/relationships/hyperlink" Target="#Data2!A1"/></Relationships>
</file>

<file path=xl/drawings/_rels/drawing9.xml.rels><?xml version="1.0" encoding="UTF-8" standalone="yes"?>
<Relationships xmlns="http://schemas.openxmlformats.org/package/2006/relationships"><Relationship Id="rId1" Type="http://schemas.openxmlformats.org/officeDocument/2006/relationships/hyperlink" Target="#Data2!A1"/></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Data2!A1"/></Relationships>
</file>

<file path=xl/drawings/_rels/drawing11.xml.rels><?xml version="1.0" encoding="UTF-8" standalone="yes"?>
<Relationships xmlns="http://schemas.openxmlformats.org/package/2006/relationships"><Relationship Id="rId1" Type="http://schemas.openxmlformats.org/officeDocument/2006/relationships/hyperlink" Target="#Data2!A1"/></Relationships>
</file>

<file path=xl/drawings/_rels/drawing12.xml.rels><?xml version="1.0" encoding="UTF-8" standalone="yes"?>
<Relationships xmlns="http://schemas.openxmlformats.org/package/2006/relationships"><Relationship Id="rId1" Type="http://schemas.openxmlformats.org/officeDocument/2006/relationships/hyperlink" Target="#Data2!A1"/></Relationships>
</file>

<file path=xl/drawings/_rels/drawing13.xml.rels><?xml version="1.0" encoding="UTF-8" standalone="yes"?>
<Relationships xmlns="http://schemas.openxmlformats.org/package/2006/relationships"><Relationship Id="rId1" Type="http://schemas.openxmlformats.org/officeDocument/2006/relationships/hyperlink" Target="#Data2!A1"/></Relationships>
</file>

<file path=xl/drawings/_rels/drawing14.xml.rels><?xml version="1.0" encoding="UTF-8" standalone="yes"?>
<Relationships xmlns="http://schemas.openxmlformats.org/package/2006/relationships"><Relationship Id="rId1" Type="http://schemas.openxmlformats.org/officeDocument/2006/relationships/hyperlink" Target="#Data2!A1"/></Relationships>
</file>

<file path=xl/drawings/_rels/drawing15.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hyperlink" Target="#Data2!A1"/></Relationships>
</file>

<file path=xl/drawings/_rels/drawing16.xml.rels><?xml version="1.0" encoding="UTF-8" standalone="yes"?>
<Relationships xmlns="http://schemas.openxmlformats.org/package/2006/relationships"><Relationship Id="rId1" Type="http://schemas.openxmlformats.org/officeDocument/2006/relationships/hyperlink" Target="#Data2!A1"/></Relationships>
</file>

<file path=xl/drawings/_rels/drawing17.xml.rels><?xml version="1.0" encoding="UTF-8" standalone="yes"?>
<Relationships xmlns="http://schemas.openxmlformats.org/package/2006/relationships"><Relationship Id="rId1" Type="http://schemas.openxmlformats.org/officeDocument/2006/relationships/hyperlink" Target="#Data2!A1"/></Relationships>
</file>

<file path=xl/drawings/_rels/drawing18.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hyperlink" Target="#Data2!A1"/></Relationships>
</file>

<file path=xl/drawings/_rels/drawing19.xml.rels><?xml version="1.0" encoding="UTF-8" standalone="yes"?>
<Relationships xmlns="http://schemas.openxmlformats.org/package/2006/relationships"><Relationship Id="rId1" Type="http://schemas.openxmlformats.org/officeDocument/2006/relationships/hyperlink" Target="#Data2!A1"/></Relationships>
</file>

<file path=xl/drawings/_rels/drawing2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Data2!A1"/></Relationships>
</file>

<file path=xl/drawings/drawing1.xml><?xml version="1.0" encoding="utf-8"?>
<xdr:wsDr xmlns:xdr="http://schemas.openxmlformats.org/drawingml/2006/spreadsheetDrawing" xmlns:a="http://schemas.openxmlformats.org/drawingml/2006/main">
  <xdr:twoCellAnchor>
    <xdr:from>
      <xdr:col>1</xdr:col>
      <xdr:colOff>28575</xdr:colOff>
      <xdr:row>21</xdr:row>
      <xdr:rowOff>209549</xdr:rowOff>
    </xdr:from>
    <xdr:to>
      <xdr:col>2</xdr:col>
      <xdr:colOff>2181225</xdr:colOff>
      <xdr:row>36</xdr:row>
      <xdr:rowOff>161925</xdr:rowOff>
    </xdr:to>
    <xdr:sp macro="" textlink="">
      <xdr:nvSpPr>
        <xdr:cNvPr id="2" name="Rectangle 1"/>
        <xdr:cNvSpPr/>
      </xdr:nvSpPr>
      <xdr:spPr>
        <a:xfrm>
          <a:off x="133350" y="5067299"/>
          <a:ext cx="3267075" cy="3381376"/>
        </a:xfrm>
        <a:prstGeom prst="rect">
          <a:avLst/>
        </a:prstGeom>
        <a:solidFill>
          <a:srgbClr val="FFFFCC"/>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id-ID" sz="1200" b="1" i="0" u="none" strike="noStrike">
              <a:solidFill>
                <a:schemeClr val="tx1"/>
              </a:solidFill>
              <a:effectLst/>
              <a:latin typeface="+mn-lt"/>
              <a:ea typeface="+mn-ea"/>
              <a:cs typeface="+mn-cs"/>
            </a:rPr>
            <a:t>PETUNJUK</a:t>
          </a:r>
        </a:p>
        <a:p>
          <a:pPr algn="l"/>
          <a:r>
            <a:rPr lang="id-ID" sz="1100" b="0" i="0" u="none" strike="noStrike">
              <a:solidFill>
                <a:schemeClr val="tx1"/>
              </a:solidFill>
              <a:effectLst/>
              <a:latin typeface="+mn-lt"/>
              <a:ea typeface="+mn-ea"/>
              <a:cs typeface="+mn-cs"/>
            </a:rPr>
            <a:t>1. Fokus pada </a:t>
          </a:r>
          <a:r>
            <a:rPr lang="id-ID" sz="1100" b="1" i="0" u="none" strike="noStrike">
              <a:solidFill>
                <a:schemeClr val="tx1"/>
              </a:solidFill>
              <a:effectLst/>
              <a:latin typeface="+mn-lt"/>
              <a:ea typeface="+mn-ea"/>
              <a:cs typeface="+mn-cs"/>
            </a:rPr>
            <a:t>FONT WARNA BIRU</a:t>
          </a:r>
          <a:r>
            <a:rPr lang="id-ID" sz="1100" b="0" i="0" u="none" strike="noStrike">
              <a:solidFill>
                <a:schemeClr val="tx1"/>
              </a:solidFill>
              <a:effectLst/>
              <a:latin typeface="+mn-lt"/>
              <a:ea typeface="+mn-ea"/>
              <a:cs typeface="+mn-cs"/>
            </a:rPr>
            <a:t>.</a:t>
          </a:r>
        </a:p>
        <a:p>
          <a:pPr algn="l"/>
          <a:r>
            <a:rPr lang="id-ID" sz="1100" b="0" i="0" u="none" strike="noStrike">
              <a:solidFill>
                <a:schemeClr val="tx1"/>
              </a:solidFill>
              <a:effectLst/>
              <a:latin typeface="+mn-lt"/>
              <a:ea typeface="+mn-ea"/>
              <a:cs typeface="+mn-cs"/>
            </a:rPr>
            <a:t>2. Jika data siswa mengkopi dari file </a:t>
          </a:r>
        </a:p>
        <a:p>
          <a:pPr algn="l"/>
          <a:r>
            <a:rPr lang="id-ID" sz="1100" b="0" i="0" u="none" strike="noStrike">
              <a:solidFill>
                <a:schemeClr val="tx1"/>
              </a:solidFill>
              <a:effectLst/>
              <a:latin typeface="+mn-lt"/>
              <a:ea typeface="+mn-ea"/>
              <a:cs typeface="+mn-cs"/>
            </a:rPr>
            <a:t>    yang ada,</a:t>
          </a:r>
          <a:r>
            <a:rPr lang="id-ID">
              <a:solidFill>
                <a:schemeClr val="tx1"/>
              </a:solidFill>
            </a:rPr>
            <a:t> </a:t>
          </a:r>
          <a:r>
            <a:rPr lang="id-ID" sz="1100" b="0" i="0" u="none" strike="noStrike">
              <a:solidFill>
                <a:schemeClr val="tx1"/>
              </a:solidFill>
              <a:effectLst/>
              <a:latin typeface="+mn-lt"/>
              <a:ea typeface="+mn-ea"/>
              <a:cs typeface="+mn-cs"/>
            </a:rPr>
            <a:t>lakukan langkah </a:t>
          </a:r>
        </a:p>
        <a:p>
          <a:pPr algn="l"/>
          <a:r>
            <a:rPr lang="id-ID" sz="1100" b="0" i="0" u="none" strike="noStrike">
              <a:solidFill>
                <a:schemeClr val="tx1"/>
              </a:solidFill>
              <a:effectLst/>
              <a:latin typeface="+mn-lt"/>
              <a:ea typeface="+mn-ea"/>
              <a:cs typeface="+mn-cs"/>
            </a:rPr>
            <a:t>    </a:t>
          </a:r>
          <a:r>
            <a:rPr lang="id-ID" sz="1100" b="1" i="0" u="none" strike="noStrike">
              <a:solidFill>
                <a:schemeClr val="tx1"/>
              </a:solidFill>
              <a:effectLst/>
              <a:latin typeface="+mn-lt"/>
              <a:ea typeface="+mn-ea"/>
              <a:cs typeface="+mn-cs"/>
            </a:rPr>
            <a:t>Copy&gt;Paste Special&gt;Values</a:t>
          </a:r>
        </a:p>
        <a:p>
          <a:pPr algn="l"/>
          <a:r>
            <a:rPr lang="id-ID" sz="1100" b="1" i="0" u="none" strike="noStrike">
              <a:solidFill>
                <a:schemeClr val="tx1"/>
              </a:solidFill>
              <a:effectLst/>
              <a:latin typeface="+mn-lt"/>
              <a:ea typeface="+mn-ea"/>
              <a:cs typeface="+mn-cs"/>
            </a:rPr>
            <a:t>3.</a:t>
          </a:r>
          <a:r>
            <a:rPr lang="id-ID">
              <a:solidFill>
                <a:schemeClr val="tx1"/>
              </a:solidFill>
            </a:rPr>
            <a:t> </a:t>
          </a:r>
          <a:r>
            <a:rPr lang="id-ID" sz="1100" b="0" i="0" u="none" strike="noStrike">
              <a:solidFill>
                <a:schemeClr val="tx1"/>
              </a:solidFill>
              <a:effectLst/>
              <a:latin typeface="+mn-lt"/>
              <a:ea typeface="+mn-ea"/>
              <a:cs typeface="+mn-cs"/>
            </a:rPr>
            <a:t>Berikan aplikasi ini ke masing-</a:t>
          </a:r>
        </a:p>
        <a:p>
          <a:pPr algn="l"/>
          <a:r>
            <a:rPr lang="id-ID" sz="1100" b="0" i="0" u="none" strike="noStrike">
              <a:solidFill>
                <a:schemeClr val="tx1"/>
              </a:solidFill>
              <a:effectLst/>
              <a:latin typeface="+mn-lt"/>
              <a:ea typeface="+mn-ea"/>
              <a:cs typeface="+mn-cs"/>
            </a:rPr>
            <a:t>    masing wali kelas.</a:t>
          </a:r>
        </a:p>
        <a:p>
          <a:pPr algn="l"/>
          <a:r>
            <a:rPr lang="id-ID" sz="1100" b="0" i="0" u="none" strike="noStrike">
              <a:solidFill>
                <a:schemeClr val="tx1"/>
              </a:solidFill>
              <a:effectLst/>
              <a:latin typeface="+mn-lt"/>
              <a:ea typeface="+mn-ea"/>
              <a:cs typeface="+mn-cs"/>
            </a:rPr>
            <a:t>4.</a:t>
          </a:r>
          <a:r>
            <a:rPr lang="id-ID">
              <a:solidFill>
                <a:schemeClr val="tx1"/>
              </a:solidFill>
            </a:rPr>
            <a:t> </a:t>
          </a:r>
          <a:r>
            <a:rPr lang="id-ID" sz="1100" b="1" i="0" u="none" strike="noStrike">
              <a:solidFill>
                <a:schemeClr val="tx1"/>
              </a:solidFill>
              <a:effectLst/>
              <a:latin typeface="+mn-lt"/>
              <a:ea typeface="+mn-ea"/>
              <a:cs typeface="+mn-cs"/>
            </a:rPr>
            <a:t>JANGAN MELAKUKAN CUT/MOVE</a:t>
          </a:r>
          <a:r>
            <a:rPr lang="id-ID">
              <a:solidFill>
                <a:schemeClr val="tx1"/>
              </a:solidFill>
            </a:rPr>
            <a:t> </a:t>
          </a:r>
        </a:p>
        <a:p>
          <a:pPr algn="l"/>
          <a:r>
            <a:rPr lang="id-ID" sz="1100" b="0" i="0" u="none" strike="noStrike">
              <a:solidFill>
                <a:schemeClr val="tx1"/>
              </a:solidFill>
              <a:effectLst/>
              <a:latin typeface="+mn-lt"/>
              <a:ea typeface="+mn-ea"/>
              <a:cs typeface="+mn-cs"/>
            </a:rPr>
            <a:t>    Jika tanpa sengaja melakukan </a:t>
          </a:r>
        </a:p>
        <a:p>
          <a:pPr algn="l"/>
          <a:r>
            <a:rPr lang="id-ID" sz="1100" b="0" i="0" u="none" strike="noStrike">
              <a:solidFill>
                <a:schemeClr val="tx1"/>
              </a:solidFill>
              <a:effectLst/>
              <a:latin typeface="+mn-lt"/>
              <a:ea typeface="+mn-ea"/>
              <a:cs typeface="+mn-cs"/>
            </a:rPr>
            <a:t>    Cut/Move</a:t>
          </a:r>
          <a:r>
            <a:rPr lang="id-ID">
              <a:solidFill>
                <a:schemeClr val="tx1"/>
              </a:solidFill>
            </a:rPr>
            <a:t> </a:t>
          </a:r>
          <a:r>
            <a:rPr lang="id-ID" sz="1100" b="0" i="0" u="none" strike="noStrike">
              <a:solidFill>
                <a:schemeClr val="tx1"/>
              </a:solidFill>
              <a:effectLst/>
              <a:latin typeface="+mn-lt"/>
              <a:ea typeface="+mn-ea"/>
              <a:cs typeface="+mn-cs"/>
            </a:rPr>
            <a:t>sehingga aplikasi rusak, </a:t>
          </a:r>
        </a:p>
        <a:p>
          <a:pPr algn="l"/>
          <a:r>
            <a:rPr lang="id-ID" sz="1100" b="0" i="0" u="none" strike="noStrike">
              <a:solidFill>
                <a:schemeClr val="tx1"/>
              </a:solidFill>
              <a:effectLst/>
              <a:latin typeface="+mn-lt"/>
              <a:ea typeface="+mn-ea"/>
              <a:cs typeface="+mn-cs"/>
            </a:rPr>
            <a:t>    maka copykan baris</a:t>
          </a:r>
          <a:r>
            <a:rPr lang="id-ID">
              <a:solidFill>
                <a:schemeClr val="tx1"/>
              </a:solidFill>
            </a:rPr>
            <a:t> </a:t>
          </a:r>
          <a:r>
            <a:rPr lang="id-ID" sz="1100" b="0" i="0" u="none" strike="noStrike">
              <a:solidFill>
                <a:schemeClr val="tx1"/>
              </a:solidFill>
              <a:effectLst/>
              <a:latin typeface="+mn-lt"/>
              <a:ea typeface="+mn-ea"/>
              <a:cs typeface="+mn-cs"/>
            </a:rPr>
            <a:t>atas atau baris</a:t>
          </a:r>
        </a:p>
        <a:p>
          <a:pPr algn="l"/>
          <a:r>
            <a:rPr lang="id-ID" sz="1100" b="0" i="0" u="none" strike="noStrike">
              <a:solidFill>
                <a:schemeClr val="tx1"/>
              </a:solidFill>
              <a:effectLst/>
              <a:latin typeface="+mn-lt"/>
              <a:ea typeface="+mn-ea"/>
              <a:cs typeface="+mn-cs"/>
            </a:rPr>
            <a:t>    bawahnya yang masih normal.</a:t>
          </a:r>
        </a:p>
        <a:p>
          <a:pPr algn="l"/>
          <a:r>
            <a:rPr lang="id-ID" sz="1100" b="0" i="0" u="none" strike="noStrike">
              <a:solidFill>
                <a:schemeClr val="tx1"/>
              </a:solidFill>
              <a:effectLst/>
              <a:latin typeface="+mn-lt"/>
              <a:ea typeface="+mn-ea"/>
              <a:cs typeface="+mn-cs"/>
            </a:rPr>
            <a:t>5.</a:t>
          </a:r>
          <a:r>
            <a:rPr lang="id-ID">
              <a:solidFill>
                <a:schemeClr val="tx1"/>
              </a:solidFill>
            </a:rPr>
            <a:t> </a:t>
          </a:r>
          <a:r>
            <a:rPr lang="id-ID" sz="1100" b="1" i="0" u="none" strike="noStrike">
              <a:solidFill>
                <a:schemeClr val="tx1"/>
              </a:solidFill>
              <a:effectLst/>
              <a:latin typeface="+mn-lt"/>
              <a:ea typeface="+mn-ea"/>
              <a:cs typeface="+mn-cs"/>
            </a:rPr>
            <a:t>Semua halaman bisa dicetak </a:t>
          </a:r>
        </a:p>
        <a:p>
          <a:pPr algn="l"/>
          <a:r>
            <a:rPr lang="id-ID" sz="1100" b="1" i="0" u="none" strike="noStrike">
              <a:solidFill>
                <a:schemeClr val="tx1"/>
              </a:solidFill>
              <a:effectLst/>
              <a:latin typeface="+mn-lt"/>
              <a:ea typeface="+mn-ea"/>
              <a:cs typeface="+mn-cs"/>
            </a:rPr>
            <a:t>   dengan</a:t>
          </a:r>
          <a:r>
            <a:rPr lang="id-ID">
              <a:solidFill>
                <a:schemeClr val="tx1"/>
              </a:solidFill>
            </a:rPr>
            <a:t> </a:t>
          </a:r>
          <a:r>
            <a:rPr lang="id-ID" sz="1100" b="1" i="0" u="none" strike="noStrike">
              <a:solidFill>
                <a:schemeClr val="tx1"/>
              </a:solidFill>
              <a:effectLst/>
              <a:latin typeface="+mn-lt"/>
              <a:ea typeface="+mn-ea"/>
              <a:cs typeface="+mn-cs"/>
            </a:rPr>
            <a:t>kertas A4</a:t>
          </a:r>
          <a:r>
            <a:rPr lang="id-ID">
              <a:solidFill>
                <a:schemeClr val="tx1"/>
              </a:solidFill>
            </a:rPr>
            <a:t> </a:t>
          </a:r>
          <a:r>
            <a:rPr lang="id-ID" sz="1100" b="0" i="0" u="none" strike="noStrike">
              <a:solidFill>
                <a:schemeClr val="tx1"/>
              </a:solidFill>
              <a:effectLst/>
              <a:latin typeface="+mn-lt"/>
              <a:ea typeface="+mn-ea"/>
              <a:cs typeface="+mn-cs"/>
            </a:rPr>
            <a:t>Ubah Regional</a:t>
          </a:r>
        </a:p>
        <a:p>
          <a:pPr algn="l"/>
          <a:r>
            <a:rPr lang="id-ID" sz="1100" b="0" i="0" u="none" strike="noStrike">
              <a:solidFill>
                <a:schemeClr val="tx1"/>
              </a:solidFill>
              <a:effectLst/>
              <a:latin typeface="+mn-lt"/>
              <a:ea typeface="+mn-ea"/>
              <a:cs typeface="+mn-cs"/>
            </a:rPr>
            <a:t>   Setting komputer ke Indonesia</a:t>
          </a:r>
        </a:p>
        <a:p>
          <a:pPr algn="l"/>
          <a:r>
            <a:rPr lang="id-ID" sz="1100" b="0" i="0" u="none" strike="noStrike">
              <a:solidFill>
                <a:schemeClr val="tx1"/>
              </a:solidFill>
              <a:effectLst/>
              <a:latin typeface="+mn-lt"/>
              <a:ea typeface="+mn-ea"/>
              <a:cs typeface="+mn-cs"/>
            </a:rPr>
            <a:t>6.</a:t>
          </a:r>
          <a:r>
            <a:rPr lang="id-ID">
              <a:solidFill>
                <a:schemeClr val="tx1"/>
              </a:solidFill>
            </a:rPr>
            <a:t> </a:t>
          </a:r>
          <a:r>
            <a:rPr lang="id-ID" sz="1100" b="0" i="0" u="none" strike="noStrike">
              <a:solidFill>
                <a:schemeClr val="tx1"/>
              </a:solidFill>
              <a:effectLst/>
              <a:latin typeface="+mn-lt"/>
              <a:ea typeface="+mn-ea"/>
              <a:cs typeface="+mn-cs"/>
            </a:rPr>
            <a:t>Backup Nilai dilakukan Ur. Kurikulum</a:t>
          </a:r>
        </a:p>
        <a:p>
          <a:pPr algn="l"/>
          <a:r>
            <a:rPr lang="id-ID" sz="1100" b="0" i="0" u="none" strike="noStrike">
              <a:solidFill>
                <a:schemeClr val="tx1"/>
              </a:solidFill>
              <a:effectLst/>
              <a:latin typeface="+mn-lt"/>
              <a:ea typeface="+mn-ea"/>
              <a:cs typeface="+mn-cs"/>
            </a:rPr>
            <a:t>7. Simpan File dalam satu folder. Untuk</a:t>
          </a:r>
        </a:p>
        <a:p>
          <a:pPr algn="l"/>
          <a:r>
            <a:rPr lang="id-ID" sz="1100" b="0" i="0" u="none" strike="noStrike" baseline="0">
              <a:solidFill>
                <a:schemeClr val="tx1"/>
              </a:solidFill>
              <a:effectLst/>
              <a:latin typeface="+mn-lt"/>
              <a:ea typeface="+mn-ea"/>
              <a:cs typeface="+mn-cs"/>
            </a:rPr>
            <a:t>   memulai semester baru pakai aplikasi</a:t>
          </a:r>
        </a:p>
        <a:p>
          <a:pPr algn="l"/>
          <a:r>
            <a:rPr lang="id-ID" sz="1100" b="0" i="0" u="none" strike="noStrike" baseline="0">
              <a:solidFill>
                <a:schemeClr val="tx1"/>
              </a:solidFill>
              <a:effectLst/>
              <a:latin typeface="+mn-lt"/>
              <a:ea typeface="+mn-ea"/>
              <a:cs typeface="+mn-cs"/>
            </a:rPr>
            <a:t>   yang masih kosong.</a:t>
          </a:r>
          <a:r>
            <a:rPr lang="id-ID">
              <a:solidFill>
                <a:schemeClr val="tx1"/>
              </a:solidFill>
            </a:rPr>
            <a:t> </a:t>
          </a:r>
          <a:endParaRPr lang="id-ID" sz="1100">
            <a:solidFill>
              <a:schemeClr val="tx1"/>
            </a:solidFill>
          </a:endParaRPr>
        </a:p>
      </xdr:txBody>
    </xdr:sp>
    <xdr:clientData/>
  </xdr:twoCellAnchor>
  <xdr:twoCellAnchor>
    <xdr:from>
      <xdr:col>15</xdr:col>
      <xdr:colOff>114300</xdr:colOff>
      <xdr:row>1</xdr:row>
      <xdr:rowOff>19050</xdr:rowOff>
    </xdr:from>
    <xdr:to>
      <xdr:col>16</xdr:col>
      <xdr:colOff>752475</xdr:colOff>
      <xdr:row>1</xdr:row>
      <xdr:rowOff>457200</xdr:rowOff>
    </xdr:to>
    <xdr:sp macro="" textlink="">
      <xdr:nvSpPr>
        <xdr:cNvPr id="3" name="Rectangle 2"/>
        <xdr:cNvSpPr/>
      </xdr:nvSpPr>
      <xdr:spPr>
        <a:xfrm>
          <a:off x="11058525" y="95250"/>
          <a:ext cx="1685925" cy="438150"/>
        </a:xfrm>
        <a:prstGeom prst="rect">
          <a:avLst/>
        </a:prstGeom>
        <a:solidFill>
          <a:srgbClr val="002060"/>
        </a:solidFill>
        <a:ln w="3175">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id-ID" sz="1050" b="1" baseline="0">
              <a:solidFill>
                <a:srgbClr val="FFC000"/>
              </a:solidFill>
              <a:latin typeface="Arial" pitchFamily="34" charset="0"/>
              <a:ea typeface="Tahoma" pitchFamily="34" charset="0"/>
              <a:cs typeface="Arial" pitchFamily="34" charset="0"/>
            </a:rPr>
            <a:t>Sesuai: Permendikbud No 23 Tahun 2016</a:t>
          </a:r>
          <a:endParaRPr lang="id-ID" sz="1050" b="1">
            <a:solidFill>
              <a:srgbClr val="FFC000"/>
            </a:solidFill>
            <a:latin typeface="Arial" pitchFamily="34" charset="0"/>
            <a:ea typeface="Tahoma" pitchFamily="34" charset="0"/>
            <a:cs typeface="Arial" pitchFamily="34" charset="0"/>
          </a:endParaRPr>
        </a:p>
      </xdr:txBody>
    </xdr:sp>
    <xdr:clientData/>
  </xdr:twoCellAnchor>
  <xdr:twoCellAnchor>
    <xdr:from>
      <xdr:col>7</xdr:col>
      <xdr:colOff>323852</xdr:colOff>
      <xdr:row>1</xdr:row>
      <xdr:rowOff>123826</xdr:rowOff>
    </xdr:from>
    <xdr:to>
      <xdr:col>8</xdr:col>
      <xdr:colOff>38100</xdr:colOff>
      <xdr:row>1</xdr:row>
      <xdr:rowOff>352426</xdr:rowOff>
    </xdr:to>
    <xdr:sp macro="" textlink="">
      <xdr:nvSpPr>
        <xdr:cNvPr id="4" name="Rectangle 3">
          <a:hlinkClick xmlns:r="http://schemas.openxmlformats.org/officeDocument/2006/relationships" r:id="rId1" tooltip="Penjelasan singkat tentang Aplikasi"/>
        </xdr:cNvPr>
        <xdr:cNvSpPr/>
      </xdr:nvSpPr>
      <xdr:spPr>
        <a:xfrm>
          <a:off x="4505327" y="200026"/>
          <a:ext cx="1476373" cy="228600"/>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Petunjuk APLIKASI</a:t>
          </a:r>
        </a:p>
      </xdr:txBody>
    </xdr:sp>
    <xdr:clientData/>
  </xdr:twoCellAnchor>
  <xdr:twoCellAnchor>
    <xdr:from>
      <xdr:col>4</xdr:col>
      <xdr:colOff>238127</xdr:colOff>
      <xdr:row>1</xdr:row>
      <xdr:rowOff>123826</xdr:rowOff>
    </xdr:from>
    <xdr:to>
      <xdr:col>6</xdr:col>
      <xdr:colOff>485775</xdr:colOff>
      <xdr:row>1</xdr:row>
      <xdr:rowOff>361950</xdr:rowOff>
    </xdr:to>
    <xdr:sp macro="" textlink="">
      <xdr:nvSpPr>
        <xdr:cNvPr id="5" name="Rectangle 4">
          <a:hlinkClick xmlns:r="http://schemas.openxmlformats.org/officeDocument/2006/relationships" r:id="rId2"/>
        </xdr:cNvPr>
        <xdr:cNvSpPr/>
      </xdr:nvSpPr>
      <xdr:spPr>
        <a:xfrm>
          <a:off x="3286127" y="200026"/>
          <a:ext cx="1123948" cy="238124"/>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HOME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51766</xdr:colOff>
      <xdr:row>2</xdr:row>
      <xdr:rowOff>10767</xdr:rowOff>
    </xdr:from>
    <xdr:to>
      <xdr:col>15</xdr:col>
      <xdr:colOff>750766</xdr:colOff>
      <xdr:row>2</xdr:row>
      <xdr:rowOff>172334</xdr:rowOff>
    </xdr:to>
    <xdr:sp macro="" textlink="">
      <xdr:nvSpPr>
        <xdr:cNvPr id="7" name="Rectangle 6">
          <a:hlinkClick xmlns:r="http://schemas.openxmlformats.org/officeDocument/2006/relationships" r:id="rId1" tooltip="Data Siswa dan data Sekolah"/>
        </xdr:cNvPr>
        <xdr:cNvSpPr/>
      </xdr:nvSpPr>
      <xdr:spPr>
        <a:xfrm>
          <a:off x="8033716" y="410817"/>
          <a:ext cx="1080000" cy="161567"/>
        </a:xfrm>
        <a:prstGeom prst="rect">
          <a:avLst/>
        </a:prstGeom>
        <a:gradFill flip="none" rotWithShape="1">
          <a:gsLst>
            <a:gs pos="0">
              <a:srgbClr val="5E9EFF"/>
            </a:gs>
            <a:gs pos="25000">
              <a:srgbClr val="85C2FF"/>
            </a:gs>
            <a:gs pos="70000">
              <a:srgbClr val="C4D6EB"/>
            </a:gs>
            <a:gs pos="100000">
              <a:srgbClr val="FFEBFA"/>
            </a:gs>
          </a:gsLst>
          <a:lin ang="189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200" b="1">
              <a:solidFill>
                <a:sysClr val="windowText" lastClr="000000"/>
              </a:solidFill>
              <a:latin typeface="+mn-lt"/>
              <a:cs typeface="Arial" pitchFamily="34" charset="0"/>
            </a:rPr>
            <a:t>D A T A</a:t>
          </a:r>
        </a:p>
      </xdr:txBody>
    </xdr:sp>
    <xdr:clientData/>
  </xdr:twoCellAnchor>
  <xdr:twoCellAnchor editAs="oneCell">
    <xdr:from>
      <xdr:col>14</xdr:col>
      <xdr:colOff>51766</xdr:colOff>
      <xdr:row>6</xdr:row>
      <xdr:rowOff>65616</xdr:rowOff>
    </xdr:from>
    <xdr:to>
      <xdr:col>15</xdr:col>
      <xdr:colOff>750766</xdr:colOff>
      <xdr:row>7</xdr:row>
      <xdr:rowOff>55733</xdr:rowOff>
    </xdr:to>
    <xdr:sp macro="" textlink="">
      <xdr:nvSpPr>
        <xdr:cNvPr id="8" name="Rectangle 7">
          <a:hlinkClick xmlns:r="http://schemas.openxmlformats.org/officeDocument/2006/relationships" r:id="rId2" tooltip="Deskripsi tambahan, daftar hadir dan ektra kurikuler"/>
        </xdr:cNvPr>
        <xdr:cNvSpPr/>
      </xdr:nvSpPr>
      <xdr:spPr>
        <a:xfrm>
          <a:off x="7247471" y="1260571"/>
          <a:ext cx="1080000" cy="163298"/>
        </a:xfrm>
        <a:prstGeom prst="rect">
          <a:avLst/>
        </a:prstGeom>
        <a:gradFill flip="none" rotWithShape="1">
          <a:gsLst>
            <a:gs pos="0">
              <a:srgbClr val="5E9EFF"/>
            </a:gs>
            <a:gs pos="25000">
              <a:srgbClr val="85C2FF"/>
            </a:gs>
            <a:gs pos="70000">
              <a:srgbClr val="C4D6EB"/>
            </a:gs>
            <a:gs pos="100000">
              <a:srgbClr val="FFEBFA"/>
            </a:gs>
          </a:gsLst>
          <a:lin ang="189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Absen&amp;Ekstra</a:t>
          </a:r>
        </a:p>
      </xdr:txBody>
    </xdr:sp>
    <xdr:clientData/>
  </xdr:twoCellAnchor>
  <xdr:twoCellAnchor editAs="oneCell">
    <xdr:from>
      <xdr:col>14</xdr:col>
      <xdr:colOff>51766</xdr:colOff>
      <xdr:row>10</xdr:row>
      <xdr:rowOff>24388</xdr:rowOff>
    </xdr:from>
    <xdr:to>
      <xdr:col>15</xdr:col>
      <xdr:colOff>750766</xdr:colOff>
      <xdr:row>11</xdr:row>
      <xdr:rowOff>14506</xdr:rowOff>
    </xdr:to>
    <xdr:sp macro="" textlink="">
      <xdr:nvSpPr>
        <xdr:cNvPr id="10" name="Rectangle 9">
          <a:hlinkClick xmlns:r="http://schemas.openxmlformats.org/officeDocument/2006/relationships" r:id="rId3" tooltip="Cetak Raport per siswa"/>
        </xdr:cNvPr>
        <xdr:cNvSpPr/>
      </xdr:nvSpPr>
      <xdr:spPr>
        <a:xfrm>
          <a:off x="7247471" y="1912070"/>
          <a:ext cx="1080000" cy="163300"/>
        </a:xfrm>
        <a:prstGeom prst="rect">
          <a:avLst/>
        </a:prstGeom>
        <a:gradFill flip="none" rotWithShape="1">
          <a:gsLst>
            <a:gs pos="0">
              <a:srgbClr val="FF3399"/>
            </a:gs>
            <a:gs pos="9000">
              <a:srgbClr val="FF6633"/>
            </a:gs>
            <a:gs pos="59000">
              <a:srgbClr val="FFFF00"/>
            </a:gs>
            <a:gs pos="92000">
              <a:srgbClr val="01A78F"/>
            </a:gs>
            <a:gs pos="100000">
              <a:srgbClr val="3366FF"/>
            </a:gs>
          </a:gsLst>
          <a:lin ang="108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Rapor-KKM Tunggal</a:t>
          </a:r>
        </a:p>
      </xdr:txBody>
    </xdr:sp>
    <xdr:clientData/>
  </xdr:twoCellAnchor>
  <xdr:twoCellAnchor editAs="oneCell">
    <xdr:from>
      <xdr:col>14</xdr:col>
      <xdr:colOff>51766</xdr:colOff>
      <xdr:row>17</xdr:row>
      <xdr:rowOff>114410</xdr:rowOff>
    </xdr:from>
    <xdr:to>
      <xdr:col>15</xdr:col>
      <xdr:colOff>750766</xdr:colOff>
      <xdr:row>18</xdr:row>
      <xdr:rowOff>104528</xdr:rowOff>
    </xdr:to>
    <xdr:sp macro="" textlink="">
      <xdr:nvSpPr>
        <xdr:cNvPr id="11" name="Rectangle 10">
          <a:hlinkClick xmlns:r="http://schemas.openxmlformats.org/officeDocument/2006/relationships" r:id="rId4" tooltip="DKN dan Ranking Nilai"/>
        </xdr:cNvPr>
        <xdr:cNvSpPr/>
      </xdr:nvSpPr>
      <xdr:spPr>
        <a:xfrm>
          <a:off x="7247471" y="3214365"/>
          <a:ext cx="1080000" cy="163299"/>
        </a:xfrm>
        <a:prstGeom prst="rect">
          <a:avLst/>
        </a:prstGeom>
        <a:gradFill flip="none" rotWithShape="1">
          <a:gsLst>
            <a:gs pos="0">
              <a:srgbClr val="FF3399">
                <a:lumMod val="74000"/>
                <a:lumOff val="26000"/>
              </a:srgbClr>
            </a:gs>
            <a:gs pos="9000">
              <a:srgbClr val="FF6633">
                <a:lumMod val="65000"/>
                <a:lumOff val="35000"/>
              </a:srgbClr>
            </a:gs>
            <a:gs pos="59000">
              <a:srgbClr val="FFFF00">
                <a:lumMod val="41000"/>
                <a:lumOff val="59000"/>
              </a:srgbClr>
            </a:gs>
            <a:gs pos="86000">
              <a:srgbClr val="01A78F">
                <a:lumMod val="79000"/>
                <a:lumOff val="21000"/>
              </a:srgbClr>
            </a:gs>
            <a:gs pos="100000">
              <a:srgbClr val="3366FF">
                <a:lumMod val="45000"/>
                <a:lumOff val="55000"/>
              </a:srgbClr>
            </a:gs>
          </a:gsLst>
          <a:lin ang="108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D K N&amp;Ranking</a:t>
          </a:r>
        </a:p>
      </xdr:txBody>
    </xdr:sp>
    <xdr:clientData/>
  </xdr:twoCellAnchor>
  <xdr:twoCellAnchor editAs="oneCell">
    <xdr:from>
      <xdr:col>14</xdr:col>
      <xdr:colOff>51766</xdr:colOff>
      <xdr:row>18</xdr:row>
      <xdr:rowOff>165351</xdr:rowOff>
    </xdr:from>
    <xdr:to>
      <xdr:col>15</xdr:col>
      <xdr:colOff>750766</xdr:colOff>
      <xdr:row>19</xdr:row>
      <xdr:rowOff>153736</xdr:rowOff>
    </xdr:to>
    <xdr:sp macro="" textlink="">
      <xdr:nvSpPr>
        <xdr:cNvPr id="12" name="Rectangle 11">
          <a:hlinkClick xmlns:r="http://schemas.openxmlformats.org/officeDocument/2006/relationships" r:id="rId5" tooltip="Daftar Siswa untuk Wali Kelas"/>
        </xdr:cNvPr>
        <xdr:cNvSpPr/>
      </xdr:nvSpPr>
      <xdr:spPr>
        <a:xfrm>
          <a:off x="7247471" y="3438487"/>
          <a:ext cx="1080000" cy="161567"/>
        </a:xfrm>
        <a:prstGeom prst="rect">
          <a:avLst/>
        </a:prstGeom>
        <a:gradFill flip="none" rotWithShape="1">
          <a:gsLst>
            <a:gs pos="0">
              <a:srgbClr val="FF3399">
                <a:lumMod val="74000"/>
                <a:lumOff val="26000"/>
              </a:srgbClr>
            </a:gs>
            <a:gs pos="9000">
              <a:srgbClr val="FF6633">
                <a:lumMod val="65000"/>
                <a:lumOff val="35000"/>
              </a:srgbClr>
            </a:gs>
            <a:gs pos="59000">
              <a:srgbClr val="FFFF00">
                <a:lumMod val="41000"/>
                <a:lumOff val="59000"/>
              </a:srgbClr>
            </a:gs>
            <a:gs pos="86000">
              <a:srgbClr val="01A78F">
                <a:lumMod val="79000"/>
                <a:lumOff val="21000"/>
              </a:srgbClr>
            </a:gs>
            <a:gs pos="100000">
              <a:srgbClr val="3366FF">
                <a:lumMod val="45000"/>
                <a:lumOff val="55000"/>
              </a:srgbClr>
            </a:gs>
          </a:gsLst>
          <a:lin ang="108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Buku-1</a:t>
          </a:r>
        </a:p>
      </xdr:txBody>
    </xdr:sp>
    <xdr:clientData/>
  </xdr:twoCellAnchor>
  <xdr:twoCellAnchor editAs="oneCell">
    <xdr:from>
      <xdr:col>14</xdr:col>
      <xdr:colOff>51766</xdr:colOff>
      <xdr:row>13</xdr:row>
      <xdr:rowOff>165115</xdr:rowOff>
    </xdr:from>
    <xdr:to>
      <xdr:col>15</xdr:col>
      <xdr:colOff>750766</xdr:colOff>
      <xdr:row>14</xdr:row>
      <xdr:rowOff>155232</xdr:rowOff>
    </xdr:to>
    <xdr:sp macro="" textlink="">
      <xdr:nvSpPr>
        <xdr:cNvPr id="13" name="Rectangle 12">
          <a:hlinkClick xmlns:r="http://schemas.openxmlformats.org/officeDocument/2006/relationships" r:id="rId6" tooltip="Halaman depan Raport dan Biodata Siswa"/>
        </xdr:cNvPr>
        <xdr:cNvSpPr/>
      </xdr:nvSpPr>
      <xdr:spPr>
        <a:xfrm>
          <a:off x="7247471" y="2572342"/>
          <a:ext cx="1080000" cy="163299"/>
        </a:xfrm>
        <a:prstGeom prst="rect">
          <a:avLst/>
        </a:prstGeom>
        <a:gradFill flip="none" rotWithShape="1">
          <a:gsLst>
            <a:gs pos="0">
              <a:srgbClr val="FF3399">
                <a:lumMod val="74000"/>
                <a:lumOff val="26000"/>
              </a:srgbClr>
            </a:gs>
            <a:gs pos="9000">
              <a:srgbClr val="FF6633">
                <a:lumMod val="65000"/>
                <a:lumOff val="35000"/>
              </a:srgbClr>
            </a:gs>
            <a:gs pos="59000">
              <a:srgbClr val="FFFF00">
                <a:lumMod val="41000"/>
                <a:lumOff val="59000"/>
              </a:srgbClr>
            </a:gs>
            <a:gs pos="86000">
              <a:srgbClr val="01A78F">
                <a:lumMod val="79000"/>
                <a:lumOff val="21000"/>
              </a:srgbClr>
            </a:gs>
            <a:gs pos="100000">
              <a:srgbClr val="3366FF">
                <a:lumMod val="45000"/>
                <a:lumOff val="55000"/>
              </a:srgbClr>
            </a:gs>
          </a:gsLst>
          <a:lin ang="108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Rapor-Hal</a:t>
          </a:r>
          <a:r>
            <a:rPr lang="id-ID" sz="1000" b="1" baseline="0">
              <a:solidFill>
                <a:sysClr val="windowText" lastClr="000000"/>
              </a:solidFill>
              <a:latin typeface="+mn-lt"/>
              <a:cs typeface="Arial" pitchFamily="34" charset="0"/>
            </a:rPr>
            <a:t> Akhir</a:t>
          </a:r>
          <a:endParaRPr lang="id-ID" sz="1000" b="1">
            <a:solidFill>
              <a:sysClr val="windowText" lastClr="000000"/>
            </a:solidFill>
            <a:latin typeface="+mn-lt"/>
            <a:cs typeface="Arial" pitchFamily="34" charset="0"/>
          </a:endParaRPr>
        </a:p>
      </xdr:txBody>
    </xdr:sp>
    <xdr:clientData/>
  </xdr:twoCellAnchor>
  <xdr:twoCellAnchor editAs="oneCell">
    <xdr:from>
      <xdr:col>14</xdr:col>
      <xdr:colOff>51766</xdr:colOff>
      <xdr:row>2</xdr:row>
      <xdr:rowOff>223552</xdr:rowOff>
    </xdr:from>
    <xdr:to>
      <xdr:col>15</xdr:col>
      <xdr:colOff>750766</xdr:colOff>
      <xdr:row>3</xdr:row>
      <xdr:rowOff>114278</xdr:rowOff>
    </xdr:to>
    <xdr:sp macro="" textlink="">
      <xdr:nvSpPr>
        <xdr:cNvPr id="15" name="Rectangle 14">
          <a:hlinkClick xmlns:r="http://schemas.openxmlformats.org/officeDocument/2006/relationships" r:id="rId7" tooltip="Blangko Daftar Nilai"/>
        </xdr:cNvPr>
        <xdr:cNvSpPr/>
      </xdr:nvSpPr>
      <xdr:spPr>
        <a:xfrm>
          <a:off x="7247471" y="621870"/>
          <a:ext cx="1080000" cy="167817"/>
        </a:xfrm>
        <a:prstGeom prst="rect">
          <a:avLst/>
        </a:prstGeom>
        <a:gradFill flip="none" rotWithShape="1">
          <a:gsLst>
            <a:gs pos="0">
              <a:srgbClr val="5E9EFF"/>
            </a:gs>
            <a:gs pos="25000">
              <a:srgbClr val="85C2FF"/>
            </a:gs>
            <a:gs pos="70000">
              <a:srgbClr val="C4D6EB"/>
            </a:gs>
            <a:gs pos="100000">
              <a:srgbClr val="FFEBFA"/>
            </a:gs>
          </a:gsLst>
          <a:lin ang="189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Blanko Nilai</a:t>
          </a:r>
        </a:p>
      </xdr:txBody>
    </xdr:sp>
    <xdr:clientData/>
  </xdr:twoCellAnchor>
  <xdr:twoCellAnchor editAs="oneCell">
    <xdr:from>
      <xdr:col>14</xdr:col>
      <xdr:colOff>51766</xdr:colOff>
      <xdr:row>3</xdr:row>
      <xdr:rowOff>165912</xdr:rowOff>
    </xdr:from>
    <xdr:to>
      <xdr:col>15</xdr:col>
      <xdr:colOff>750766</xdr:colOff>
      <xdr:row>4</xdr:row>
      <xdr:rowOff>156029</xdr:rowOff>
    </xdr:to>
    <xdr:sp macro="" textlink="">
      <xdr:nvSpPr>
        <xdr:cNvPr id="16" name="Rectangle 15">
          <a:hlinkClick xmlns:r="http://schemas.openxmlformats.org/officeDocument/2006/relationships" r:id="rId8" tooltip="Deskripsi Manual untuk Siswa yg beragama minoritas"/>
        </xdr:cNvPr>
        <xdr:cNvSpPr/>
      </xdr:nvSpPr>
      <xdr:spPr>
        <a:xfrm>
          <a:off x="7247471" y="841321"/>
          <a:ext cx="1080000" cy="163299"/>
        </a:xfrm>
        <a:prstGeom prst="rect">
          <a:avLst/>
        </a:prstGeom>
        <a:gradFill flip="none" rotWithShape="1">
          <a:gsLst>
            <a:gs pos="0">
              <a:srgbClr val="5E9EFF"/>
            </a:gs>
            <a:gs pos="25000">
              <a:srgbClr val="85C2FF"/>
            </a:gs>
            <a:gs pos="70000">
              <a:srgbClr val="C4D6EB"/>
            </a:gs>
            <a:gs pos="100000">
              <a:srgbClr val="FFEBFA"/>
            </a:gs>
          </a:gsLst>
          <a:lin ang="189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PA-Minoritas</a:t>
          </a:r>
        </a:p>
      </xdr:txBody>
    </xdr:sp>
    <xdr:clientData/>
  </xdr:twoCellAnchor>
  <xdr:twoCellAnchor editAs="oneCell">
    <xdr:from>
      <xdr:col>14</xdr:col>
      <xdr:colOff>51766</xdr:colOff>
      <xdr:row>19</xdr:row>
      <xdr:rowOff>206690</xdr:rowOff>
    </xdr:from>
    <xdr:to>
      <xdr:col>15</xdr:col>
      <xdr:colOff>750766</xdr:colOff>
      <xdr:row>20</xdr:row>
      <xdr:rowOff>160440</xdr:rowOff>
    </xdr:to>
    <xdr:sp macro="" textlink="">
      <xdr:nvSpPr>
        <xdr:cNvPr id="17" name="Rectangle 16">
          <a:hlinkClick xmlns:r="http://schemas.openxmlformats.org/officeDocument/2006/relationships" r:id="rId9" tooltip="Langkah kerja"/>
        </xdr:cNvPr>
        <xdr:cNvSpPr/>
      </xdr:nvSpPr>
      <xdr:spPr>
        <a:xfrm>
          <a:off x="7247471" y="3653008"/>
          <a:ext cx="1080000" cy="161568"/>
        </a:xfrm>
        <a:prstGeom prst="rect">
          <a:avLst/>
        </a:prstGeom>
        <a:gradFill flip="none" rotWithShape="1">
          <a:gsLst>
            <a:gs pos="0">
              <a:srgbClr val="FF3399">
                <a:lumMod val="74000"/>
                <a:lumOff val="26000"/>
              </a:srgbClr>
            </a:gs>
            <a:gs pos="9000">
              <a:srgbClr val="FF6633">
                <a:lumMod val="65000"/>
                <a:lumOff val="35000"/>
              </a:srgbClr>
            </a:gs>
            <a:gs pos="59000">
              <a:srgbClr val="FFFF00">
                <a:lumMod val="41000"/>
                <a:lumOff val="59000"/>
              </a:srgbClr>
            </a:gs>
            <a:gs pos="86000">
              <a:srgbClr val="01A78F">
                <a:lumMod val="79000"/>
                <a:lumOff val="21000"/>
              </a:srgbClr>
            </a:gs>
            <a:gs pos="100000">
              <a:srgbClr val="3366FF">
                <a:lumMod val="45000"/>
                <a:lumOff val="55000"/>
              </a:srgbClr>
            </a:gs>
          </a:gsLst>
          <a:lin ang="108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Grafik</a:t>
          </a:r>
        </a:p>
      </xdr:txBody>
    </xdr:sp>
    <xdr:clientData/>
  </xdr:twoCellAnchor>
  <xdr:twoCellAnchor editAs="oneCell">
    <xdr:from>
      <xdr:col>14</xdr:col>
      <xdr:colOff>51766</xdr:colOff>
      <xdr:row>5</xdr:row>
      <xdr:rowOff>26651</xdr:rowOff>
    </xdr:from>
    <xdr:to>
      <xdr:col>15</xdr:col>
      <xdr:colOff>750766</xdr:colOff>
      <xdr:row>6</xdr:row>
      <xdr:rowOff>16769</xdr:rowOff>
    </xdr:to>
    <xdr:sp macro="" textlink="">
      <xdr:nvSpPr>
        <xdr:cNvPr id="18" name="Rectangle 17">
          <a:hlinkClick xmlns:r="http://schemas.openxmlformats.org/officeDocument/2006/relationships" r:id="rId10" tooltip="Penjelasan singkat tentang Aplikasi"/>
        </xdr:cNvPr>
        <xdr:cNvSpPr/>
      </xdr:nvSpPr>
      <xdr:spPr>
        <a:xfrm>
          <a:off x="7247471" y="1048424"/>
          <a:ext cx="1080000" cy="163300"/>
        </a:xfrm>
        <a:prstGeom prst="rect">
          <a:avLst/>
        </a:prstGeom>
        <a:gradFill flip="none" rotWithShape="1">
          <a:gsLst>
            <a:gs pos="0">
              <a:srgbClr val="5E9EFF"/>
            </a:gs>
            <a:gs pos="25000">
              <a:srgbClr val="85C2FF"/>
            </a:gs>
            <a:gs pos="70000">
              <a:srgbClr val="C4D6EB"/>
            </a:gs>
            <a:gs pos="100000">
              <a:srgbClr val="FFEBFA"/>
            </a:gs>
          </a:gsLst>
          <a:lin ang="189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Nilai Sikap</a:t>
          </a:r>
        </a:p>
      </xdr:txBody>
    </xdr:sp>
    <xdr:clientData/>
  </xdr:twoCellAnchor>
  <xdr:twoCellAnchor editAs="oneCell">
    <xdr:from>
      <xdr:col>14</xdr:col>
      <xdr:colOff>51766</xdr:colOff>
      <xdr:row>7</xdr:row>
      <xdr:rowOff>105700</xdr:rowOff>
    </xdr:from>
    <xdr:to>
      <xdr:col>15</xdr:col>
      <xdr:colOff>750766</xdr:colOff>
      <xdr:row>8</xdr:row>
      <xdr:rowOff>95817</xdr:rowOff>
    </xdr:to>
    <xdr:sp macro="" textlink="">
      <xdr:nvSpPr>
        <xdr:cNvPr id="28" name="Rectangle 27">
          <a:hlinkClick xmlns:r="http://schemas.openxmlformats.org/officeDocument/2006/relationships" r:id="rId11" tooltip="Penjelasan singkat tentang Aplikasi"/>
        </xdr:cNvPr>
        <xdr:cNvSpPr/>
      </xdr:nvSpPr>
      <xdr:spPr>
        <a:xfrm>
          <a:off x="7247471" y="1473836"/>
          <a:ext cx="1080000" cy="163299"/>
        </a:xfrm>
        <a:prstGeom prst="rect">
          <a:avLst/>
        </a:prstGeom>
        <a:gradFill flip="none" rotWithShape="1">
          <a:gsLst>
            <a:gs pos="0">
              <a:srgbClr val="5E9EFF"/>
            </a:gs>
            <a:gs pos="25000">
              <a:srgbClr val="85C2FF"/>
            </a:gs>
            <a:gs pos="70000">
              <a:srgbClr val="C4D6EB"/>
            </a:gs>
            <a:gs pos="100000">
              <a:srgbClr val="FFEBFA"/>
            </a:gs>
          </a:gsLst>
          <a:lin ang="189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Catatan</a:t>
          </a:r>
          <a:r>
            <a:rPr lang="id-ID" sz="1000" b="1" baseline="0">
              <a:solidFill>
                <a:sysClr val="windowText" lastClr="000000"/>
              </a:solidFill>
              <a:latin typeface="+mn-lt"/>
              <a:cs typeface="Arial" pitchFamily="34" charset="0"/>
            </a:rPr>
            <a:t>&amp;Prestasi</a:t>
          </a:r>
          <a:endParaRPr lang="id-ID" sz="1000" b="1">
            <a:solidFill>
              <a:sysClr val="windowText" lastClr="000000"/>
            </a:solidFill>
            <a:latin typeface="+mn-lt"/>
            <a:cs typeface="Arial" pitchFamily="34" charset="0"/>
          </a:endParaRPr>
        </a:p>
      </xdr:txBody>
    </xdr:sp>
    <xdr:clientData/>
  </xdr:twoCellAnchor>
  <xdr:twoCellAnchor editAs="oneCell">
    <xdr:from>
      <xdr:col>14</xdr:col>
      <xdr:colOff>51766</xdr:colOff>
      <xdr:row>11</xdr:row>
      <xdr:rowOff>66178</xdr:rowOff>
    </xdr:from>
    <xdr:to>
      <xdr:col>15</xdr:col>
      <xdr:colOff>750766</xdr:colOff>
      <xdr:row>12</xdr:row>
      <xdr:rowOff>56296</xdr:rowOff>
    </xdr:to>
    <xdr:sp macro="" textlink="">
      <xdr:nvSpPr>
        <xdr:cNvPr id="14" name="Rectangle 13">
          <a:hlinkClick xmlns:r="http://schemas.openxmlformats.org/officeDocument/2006/relationships" r:id="rId12" tooltip="Cetak Raport per siswa"/>
        </xdr:cNvPr>
        <xdr:cNvSpPr/>
      </xdr:nvSpPr>
      <xdr:spPr>
        <a:xfrm>
          <a:off x="7247471" y="2127042"/>
          <a:ext cx="1080000" cy="163299"/>
        </a:xfrm>
        <a:prstGeom prst="rect">
          <a:avLst/>
        </a:prstGeom>
        <a:gradFill flip="none" rotWithShape="1">
          <a:gsLst>
            <a:gs pos="0">
              <a:srgbClr val="FF3399"/>
            </a:gs>
            <a:gs pos="9000">
              <a:srgbClr val="FF6633"/>
            </a:gs>
            <a:gs pos="59000">
              <a:srgbClr val="FFFF00"/>
            </a:gs>
            <a:gs pos="92000">
              <a:srgbClr val="01A78F"/>
            </a:gs>
            <a:gs pos="100000">
              <a:srgbClr val="3366FF"/>
            </a:gs>
          </a:gsLst>
          <a:lin ang="108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Rapor-Multi KKM</a:t>
          </a:r>
        </a:p>
      </xdr:txBody>
    </xdr:sp>
    <xdr:clientData/>
  </xdr:twoCellAnchor>
  <xdr:twoCellAnchor editAs="oneCell">
    <xdr:from>
      <xdr:col>14</xdr:col>
      <xdr:colOff>51766</xdr:colOff>
      <xdr:row>15</xdr:row>
      <xdr:rowOff>30034</xdr:rowOff>
    </xdr:from>
    <xdr:to>
      <xdr:col>15</xdr:col>
      <xdr:colOff>750766</xdr:colOff>
      <xdr:row>16</xdr:row>
      <xdr:rowOff>20152</xdr:rowOff>
    </xdr:to>
    <xdr:sp macro="" textlink="">
      <xdr:nvSpPr>
        <xdr:cNvPr id="19" name="Rectangle 18">
          <a:hlinkClick xmlns:r="http://schemas.openxmlformats.org/officeDocument/2006/relationships" r:id="rId13" tooltip="Halaman depan Raport dan Biodata Siswa"/>
        </xdr:cNvPr>
        <xdr:cNvSpPr/>
      </xdr:nvSpPr>
      <xdr:spPr>
        <a:xfrm>
          <a:off x="7247471" y="2783625"/>
          <a:ext cx="1080000" cy="163300"/>
        </a:xfrm>
        <a:prstGeom prst="rect">
          <a:avLst/>
        </a:prstGeom>
        <a:gradFill flip="none" rotWithShape="1">
          <a:gsLst>
            <a:gs pos="0">
              <a:srgbClr val="FF3399">
                <a:lumMod val="74000"/>
                <a:lumOff val="26000"/>
              </a:srgbClr>
            </a:gs>
            <a:gs pos="9000">
              <a:srgbClr val="FF6633">
                <a:lumMod val="65000"/>
                <a:lumOff val="35000"/>
              </a:srgbClr>
            </a:gs>
            <a:gs pos="59000">
              <a:srgbClr val="FFFF00">
                <a:lumMod val="41000"/>
                <a:lumOff val="59000"/>
              </a:srgbClr>
            </a:gs>
            <a:gs pos="86000">
              <a:srgbClr val="01A78F">
                <a:lumMod val="79000"/>
                <a:lumOff val="21000"/>
              </a:srgbClr>
            </a:gs>
            <a:gs pos="100000">
              <a:srgbClr val="3366FF">
                <a:lumMod val="45000"/>
                <a:lumOff val="55000"/>
              </a:srgbClr>
            </a:gs>
          </a:gsLst>
          <a:lin ang="108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Rapor-Hal</a:t>
          </a:r>
          <a:r>
            <a:rPr lang="id-ID" sz="1000" b="1" baseline="0">
              <a:solidFill>
                <a:sysClr val="windowText" lastClr="000000"/>
              </a:solidFill>
              <a:latin typeface="+mn-lt"/>
              <a:cs typeface="Arial" pitchFamily="34" charset="0"/>
            </a:rPr>
            <a:t> Awal</a:t>
          </a:r>
          <a:endParaRPr lang="id-ID" sz="1000" b="1">
            <a:solidFill>
              <a:sysClr val="windowText" lastClr="000000"/>
            </a:solidFill>
            <a:latin typeface="+mn-lt"/>
            <a:cs typeface="Arial" pitchFamily="34" charset="0"/>
          </a:endParaRPr>
        </a:p>
      </xdr:txBody>
    </xdr:sp>
    <xdr:clientData/>
  </xdr:twoCellAnchor>
  <xdr:twoCellAnchor editAs="oneCell">
    <xdr:from>
      <xdr:col>14</xdr:col>
      <xdr:colOff>51766</xdr:colOff>
      <xdr:row>12</xdr:row>
      <xdr:rowOff>117981</xdr:rowOff>
    </xdr:from>
    <xdr:to>
      <xdr:col>15</xdr:col>
      <xdr:colOff>750766</xdr:colOff>
      <xdr:row>13</xdr:row>
      <xdr:rowOff>121226</xdr:rowOff>
    </xdr:to>
    <xdr:sp macro="" textlink="">
      <xdr:nvSpPr>
        <xdr:cNvPr id="20" name="Rectangle 19">
          <a:hlinkClick xmlns:r="http://schemas.openxmlformats.org/officeDocument/2006/relationships" r:id="rId14" tooltip="Cetak Raport per siswa"/>
        </xdr:cNvPr>
        <xdr:cNvSpPr/>
      </xdr:nvSpPr>
      <xdr:spPr>
        <a:xfrm>
          <a:off x="7247471" y="2352026"/>
          <a:ext cx="1080000" cy="176427"/>
        </a:xfrm>
        <a:prstGeom prst="rect">
          <a:avLst/>
        </a:prstGeom>
        <a:gradFill flip="none" rotWithShape="1">
          <a:gsLst>
            <a:gs pos="0">
              <a:srgbClr val="FF3399"/>
            </a:gs>
            <a:gs pos="9000">
              <a:srgbClr val="FF6633"/>
            </a:gs>
            <a:gs pos="59000">
              <a:srgbClr val="FFFF00"/>
            </a:gs>
            <a:gs pos="92000">
              <a:srgbClr val="01A78F"/>
            </a:gs>
            <a:gs pos="100000">
              <a:srgbClr val="3366FF"/>
            </a:gs>
          </a:gsLst>
          <a:lin ang="108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Rapor-SYSTEM SKS</a:t>
          </a:r>
        </a:p>
      </xdr:txBody>
    </xdr:sp>
    <xdr:clientData/>
  </xdr:twoCellAnchor>
  <xdr:twoCellAnchor editAs="oneCell">
    <xdr:from>
      <xdr:col>14</xdr:col>
      <xdr:colOff>51768</xdr:colOff>
      <xdr:row>16</xdr:row>
      <xdr:rowOff>71829</xdr:rowOff>
    </xdr:from>
    <xdr:to>
      <xdr:col>15</xdr:col>
      <xdr:colOff>750768</xdr:colOff>
      <xdr:row>17</xdr:row>
      <xdr:rowOff>61946</xdr:rowOff>
    </xdr:to>
    <xdr:sp macro="" textlink="">
      <xdr:nvSpPr>
        <xdr:cNvPr id="21" name="Rectangle 20">
          <a:hlinkClick xmlns:r="http://schemas.openxmlformats.org/officeDocument/2006/relationships" r:id="rId15" tooltip="DKN dan Ranking Nilai"/>
        </xdr:cNvPr>
        <xdr:cNvSpPr/>
      </xdr:nvSpPr>
      <xdr:spPr>
        <a:xfrm>
          <a:off x="7247473" y="2998602"/>
          <a:ext cx="1080000" cy="163299"/>
        </a:xfrm>
        <a:prstGeom prst="rect">
          <a:avLst/>
        </a:prstGeom>
        <a:gradFill flip="none" rotWithShape="1">
          <a:gsLst>
            <a:gs pos="0">
              <a:srgbClr val="FF3399">
                <a:lumMod val="74000"/>
                <a:lumOff val="26000"/>
              </a:srgbClr>
            </a:gs>
            <a:gs pos="9000">
              <a:srgbClr val="FF6633">
                <a:lumMod val="65000"/>
                <a:lumOff val="35000"/>
              </a:srgbClr>
            </a:gs>
            <a:gs pos="59000">
              <a:srgbClr val="FFFF00">
                <a:lumMod val="41000"/>
                <a:lumOff val="59000"/>
              </a:srgbClr>
            </a:gs>
            <a:gs pos="86000">
              <a:srgbClr val="01A78F">
                <a:lumMod val="79000"/>
                <a:lumOff val="21000"/>
              </a:srgbClr>
            </a:gs>
            <a:gs pos="100000">
              <a:srgbClr val="3366FF">
                <a:lumMod val="45000"/>
                <a:lumOff val="55000"/>
              </a:srgbClr>
            </a:gs>
          </a:gsLst>
          <a:lin ang="108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Cetak Leger</a:t>
          </a:r>
        </a:p>
      </xdr:txBody>
    </xdr:sp>
    <xdr:clientData/>
  </xdr:twoCellAnchor>
  <xdr:twoCellAnchor editAs="oneCell">
    <xdr:from>
      <xdr:col>14</xdr:col>
      <xdr:colOff>51766</xdr:colOff>
      <xdr:row>8</xdr:row>
      <xdr:rowOff>155781</xdr:rowOff>
    </xdr:from>
    <xdr:to>
      <xdr:col>15</xdr:col>
      <xdr:colOff>750766</xdr:colOff>
      <xdr:row>9</xdr:row>
      <xdr:rowOff>145898</xdr:rowOff>
    </xdr:to>
    <xdr:sp macro="" textlink="">
      <xdr:nvSpPr>
        <xdr:cNvPr id="22" name="Rectangle 21">
          <a:hlinkClick xmlns:r="http://schemas.openxmlformats.org/officeDocument/2006/relationships" r:id="rId16" tooltip="Cetak Raport per siswa"/>
        </xdr:cNvPr>
        <xdr:cNvSpPr/>
      </xdr:nvSpPr>
      <xdr:spPr>
        <a:xfrm>
          <a:off x="7247471" y="1697099"/>
          <a:ext cx="1080000" cy="163299"/>
        </a:xfrm>
        <a:prstGeom prst="rect">
          <a:avLst/>
        </a:prstGeom>
        <a:gradFill flip="none" rotWithShape="1">
          <a:gsLst>
            <a:gs pos="0">
              <a:srgbClr val="FF3399">
                <a:lumMod val="74000"/>
                <a:lumOff val="26000"/>
              </a:srgbClr>
            </a:gs>
            <a:gs pos="9000">
              <a:srgbClr val="FF6633">
                <a:lumMod val="65000"/>
                <a:lumOff val="35000"/>
              </a:srgbClr>
            </a:gs>
            <a:gs pos="59000">
              <a:srgbClr val="FFFF00">
                <a:lumMod val="41000"/>
                <a:lumOff val="59000"/>
              </a:srgbClr>
            </a:gs>
            <a:gs pos="86000">
              <a:srgbClr val="01A78F">
                <a:lumMod val="79000"/>
                <a:lumOff val="21000"/>
              </a:srgbClr>
            </a:gs>
            <a:gs pos="100000">
              <a:srgbClr val="3366FF">
                <a:lumMod val="45000"/>
                <a:lumOff val="55000"/>
              </a:srgbClr>
            </a:gs>
          </a:gsLst>
          <a:lin ang="108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Rapor</a:t>
          </a:r>
          <a:r>
            <a:rPr lang="id-ID" sz="1000" b="1" baseline="0">
              <a:solidFill>
                <a:sysClr val="windowText" lastClr="000000"/>
              </a:solidFill>
              <a:latin typeface="+mn-lt"/>
              <a:cs typeface="Arial" pitchFamily="34" charset="0"/>
            </a:rPr>
            <a:t> Tengah Smt</a:t>
          </a:r>
          <a:endParaRPr lang="id-ID" sz="1000" b="1">
            <a:solidFill>
              <a:sysClr val="windowText" lastClr="000000"/>
            </a:solidFill>
            <a:latin typeface="+mn-lt"/>
            <a:cs typeface="Arial" pitchFamily="34" charset="0"/>
          </a:endParaRPr>
        </a:p>
      </xdr:txBody>
    </xdr:sp>
    <xdr:clientData/>
  </xdr:twoCellAnchor>
  <xdr:twoCellAnchor editAs="oneCell">
    <xdr:from>
      <xdr:col>14</xdr:col>
      <xdr:colOff>51766</xdr:colOff>
      <xdr:row>21</xdr:row>
      <xdr:rowOff>16189</xdr:rowOff>
    </xdr:from>
    <xdr:to>
      <xdr:col>15</xdr:col>
      <xdr:colOff>750766</xdr:colOff>
      <xdr:row>21</xdr:row>
      <xdr:rowOff>177757</xdr:rowOff>
    </xdr:to>
    <xdr:sp macro="" textlink="">
      <xdr:nvSpPr>
        <xdr:cNvPr id="23" name="Rectangle 22">
          <a:hlinkClick xmlns:r="http://schemas.openxmlformats.org/officeDocument/2006/relationships" r:id="rId17" tooltip="Langkah kerja"/>
        </xdr:cNvPr>
        <xdr:cNvSpPr/>
      </xdr:nvSpPr>
      <xdr:spPr>
        <a:xfrm>
          <a:off x="7247471" y="3878144"/>
          <a:ext cx="1080000" cy="161568"/>
        </a:xfrm>
        <a:prstGeom prst="rect">
          <a:avLst/>
        </a:prstGeom>
        <a:gradFill flip="none" rotWithShape="1">
          <a:gsLst>
            <a:gs pos="0">
              <a:srgbClr val="FF3399">
                <a:lumMod val="74000"/>
                <a:lumOff val="26000"/>
              </a:srgbClr>
            </a:gs>
            <a:gs pos="9000">
              <a:srgbClr val="FF6633">
                <a:lumMod val="65000"/>
                <a:lumOff val="35000"/>
              </a:srgbClr>
            </a:gs>
            <a:gs pos="59000">
              <a:srgbClr val="FFFF00">
                <a:lumMod val="41000"/>
                <a:lumOff val="59000"/>
              </a:srgbClr>
            </a:gs>
            <a:gs pos="86000">
              <a:srgbClr val="01A78F">
                <a:lumMod val="79000"/>
                <a:lumOff val="21000"/>
              </a:srgbClr>
            </a:gs>
            <a:gs pos="100000">
              <a:srgbClr val="3366FF">
                <a:lumMod val="45000"/>
                <a:lumOff val="55000"/>
              </a:srgbClr>
            </a:gs>
          </a:gsLst>
          <a:lin ang="10800000" scaled="1"/>
          <a:tileRect/>
        </a:gradFill>
        <a:ln w="3175" cap="flat">
          <a:solidFill>
            <a:schemeClr val="accent1">
              <a:lumMod val="20000"/>
              <a:lumOff val="80000"/>
              <a:alpha val="7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wrap="none" lIns="72000" tIns="0" rIns="0" bIns="0" rtlCol="0" anchor="ctr" anchorCtr="0"/>
        <a:lstStyle/>
        <a:p>
          <a:pPr algn="ctr"/>
          <a:r>
            <a:rPr lang="id-ID" sz="1000" b="1">
              <a:solidFill>
                <a:sysClr val="windowText" lastClr="000000"/>
              </a:solidFill>
              <a:latin typeface="+mn-lt"/>
              <a:cs typeface="Arial" pitchFamily="34" charset="0"/>
            </a:rPr>
            <a:t>Petunjuk</a:t>
          </a:r>
        </a:p>
      </xdr:txBody>
    </xdr:sp>
    <xdr:clientData/>
  </xdr:twoCellAnchor>
  <xdr:twoCellAnchor>
    <xdr:from>
      <xdr:col>15</xdr:col>
      <xdr:colOff>770658</xdr:colOff>
      <xdr:row>9</xdr:row>
      <xdr:rowOff>86592</xdr:rowOff>
    </xdr:from>
    <xdr:to>
      <xdr:col>22</xdr:col>
      <xdr:colOff>77931</xdr:colOff>
      <xdr:row>20</xdr:row>
      <xdr:rowOff>103910</xdr:rowOff>
    </xdr:to>
    <xdr:sp macro="" textlink="">
      <xdr:nvSpPr>
        <xdr:cNvPr id="2" name="Right Brace 1"/>
        <xdr:cNvSpPr/>
      </xdr:nvSpPr>
      <xdr:spPr>
        <a:xfrm>
          <a:off x="8347363" y="1801092"/>
          <a:ext cx="216477" cy="1956954"/>
        </a:xfrm>
        <a:prstGeom prst="rightBrace">
          <a:avLst>
            <a:gd name="adj1" fmla="val 8333"/>
            <a:gd name="adj2" fmla="val 71166"/>
          </a:avLst>
        </a:prstGeom>
        <a:ln w="19050"/>
      </xdr:spPr>
      <xdr:style>
        <a:lnRef idx="2">
          <a:schemeClr val="accent6"/>
        </a:lnRef>
        <a:fillRef idx="0">
          <a:schemeClr val="accent6"/>
        </a:fillRef>
        <a:effectRef idx="1">
          <a:schemeClr val="accent6"/>
        </a:effectRef>
        <a:fontRef idx="minor">
          <a:schemeClr val="tx1"/>
        </a:fontRef>
      </xdr:style>
      <xdr:txBody>
        <a:bodyPr vertOverflow="clip" horzOverflow="clip" rtlCol="0" anchor="t"/>
        <a:lstStyle/>
        <a:p>
          <a:pPr algn="l"/>
          <a:endParaRPr lang="id-ID" sz="1100"/>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0</xdr:colOff>
      <xdr:row>1</xdr:row>
      <xdr:rowOff>0</xdr:rowOff>
    </xdr:from>
    <xdr:to>
      <xdr:col>2</xdr:col>
      <xdr:colOff>504822</xdr:colOff>
      <xdr:row>2</xdr:row>
      <xdr:rowOff>28574</xdr:rowOff>
    </xdr:to>
    <xdr:sp macro="" textlink="">
      <xdr:nvSpPr>
        <xdr:cNvPr id="3" name="Rectangle 2">
          <a:hlinkClick xmlns:r="http://schemas.openxmlformats.org/officeDocument/2006/relationships" r:id="rId1"/>
        </xdr:cNvPr>
        <xdr:cNvSpPr/>
      </xdr:nvSpPr>
      <xdr:spPr>
        <a:xfrm>
          <a:off x="47625" y="190500"/>
          <a:ext cx="761997" cy="238124"/>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HOME</a:t>
          </a:r>
        </a:p>
      </xdr:txBody>
    </xdr:sp>
    <xdr:clientData fPrintsWithSheet="0"/>
  </xdr:twoCellAnchor>
  <xdr:twoCellAnchor editAs="oneCell">
    <xdr:from>
      <xdr:col>10</xdr:col>
      <xdr:colOff>219075</xdr:colOff>
      <xdr:row>39</xdr:row>
      <xdr:rowOff>57150</xdr:rowOff>
    </xdr:from>
    <xdr:to>
      <xdr:col>22</xdr:col>
      <xdr:colOff>981075</xdr:colOff>
      <xdr:row>41</xdr:row>
      <xdr:rowOff>152400</xdr:rowOff>
    </xdr:to>
    <xdr:sp macro="" textlink="">
      <xdr:nvSpPr>
        <xdr:cNvPr id="4" name="Rectangle 3"/>
        <xdr:cNvSpPr/>
      </xdr:nvSpPr>
      <xdr:spPr>
        <a:xfrm>
          <a:off x="3800475" y="7334250"/>
          <a:ext cx="3914775" cy="476250"/>
        </a:xfrm>
        <a:prstGeom prst="rect">
          <a:avLst/>
        </a:prstGeom>
        <a:solidFill>
          <a:schemeClr val="bg1"/>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id-ID" sz="1100" b="0">
              <a:solidFill>
                <a:srgbClr val="7030A0"/>
              </a:solidFill>
            </a:rPr>
            <a:t>Untuk menyatukan teks atas dan teks bawah,</a:t>
          </a:r>
          <a:r>
            <a:rPr lang="id-ID" sz="1100" b="0" baseline="0">
              <a:solidFill>
                <a:srgbClr val="7030A0"/>
              </a:solidFill>
            </a:rPr>
            <a:t> hiden baris yang kosong. Kemudian sesuaikan ukuran lebar baris sesuai kebutuhan</a:t>
          </a:r>
          <a:endParaRPr lang="id-ID" sz="1100" b="0">
            <a:solidFill>
              <a:srgbClr val="7030A0"/>
            </a:solidFill>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1</xdr:col>
      <xdr:colOff>19050</xdr:colOff>
      <xdr:row>1</xdr:row>
      <xdr:rowOff>66675</xdr:rowOff>
    </xdr:from>
    <xdr:to>
      <xdr:col>2</xdr:col>
      <xdr:colOff>523874</xdr:colOff>
      <xdr:row>2</xdr:row>
      <xdr:rowOff>114299</xdr:rowOff>
    </xdr:to>
    <xdr:sp macro="" textlink="">
      <xdr:nvSpPr>
        <xdr:cNvPr id="7" name="Rectangle 6">
          <a:hlinkClick xmlns:r="http://schemas.openxmlformats.org/officeDocument/2006/relationships" r:id="rId1" tooltip="Menu"/>
        </xdr:cNvPr>
        <xdr:cNvSpPr/>
      </xdr:nvSpPr>
      <xdr:spPr>
        <a:xfrm>
          <a:off x="104775" y="257175"/>
          <a:ext cx="761999" cy="238124"/>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00" b="1">
              <a:solidFill>
                <a:schemeClr val="bg1"/>
              </a:solidFill>
              <a:latin typeface="Arial" pitchFamily="34" charset="0"/>
              <a:cs typeface="Arial" pitchFamily="34" charset="0"/>
            </a:rPr>
            <a:t>HOME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36</xdr:col>
      <xdr:colOff>1400175</xdr:colOff>
      <xdr:row>0</xdr:row>
      <xdr:rowOff>19049</xdr:rowOff>
    </xdr:from>
    <xdr:to>
      <xdr:col>36</xdr:col>
      <xdr:colOff>2990850</xdr:colOff>
      <xdr:row>0</xdr:row>
      <xdr:rowOff>219074</xdr:rowOff>
    </xdr:to>
    <xdr:sp macro="" textlink="">
      <xdr:nvSpPr>
        <xdr:cNvPr id="5" name="Rectangle 4">
          <a:hlinkClick xmlns:r="http://schemas.openxmlformats.org/officeDocument/2006/relationships" r:id="rId1"/>
        </xdr:cNvPr>
        <xdr:cNvSpPr/>
      </xdr:nvSpPr>
      <xdr:spPr>
        <a:xfrm>
          <a:off x="8524875" y="19049"/>
          <a:ext cx="1590675" cy="200025"/>
        </a:xfrm>
        <a:prstGeom prst="rect">
          <a:avLst/>
        </a:prstGeom>
        <a:solidFill>
          <a:srgbClr val="0000FF"/>
        </a:solidFill>
        <a:ln w="6350">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lang="id-ID" sz="1050" b="1"/>
            <a:t>Klik- Penulisan KD-Agama</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38100</xdr:colOff>
      <xdr:row>7</xdr:row>
      <xdr:rowOff>0</xdr:rowOff>
    </xdr:from>
    <xdr:to>
      <xdr:col>2</xdr:col>
      <xdr:colOff>523875</xdr:colOff>
      <xdr:row>7</xdr:row>
      <xdr:rowOff>0</xdr:rowOff>
    </xdr:to>
    <xdr:sp macro="" textlink="">
      <xdr:nvSpPr>
        <xdr:cNvPr id="3" name="Rounded Rectangle 2">
          <a:hlinkClick xmlns:r="http://schemas.openxmlformats.org/officeDocument/2006/relationships" r:id="rId1"/>
        </xdr:cNvPr>
        <xdr:cNvSpPr/>
      </xdr:nvSpPr>
      <xdr:spPr>
        <a:xfrm>
          <a:off x="123825" y="428625"/>
          <a:ext cx="742950" cy="228600"/>
        </a:xfrm>
        <a:prstGeom prst="roundRect">
          <a:avLst/>
        </a:prstGeom>
        <a:solidFill>
          <a:srgbClr val="1539EB"/>
        </a:solidFill>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lIns="0" tIns="0" rIns="0" bIns="0" rtlCol="0" anchor="ctr" anchorCtr="0"/>
        <a:lstStyle/>
        <a:p>
          <a:pPr algn="ctr"/>
          <a:r>
            <a:rPr lang="id-ID" sz="900" b="1">
              <a:solidFill>
                <a:schemeClr val="bg1"/>
              </a:solidFill>
              <a:latin typeface="Arial" pitchFamily="34" charset="0"/>
              <a:ea typeface="Tahoma" pitchFamily="34" charset="0"/>
              <a:cs typeface="Arial" pitchFamily="34" charset="0"/>
            </a:rPr>
            <a:t>TULIS KD</a:t>
          </a: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editAs="absolute">
    <xdr:from>
      <xdr:col>1</xdr:col>
      <xdr:colOff>85725</xdr:colOff>
      <xdr:row>1</xdr:row>
      <xdr:rowOff>152400</xdr:rowOff>
    </xdr:from>
    <xdr:to>
      <xdr:col>3</xdr:col>
      <xdr:colOff>19047</xdr:colOff>
      <xdr:row>3</xdr:row>
      <xdr:rowOff>47624</xdr:rowOff>
    </xdr:to>
    <xdr:sp macro="" textlink="">
      <xdr:nvSpPr>
        <xdr:cNvPr id="8" name="Rectangle 7">
          <a:hlinkClick xmlns:r="http://schemas.openxmlformats.org/officeDocument/2006/relationships" r:id="rId1"/>
        </xdr:cNvPr>
        <xdr:cNvSpPr/>
      </xdr:nvSpPr>
      <xdr:spPr>
        <a:xfrm>
          <a:off x="171450" y="342900"/>
          <a:ext cx="761997" cy="238124"/>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HOME</a:t>
          </a: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5</xdr:col>
      <xdr:colOff>152400</xdr:colOff>
      <xdr:row>2</xdr:row>
      <xdr:rowOff>1</xdr:rowOff>
    </xdr:from>
    <xdr:to>
      <xdr:col>17</xdr:col>
      <xdr:colOff>438150</xdr:colOff>
      <xdr:row>3</xdr:row>
      <xdr:rowOff>142876</xdr:rowOff>
    </xdr:to>
    <xdr:sp macro="" textlink="">
      <xdr:nvSpPr>
        <xdr:cNvPr id="4" name="Rectangle 3"/>
        <xdr:cNvSpPr/>
      </xdr:nvSpPr>
      <xdr:spPr>
        <a:xfrm>
          <a:off x="3067050" y="57151"/>
          <a:ext cx="8067675" cy="400050"/>
        </a:xfrm>
        <a:prstGeom prst="rect">
          <a:avLst/>
        </a:prstGeom>
        <a:solidFill>
          <a:srgbClr val="FFFFCC"/>
        </a:solidFill>
        <a:ln w="31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id-ID" sz="1000">
              <a:solidFill>
                <a:schemeClr val="bg2">
                  <a:lumMod val="25000"/>
                </a:schemeClr>
              </a:solidFill>
              <a:effectLst/>
              <a:latin typeface="Tahoma" pitchFamily="34" charset="0"/>
              <a:ea typeface="Tahoma" pitchFamily="34" charset="0"/>
              <a:cs typeface="Tahoma" pitchFamily="34" charset="0"/>
            </a:rPr>
            <a:t>Halaman ini diisi secara manual oleh Wali Kelas. Tambahan catatan akan tercetak</a:t>
          </a:r>
          <a:r>
            <a:rPr lang="id-ID" sz="1000" baseline="0">
              <a:solidFill>
                <a:schemeClr val="bg2">
                  <a:lumMod val="25000"/>
                </a:schemeClr>
              </a:solidFill>
              <a:effectLst/>
              <a:latin typeface="Tahoma" pitchFamily="34" charset="0"/>
              <a:ea typeface="Tahoma" pitchFamily="34" charset="0"/>
              <a:cs typeface="Tahoma" pitchFamily="34" charset="0"/>
            </a:rPr>
            <a:t> di Deskripsi antar Mapel pada Raport. Isikan juga absent dan nilai Nilai Ekstrakurikuler. </a:t>
          </a:r>
          <a:r>
            <a:rPr lang="id-ID" sz="1000" b="1">
              <a:solidFill>
                <a:schemeClr val="bg2">
                  <a:lumMod val="25000"/>
                </a:schemeClr>
              </a:solidFill>
              <a:effectLst/>
              <a:latin typeface="Tahoma" pitchFamily="34" charset="0"/>
              <a:ea typeface="Tahoma" pitchFamily="34" charset="0"/>
              <a:cs typeface="Tahoma" pitchFamily="34" charset="0"/>
            </a:rPr>
            <a:t>Jangan mengisi dengan Copy-Paste atau Cut/Move</a:t>
          </a:r>
          <a:r>
            <a:rPr lang="id-ID" sz="1000">
              <a:solidFill>
                <a:schemeClr val="bg2">
                  <a:lumMod val="25000"/>
                </a:schemeClr>
              </a:solidFill>
              <a:effectLst/>
              <a:latin typeface="Tahoma" pitchFamily="34" charset="0"/>
              <a:ea typeface="Tahoma" pitchFamily="34" charset="0"/>
              <a:cs typeface="Tahoma" pitchFamily="34" charset="0"/>
            </a:rPr>
            <a:t>. Kecuali; copy &gt; paste special values</a:t>
          </a:r>
        </a:p>
        <a:p>
          <a:pPr algn="l"/>
          <a:endParaRPr lang="id-ID" sz="1000">
            <a:solidFill>
              <a:schemeClr val="bg2">
                <a:lumMod val="25000"/>
              </a:schemeClr>
            </a:solidFill>
            <a:latin typeface="Tahoma" pitchFamily="34" charset="0"/>
            <a:ea typeface="Tahoma" pitchFamily="34" charset="0"/>
            <a:cs typeface="Tahoma" pitchFamily="34" charset="0"/>
          </a:endParaRPr>
        </a:p>
      </xdr:txBody>
    </xdr:sp>
    <xdr:clientData fPrintsWithSheet="0"/>
  </xdr:twoCellAnchor>
  <xdr:twoCellAnchor editAs="absolute">
    <xdr:from>
      <xdr:col>3</xdr:col>
      <xdr:colOff>895350</xdr:colOff>
      <xdr:row>2</xdr:row>
      <xdr:rowOff>228600</xdr:rowOff>
    </xdr:from>
    <xdr:to>
      <xdr:col>3</xdr:col>
      <xdr:colOff>1657347</xdr:colOff>
      <xdr:row>5</xdr:row>
      <xdr:rowOff>19049</xdr:rowOff>
    </xdr:to>
    <xdr:sp macro="" textlink="">
      <xdr:nvSpPr>
        <xdr:cNvPr id="5" name="Rectangle 4">
          <a:hlinkClick xmlns:r="http://schemas.openxmlformats.org/officeDocument/2006/relationships" r:id="rId1"/>
        </xdr:cNvPr>
        <xdr:cNvSpPr/>
      </xdr:nvSpPr>
      <xdr:spPr>
        <a:xfrm>
          <a:off x="1885950" y="285750"/>
          <a:ext cx="761997" cy="238124"/>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HOME</a:t>
          </a: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1</xdr:col>
      <xdr:colOff>47625</xdr:colOff>
      <xdr:row>1</xdr:row>
      <xdr:rowOff>28575</xdr:rowOff>
    </xdr:from>
    <xdr:to>
      <xdr:col>2</xdr:col>
      <xdr:colOff>466725</xdr:colOff>
      <xdr:row>1</xdr:row>
      <xdr:rowOff>266699</xdr:rowOff>
    </xdr:to>
    <xdr:sp macro="" textlink="">
      <xdr:nvSpPr>
        <xdr:cNvPr id="3" name="Rectangle 2">
          <a:hlinkClick xmlns:r="http://schemas.openxmlformats.org/officeDocument/2006/relationships" r:id="rId1"/>
        </xdr:cNvPr>
        <xdr:cNvSpPr/>
      </xdr:nvSpPr>
      <xdr:spPr>
        <a:xfrm>
          <a:off x="161925" y="219075"/>
          <a:ext cx="676275" cy="238124"/>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HOME</a:t>
          </a:r>
        </a:p>
      </xdr:txBody>
    </xdr:sp>
    <xdr:clientData fPrintsWithSheet="0"/>
  </xdr:twoCellAnchor>
  <xdr:twoCellAnchor>
    <xdr:from>
      <xdr:col>4</xdr:col>
      <xdr:colOff>275724</xdr:colOff>
      <xdr:row>1</xdr:row>
      <xdr:rowOff>161925</xdr:rowOff>
    </xdr:from>
    <xdr:to>
      <xdr:col>5</xdr:col>
      <xdr:colOff>47625</xdr:colOff>
      <xdr:row>1</xdr:row>
      <xdr:rowOff>161925</xdr:rowOff>
    </xdr:to>
    <xdr:cxnSp macro="">
      <xdr:nvCxnSpPr>
        <xdr:cNvPr id="11" name="Straight Connector 10"/>
        <xdr:cNvCxnSpPr/>
      </xdr:nvCxnSpPr>
      <xdr:spPr>
        <a:xfrm>
          <a:off x="2601829" y="352425"/>
          <a:ext cx="87730" cy="0"/>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275724</xdr:colOff>
      <xdr:row>2</xdr:row>
      <xdr:rowOff>146886</xdr:rowOff>
    </xdr:from>
    <xdr:to>
      <xdr:col>5</xdr:col>
      <xdr:colOff>47625</xdr:colOff>
      <xdr:row>2</xdr:row>
      <xdr:rowOff>146886</xdr:rowOff>
    </xdr:to>
    <xdr:cxnSp macro="">
      <xdr:nvCxnSpPr>
        <xdr:cNvPr id="16" name="Straight Connector 15"/>
        <xdr:cNvCxnSpPr/>
      </xdr:nvCxnSpPr>
      <xdr:spPr>
        <a:xfrm>
          <a:off x="2601829" y="653215"/>
          <a:ext cx="87730" cy="0"/>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275724</xdr:colOff>
      <xdr:row>3</xdr:row>
      <xdr:rowOff>156912</xdr:rowOff>
    </xdr:from>
    <xdr:to>
      <xdr:col>5</xdr:col>
      <xdr:colOff>47625</xdr:colOff>
      <xdr:row>3</xdr:row>
      <xdr:rowOff>156912</xdr:rowOff>
    </xdr:to>
    <xdr:cxnSp macro="">
      <xdr:nvCxnSpPr>
        <xdr:cNvPr id="17" name="Straight Connector 16"/>
        <xdr:cNvCxnSpPr/>
      </xdr:nvCxnSpPr>
      <xdr:spPr>
        <a:xfrm>
          <a:off x="2601829" y="979070"/>
          <a:ext cx="87730" cy="0"/>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275724</xdr:colOff>
      <xdr:row>4</xdr:row>
      <xdr:rowOff>156912</xdr:rowOff>
    </xdr:from>
    <xdr:to>
      <xdr:col>5</xdr:col>
      <xdr:colOff>47625</xdr:colOff>
      <xdr:row>4</xdr:row>
      <xdr:rowOff>156912</xdr:rowOff>
    </xdr:to>
    <xdr:cxnSp macro="">
      <xdr:nvCxnSpPr>
        <xdr:cNvPr id="18" name="Straight Connector 17"/>
        <xdr:cNvCxnSpPr/>
      </xdr:nvCxnSpPr>
      <xdr:spPr>
        <a:xfrm>
          <a:off x="2601829" y="1294899"/>
          <a:ext cx="87730" cy="0"/>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275724</xdr:colOff>
      <xdr:row>5</xdr:row>
      <xdr:rowOff>161925</xdr:rowOff>
    </xdr:from>
    <xdr:to>
      <xdr:col>5</xdr:col>
      <xdr:colOff>47625</xdr:colOff>
      <xdr:row>5</xdr:row>
      <xdr:rowOff>161925</xdr:rowOff>
    </xdr:to>
    <xdr:cxnSp macro="">
      <xdr:nvCxnSpPr>
        <xdr:cNvPr id="19" name="Straight Connector 18"/>
        <xdr:cNvCxnSpPr/>
      </xdr:nvCxnSpPr>
      <xdr:spPr>
        <a:xfrm>
          <a:off x="2601829" y="1615741"/>
          <a:ext cx="87730" cy="0"/>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275724</xdr:colOff>
      <xdr:row>6</xdr:row>
      <xdr:rowOff>161925</xdr:rowOff>
    </xdr:from>
    <xdr:to>
      <xdr:col>5</xdr:col>
      <xdr:colOff>47625</xdr:colOff>
      <xdr:row>6</xdr:row>
      <xdr:rowOff>161925</xdr:rowOff>
    </xdr:to>
    <xdr:cxnSp macro="">
      <xdr:nvCxnSpPr>
        <xdr:cNvPr id="20" name="Straight Connector 19"/>
        <xdr:cNvCxnSpPr/>
      </xdr:nvCxnSpPr>
      <xdr:spPr>
        <a:xfrm>
          <a:off x="2601829" y="1931570"/>
          <a:ext cx="87730" cy="0"/>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52180</xdr:colOff>
      <xdr:row>1</xdr:row>
      <xdr:rowOff>26919</xdr:rowOff>
    </xdr:from>
    <xdr:to>
      <xdr:col>4</xdr:col>
      <xdr:colOff>661366</xdr:colOff>
      <xdr:row>2</xdr:row>
      <xdr:rowOff>61291</xdr:rowOff>
    </xdr:to>
    <xdr:sp macro="" textlink="">
      <xdr:nvSpPr>
        <xdr:cNvPr id="2" name="Rectangle 1">
          <a:hlinkClick xmlns:r="http://schemas.openxmlformats.org/officeDocument/2006/relationships" r:id="rId1"/>
        </xdr:cNvPr>
        <xdr:cNvSpPr/>
      </xdr:nvSpPr>
      <xdr:spPr>
        <a:xfrm>
          <a:off x="785605" y="188844"/>
          <a:ext cx="609186" cy="234397"/>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HOME</a:t>
          </a:r>
        </a:p>
      </xdr:txBody>
    </xdr:sp>
    <xdr:clientData/>
  </xdr:twoCellAnchor>
  <xdr:twoCellAnchor editAs="oneCell">
    <xdr:from>
      <xdr:col>8</xdr:col>
      <xdr:colOff>266700</xdr:colOff>
      <xdr:row>3</xdr:row>
      <xdr:rowOff>47625</xdr:rowOff>
    </xdr:from>
    <xdr:to>
      <xdr:col>10</xdr:col>
      <xdr:colOff>247648</xdr:colOff>
      <xdr:row>6</xdr:row>
      <xdr:rowOff>755</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38475" y="561975"/>
          <a:ext cx="609598" cy="638930"/>
        </a:xfrm>
        <a:prstGeom prst="rect">
          <a:avLst/>
        </a:prstGeom>
      </xdr:spPr>
    </xdr:pic>
    <xdr:clientData fLocksWithSheet="0"/>
  </xdr:twoCellAnchor>
  <mc:AlternateContent xmlns:mc="http://schemas.openxmlformats.org/markup-compatibility/2006">
    <mc:Choice xmlns:a14="http://schemas.microsoft.com/office/drawing/2010/main" Requires="a14">
      <xdr:twoCellAnchor>
        <xdr:from>
          <xdr:col>3</xdr:col>
          <xdr:colOff>0</xdr:colOff>
          <xdr:row>1</xdr:row>
          <xdr:rowOff>19050</xdr:rowOff>
        </xdr:from>
        <xdr:to>
          <xdr:col>3</xdr:col>
          <xdr:colOff>200025</xdr:colOff>
          <xdr:row>2</xdr:row>
          <xdr:rowOff>142875</xdr:rowOff>
        </xdr:to>
        <xdr:sp macro="" textlink="">
          <xdr:nvSpPr>
            <xdr:cNvPr id="71681" name="Spinner 1" hidden="1">
              <a:extLst>
                <a:ext uri="{63B3BB69-23CF-44E3-9099-C40C66FF867C}">
                  <a14:compatExt spid="_x0000_s71681"/>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4</xdr:col>
      <xdr:colOff>166480</xdr:colOff>
      <xdr:row>1</xdr:row>
      <xdr:rowOff>17394</xdr:rowOff>
    </xdr:from>
    <xdr:to>
      <xdr:col>5</xdr:col>
      <xdr:colOff>80341</xdr:colOff>
      <xdr:row>2</xdr:row>
      <xdr:rowOff>61291</xdr:rowOff>
    </xdr:to>
    <xdr:sp macro="" textlink="">
      <xdr:nvSpPr>
        <xdr:cNvPr id="2" name="Rectangle 1">
          <a:hlinkClick xmlns:r="http://schemas.openxmlformats.org/officeDocument/2006/relationships" r:id="rId1"/>
        </xdr:cNvPr>
        <xdr:cNvSpPr/>
      </xdr:nvSpPr>
      <xdr:spPr>
        <a:xfrm>
          <a:off x="947530" y="179319"/>
          <a:ext cx="609186" cy="234397"/>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HOME</a:t>
          </a:r>
        </a:p>
      </xdr:txBody>
    </xdr:sp>
    <xdr:clientData/>
  </xdr:twoCellAnchor>
  <mc:AlternateContent xmlns:mc="http://schemas.openxmlformats.org/markup-compatibility/2006">
    <mc:Choice xmlns:a14="http://schemas.microsoft.com/office/drawing/2010/main" Requires="a14">
      <xdr:twoCellAnchor>
        <xdr:from>
          <xdr:col>2</xdr:col>
          <xdr:colOff>57150</xdr:colOff>
          <xdr:row>1</xdr:row>
          <xdr:rowOff>9525</xdr:rowOff>
        </xdr:from>
        <xdr:to>
          <xdr:col>3</xdr:col>
          <xdr:colOff>219075</xdr:colOff>
          <xdr:row>2</xdr:row>
          <xdr:rowOff>123825</xdr:rowOff>
        </xdr:to>
        <xdr:sp macro="" textlink="">
          <xdr:nvSpPr>
            <xdr:cNvPr id="49153" name="Spinner 1" hidden="1">
              <a:extLst>
                <a:ext uri="{63B3BB69-23CF-44E3-9099-C40C66FF867C}">
                  <a14:compatExt spid="_x0000_s49153"/>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4</xdr:col>
      <xdr:colOff>52180</xdr:colOff>
      <xdr:row>1</xdr:row>
      <xdr:rowOff>26919</xdr:rowOff>
    </xdr:from>
    <xdr:to>
      <xdr:col>4</xdr:col>
      <xdr:colOff>661366</xdr:colOff>
      <xdr:row>2</xdr:row>
      <xdr:rowOff>61291</xdr:rowOff>
    </xdr:to>
    <xdr:sp macro="" textlink="">
      <xdr:nvSpPr>
        <xdr:cNvPr id="2" name="Rectangle 1">
          <a:hlinkClick xmlns:r="http://schemas.openxmlformats.org/officeDocument/2006/relationships" r:id="rId1"/>
        </xdr:cNvPr>
        <xdr:cNvSpPr/>
      </xdr:nvSpPr>
      <xdr:spPr>
        <a:xfrm>
          <a:off x="804655" y="188844"/>
          <a:ext cx="609186" cy="234397"/>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HOME</a:t>
          </a:r>
        </a:p>
      </xdr:txBody>
    </xdr:sp>
    <xdr:clientData/>
  </xdr:twoCellAnchor>
  <mc:AlternateContent xmlns:mc="http://schemas.openxmlformats.org/markup-compatibility/2006">
    <mc:Choice xmlns:a14="http://schemas.microsoft.com/office/drawing/2010/main" Requires="a14">
      <xdr:twoCellAnchor>
        <xdr:from>
          <xdr:col>3</xdr:col>
          <xdr:colOff>0</xdr:colOff>
          <xdr:row>1</xdr:row>
          <xdr:rowOff>19050</xdr:rowOff>
        </xdr:from>
        <xdr:to>
          <xdr:col>3</xdr:col>
          <xdr:colOff>200025</xdr:colOff>
          <xdr:row>2</xdr:row>
          <xdr:rowOff>142875</xdr:rowOff>
        </xdr:to>
        <xdr:sp macro="" textlink="">
          <xdr:nvSpPr>
            <xdr:cNvPr id="55297" name="Spinner 1" hidden="1">
              <a:extLst>
                <a:ext uri="{63B3BB69-23CF-44E3-9099-C40C66FF867C}">
                  <a14:compatExt spid="_x0000_s55297"/>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xdr:from>
      <xdr:col>3</xdr:col>
      <xdr:colOff>242679</xdr:colOff>
      <xdr:row>1</xdr:row>
      <xdr:rowOff>7869</xdr:rowOff>
    </xdr:from>
    <xdr:to>
      <xdr:col>5</xdr:col>
      <xdr:colOff>123825</xdr:colOff>
      <xdr:row>2</xdr:row>
      <xdr:rowOff>42241</xdr:rowOff>
    </xdr:to>
    <xdr:sp macro="" textlink="">
      <xdr:nvSpPr>
        <xdr:cNvPr id="2" name="Rectangle 1">
          <a:hlinkClick xmlns:r="http://schemas.openxmlformats.org/officeDocument/2006/relationships" r:id="rId1"/>
        </xdr:cNvPr>
        <xdr:cNvSpPr/>
      </xdr:nvSpPr>
      <xdr:spPr>
        <a:xfrm>
          <a:off x="728454" y="169794"/>
          <a:ext cx="633621" cy="234397"/>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HOME</a:t>
          </a:r>
        </a:p>
      </xdr:txBody>
    </xdr:sp>
    <xdr:clientData/>
  </xdr:twoCellAnchor>
  <mc:AlternateContent xmlns:mc="http://schemas.openxmlformats.org/markup-compatibility/2006">
    <mc:Choice xmlns:a14="http://schemas.microsoft.com/office/drawing/2010/main" Requires="a14">
      <xdr:twoCellAnchor>
        <xdr:from>
          <xdr:col>3</xdr:col>
          <xdr:colOff>0</xdr:colOff>
          <xdr:row>1</xdr:row>
          <xdr:rowOff>19050</xdr:rowOff>
        </xdr:from>
        <xdr:to>
          <xdr:col>3</xdr:col>
          <xdr:colOff>200025</xdr:colOff>
          <xdr:row>2</xdr:row>
          <xdr:rowOff>142875</xdr:rowOff>
        </xdr:to>
        <xdr:sp macro="" textlink="">
          <xdr:nvSpPr>
            <xdr:cNvPr id="61441" name="Spinner 1" hidden="1">
              <a:extLst>
                <a:ext uri="{63B3BB69-23CF-44E3-9099-C40C66FF867C}">
                  <a14:compatExt spid="_x0000_s61441"/>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7</xdr:col>
      <xdr:colOff>466725</xdr:colOff>
      <xdr:row>0</xdr:row>
      <xdr:rowOff>76200</xdr:rowOff>
    </xdr:from>
    <xdr:to>
      <xdr:col>9</xdr:col>
      <xdr:colOff>123825</xdr:colOff>
      <xdr:row>0</xdr:row>
      <xdr:rowOff>333375</xdr:rowOff>
    </xdr:to>
    <xdr:sp macro="" textlink="">
      <xdr:nvSpPr>
        <xdr:cNvPr id="2" name="Rectangle 1">
          <a:hlinkClick xmlns:r="http://schemas.openxmlformats.org/officeDocument/2006/relationships" r:id="rId1"/>
        </xdr:cNvPr>
        <xdr:cNvSpPr/>
      </xdr:nvSpPr>
      <xdr:spPr>
        <a:xfrm>
          <a:off x="3876675" y="76200"/>
          <a:ext cx="952500" cy="257175"/>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HOME</a:t>
          </a:r>
        </a:p>
      </xdr:txBody>
    </xdr:sp>
    <xdr:clientData/>
  </xdr:twoCellAnchor>
  <xdr:twoCellAnchor>
    <xdr:from>
      <xdr:col>18</xdr:col>
      <xdr:colOff>1133475</xdr:colOff>
      <xdr:row>76</xdr:row>
      <xdr:rowOff>0</xdr:rowOff>
    </xdr:from>
    <xdr:to>
      <xdr:col>19</xdr:col>
      <xdr:colOff>466725</xdr:colOff>
      <xdr:row>76</xdr:row>
      <xdr:rowOff>0</xdr:rowOff>
    </xdr:to>
    <xdr:cxnSp macro="">
      <xdr:nvCxnSpPr>
        <xdr:cNvPr id="4" name="Straight Connector 3"/>
        <xdr:cNvCxnSpPr/>
      </xdr:nvCxnSpPr>
      <xdr:spPr>
        <a:xfrm>
          <a:off x="13468350" y="17383125"/>
          <a:ext cx="571500" cy="0"/>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9525</xdr:colOff>
      <xdr:row>35</xdr:row>
      <xdr:rowOff>200024</xdr:rowOff>
    </xdr:from>
    <xdr:to>
      <xdr:col>5</xdr:col>
      <xdr:colOff>876300</xdr:colOff>
      <xdr:row>39</xdr:row>
      <xdr:rowOff>190500</xdr:rowOff>
    </xdr:to>
    <xdr:sp macro="" textlink="">
      <xdr:nvSpPr>
        <xdr:cNvPr id="3" name="Rectangle 2"/>
        <xdr:cNvSpPr/>
      </xdr:nvSpPr>
      <xdr:spPr>
        <a:xfrm>
          <a:off x="971550" y="7886699"/>
          <a:ext cx="866775" cy="933451"/>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id-ID" sz="1100">
              <a:solidFill>
                <a:sysClr val="windowText" lastClr="000000"/>
              </a:solidFill>
            </a:rPr>
            <a:t>Pas Foto</a:t>
          </a:r>
        </a:p>
        <a:p>
          <a:pPr algn="ctr"/>
          <a:r>
            <a:rPr lang="id-ID" sz="1100">
              <a:solidFill>
                <a:sysClr val="windowText" lastClr="000000"/>
              </a:solidFill>
            </a:rPr>
            <a:t>3 x 4 cm</a:t>
          </a:r>
        </a:p>
      </xdr:txBody>
    </xdr:sp>
    <xdr:clientData/>
  </xdr:twoCellAnchor>
  <xdr:twoCellAnchor>
    <xdr:from>
      <xdr:col>10</xdr:col>
      <xdr:colOff>76200</xdr:colOff>
      <xdr:row>1</xdr:row>
      <xdr:rowOff>200025</xdr:rowOff>
    </xdr:from>
    <xdr:to>
      <xdr:col>10</xdr:col>
      <xdr:colOff>838197</xdr:colOff>
      <xdr:row>2</xdr:row>
      <xdr:rowOff>152399</xdr:rowOff>
    </xdr:to>
    <xdr:sp macro="" textlink="">
      <xdr:nvSpPr>
        <xdr:cNvPr id="5" name="Rectangle 4">
          <a:hlinkClick xmlns:r="http://schemas.openxmlformats.org/officeDocument/2006/relationships" r:id="rId1"/>
        </xdr:cNvPr>
        <xdr:cNvSpPr/>
      </xdr:nvSpPr>
      <xdr:spPr>
        <a:xfrm>
          <a:off x="9839325" y="304800"/>
          <a:ext cx="761997" cy="238124"/>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HOME</a:t>
          </a:r>
        </a:p>
      </xdr:txBody>
    </xdr:sp>
    <xdr:clientData/>
  </xdr:twoCellAnchor>
  <xdr:twoCellAnchor editAs="oneCell">
    <xdr:from>
      <xdr:col>9</xdr:col>
      <xdr:colOff>854850</xdr:colOff>
      <xdr:row>20</xdr:row>
      <xdr:rowOff>28881</xdr:rowOff>
    </xdr:from>
    <xdr:to>
      <xdr:col>9</xdr:col>
      <xdr:colOff>2457450</xdr:colOff>
      <xdr:row>27</xdr:row>
      <xdr:rowOff>104776</xdr:rowOff>
    </xdr:to>
    <xdr:pic>
      <xdr:nvPicPr>
        <xdr:cNvPr id="6" name="Picture 5"/>
        <xdr:cNvPicPr>
          <a:picLocks noChangeAspect="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7369950" y="4486581"/>
          <a:ext cx="1602600" cy="1609420"/>
        </a:xfrm>
        <a:prstGeom prst="rect">
          <a:avLst/>
        </a:prstGeom>
      </xdr:spPr>
    </xdr:pic>
    <xdr:clientData/>
  </xdr:twoCellAnchor>
  <xdr:twoCellAnchor editAs="oneCell">
    <xdr:from>
      <xdr:col>9</xdr:col>
      <xdr:colOff>1164770</xdr:colOff>
      <xdr:row>4</xdr:row>
      <xdr:rowOff>95250</xdr:rowOff>
    </xdr:from>
    <xdr:to>
      <xdr:col>9</xdr:col>
      <xdr:colOff>2016135</xdr:colOff>
      <xdr:row>8</xdr:row>
      <xdr:rowOff>76200</xdr:rowOff>
    </xdr:to>
    <xdr:pic>
      <xdr:nvPicPr>
        <xdr:cNvPr id="9" name="Picture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7679870" y="1019175"/>
          <a:ext cx="851365" cy="885825"/>
        </a:xfrm>
        <a:prstGeom prst="rect">
          <a:avLst/>
        </a:prstGeom>
      </xdr:spPr>
    </xdr:pic>
    <xdr:clientData/>
  </xdr:twoCellAnchor>
  <mc:AlternateContent xmlns:mc="http://schemas.openxmlformats.org/markup-compatibility/2006">
    <mc:Choice xmlns:a14="http://schemas.microsoft.com/office/drawing/2010/main" Requires="a14">
      <xdr:twoCellAnchor>
        <xdr:from>
          <xdr:col>3</xdr:col>
          <xdr:colOff>47625</xdr:colOff>
          <xdr:row>1</xdr:row>
          <xdr:rowOff>28575</xdr:rowOff>
        </xdr:from>
        <xdr:to>
          <xdr:col>3</xdr:col>
          <xdr:colOff>276225</xdr:colOff>
          <xdr:row>2</xdr:row>
          <xdr:rowOff>161925</xdr:rowOff>
        </xdr:to>
        <xdr:sp macro="" textlink="">
          <xdr:nvSpPr>
            <xdr:cNvPr id="24577" name="Spinner 1" hidden="1">
              <a:extLst>
                <a:ext uri="{63B3BB69-23CF-44E3-9099-C40C66FF867C}">
                  <a14:compatExt spid="_x0000_s24577"/>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xdr:twoCellAnchor editAs="absolute">
    <xdr:from>
      <xdr:col>6</xdr:col>
      <xdr:colOff>57149</xdr:colOff>
      <xdr:row>0</xdr:row>
      <xdr:rowOff>9525</xdr:rowOff>
    </xdr:from>
    <xdr:to>
      <xdr:col>44</xdr:col>
      <xdr:colOff>228598</xdr:colOff>
      <xdr:row>0</xdr:row>
      <xdr:rowOff>409575</xdr:rowOff>
    </xdr:to>
    <xdr:sp macro="" textlink="">
      <xdr:nvSpPr>
        <xdr:cNvPr id="3" name="Rectangle 2"/>
        <xdr:cNvSpPr>
          <a:spLocks/>
        </xdr:cNvSpPr>
      </xdr:nvSpPr>
      <xdr:spPr>
        <a:xfrm>
          <a:off x="2876549" y="9525"/>
          <a:ext cx="8858249" cy="400050"/>
        </a:xfrm>
        <a:prstGeom prst="rect">
          <a:avLst/>
        </a:prstGeom>
        <a:solidFill>
          <a:srgbClr val="FFFFCC"/>
        </a:solidFill>
        <a:ln w="6350">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id-ID" sz="1000">
              <a:solidFill>
                <a:schemeClr val="accent2">
                  <a:lumMod val="50000"/>
                </a:schemeClr>
              </a:solidFill>
              <a:latin typeface="Tahoma" pitchFamily="34" charset="0"/>
              <a:ea typeface="Tahoma" pitchFamily="34" charset="0"/>
              <a:cs typeface="Tahoma" pitchFamily="34" charset="0"/>
            </a:rPr>
            <a:t>Untuk </a:t>
          </a:r>
          <a:r>
            <a:rPr lang="id-ID" sz="1000" b="1">
              <a:solidFill>
                <a:srgbClr val="FF0000"/>
              </a:solidFill>
              <a:latin typeface="Tahoma" pitchFamily="34" charset="0"/>
              <a:ea typeface="Tahoma" pitchFamily="34" charset="0"/>
              <a:cs typeface="Tahoma" pitchFamily="34" charset="0"/>
            </a:rPr>
            <a:t>BACKUP nilai</a:t>
          </a:r>
          <a:r>
            <a:rPr lang="id-ID" sz="1000">
              <a:solidFill>
                <a:srgbClr val="FF0000"/>
              </a:solidFill>
              <a:latin typeface="Tahoma" pitchFamily="34" charset="0"/>
              <a:ea typeface="Tahoma" pitchFamily="34" charset="0"/>
              <a:cs typeface="Tahoma" pitchFamily="34" charset="0"/>
            </a:rPr>
            <a:t> </a:t>
          </a:r>
          <a:r>
            <a:rPr lang="id-ID" sz="1000">
              <a:solidFill>
                <a:schemeClr val="accent2">
                  <a:lumMod val="50000"/>
                </a:schemeClr>
              </a:solidFill>
              <a:latin typeface="Tahoma" pitchFamily="34" charset="0"/>
              <a:ea typeface="Tahoma" pitchFamily="34" charset="0"/>
              <a:cs typeface="Tahoma" pitchFamily="34" charset="0"/>
            </a:rPr>
            <a:t>halaman ini silahkan diblok/dipilih</a:t>
          </a:r>
          <a:r>
            <a:rPr lang="id-ID" sz="1000" baseline="0">
              <a:solidFill>
                <a:schemeClr val="accent2">
                  <a:lumMod val="50000"/>
                </a:schemeClr>
              </a:solidFill>
              <a:latin typeface="Tahoma" pitchFamily="34" charset="0"/>
              <a:ea typeface="Tahoma" pitchFamily="34" charset="0"/>
              <a:cs typeface="Tahoma" pitchFamily="34" charset="0"/>
            </a:rPr>
            <a:t> selanjutnya</a:t>
          </a:r>
          <a:r>
            <a:rPr lang="id-ID" sz="1000">
              <a:solidFill>
                <a:schemeClr val="accent2">
                  <a:lumMod val="50000"/>
                </a:schemeClr>
              </a:solidFill>
              <a:latin typeface="Tahoma" pitchFamily="34" charset="0"/>
              <a:ea typeface="Tahoma" pitchFamily="34" charset="0"/>
              <a:cs typeface="Tahoma" pitchFamily="34" charset="0"/>
            </a:rPr>
            <a:t> dicopy untuk membuat file</a:t>
          </a:r>
          <a:r>
            <a:rPr lang="id-ID" sz="1000" baseline="0">
              <a:solidFill>
                <a:schemeClr val="accent2">
                  <a:lumMod val="50000"/>
                </a:schemeClr>
              </a:solidFill>
              <a:latin typeface="Tahoma" pitchFamily="34" charset="0"/>
              <a:ea typeface="Tahoma" pitchFamily="34" charset="0"/>
              <a:cs typeface="Tahoma" pitchFamily="34" charset="0"/>
            </a:rPr>
            <a:t> baru dan disatukan dengan nilai dari kelas lainnya. Dengan file baru itulah sekolah bisa mengembangkan untuk kebutuhan lain. Misalnya pengelompokkan siswa atau penulisan Buku Induk yang urut Induk.</a:t>
          </a:r>
          <a:endParaRPr lang="id-ID" sz="1000">
            <a:solidFill>
              <a:schemeClr val="accent2">
                <a:lumMod val="50000"/>
              </a:schemeClr>
            </a:solidFill>
            <a:latin typeface="Tahoma" pitchFamily="34" charset="0"/>
            <a:ea typeface="Tahoma" pitchFamily="34" charset="0"/>
            <a:cs typeface="Tahoma" pitchFamily="34" charset="0"/>
          </a:endParaRPr>
        </a:p>
      </xdr:txBody>
    </xdr:sp>
    <xdr:clientData fPrintsWithSheet="0"/>
  </xdr:twoCellAnchor>
  <xdr:twoCellAnchor>
    <xdr:from>
      <xdr:col>1</xdr:col>
      <xdr:colOff>0</xdr:colOff>
      <xdr:row>0</xdr:row>
      <xdr:rowOff>104775</xdr:rowOff>
    </xdr:from>
    <xdr:to>
      <xdr:col>2</xdr:col>
      <xdr:colOff>504822</xdr:colOff>
      <xdr:row>0</xdr:row>
      <xdr:rowOff>342899</xdr:rowOff>
    </xdr:to>
    <xdr:sp macro="" textlink="">
      <xdr:nvSpPr>
        <xdr:cNvPr id="4" name="Rectangle 3">
          <a:hlinkClick xmlns:r="http://schemas.openxmlformats.org/officeDocument/2006/relationships" r:id="rId1"/>
        </xdr:cNvPr>
        <xdr:cNvSpPr/>
      </xdr:nvSpPr>
      <xdr:spPr>
        <a:xfrm>
          <a:off x="114300" y="104775"/>
          <a:ext cx="752472" cy="238124"/>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HOME</a:t>
          </a:r>
        </a:p>
      </xdr:txBody>
    </xdr:sp>
    <xdr:clientData/>
  </xdr:twoCellAnchor>
  <xdr:twoCellAnchor editAs="oneCell">
    <xdr:from>
      <xdr:col>17</xdr:col>
      <xdr:colOff>180975</xdr:colOff>
      <xdr:row>50</xdr:row>
      <xdr:rowOff>142876</xdr:rowOff>
    </xdr:from>
    <xdr:to>
      <xdr:col>28</xdr:col>
      <xdr:colOff>219075</xdr:colOff>
      <xdr:row>53</xdr:row>
      <xdr:rowOff>133351</xdr:rowOff>
    </xdr:to>
    <xdr:sp macro="" textlink="">
      <xdr:nvSpPr>
        <xdr:cNvPr id="5" name="Rectangle 4"/>
        <xdr:cNvSpPr/>
      </xdr:nvSpPr>
      <xdr:spPr>
        <a:xfrm>
          <a:off x="5057775" y="8705851"/>
          <a:ext cx="2552700" cy="476250"/>
        </a:xfrm>
        <a:prstGeom prst="rect">
          <a:avLst/>
        </a:prstGeom>
        <a:solidFill>
          <a:schemeClr val="bg1"/>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id-ID" sz="1100">
              <a:solidFill>
                <a:srgbClr val="7030A0"/>
              </a:solidFill>
            </a:rPr>
            <a:t>Untuk menyatukan teks atas dan teks bawah,</a:t>
          </a:r>
          <a:r>
            <a:rPr lang="id-ID" sz="1100" baseline="0">
              <a:solidFill>
                <a:srgbClr val="7030A0"/>
              </a:solidFill>
            </a:rPr>
            <a:t> hiden baris yang kosong.</a:t>
          </a:r>
          <a:endParaRPr lang="id-ID" sz="1100">
            <a:solidFill>
              <a:srgbClr val="7030A0"/>
            </a:solidFill>
          </a:endParaRPr>
        </a:p>
      </xdr:txBody>
    </xdr:sp>
    <xdr:clientData fPrintsWithSheet="0"/>
  </xdr:twoCellAnchor>
</xdr:wsDr>
</file>

<file path=xl/drawings/drawing17.xml><?xml version="1.0" encoding="utf-8"?>
<xdr:wsDr xmlns:xdr="http://schemas.openxmlformats.org/drawingml/2006/spreadsheetDrawing" xmlns:a="http://schemas.openxmlformats.org/drawingml/2006/main">
  <xdr:twoCellAnchor editAs="absolute">
    <xdr:from>
      <xdr:col>0</xdr:col>
      <xdr:colOff>95250</xdr:colOff>
      <xdr:row>1</xdr:row>
      <xdr:rowOff>66675</xdr:rowOff>
    </xdr:from>
    <xdr:to>
      <xdr:col>3</xdr:col>
      <xdr:colOff>266700</xdr:colOff>
      <xdr:row>1</xdr:row>
      <xdr:rowOff>276225</xdr:rowOff>
    </xdr:to>
    <xdr:sp macro="" textlink="">
      <xdr:nvSpPr>
        <xdr:cNvPr id="3" name="Rectangle 2">
          <a:hlinkClick xmlns:r="http://schemas.openxmlformats.org/officeDocument/2006/relationships" r:id="rId1" tooltip="Menu"/>
        </xdr:cNvPr>
        <xdr:cNvSpPr/>
      </xdr:nvSpPr>
      <xdr:spPr>
        <a:xfrm>
          <a:off x="95250" y="152400"/>
          <a:ext cx="733425" cy="209550"/>
        </a:xfrm>
        <a:prstGeom prst="rect">
          <a:avLst/>
        </a:prstGeom>
        <a:solidFill>
          <a:srgbClr val="1539EB"/>
        </a:solidFill>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00" b="1">
              <a:solidFill>
                <a:schemeClr val="bg1"/>
              </a:solidFill>
              <a:latin typeface="Arial" pitchFamily="34" charset="0"/>
              <a:cs typeface="Arial" pitchFamily="34" charset="0"/>
            </a:rPr>
            <a:t>HOME</a:t>
          </a:r>
        </a:p>
      </xdr:txBody>
    </xdr:sp>
    <xdr:clientData fPrintsWithSheet="0"/>
  </xdr:twoCellAnchor>
  <mc:AlternateContent xmlns:mc="http://schemas.openxmlformats.org/markup-compatibility/2006">
    <mc:Choice xmlns:a14="http://schemas.microsoft.com/office/drawing/2010/main" Requires="a14">
      <xdr:twoCellAnchor editAs="absolute">
        <xdr:from>
          <xdr:col>1</xdr:col>
          <xdr:colOff>57150</xdr:colOff>
          <xdr:row>5</xdr:row>
          <xdr:rowOff>28575</xdr:rowOff>
        </xdr:from>
        <xdr:to>
          <xdr:col>1</xdr:col>
          <xdr:colOff>295275</xdr:colOff>
          <xdr:row>5</xdr:row>
          <xdr:rowOff>476250</xdr:rowOff>
        </xdr:to>
        <xdr:sp macro="" textlink="">
          <xdr:nvSpPr>
            <xdr:cNvPr id="69633" name="Spinner 1" hidden="1">
              <a:extLst>
                <a:ext uri="{63B3BB69-23CF-44E3-9099-C40C66FF867C}">
                  <a14:compatExt spid="_x0000_s69633"/>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xdr:wsDr>
</file>

<file path=xl/drawings/drawing18.xml><?xml version="1.0" encoding="utf-8"?>
<xdr:wsDr xmlns:xdr="http://schemas.openxmlformats.org/drawingml/2006/spreadsheetDrawing" xmlns:a="http://schemas.openxmlformats.org/drawingml/2006/main">
  <xdr:twoCellAnchor>
    <xdr:from>
      <xdr:col>5</xdr:col>
      <xdr:colOff>114300</xdr:colOff>
      <xdr:row>1</xdr:row>
      <xdr:rowOff>28575</xdr:rowOff>
    </xdr:from>
    <xdr:to>
      <xdr:col>7</xdr:col>
      <xdr:colOff>114300</xdr:colOff>
      <xdr:row>1</xdr:row>
      <xdr:rowOff>266699</xdr:rowOff>
    </xdr:to>
    <xdr:sp macro="" textlink="">
      <xdr:nvSpPr>
        <xdr:cNvPr id="2" name="Rectangle 1">
          <a:hlinkClick xmlns:r="http://schemas.openxmlformats.org/officeDocument/2006/relationships" r:id="rId1"/>
        </xdr:cNvPr>
        <xdr:cNvSpPr/>
      </xdr:nvSpPr>
      <xdr:spPr>
        <a:xfrm>
          <a:off x="2486025" y="76200"/>
          <a:ext cx="704850" cy="238124"/>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HOME</a:t>
          </a:r>
        </a:p>
      </xdr:txBody>
    </xdr:sp>
    <xdr:clientData/>
  </xdr:twoCellAnchor>
  <xdr:twoCellAnchor>
    <xdr:from>
      <xdr:col>1</xdr:col>
      <xdr:colOff>104774</xdr:colOff>
      <xdr:row>11</xdr:row>
      <xdr:rowOff>57150</xdr:rowOff>
    </xdr:from>
    <xdr:to>
      <xdr:col>22</xdr:col>
      <xdr:colOff>9524</xdr:colOff>
      <xdr:row>28</xdr:row>
      <xdr:rowOff>161924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6</xdr:col>
      <xdr:colOff>66676</xdr:colOff>
      <xdr:row>0</xdr:row>
      <xdr:rowOff>142875</xdr:rowOff>
    </xdr:from>
    <xdr:to>
      <xdr:col>8</xdr:col>
      <xdr:colOff>57151</xdr:colOff>
      <xdr:row>1</xdr:row>
      <xdr:rowOff>123824</xdr:rowOff>
    </xdr:to>
    <xdr:sp macro="" textlink="">
      <xdr:nvSpPr>
        <xdr:cNvPr id="3" name="Rectangle 2">
          <a:hlinkClick xmlns:r="http://schemas.openxmlformats.org/officeDocument/2006/relationships" r:id="rId1" tooltip="Menu"/>
        </xdr:cNvPr>
        <xdr:cNvSpPr/>
      </xdr:nvSpPr>
      <xdr:spPr>
        <a:xfrm>
          <a:off x="5648326" y="142875"/>
          <a:ext cx="609600" cy="238124"/>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horz" rtlCol="0" anchor="ctr" anchorCtr="1"/>
        <a:lstStyle/>
        <a:p>
          <a:pPr algn="l"/>
          <a:r>
            <a:rPr lang="id-ID" sz="1050" b="1">
              <a:solidFill>
                <a:schemeClr val="bg1"/>
              </a:solidFill>
              <a:latin typeface="Arial" pitchFamily="34" charset="0"/>
              <a:cs typeface="Arial" pitchFamily="34" charset="0"/>
            </a:rPr>
            <a:t>HOME</a:t>
          </a:r>
        </a:p>
      </xdr:txBody>
    </xdr:sp>
    <xdr:clientData/>
  </xdr:twoCellAnchor>
  <mc:AlternateContent xmlns:mc="http://schemas.openxmlformats.org/markup-compatibility/2006">
    <mc:Choice xmlns:a14="http://schemas.microsoft.com/office/drawing/2010/main" Requires="a14">
      <xdr:twoCellAnchor>
        <xdr:from>
          <xdr:col>7</xdr:col>
          <xdr:colOff>142875</xdr:colOff>
          <xdr:row>4</xdr:row>
          <xdr:rowOff>104775</xdr:rowOff>
        </xdr:from>
        <xdr:to>
          <xdr:col>7</xdr:col>
          <xdr:colOff>400050</xdr:colOff>
          <xdr:row>6</xdr:row>
          <xdr:rowOff>123825</xdr:rowOff>
        </xdr:to>
        <xdr:sp macro="" textlink="">
          <xdr:nvSpPr>
            <xdr:cNvPr id="39937" name="Spinner 1" hidden="1">
              <a:extLst>
                <a:ext uri="{63B3BB69-23CF-44E3-9099-C40C66FF867C}">
                  <a14:compatExt spid="_x0000_s39937"/>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xdr:twoCellAnchor>
    <xdr:from>
      <xdr:col>2</xdr:col>
      <xdr:colOff>5024440</xdr:colOff>
      <xdr:row>1</xdr:row>
      <xdr:rowOff>71438</xdr:rowOff>
    </xdr:from>
    <xdr:to>
      <xdr:col>3</xdr:col>
      <xdr:colOff>623890</xdr:colOff>
      <xdr:row>1</xdr:row>
      <xdr:rowOff>338138</xdr:rowOff>
    </xdr:to>
    <xdr:sp macro="" textlink="">
      <xdr:nvSpPr>
        <xdr:cNvPr id="2" name="Rectangle 1">
          <a:hlinkClick xmlns:r="http://schemas.openxmlformats.org/officeDocument/2006/relationships" r:id="rId1" tooltip="Menu"/>
        </xdr:cNvPr>
        <xdr:cNvSpPr/>
      </xdr:nvSpPr>
      <xdr:spPr>
        <a:xfrm rot="5400000">
          <a:off x="5934078" y="95250"/>
          <a:ext cx="266700" cy="638175"/>
        </a:xfrm>
        <a:prstGeom prst="rect">
          <a:avLst/>
        </a:prstGeom>
        <a:ln>
          <a:solidFill>
            <a:srgbClr val="8ED2FC"/>
          </a:solidFill>
        </a:ln>
      </xdr:spPr>
      <xdr:style>
        <a:lnRef idx="0">
          <a:schemeClr val="accent1"/>
        </a:lnRef>
        <a:fillRef idx="3">
          <a:schemeClr val="accent1"/>
        </a:fillRef>
        <a:effectRef idx="3">
          <a:schemeClr val="accent1"/>
        </a:effectRef>
        <a:fontRef idx="minor">
          <a:schemeClr val="lt1"/>
        </a:fontRef>
      </xdr:style>
      <xdr:txBody>
        <a:bodyPr vertOverflow="clip" horzOverflow="clip" vert="vert270" rtlCol="0" anchor="ctr" anchorCtr="1"/>
        <a:lstStyle/>
        <a:p>
          <a:pPr algn="l"/>
          <a:r>
            <a:rPr lang="id-ID" sz="1100" b="1">
              <a:solidFill>
                <a:schemeClr val="bg1"/>
              </a:solidFill>
              <a:latin typeface="Arial" pitchFamily="34" charset="0"/>
              <a:cs typeface="Arial" pitchFamily="34" charset="0"/>
            </a:rPr>
            <a:t>HOME</a:t>
          </a:r>
        </a:p>
      </xdr:txBody>
    </xdr:sp>
    <xdr:clientData/>
  </xdr:twoCellAnchor>
  <xdr:twoCellAnchor editAs="oneCell">
    <xdr:from>
      <xdr:col>2</xdr:col>
      <xdr:colOff>142870</xdr:colOff>
      <xdr:row>27</xdr:row>
      <xdr:rowOff>28573</xdr:rowOff>
    </xdr:from>
    <xdr:to>
      <xdr:col>2</xdr:col>
      <xdr:colOff>4305137</xdr:colOff>
      <xdr:row>40</xdr:row>
      <xdr:rowOff>142872</xdr:rowOff>
    </xdr:to>
    <xdr:pic>
      <xdr:nvPicPr>
        <xdr:cNvPr id="7" name="Picture 4"/>
        <xdr:cNvPicPr>
          <a:picLocks noChangeAspect="1" noChangeArrowheads="1"/>
        </xdr:cNvPicPr>
      </xdr:nvPicPr>
      <xdr:blipFill>
        <a:blip xmlns:r="http://schemas.openxmlformats.org/officeDocument/2006/relationships" r:embed="rId2" cstate="email"/>
        <a:srcRect/>
        <a:stretch>
          <a:fillRect/>
        </a:stretch>
      </xdr:blipFill>
      <xdr:spPr bwMode="auto">
        <a:xfrm>
          <a:off x="971545" y="5610223"/>
          <a:ext cx="4162267" cy="271462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0.xml"/><Relationship Id="rId1" Type="http://schemas.openxmlformats.org/officeDocument/2006/relationships/printerSettings" Target="../printerSettings/printerSettings21.bin"/><Relationship Id="rId4" Type="http://schemas.openxmlformats.org/officeDocument/2006/relationships/ctrlProp" Target="../ctrlProps/ctrlProp1.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1.xml"/><Relationship Id="rId1" Type="http://schemas.openxmlformats.org/officeDocument/2006/relationships/printerSettings" Target="../printerSettings/printerSettings22.bin"/><Relationship Id="rId4" Type="http://schemas.openxmlformats.org/officeDocument/2006/relationships/ctrlProp" Target="../ctrlProps/ctrlProp2.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23.bin"/><Relationship Id="rId4" Type="http://schemas.openxmlformats.org/officeDocument/2006/relationships/ctrlProp" Target="../ctrlProps/ctrlProp3.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24.bin"/><Relationship Id="rId4" Type="http://schemas.openxmlformats.org/officeDocument/2006/relationships/ctrlProp" Target="../ctrlProps/ctrlProp4.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mailto:smp1nawangan@gmail.com" TargetMode="External"/><Relationship Id="rId1" Type="http://schemas.openxmlformats.org/officeDocument/2006/relationships/hyperlink" Target="https://jadwalku.wordpress.com/" TargetMode="External"/><Relationship Id="rId4" Type="http://schemas.openxmlformats.org/officeDocument/2006/relationships/drawing" Target="../drawings/drawing14.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5.xml"/><Relationship Id="rId1" Type="http://schemas.openxmlformats.org/officeDocument/2006/relationships/printerSettings" Target="../printerSettings/printerSettings26.bin"/><Relationship Id="rId4" Type="http://schemas.openxmlformats.org/officeDocument/2006/relationships/ctrlProp" Target="../ctrlProps/ctrlProp5.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7.xml"/><Relationship Id="rId1" Type="http://schemas.openxmlformats.org/officeDocument/2006/relationships/printerSettings" Target="../printerSettings/printerSettings28.bin"/><Relationship Id="rId4" Type="http://schemas.openxmlformats.org/officeDocument/2006/relationships/ctrlProp" Target="../ctrlProps/ctrlProp6.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9.xml"/><Relationship Id="rId1" Type="http://schemas.openxmlformats.org/officeDocument/2006/relationships/printerSettings" Target="../printerSettings/printerSettings30.bin"/><Relationship Id="rId4" Type="http://schemas.openxmlformats.org/officeDocument/2006/relationships/ctrlProp" Target="../ctrlProps/ctrlProp7.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00FF"/>
  </sheetPr>
  <dimension ref="A1:AH59"/>
  <sheetViews>
    <sheetView showGridLines="0" showRowColHeaders="0" workbookViewId="0"/>
  </sheetViews>
  <sheetFormatPr defaultColWidth="0" defaultRowHeight="0" customHeight="1" zeroHeight="1"/>
  <cols>
    <col min="1" max="1" width="1.42578125" style="5" customWidth="1"/>
    <col min="2" max="2" width="15.7109375" style="5" customWidth="1"/>
    <col min="3" max="3" width="28.85546875" style="5" customWidth="1"/>
    <col min="4" max="4" width="0.85546875" style="5" customWidth="1"/>
    <col min="5" max="5" width="3.7109375" style="5" customWidth="1"/>
    <col min="6" max="6" width="9.42578125" style="4" customWidth="1"/>
    <col min="7" max="7" width="13.28515625" style="4" customWidth="1"/>
    <col min="8" max="8" width="26.42578125" style="5" customWidth="1"/>
    <col min="9" max="9" width="4.7109375" style="4" customWidth="1"/>
    <col min="10" max="10" width="10.7109375" style="25" customWidth="1"/>
    <col min="11" max="11" width="11.7109375" style="61" customWidth="1"/>
    <col min="12" max="12" width="7.7109375" style="61" customWidth="1"/>
    <col min="13" max="13" width="6.5703125" style="61" customWidth="1"/>
    <col min="14" max="14" width="7.85546875" style="61" customWidth="1"/>
    <col min="15" max="15" width="25.7109375" style="61" customWidth="1"/>
    <col min="16" max="16" width="15.7109375" style="5" customWidth="1"/>
    <col min="17" max="17" width="18.5703125" style="5" customWidth="1"/>
    <col min="18" max="18" width="5.7109375" style="5" customWidth="1"/>
    <col min="19" max="19" width="11.7109375" style="5" customWidth="1"/>
    <col min="20" max="21" width="13.7109375" style="5" customWidth="1"/>
    <col min="22" max="22" width="20.7109375" style="5" customWidth="1"/>
    <col min="23" max="23" width="12.7109375" style="5" customWidth="1"/>
    <col min="24" max="25" width="12.140625" style="5" customWidth="1"/>
    <col min="26" max="26" width="13.42578125" style="5" customWidth="1"/>
    <col min="27" max="27" width="16" style="5" customWidth="1"/>
    <col min="28" max="28" width="14.42578125" style="5" customWidth="1"/>
    <col min="29" max="29" width="9.140625" style="5" customWidth="1"/>
    <col min="30" max="30" width="13.42578125" style="5" hidden="1" customWidth="1"/>
    <col min="31" max="31" width="16" style="5" hidden="1" customWidth="1"/>
    <col min="32" max="32" width="15.7109375" style="5" customWidth="1"/>
    <col min="33" max="33" width="9.140625" style="5" hidden="1" customWidth="1"/>
    <col min="34" max="34" width="4.5703125" style="5" customWidth="1"/>
    <col min="35" max="16384" width="9.140625" style="5" hidden="1"/>
  </cols>
  <sheetData>
    <row r="1" spans="1:34" ht="6" customHeight="1">
      <c r="A1" s="55"/>
      <c r="B1" s="55"/>
      <c r="C1" s="55"/>
      <c r="D1" s="55"/>
      <c r="E1" s="55"/>
      <c r="F1" s="56"/>
      <c r="G1" s="56"/>
      <c r="H1" s="55"/>
      <c r="I1" s="56"/>
      <c r="J1" s="56"/>
      <c r="K1" s="56"/>
      <c r="L1" s="56"/>
      <c r="M1" s="56"/>
      <c r="N1" s="56"/>
      <c r="O1" s="56"/>
      <c r="P1" s="56"/>
      <c r="Q1" s="56"/>
      <c r="R1" s="56"/>
      <c r="S1" s="56"/>
      <c r="T1" s="56"/>
      <c r="U1" s="56"/>
      <c r="V1" s="56"/>
      <c r="W1" s="56"/>
      <c r="X1" s="56"/>
      <c r="Y1" s="56"/>
      <c r="Z1" s="56"/>
      <c r="AA1" s="56"/>
      <c r="AB1" s="56"/>
      <c r="AC1" s="56"/>
      <c r="AD1" s="56"/>
      <c r="AE1" s="56"/>
      <c r="AF1" s="56"/>
      <c r="AG1" s="56"/>
      <c r="AH1" s="56"/>
    </row>
    <row r="2" spans="1:34" ht="38.1" customHeight="1" thickBot="1">
      <c r="A2" s="55">
        <f>IDLOK</f>
        <v>0</v>
      </c>
      <c r="B2" s="1522" t="str">
        <f>Data2!B1&amp;"|"&amp;Data2!F1</f>
        <v>APLIKASI NILAI K-13|SMA|versi.2018</v>
      </c>
      <c r="C2" s="1522"/>
      <c r="D2" s="55"/>
      <c r="E2" s="1520"/>
      <c r="F2" s="1521"/>
      <c r="G2" s="1521"/>
      <c r="H2" s="1521"/>
      <c r="I2" s="1521"/>
      <c r="J2" s="1515" t="str">
        <f>C4</f>
        <v>SMA Negeri 1 Amabi Efeto</v>
      </c>
      <c r="K2" s="1515"/>
      <c r="L2" s="1515"/>
      <c r="M2" s="1515"/>
      <c r="N2" s="1515"/>
      <c r="O2" s="1515"/>
      <c r="P2" s="267"/>
      <c r="Q2" s="72"/>
      <c r="R2" s="72"/>
      <c r="S2" s="72"/>
      <c r="T2" s="72"/>
      <c r="U2" s="72"/>
      <c r="V2" s="72"/>
      <c r="W2" s="72"/>
      <c r="X2" s="72"/>
      <c r="Y2" s="72"/>
      <c r="Z2" s="72"/>
      <c r="AA2" s="72"/>
      <c r="AB2" s="72"/>
      <c r="AC2" s="72"/>
      <c r="AD2" s="72"/>
      <c r="AE2" s="72"/>
      <c r="AF2" s="72"/>
      <c r="AG2" s="72"/>
      <c r="AH2" s="55"/>
    </row>
    <row r="3" spans="1:34" s="54" customFormat="1" ht="15.75" customHeight="1">
      <c r="A3" s="59"/>
      <c r="B3" s="1525" t="s">
        <v>30</v>
      </c>
      <c r="C3" s="1526"/>
      <c r="D3" s="59"/>
      <c r="E3" s="1523" t="s">
        <v>89</v>
      </c>
      <c r="F3" s="1524"/>
      <c r="G3" s="1524"/>
      <c r="H3" s="1524"/>
      <c r="I3" s="1524"/>
      <c r="J3" s="1534" t="s">
        <v>226</v>
      </c>
      <c r="K3" s="1535"/>
      <c r="L3" s="1535"/>
      <c r="M3" s="1535"/>
      <c r="N3" s="1535"/>
      <c r="O3" s="1535"/>
      <c r="P3" s="1535"/>
      <c r="Q3" s="1536"/>
      <c r="R3" s="1532" t="s">
        <v>90</v>
      </c>
      <c r="S3" s="1533"/>
      <c r="T3" s="1529" t="s">
        <v>92</v>
      </c>
      <c r="U3" s="1530"/>
      <c r="V3" s="1530"/>
      <c r="W3" s="1530"/>
      <c r="X3" s="1530"/>
      <c r="Y3" s="1531"/>
      <c r="Z3" s="1529" t="s">
        <v>100</v>
      </c>
      <c r="AA3" s="1530"/>
      <c r="AB3" s="1530"/>
      <c r="AC3" s="1531"/>
      <c r="AD3" s="1509" t="s">
        <v>299</v>
      </c>
      <c r="AE3" s="1510"/>
      <c r="AF3" s="1510"/>
      <c r="AG3" s="1511"/>
      <c r="AH3" s="57"/>
    </row>
    <row r="4" spans="1:34" s="53" customFormat="1" ht="17.25" customHeight="1" thickBot="1">
      <c r="A4" s="60"/>
      <c r="B4" s="531" t="s">
        <v>22</v>
      </c>
      <c r="C4" s="628" t="s">
        <v>1402</v>
      </c>
      <c r="D4" s="60"/>
      <c r="E4" s="518" t="s">
        <v>0</v>
      </c>
      <c r="F4" s="519" t="s">
        <v>288</v>
      </c>
      <c r="G4" s="519" t="s">
        <v>289</v>
      </c>
      <c r="H4" s="519" t="s">
        <v>2</v>
      </c>
      <c r="I4" s="520" t="s">
        <v>102</v>
      </c>
      <c r="J4" s="527" t="s">
        <v>103</v>
      </c>
      <c r="K4" s="528" t="s">
        <v>104</v>
      </c>
      <c r="L4" s="528" t="s">
        <v>84</v>
      </c>
      <c r="M4" s="528" t="s">
        <v>85</v>
      </c>
      <c r="N4" s="528" t="s">
        <v>86</v>
      </c>
      <c r="O4" s="528" t="s">
        <v>87</v>
      </c>
      <c r="P4" s="528" t="s">
        <v>107</v>
      </c>
      <c r="Q4" s="529" t="s">
        <v>88</v>
      </c>
      <c r="R4" s="530" t="s">
        <v>108</v>
      </c>
      <c r="S4" s="529" t="s">
        <v>91</v>
      </c>
      <c r="T4" s="530" t="s">
        <v>93</v>
      </c>
      <c r="U4" s="528" t="s">
        <v>94</v>
      </c>
      <c r="V4" s="528" t="s">
        <v>9</v>
      </c>
      <c r="W4" s="528" t="s">
        <v>95</v>
      </c>
      <c r="X4" s="528" t="s">
        <v>96</v>
      </c>
      <c r="Y4" s="529" t="s">
        <v>97</v>
      </c>
      <c r="Z4" s="530" t="s">
        <v>71</v>
      </c>
      <c r="AA4" s="528" t="s">
        <v>9</v>
      </c>
      <c r="AB4" s="528" t="s">
        <v>98</v>
      </c>
      <c r="AC4" s="529" t="s">
        <v>99</v>
      </c>
      <c r="AD4" s="1512"/>
      <c r="AE4" s="1513"/>
      <c r="AF4" s="1513"/>
      <c r="AG4" s="1514"/>
      <c r="AH4" s="58"/>
    </row>
    <row r="5" spans="1:34" s="53" customFormat="1" ht="18" customHeight="1">
      <c r="A5" s="60"/>
      <c r="B5" s="1516" t="s">
        <v>9</v>
      </c>
      <c r="C5" s="1518" t="s">
        <v>1403</v>
      </c>
      <c r="D5" s="60"/>
      <c r="E5" s="73">
        <v>1</v>
      </c>
      <c r="F5" s="811">
        <v>0</v>
      </c>
      <c r="G5" s="1471" t="s">
        <v>1411</v>
      </c>
      <c r="H5" s="1472" t="s">
        <v>1412</v>
      </c>
      <c r="I5" s="74" t="s">
        <v>101</v>
      </c>
      <c r="J5" s="232" t="s">
        <v>1401</v>
      </c>
      <c r="K5" s="233">
        <v>38980</v>
      </c>
      <c r="L5" s="234" t="s">
        <v>1413</v>
      </c>
      <c r="M5" s="235" t="s">
        <v>106</v>
      </c>
      <c r="N5" s="235">
        <v>1</v>
      </c>
      <c r="O5" s="234" t="s">
        <v>1414</v>
      </c>
      <c r="P5" s="235"/>
      <c r="Q5" s="236" t="s">
        <v>1415</v>
      </c>
      <c r="R5" s="245" t="s">
        <v>1416</v>
      </c>
      <c r="S5" s="246" t="s">
        <v>1417</v>
      </c>
      <c r="T5" s="251" t="s">
        <v>1418</v>
      </c>
      <c r="U5" s="234" t="s">
        <v>1419</v>
      </c>
      <c r="V5" s="234" t="s">
        <v>1414</v>
      </c>
      <c r="W5" s="234"/>
      <c r="X5" s="234" t="s">
        <v>1420</v>
      </c>
      <c r="Y5" s="236" t="s">
        <v>1421</v>
      </c>
      <c r="Z5" s="251" t="s">
        <v>5</v>
      </c>
      <c r="AA5" s="234" t="s">
        <v>5</v>
      </c>
      <c r="AB5" s="234" t="s">
        <v>5</v>
      </c>
      <c r="AC5" s="236" t="s">
        <v>5</v>
      </c>
      <c r="AD5" s="251"/>
      <c r="AE5" s="234"/>
      <c r="AF5" s="334" t="s">
        <v>298</v>
      </c>
      <c r="AG5" s="236"/>
      <c r="AH5" s="62"/>
    </row>
    <row r="6" spans="1:34" s="53" customFormat="1" ht="18" customHeight="1">
      <c r="A6" s="60"/>
      <c r="B6" s="1517"/>
      <c r="C6" s="1519"/>
      <c r="D6" s="60"/>
      <c r="E6" s="75">
        <v>2</v>
      </c>
      <c r="F6" s="811">
        <v>0</v>
      </c>
      <c r="G6" s="1471" t="s">
        <v>1422</v>
      </c>
      <c r="H6" s="1472" t="s">
        <v>1423</v>
      </c>
      <c r="I6" s="78" t="s">
        <v>101</v>
      </c>
      <c r="J6" s="237" t="s">
        <v>1424</v>
      </c>
      <c r="K6" s="238" t="s">
        <v>1425</v>
      </c>
      <c r="L6" s="239" t="s">
        <v>1413</v>
      </c>
      <c r="M6" s="238" t="s">
        <v>106</v>
      </c>
      <c r="N6" s="238">
        <v>3</v>
      </c>
      <c r="O6" s="239" t="s">
        <v>1426</v>
      </c>
      <c r="P6" s="238"/>
      <c r="Q6" s="240" t="s">
        <v>1430</v>
      </c>
      <c r="R6" s="247" t="s">
        <v>1416</v>
      </c>
      <c r="S6" s="248" t="s">
        <v>1417</v>
      </c>
      <c r="T6" s="252" t="s">
        <v>1594</v>
      </c>
      <c r="U6" s="239" t="s">
        <v>1595</v>
      </c>
      <c r="V6" s="239" t="s">
        <v>1426</v>
      </c>
      <c r="W6" s="239"/>
      <c r="X6" s="239"/>
      <c r="Y6" s="240"/>
      <c r="Z6" s="252" t="s">
        <v>5</v>
      </c>
      <c r="AA6" s="239" t="s">
        <v>5</v>
      </c>
      <c r="AB6" s="239" t="s">
        <v>5</v>
      </c>
      <c r="AC6" s="240" t="s">
        <v>5</v>
      </c>
      <c r="AD6" s="252"/>
      <c r="AE6" s="239"/>
      <c r="AF6" s="239"/>
      <c r="AG6" s="240"/>
      <c r="AH6" s="62"/>
    </row>
    <row r="7" spans="1:34" s="53" customFormat="1" ht="18" customHeight="1">
      <c r="A7" s="60"/>
      <c r="B7" s="522" t="s">
        <v>142</v>
      </c>
      <c r="C7" s="628" t="s">
        <v>1404</v>
      </c>
      <c r="D7" s="60"/>
      <c r="E7" s="75">
        <v>3</v>
      </c>
      <c r="F7" s="811">
        <v>0</v>
      </c>
      <c r="G7" s="1471" t="s">
        <v>1427</v>
      </c>
      <c r="H7" s="1472" t="s">
        <v>1428</v>
      </c>
      <c r="I7" s="78" t="s">
        <v>188</v>
      </c>
      <c r="J7" s="237" t="s">
        <v>1429</v>
      </c>
      <c r="K7" s="1473">
        <v>38935</v>
      </c>
      <c r="L7" s="239" t="s">
        <v>1413</v>
      </c>
      <c r="M7" s="238" t="s">
        <v>106</v>
      </c>
      <c r="N7" s="238">
        <v>3</v>
      </c>
      <c r="O7" s="239" t="s">
        <v>1426</v>
      </c>
      <c r="P7" s="238"/>
      <c r="Q7" s="240" t="s">
        <v>1430</v>
      </c>
      <c r="R7" s="247" t="s">
        <v>1416</v>
      </c>
      <c r="S7" s="248" t="s">
        <v>1417</v>
      </c>
      <c r="T7" s="252" t="s">
        <v>1431</v>
      </c>
      <c r="U7" s="239" t="s">
        <v>1596</v>
      </c>
      <c r="V7" s="239" t="s">
        <v>1426</v>
      </c>
      <c r="W7" s="239"/>
      <c r="X7" s="239" t="s">
        <v>1420</v>
      </c>
      <c r="Y7" s="240" t="s">
        <v>1421</v>
      </c>
      <c r="Z7" s="252" t="s">
        <v>5</v>
      </c>
      <c r="AA7" s="239" t="s">
        <v>5</v>
      </c>
      <c r="AB7" s="239" t="s">
        <v>5</v>
      </c>
      <c r="AC7" s="240" t="s">
        <v>5</v>
      </c>
      <c r="AD7" s="252"/>
      <c r="AE7" s="239"/>
      <c r="AF7" s="239"/>
      <c r="AG7" s="240"/>
      <c r="AH7" s="62"/>
    </row>
    <row r="8" spans="1:34" s="53" customFormat="1" ht="18" customHeight="1">
      <c r="A8" s="60"/>
      <c r="B8" s="857" t="s">
        <v>83</v>
      </c>
      <c r="C8" s="628" t="s">
        <v>1405</v>
      </c>
      <c r="D8" s="60"/>
      <c r="E8" s="75">
        <v>4</v>
      </c>
      <c r="F8" s="811">
        <v>0</v>
      </c>
      <c r="G8" s="1471" t="s">
        <v>1432</v>
      </c>
      <c r="H8" s="1472" t="s">
        <v>1433</v>
      </c>
      <c r="I8" s="78" t="s">
        <v>188</v>
      </c>
      <c r="J8" s="237" t="s">
        <v>1424</v>
      </c>
      <c r="K8" s="1473">
        <v>39309</v>
      </c>
      <c r="L8" s="239" t="s">
        <v>1413</v>
      </c>
      <c r="M8" s="238" t="s">
        <v>106</v>
      </c>
      <c r="N8" s="238">
        <v>4</v>
      </c>
      <c r="O8" s="239" t="s">
        <v>1426</v>
      </c>
      <c r="P8" s="238"/>
      <c r="Q8" s="240" t="s">
        <v>1430</v>
      </c>
      <c r="R8" s="247" t="s">
        <v>1416</v>
      </c>
      <c r="S8" s="248" t="s">
        <v>1417</v>
      </c>
      <c r="T8" s="252" t="s">
        <v>1434</v>
      </c>
      <c r="U8" s="239" t="s">
        <v>1435</v>
      </c>
      <c r="V8" s="239" t="s">
        <v>1426</v>
      </c>
      <c r="W8" s="239"/>
      <c r="X8" s="239" t="s">
        <v>1420</v>
      </c>
      <c r="Y8" s="240" t="s">
        <v>1421</v>
      </c>
      <c r="Z8" s="252" t="s">
        <v>5</v>
      </c>
      <c r="AA8" s="239" t="s">
        <v>5</v>
      </c>
      <c r="AB8" s="239" t="s">
        <v>5</v>
      </c>
      <c r="AC8" s="240" t="s">
        <v>5</v>
      </c>
      <c r="AD8" s="252"/>
      <c r="AE8" s="239"/>
      <c r="AF8" s="239"/>
      <c r="AG8" s="240"/>
      <c r="AH8" s="62"/>
    </row>
    <row r="9" spans="1:34" s="53" customFormat="1" ht="18" customHeight="1">
      <c r="A9" s="60"/>
      <c r="B9" s="522" t="s">
        <v>23</v>
      </c>
      <c r="C9" s="1129" t="s">
        <v>1406</v>
      </c>
      <c r="D9" s="60"/>
      <c r="E9" s="75">
        <v>5</v>
      </c>
      <c r="F9" s="811">
        <v>0</v>
      </c>
      <c r="G9" s="1471" t="s">
        <v>1436</v>
      </c>
      <c r="H9" s="1472" t="s">
        <v>1437</v>
      </c>
      <c r="I9" s="78" t="s">
        <v>188</v>
      </c>
      <c r="J9" s="237" t="s">
        <v>1438</v>
      </c>
      <c r="K9" s="1473">
        <v>39398</v>
      </c>
      <c r="L9" s="239" t="s">
        <v>1413</v>
      </c>
      <c r="M9" s="238" t="s">
        <v>106</v>
      </c>
      <c r="N9" s="238">
        <v>1</v>
      </c>
      <c r="O9" s="239" t="s">
        <v>1426</v>
      </c>
      <c r="P9" s="238"/>
      <c r="Q9" s="240" t="s">
        <v>1430</v>
      </c>
      <c r="R9" s="247" t="s">
        <v>1416</v>
      </c>
      <c r="S9" s="248" t="s">
        <v>1417</v>
      </c>
      <c r="T9" s="252" t="s">
        <v>1439</v>
      </c>
      <c r="U9" s="239" t="s">
        <v>1440</v>
      </c>
      <c r="V9" s="239" t="s">
        <v>1426</v>
      </c>
      <c r="W9" s="239"/>
      <c r="X9" s="239" t="s">
        <v>1420</v>
      </c>
      <c r="Y9" s="240" t="s">
        <v>1421</v>
      </c>
      <c r="Z9" s="252" t="s">
        <v>1441</v>
      </c>
      <c r="AA9" s="239" t="s">
        <v>1429</v>
      </c>
      <c r="AB9" s="239" t="s">
        <v>5</v>
      </c>
      <c r="AC9" s="240" t="s">
        <v>1442</v>
      </c>
      <c r="AD9" s="252"/>
      <c r="AE9" s="239"/>
      <c r="AF9" s="239"/>
      <c r="AG9" s="240"/>
      <c r="AH9" s="63"/>
    </row>
    <row r="10" spans="1:34" s="53" customFormat="1" ht="18" customHeight="1">
      <c r="A10" s="60"/>
      <c r="B10" s="522" t="s">
        <v>24</v>
      </c>
      <c r="C10" s="662">
        <v>1</v>
      </c>
      <c r="D10" s="60"/>
      <c r="E10" s="75">
        <v>6</v>
      </c>
      <c r="F10" s="811">
        <v>0</v>
      </c>
      <c r="G10" s="1471" t="s">
        <v>1443</v>
      </c>
      <c r="H10" s="1472" t="s">
        <v>1444</v>
      </c>
      <c r="I10" s="78" t="s">
        <v>188</v>
      </c>
      <c r="J10" s="237" t="s">
        <v>1445</v>
      </c>
      <c r="K10" s="1473">
        <v>39002</v>
      </c>
      <c r="L10" s="239" t="s">
        <v>1413</v>
      </c>
      <c r="M10" s="238" t="s">
        <v>106</v>
      </c>
      <c r="N10" s="238">
        <v>4</v>
      </c>
      <c r="O10" s="239" t="s">
        <v>1426</v>
      </c>
      <c r="P10" s="238"/>
      <c r="Q10" s="240" t="s">
        <v>1430</v>
      </c>
      <c r="R10" s="247" t="s">
        <v>1416</v>
      </c>
      <c r="S10" s="248" t="s">
        <v>1417</v>
      </c>
      <c r="T10" s="252" t="s">
        <v>1446</v>
      </c>
      <c r="U10" s="239" t="s">
        <v>1447</v>
      </c>
      <c r="V10" s="239" t="s">
        <v>1426</v>
      </c>
      <c r="W10" s="239"/>
      <c r="X10" s="239" t="s">
        <v>1420</v>
      </c>
      <c r="Y10" s="240" t="s">
        <v>1421</v>
      </c>
      <c r="Z10" s="252" t="s">
        <v>5</v>
      </c>
      <c r="AA10" s="239" t="s">
        <v>5</v>
      </c>
      <c r="AB10" s="239" t="s">
        <v>5</v>
      </c>
      <c r="AC10" s="240" t="s">
        <v>5</v>
      </c>
      <c r="AD10" s="252"/>
      <c r="AE10" s="239"/>
      <c r="AF10" s="239"/>
      <c r="AG10" s="240"/>
      <c r="AH10" s="64"/>
    </row>
    <row r="11" spans="1:34" s="53" customFormat="1" ht="18" customHeight="1">
      <c r="A11" s="60"/>
      <c r="B11" s="522" t="s">
        <v>25</v>
      </c>
      <c r="C11" s="628" t="s">
        <v>1407</v>
      </c>
      <c r="D11" s="60"/>
      <c r="E11" s="75">
        <v>7</v>
      </c>
      <c r="F11" s="811">
        <v>0</v>
      </c>
      <c r="G11" s="1471" t="s">
        <v>1448</v>
      </c>
      <c r="H11" s="1472" t="s">
        <v>1449</v>
      </c>
      <c r="I11" s="78" t="s">
        <v>101</v>
      </c>
      <c r="J11" s="237" t="s">
        <v>1450</v>
      </c>
      <c r="K11" s="1473">
        <v>38593</v>
      </c>
      <c r="L11" s="239" t="s">
        <v>1413</v>
      </c>
      <c r="M11" s="238" t="s">
        <v>106</v>
      </c>
      <c r="N11" s="238">
        <v>1</v>
      </c>
      <c r="O11" s="239" t="s">
        <v>1451</v>
      </c>
      <c r="P11" s="238"/>
      <c r="Q11" s="240" t="s">
        <v>1452</v>
      </c>
      <c r="R11" s="247" t="s">
        <v>1416</v>
      </c>
      <c r="S11" s="248" t="s">
        <v>1417</v>
      </c>
      <c r="T11" s="252" t="s">
        <v>1453</v>
      </c>
      <c r="U11" s="239" t="s">
        <v>1454</v>
      </c>
      <c r="V11" s="239" t="s">
        <v>1451</v>
      </c>
      <c r="W11" s="239"/>
      <c r="X11" s="239" t="s">
        <v>1455</v>
      </c>
      <c r="Y11" s="240" t="s">
        <v>1421</v>
      </c>
      <c r="Z11" s="252" t="s">
        <v>5</v>
      </c>
      <c r="AA11" s="239" t="s">
        <v>5</v>
      </c>
      <c r="AB11" s="239" t="s">
        <v>5</v>
      </c>
      <c r="AC11" s="240" t="s">
        <v>5</v>
      </c>
      <c r="AD11" s="252"/>
      <c r="AE11" s="239"/>
      <c r="AF11" s="239"/>
      <c r="AG11" s="240"/>
      <c r="AH11" s="64"/>
    </row>
    <row r="12" spans="1:34" s="53" customFormat="1" ht="18" customHeight="1">
      <c r="A12" s="60"/>
      <c r="B12" s="521" t="s">
        <v>29</v>
      </c>
      <c r="C12" s="627" t="s">
        <v>1408</v>
      </c>
      <c r="D12" s="60"/>
      <c r="E12" s="75">
        <v>8</v>
      </c>
      <c r="F12" s="811">
        <v>0</v>
      </c>
      <c r="G12" s="1471" t="s">
        <v>1456</v>
      </c>
      <c r="H12" s="1472" t="s">
        <v>1457</v>
      </c>
      <c r="I12" s="78" t="s">
        <v>101</v>
      </c>
      <c r="J12" s="237"/>
      <c r="K12" s="238"/>
      <c r="L12" s="239" t="s">
        <v>1413</v>
      </c>
      <c r="M12" s="238" t="s">
        <v>106</v>
      </c>
      <c r="N12" s="238"/>
      <c r="O12" s="239"/>
      <c r="P12" s="238"/>
      <c r="Q12" s="240"/>
      <c r="R12" s="247" t="s">
        <v>1416</v>
      </c>
      <c r="S12" s="248" t="s">
        <v>1417</v>
      </c>
      <c r="T12" s="252"/>
      <c r="U12" s="239"/>
      <c r="V12" s="239"/>
      <c r="W12" s="239"/>
      <c r="X12" s="239"/>
      <c r="Y12" s="240"/>
      <c r="Z12" s="252" t="s">
        <v>5</v>
      </c>
      <c r="AA12" s="239" t="s">
        <v>5</v>
      </c>
      <c r="AB12" s="239" t="s">
        <v>5</v>
      </c>
      <c r="AC12" s="240" t="s">
        <v>5</v>
      </c>
      <c r="AD12" s="252"/>
      <c r="AE12" s="239"/>
      <c r="AF12" s="239"/>
      <c r="AG12" s="240"/>
      <c r="AH12" s="62"/>
    </row>
    <row r="13" spans="1:34" s="53" customFormat="1" ht="18" customHeight="1">
      <c r="A13" s="60"/>
      <c r="B13" s="857" t="s">
        <v>83</v>
      </c>
      <c r="C13" s="627" t="s">
        <v>1409</v>
      </c>
      <c r="D13" s="60"/>
      <c r="E13" s="75">
        <v>9</v>
      </c>
      <c r="F13" s="811">
        <v>0</v>
      </c>
      <c r="G13" s="1471" t="s">
        <v>1458</v>
      </c>
      <c r="H13" s="1472" t="s">
        <v>1459</v>
      </c>
      <c r="I13" s="78" t="s">
        <v>101</v>
      </c>
      <c r="J13" s="237"/>
      <c r="K13" s="238"/>
      <c r="L13" s="239" t="s">
        <v>1413</v>
      </c>
      <c r="M13" s="238" t="s">
        <v>106</v>
      </c>
      <c r="N13" s="238"/>
      <c r="O13" s="239"/>
      <c r="P13" s="238"/>
      <c r="Q13" s="240"/>
      <c r="R13" s="247" t="s">
        <v>1416</v>
      </c>
      <c r="S13" s="248" t="s">
        <v>1417</v>
      </c>
      <c r="T13" s="252"/>
      <c r="U13" s="239"/>
      <c r="V13" s="239"/>
      <c r="W13" s="239"/>
      <c r="X13" s="239"/>
      <c r="Y13" s="240"/>
      <c r="Z13" s="252" t="s">
        <v>5</v>
      </c>
      <c r="AA13" s="239" t="s">
        <v>5</v>
      </c>
      <c r="AB13" s="239" t="s">
        <v>5</v>
      </c>
      <c r="AC13" s="240" t="s">
        <v>5</v>
      </c>
      <c r="AD13" s="252"/>
      <c r="AE13" s="239"/>
      <c r="AF13" s="239"/>
      <c r="AG13" s="240"/>
      <c r="AH13" s="62"/>
    </row>
    <row r="14" spans="1:34" s="53" customFormat="1" ht="18" customHeight="1">
      <c r="A14" s="60"/>
      <c r="B14" s="522" t="s">
        <v>174</v>
      </c>
      <c r="C14" s="628" t="s">
        <v>1410</v>
      </c>
      <c r="D14" s="60"/>
      <c r="E14" s="75">
        <v>10</v>
      </c>
      <c r="F14" s="811">
        <v>0</v>
      </c>
      <c r="G14" s="1471" t="s">
        <v>1460</v>
      </c>
      <c r="H14" s="1472" t="s">
        <v>1461</v>
      </c>
      <c r="I14" s="78" t="s">
        <v>188</v>
      </c>
      <c r="J14" s="237" t="s">
        <v>1450</v>
      </c>
      <c r="K14" s="1473">
        <v>37961</v>
      </c>
      <c r="L14" s="239" t="s">
        <v>1413</v>
      </c>
      <c r="M14" s="238" t="s">
        <v>106</v>
      </c>
      <c r="N14" s="238">
        <v>2</v>
      </c>
      <c r="O14" s="239" t="s">
        <v>1451</v>
      </c>
      <c r="P14" s="238"/>
      <c r="Q14" s="240" t="s">
        <v>1452</v>
      </c>
      <c r="R14" s="247" t="s">
        <v>1416</v>
      </c>
      <c r="S14" s="248" t="s">
        <v>1417</v>
      </c>
      <c r="T14" s="252" t="s">
        <v>1462</v>
      </c>
      <c r="U14" s="239" t="s">
        <v>1463</v>
      </c>
      <c r="V14" s="239" t="s">
        <v>1451</v>
      </c>
      <c r="W14" s="239"/>
      <c r="X14" s="239" t="s">
        <v>1420</v>
      </c>
      <c r="Y14" s="240" t="s">
        <v>1421</v>
      </c>
      <c r="Z14" s="252" t="s">
        <v>5</v>
      </c>
      <c r="AA14" s="239" t="s">
        <v>5</v>
      </c>
      <c r="AB14" s="239" t="s">
        <v>5</v>
      </c>
      <c r="AC14" s="240" t="s">
        <v>5</v>
      </c>
      <c r="AD14" s="252"/>
      <c r="AE14" s="239"/>
      <c r="AF14" s="239"/>
      <c r="AG14" s="240"/>
      <c r="AH14" s="62"/>
    </row>
    <row r="15" spans="1:34" s="53" customFormat="1" ht="18" customHeight="1">
      <c r="A15" s="60"/>
      <c r="B15" s="523" t="s">
        <v>72</v>
      </c>
      <c r="C15" s="333">
        <v>44917</v>
      </c>
      <c r="D15" s="60"/>
      <c r="E15" s="75">
        <v>11</v>
      </c>
      <c r="F15" s="811">
        <v>0</v>
      </c>
      <c r="G15" s="1471" t="s">
        <v>1464</v>
      </c>
      <c r="H15" s="1472" t="s">
        <v>1465</v>
      </c>
      <c r="I15" s="78" t="s">
        <v>188</v>
      </c>
      <c r="J15" s="237" t="s">
        <v>1429</v>
      </c>
      <c r="K15" s="1473">
        <v>39175</v>
      </c>
      <c r="L15" s="239" t="s">
        <v>1413</v>
      </c>
      <c r="M15" s="238" t="s">
        <v>106</v>
      </c>
      <c r="N15" s="238">
        <v>3</v>
      </c>
      <c r="O15" s="239" t="s">
        <v>1426</v>
      </c>
      <c r="P15" s="238"/>
      <c r="Q15" s="240" t="s">
        <v>1430</v>
      </c>
      <c r="R15" s="247" t="s">
        <v>1416</v>
      </c>
      <c r="S15" s="248" t="s">
        <v>1417</v>
      </c>
      <c r="T15" s="252" t="s">
        <v>1466</v>
      </c>
      <c r="U15" s="239" t="s">
        <v>1467</v>
      </c>
      <c r="V15" s="239" t="s">
        <v>1426</v>
      </c>
      <c r="W15" s="239"/>
      <c r="X15" s="239" t="s">
        <v>1420</v>
      </c>
      <c r="Y15" s="240" t="s">
        <v>1421</v>
      </c>
      <c r="Z15" s="252" t="s">
        <v>5</v>
      </c>
      <c r="AA15" s="239" t="s">
        <v>5</v>
      </c>
      <c r="AB15" s="239" t="s">
        <v>5</v>
      </c>
      <c r="AC15" s="240" t="s">
        <v>5</v>
      </c>
      <c r="AD15" s="252"/>
      <c r="AE15" s="239"/>
      <c r="AF15" s="239"/>
      <c r="AG15" s="240"/>
      <c r="AH15" s="62"/>
    </row>
    <row r="16" spans="1:34" s="53" customFormat="1" ht="18" customHeight="1">
      <c r="A16" s="60"/>
      <c r="B16" s="724" t="s">
        <v>481</v>
      </c>
      <c r="C16" s="725">
        <v>1</v>
      </c>
      <c r="D16" s="60"/>
      <c r="E16" s="75">
        <v>12</v>
      </c>
      <c r="F16" s="811">
        <v>0</v>
      </c>
      <c r="G16" s="1471" t="s">
        <v>1468</v>
      </c>
      <c r="H16" s="1472" t="s">
        <v>1469</v>
      </c>
      <c r="I16" s="78" t="s">
        <v>101</v>
      </c>
      <c r="J16" s="237" t="s">
        <v>1470</v>
      </c>
      <c r="K16" s="1473">
        <v>39338</v>
      </c>
      <c r="L16" s="239" t="s">
        <v>1413</v>
      </c>
      <c r="M16" s="238" t="s">
        <v>106</v>
      </c>
      <c r="N16" s="238">
        <v>6</v>
      </c>
      <c r="O16" s="239" t="s">
        <v>1426</v>
      </c>
      <c r="P16" s="238"/>
      <c r="Q16" s="240" t="s">
        <v>1430</v>
      </c>
      <c r="R16" s="247" t="s">
        <v>1416</v>
      </c>
      <c r="S16" s="248" t="s">
        <v>1417</v>
      </c>
      <c r="T16" s="252" t="s">
        <v>1471</v>
      </c>
      <c r="U16" s="239" t="s">
        <v>1472</v>
      </c>
      <c r="V16" s="239" t="s">
        <v>1426</v>
      </c>
      <c r="W16" s="239"/>
      <c r="X16" s="239"/>
      <c r="Y16" s="240"/>
      <c r="Z16" s="252" t="s">
        <v>1473</v>
      </c>
      <c r="AA16" s="239" t="s">
        <v>1429</v>
      </c>
      <c r="AB16" s="239"/>
      <c r="AC16" s="240" t="s">
        <v>1442</v>
      </c>
      <c r="AD16" s="252"/>
      <c r="AE16" s="239"/>
      <c r="AF16" s="239"/>
      <c r="AG16" s="240"/>
      <c r="AH16" s="63"/>
    </row>
    <row r="17" spans="1:34" s="53" customFormat="1" ht="18" customHeight="1">
      <c r="A17" s="60"/>
      <c r="B17" s="1527" t="s">
        <v>297</v>
      </c>
      <c r="C17" s="1528"/>
      <c r="D17" s="60"/>
      <c r="E17" s="75">
        <v>13</v>
      </c>
      <c r="F17" s="811">
        <v>0</v>
      </c>
      <c r="G17" s="1471" t="s">
        <v>1474</v>
      </c>
      <c r="H17" s="1472" t="s">
        <v>1475</v>
      </c>
      <c r="I17" s="78" t="s">
        <v>188</v>
      </c>
      <c r="J17" s="237" t="s">
        <v>1476</v>
      </c>
      <c r="K17" s="1473">
        <v>38590</v>
      </c>
      <c r="L17" s="239" t="s">
        <v>1413</v>
      </c>
      <c r="M17" s="238" t="s">
        <v>106</v>
      </c>
      <c r="N17" s="238">
        <v>1</v>
      </c>
      <c r="O17" s="239" t="s">
        <v>1451</v>
      </c>
      <c r="P17" s="238"/>
      <c r="Q17" s="240" t="s">
        <v>1452</v>
      </c>
      <c r="R17" s="247" t="s">
        <v>1416</v>
      </c>
      <c r="S17" s="248" t="s">
        <v>1417</v>
      </c>
      <c r="T17" s="252" t="s">
        <v>1477</v>
      </c>
      <c r="U17" s="239" t="s">
        <v>1478</v>
      </c>
      <c r="V17" s="239" t="s">
        <v>1451</v>
      </c>
      <c r="W17" s="239"/>
      <c r="X17" s="239" t="s">
        <v>1420</v>
      </c>
      <c r="Y17" s="240" t="s">
        <v>1421</v>
      </c>
      <c r="Z17" s="252" t="s">
        <v>5</v>
      </c>
      <c r="AA17" s="239" t="s">
        <v>5</v>
      </c>
      <c r="AB17" s="239" t="s">
        <v>5</v>
      </c>
      <c r="AC17" s="240" t="s">
        <v>5</v>
      </c>
      <c r="AD17" s="252"/>
      <c r="AE17" s="239"/>
      <c r="AF17" s="239"/>
      <c r="AG17" s="240"/>
      <c r="AH17" s="63"/>
    </row>
    <row r="18" spans="1:34" s="53" customFormat="1" ht="18" customHeight="1">
      <c r="A18" s="60"/>
      <c r="B18" s="524" t="s">
        <v>294</v>
      </c>
      <c r="C18" s="629" t="s">
        <v>300</v>
      </c>
      <c r="D18" s="60"/>
      <c r="E18" s="75">
        <v>14</v>
      </c>
      <c r="F18" s="811">
        <v>0</v>
      </c>
      <c r="G18" s="1471" t="s">
        <v>1479</v>
      </c>
      <c r="H18" s="1474" t="s">
        <v>1480</v>
      </c>
      <c r="I18" s="78" t="s">
        <v>101</v>
      </c>
      <c r="J18" s="237"/>
      <c r="K18" s="238"/>
      <c r="L18" s="239" t="s">
        <v>1481</v>
      </c>
      <c r="M18" s="238" t="s">
        <v>106</v>
      </c>
      <c r="N18" s="238">
        <v>3</v>
      </c>
      <c r="O18" s="239" t="s">
        <v>1451</v>
      </c>
      <c r="P18" s="238"/>
      <c r="Q18" s="240"/>
      <c r="R18" s="247" t="s">
        <v>1416</v>
      </c>
      <c r="S18" s="248" t="s">
        <v>1417</v>
      </c>
      <c r="T18" s="252" t="s">
        <v>1482</v>
      </c>
      <c r="U18" s="239"/>
      <c r="V18" s="239" t="s">
        <v>1451</v>
      </c>
      <c r="W18" s="239"/>
      <c r="X18" s="239" t="s">
        <v>1420</v>
      </c>
      <c r="Y18" s="240" t="s">
        <v>1421</v>
      </c>
      <c r="Z18" s="252" t="s">
        <v>5</v>
      </c>
      <c r="AA18" s="239" t="s">
        <v>5</v>
      </c>
      <c r="AB18" s="239" t="s">
        <v>5</v>
      </c>
      <c r="AC18" s="240" t="s">
        <v>5</v>
      </c>
      <c r="AD18" s="252"/>
      <c r="AE18" s="239"/>
      <c r="AF18" s="239"/>
      <c r="AG18" s="240"/>
      <c r="AH18" s="63"/>
    </row>
    <row r="19" spans="1:34" s="53" customFormat="1" ht="18" customHeight="1">
      <c r="A19" s="60"/>
      <c r="B19" s="525" t="s">
        <v>296</v>
      </c>
      <c r="C19" s="331" t="str">
        <f>TEXT(1234,C18)</f>
        <v>01234</v>
      </c>
      <c r="D19" s="60"/>
      <c r="E19" s="75">
        <v>15</v>
      </c>
      <c r="F19" s="811">
        <v>0</v>
      </c>
      <c r="G19" s="1471" t="s">
        <v>1483</v>
      </c>
      <c r="H19" s="1474" t="s">
        <v>1484</v>
      </c>
      <c r="I19" s="78" t="s">
        <v>188</v>
      </c>
      <c r="J19" s="237" t="s">
        <v>1424</v>
      </c>
      <c r="K19" s="1473">
        <v>38677</v>
      </c>
      <c r="L19" s="239" t="s">
        <v>1413</v>
      </c>
      <c r="M19" s="238" t="s">
        <v>106</v>
      </c>
      <c r="N19" s="238">
        <v>2</v>
      </c>
      <c r="O19" s="239" t="s">
        <v>1426</v>
      </c>
      <c r="P19" s="238"/>
      <c r="Q19" s="240" t="s">
        <v>1430</v>
      </c>
      <c r="R19" s="247" t="s">
        <v>1416</v>
      </c>
      <c r="S19" s="248" t="s">
        <v>1485</v>
      </c>
      <c r="T19" s="252" t="s">
        <v>1486</v>
      </c>
      <c r="U19" s="239" t="s">
        <v>1487</v>
      </c>
      <c r="V19" s="239" t="s">
        <v>1426</v>
      </c>
      <c r="W19" s="239"/>
      <c r="X19" s="239" t="s">
        <v>1420</v>
      </c>
      <c r="Y19" s="240" t="s">
        <v>1421</v>
      </c>
      <c r="Z19" s="252" t="s">
        <v>5</v>
      </c>
      <c r="AA19" s="239" t="s">
        <v>5</v>
      </c>
      <c r="AB19" s="239" t="s">
        <v>5</v>
      </c>
      <c r="AC19" s="240" t="s">
        <v>5</v>
      </c>
      <c r="AD19" s="252"/>
      <c r="AE19" s="239"/>
      <c r="AF19" s="239"/>
      <c r="AG19" s="240"/>
      <c r="AH19" s="63"/>
    </row>
    <row r="20" spans="1:34" s="53" customFormat="1" ht="18" customHeight="1">
      <c r="A20" s="60"/>
      <c r="B20" s="525" t="s">
        <v>295</v>
      </c>
      <c r="C20" s="629" t="s">
        <v>301</v>
      </c>
      <c r="D20" s="60"/>
      <c r="E20" s="75">
        <v>16</v>
      </c>
      <c r="F20" s="811">
        <v>0</v>
      </c>
      <c r="G20" s="1471" t="s">
        <v>1488</v>
      </c>
      <c r="H20" s="1474" t="s">
        <v>1489</v>
      </c>
      <c r="I20" s="78" t="s">
        <v>188</v>
      </c>
      <c r="J20" s="237" t="s">
        <v>1476</v>
      </c>
      <c r="K20" s="1473">
        <v>39000</v>
      </c>
      <c r="L20" s="239" t="s">
        <v>1413</v>
      </c>
      <c r="M20" s="238" t="s">
        <v>106</v>
      </c>
      <c r="N20" s="238">
        <v>1</v>
      </c>
      <c r="O20" s="239" t="s">
        <v>1451</v>
      </c>
      <c r="P20" s="238"/>
      <c r="Q20" s="240" t="s">
        <v>1597</v>
      </c>
      <c r="R20" s="247" t="s">
        <v>1416</v>
      </c>
      <c r="S20" s="248" t="s">
        <v>1417</v>
      </c>
      <c r="T20" s="252" t="s">
        <v>1490</v>
      </c>
      <c r="U20" s="239" t="s">
        <v>1598</v>
      </c>
      <c r="V20" s="239" t="s">
        <v>1451</v>
      </c>
      <c r="W20" s="239"/>
      <c r="X20" s="239" t="s">
        <v>1420</v>
      </c>
      <c r="Y20" s="240" t="s">
        <v>1421</v>
      </c>
      <c r="Z20" s="252" t="s">
        <v>5</v>
      </c>
      <c r="AA20" s="239" t="s">
        <v>5</v>
      </c>
      <c r="AB20" s="239" t="s">
        <v>5</v>
      </c>
      <c r="AC20" s="240" t="s">
        <v>5</v>
      </c>
      <c r="AD20" s="252"/>
      <c r="AE20" s="239"/>
      <c r="AF20" s="239"/>
      <c r="AG20" s="240"/>
      <c r="AH20" s="63"/>
    </row>
    <row r="21" spans="1:34" s="53" customFormat="1" ht="18" customHeight="1">
      <c r="A21" s="60"/>
      <c r="B21" s="526" t="s">
        <v>296</v>
      </c>
      <c r="C21" s="332" t="str">
        <f>TEXT(12345678,C20)</f>
        <v>0012345678</v>
      </c>
      <c r="D21" s="60"/>
      <c r="E21" s="75">
        <v>17</v>
      </c>
      <c r="F21" s="811">
        <v>0</v>
      </c>
      <c r="G21" s="1471" t="s">
        <v>1491</v>
      </c>
      <c r="H21" s="1474" t="s">
        <v>1492</v>
      </c>
      <c r="I21" s="78" t="s">
        <v>101</v>
      </c>
      <c r="J21" s="237" t="s">
        <v>1493</v>
      </c>
      <c r="K21" s="1473">
        <v>38409</v>
      </c>
      <c r="L21" s="239" t="s">
        <v>1413</v>
      </c>
      <c r="M21" s="238" t="s">
        <v>106</v>
      </c>
      <c r="N21" s="238">
        <v>6</v>
      </c>
      <c r="O21" s="239" t="s">
        <v>1426</v>
      </c>
      <c r="P21" s="238"/>
      <c r="Q21" s="240" t="s">
        <v>1494</v>
      </c>
      <c r="R21" s="247" t="s">
        <v>1416</v>
      </c>
      <c r="S21" s="248" t="s">
        <v>1417</v>
      </c>
      <c r="T21" s="252" t="s">
        <v>1495</v>
      </c>
      <c r="U21" s="239"/>
      <c r="V21" s="239" t="s">
        <v>1426</v>
      </c>
      <c r="W21" s="239"/>
      <c r="X21" s="239"/>
      <c r="Y21" s="240"/>
      <c r="Z21" s="252" t="s">
        <v>5</v>
      </c>
      <c r="AA21" s="239" t="s">
        <v>5</v>
      </c>
      <c r="AB21" s="239" t="s">
        <v>5</v>
      </c>
      <c r="AC21" s="240" t="s">
        <v>5</v>
      </c>
      <c r="AD21" s="252"/>
      <c r="AE21" s="239"/>
      <c r="AF21" s="239"/>
      <c r="AG21" s="240"/>
      <c r="AH21" s="63"/>
    </row>
    <row r="22" spans="1:34" s="53" customFormat="1" ht="18" customHeight="1">
      <c r="A22" s="60"/>
      <c r="B22" s="223"/>
      <c r="C22" s="71"/>
      <c r="D22" s="60"/>
      <c r="E22" s="75">
        <v>18</v>
      </c>
      <c r="F22" s="811">
        <v>0</v>
      </c>
      <c r="G22" s="1471" t="s">
        <v>1496</v>
      </c>
      <c r="H22" s="1474" t="s">
        <v>1497</v>
      </c>
      <c r="I22" s="78" t="s">
        <v>188</v>
      </c>
      <c r="J22" s="237" t="s">
        <v>1450</v>
      </c>
      <c r="K22" s="1473">
        <v>39263</v>
      </c>
      <c r="L22" s="239" t="s">
        <v>1413</v>
      </c>
      <c r="M22" s="238" t="s">
        <v>106</v>
      </c>
      <c r="N22" s="238">
        <v>5</v>
      </c>
      <c r="O22" s="239" t="s">
        <v>1451</v>
      </c>
      <c r="P22" s="238"/>
      <c r="Q22" s="240" t="s">
        <v>1452</v>
      </c>
      <c r="R22" s="247" t="s">
        <v>1416</v>
      </c>
      <c r="S22" s="248" t="s">
        <v>1417</v>
      </c>
      <c r="T22" s="252" t="s">
        <v>1498</v>
      </c>
      <c r="U22" s="239" t="s">
        <v>1499</v>
      </c>
      <c r="V22" s="239" t="s">
        <v>1451</v>
      </c>
      <c r="W22" s="239"/>
      <c r="X22" s="239" t="s">
        <v>1420</v>
      </c>
      <c r="Y22" s="240" t="s">
        <v>1421</v>
      </c>
      <c r="Z22" s="252" t="s">
        <v>5</v>
      </c>
      <c r="AA22" s="239" t="s">
        <v>5</v>
      </c>
      <c r="AB22" s="239" t="s">
        <v>5</v>
      </c>
      <c r="AC22" s="240" t="s">
        <v>5</v>
      </c>
      <c r="AD22" s="252"/>
      <c r="AE22" s="239"/>
      <c r="AF22" s="239"/>
      <c r="AG22" s="240"/>
      <c r="AH22" s="63"/>
    </row>
    <row r="23" spans="1:34" s="53" customFormat="1" ht="18" customHeight="1">
      <c r="A23" s="60"/>
      <c r="B23" s="225"/>
      <c r="C23" s="71"/>
      <c r="D23" s="60"/>
      <c r="E23" s="75">
        <v>19</v>
      </c>
      <c r="F23" s="811">
        <v>0</v>
      </c>
      <c r="G23" s="1471" t="s">
        <v>1500</v>
      </c>
      <c r="H23" s="1474" t="s">
        <v>1501</v>
      </c>
      <c r="I23" s="78" t="s">
        <v>101</v>
      </c>
      <c r="J23" s="237" t="s">
        <v>1476</v>
      </c>
      <c r="K23" s="1473">
        <v>38921</v>
      </c>
      <c r="L23" s="239" t="s">
        <v>1413</v>
      </c>
      <c r="M23" s="238" t="s">
        <v>106</v>
      </c>
      <c r="N23" s="238">
        <v>7</v>
      </c>
      <c r="O23" s="239" t="s">
        <v>1451</v>
      </c>
      <c r="P23" s="238"/>
      <c r="Q23" s="240"/>
      <c r="R23" s="247" t="s">
        <v>1416</v>
      </c>
      <c r="S23" s="248" t="s">
        <v>1417</v>
      </c>
      <c r="T23" s="252" t="s">
        <v>1502</v>
      </c>
      <c r="U23" s="239" t="s">
        <v>1503</v>
      </c>
      <c r="V23" s="239" t="s">
        <v>1451</v>
      </c>
      <c r="W23" s="239"/>
      <c r="X23" s="239" t="s">
        <v>1420</v>
      </c>
      <c r="Y23" s="240" t="s">
        <v>1421</v>
      </c>
      <c r="Z23" s="252" t="s">
        <v>5</v>
      </c>
      <c r="AA23" s="239" t="s">
        <v>5</v>
      </c>
      <c r="AB23" s="239" t="s">
        <v>5</v>
      </c>
      <c r="AC23" s="240" t="s">
        <v>5</v>
      </c>
      <c r="AD23" s="252"/>
      <c r="AE23" s="239"/>
      <c r="AF23" s="239"/>
      <c r="AG23" s="240"/>
      <c r="AH23" s="63"/>
    </row>
    <row r="24" spans="1:34" s="53" customFormat="1" ht="18" customHeight="1">
      <c r="A24" s="60"/>
      <c r="B24" s="225"/>
      <c r="C24" s="71"/>
      <c r="D24" s="60"/>
      <c r="E24" s="75">
        <v>20</v>
      </c>
      <c r="F24" s="811">
        <v>0</v>
      </c>
      <c r="G24" s="1471" t="s">
        <v>1504</v>
      </c>
      <c r="H24" s="1474" t="s">
        <v>1505</v>
      </c>
      <c r="I24" s="78" t="s">
        <v>101</v>
      </c>
      <c r="J24" s="237" t="s">
        <v>1506</v>
      </c>
      <c r="K24" s="1473">
        <v>38742</v>
      </c>
      <c r="L24" s="239" t="s">
        <v>1413</v>
      </c>
      <c r="M24" s="238" t="s">
        <v>106</v>
      </c>
      <c r="N24" s="238">
        <v>1</v>
      </c>
      <c r="O24" s="239" t="s">
        <v>1507</v>
      </c>
      <c r="P24" s="238"/>
      <c r="Q24" s="240" t="s">
        <v>1508</v>
      </c>
      <c r="R24" s="247" t="s">
        <v>1416</v>
      </c>
      <c r="S24" s="248" t="s">
        <v>1417</v>
      </c>
      <c r="T24" s="252" t="s">
        <v>1509</v>
      </c>
      <c r="U24" s="239" t="s">
        <v>1510</v>
      </c>
      <c r="V24" s="239" t="s">
        <v>1507</v>
      </c>
      <c r="W24" s="239"/>
      <c r="X24" s="239" t="s">
        <v>1420</v>
      </c>
      <c r="Y24" s="240" t="s">
        <v>1421</v>
      </c>
      <c r="Z24" s="252" t="s">
        <v>5</v>
      </c>
      <c r="AA24" s="239" t="s">
        <v>5</v>
      </c>
      <c r="AB24" s="239" t="s">
        <v>5</v>
      </c>
      <c r="AC24" s="240" t="s">
        <v>5</v>
      </c>
      <c r="AD24" s="252"/>
      <c r="AE24" s="239"/>
      <c r="AF24" s="239"/>
      <c r="AG24" s="240"/>
      <c r="AH24" s="63"/>
    </row>
    <row r="25" spans="1:34" s="53" customFormat="1" ht="18" customHeight="1">
      <c r="A25" s="60"/>
      <c r="B25" s="223"/>
      <c r="C25" s="224"/>
      <c r="D25" s="60"/>
      <c r="E25" s="75">
        <v>21</v>
      </c>
      <c r="F25" s="811">
        <v>0</v>
      </c>
      <c r="G25" s="1471" t="s">
        <v>1511</v>
      </c>
      <c r="H25" s="1474" t="s">
        <v>1512</v>
      </c>
      <c r="I25" s="78" t="s">
        <v>101</v>
      </c>
      <c r="J25" s="237" t="s">
        <v>1429</v>
      </c>
      <c r="K25" s="1473">
        <v>39239</v>
      </c>
      <c r="L25" s="239" t="s">
        <v>1413</v>
      </c>
      <c r="M25" s="238" t="s">
        <v>106</v>
      </c>
      <c r="N25" s="238">
        <v>4</v>
      </c>
      <c r="O25" s="239" t="s">
        <v>1426</v>
      </c>
      <c r="P25" s="238"/>
      <c r="Q25" s="240" t="s">
        <v>1430</v>
      </c>
      <c r="R25" s="247" t="s">
        <v>1416</v>
      </c>
      <c r="S25" s="248" t="s">
        <v>1417</v>
      </c>
      <c r="T25" s="252" t="s">
        <v>1513</v>
      </c>
      <c r="U25" s="239" t="s">
        <v>1514</v>
      </c>
      <c r="V25" s="239" t="s">
        <v>1426</v>
      </c>
      <c r="W25" s="239"/>
      <c r="X25" s="239" t="s">
        <v>1420</v>
      </c>
      <c r="Y25" s="240" t="s">
        <v>1421</v>
      </c>
      <c r="Z25" s="252" t="s">
        <v>5</v>
      </c>
      <c r="AA25" s="239" t="s">
        <v>5</v>
      </c>
      <c r="AB25" s="239" t="s">
        <v>5</v>
      </c>
      <c r="AC25" s="240" t="s">
        <v>5</v>
      </c>
      <c r="AD25" s="252"/>
      <c r="AE25" s="239"/>
      <c r="AF25" s="239"/>
      <c r="AG25" s="240"/>
      <c r="AH25" s="63"/>
    </row>
    <row r="26" spans="1:34" s="53" customFormat="1" ht="18" customHeight="1">
      <c r="A26" s="60"/>
      <c r="B26" s="226"/>
      <c r="C26" s="224"/>
      <c r="D26" s="60"/>
      <c r="E26" s="75">
        <v>22</v>
      </c>
      <c r="F26" s="811">
        <v>0</v>
      </c>
      <c r="G26" s="1471" t="s">
        <v>1515</v>
      </c>
      <c r="H26" s="1474" t="s">
        <v>1516</v>
      </c>
      <c r="I26" s="78" t="s">
        <v>188</v>
      </c>
      <c r="J26" s="237" t="s">
        <v>1429</v>
      </c>
      <c r="K26" s="1473">
        <v>38947</v>
      </c>
      <c r="L26" s="239" t="s">
        <v>1413</v>
      </c>
      <c r="M26" s="238" t="s">
        <v>106</v>
      </c>
      <c r="N26" s="238">
        <v>4</v>
      </c>
      <c r="O26" s="239" t="s">
        <v>1426</v>
      </c>
      <c r="P26" s="238"/>
      <c r="Q26" s="240" t="s">
        <v>1430</v>
      </c>
      <c r="R26" s="247" t="s">
        <v>1416</v>
      </c>
      <c r="S26" s="248" t="s">
        <v>1417</v>
      </c>
      <c r="T26" s="252" t="s">
        <v>1517</v>
      </c>
      <c r="U26" s="239" t="s">
        <v>1518</v>
      </c>
      <c r="V26" s="239" t="s">
        <v>1426</v>
      </c>
      <c r="W26" s="239"/>
      <c r="X26" s="239" t="s">
        <v>1420</v>
      </c>
      <c r="Y26" s="240" t="s">
        <v>1421</v>
      </c>
      <c r="Z26" s="252" t="s">
        <v>5</v>
      </c>
      <c r="AA26" s="239" t="s">
        <v>5</v>
      </c>
      <c r="AB26" s="239" t="s">
        <v>5</v>
      </c>
      <c r="AC26" s="240" t="s">
        <v>5</v>
      </c>
      <c r="AD26" s="252"/>
      <c r="AE26" s="239"/>
      <c r="AF26" s="239"/>
      <c r="AG26" s="240"/>
      <c r="AH26" s="63"/>
    </row>
    <row r="27" spans="1:34" s="53" customFormat="1" ht="18" customHeight="1">
      <c r="A27" s="60"/>
      <c r="B27" s="223"/>
      <c r="C27" s="71"/>
      <c r="D27" s="60"/>
      <c r="E27" s="75">
        <v>23</v>
      </c>
      <c r="F27" s="811">
        <v>0</v>
      </c>
      <c r="G27" s="1471" t="s">
        <v>1519</v>
      </c>
      <c r="H27" s="1474" t="s">
        <v>1520</v>
      </c>
      <c r="I27" s="78" t="s">
        <v>188</v>
      </c>
      <c r="J27" s="237" t="s">
        <v>1521</v>
      </c>
      <c r="K27" s="1473">
        <v>38970</v>
      </c>
      <c r="L27" s="239" t="s">
        <v>1413</v>
      </c>
      <c r="M27" s="238" t="s">
        <v>106</v>
      </c>
      <c r="N27" s="238">
        <v>8</v>
      </c>
      <c r="O27" s="239" t="s">
        <v>1426</v>
      </c>
      <c r="P27" s="238"/>
      <c r="Q27" s="240" t="s">
        <v>1430</v>
      </c>
      <c r="R27" s="247" t="s">
        <v>1416</v>
      </c>
      <c r="S27" s="248" t="s">
        <v>1417</v>
      </c>
      <c r="T27" s="252" t="s">
        <v>1522</v>
      </c>
      <c r="U27" s="239" t="s">
        <v>1523</v>
      </c>
      <c r="V27" s="239" t="s">
        <v>1426</v>
      </c>
      <c r="W27" s="239"/>
      <c r="X27" s="239" t="s">
        <v>1420</v>
      </c>
      <c r="Y27" s="240" t="s">
        <v>1421</v>
      </c>
      <c r="Z27" s="252" t="s">
        <v>5</v>
      </c>
      <c r="AA27" s="239" t="s">
        <v>5</v>
      </c>
      <c r="AB27" s="239" t="s">
        <v>5</v>
      </c>
      <c r="AC27" s="240" t="s">
        <v>5</v>
      </c>
      <c r="AD27" s="252"/>
      <c r="AE27" s="239"/>
      <c r="AF27" s="239"/>
      <c r="AG27" s="240"/>
      <c r="AH27" s="63"/>
    </row>
    <row r="28" spans="1:34" s="53" customFormat="1" ht="18" customHeight="1">
      <c r="A28" s="60"/>
      <c r="B28" s="223"/>
      <c r="C28" s="71"/>
      <c r="D28" s="60"/>
      <c r="E28" s="75">
        <v>24</v>
      </c>
      <c r="F28" s="811">
        <v>0</v>
      </c>
      <c r="G28" s="1471" t="s">
        <v>1524</v>
      </c>
      <c r="H28" s="1474" t="s">
        <v>1525</v>
      </c>
      <c r="I28" s="78" t="s">
        <v>101</v>
      </c>
      <c r="J28" s="237" t="s">
        <v>1450</v>
      </c>
      <c r="K28" s="1473">
        <v>38427</v>
      </c>
      <c r="L28" s="239" t="s">
        <v>1413</v>
      </c>
      <c r="M28" s="238" t="s">
        <v>106</v>
      </c>
      <c r="N28" s="238">
        <v>2</v>
      </c>
      <c r="O28" s="239" t="s">
        <v>1426</v>
      </c>
      <c r="P28" s="238"/>
      <c r="Q28" s="240" t="s">
        <v>1452</v>
      </c>
      <c r="R28" s="247" t="s">
        <v>1416</v>
      </c>
      <c r="S28" s="248" t="s">
        <v>1417</v>
      </c>
      <c r="T28" s="252" t="s">
        <v>1526</v>
      </c>
      <c r="U28" s="239" t="s">
        <v>1599</v>
      </c>
      <c r="V28" s="239" t="s">
        <v>1426</v>
      </c>
      <c r="W28" s="239"/>
      <c r="X28" s="239" t="s">
        <v>1420</v>
      </c>
      <c r="Y28" s="240" t="s">
        <v>1421</v>
      </c>
      <c r="Z28" s="252"/>
      <c r="AA28" s="239"/>
      <c r="AB28" s="239"/>
      <c r="AC28" s="240"/>
      <c r="AD28" s="252"/>
      <c r="AE28" s="239"/>
      <c r="AF28" s="239"/>
      <c r="AG28" s="240"/>
      <c r="AH28" s="63"/>
    </row>
    <row r="29" spans="1:34" s="53" customFormat="1" ht="18" customHeight="1">
      <c r="A29" s="60"/>
      <c r="B29" s="223"/>
      <c r="C29" s="71"/>
      <c r="D29" s="60"/>
      <c r="E29" s="75">
        <v>25</v>
      </c>
      <c r="F29" s="811">
        <v>0</v>
      </c>
      <c r="G29" s="1471" t="s">
        <v>1527</v>
      </c>
      <c r="H29" s="1474" t="s">
        <v>1528</v>
      </c>
      <c r="I29" s="78" t="s">
        <v>188</v>
      </c>
      <c r="J29" s="237"/>
      <c r="K29" s="238"/>
      <c r="L29" s="239"/>
      <c r="M29" s="238"/>
      <c r="N29" s="238"/>
      <c r="O29" s="239"/>
      <c r="P29" s="238"/>
      <c r="Q29" s="240" t="s">
        <v>1452</v>
      </c>
      <c r="R29" s="247" t="s">
        <v>1416</v>
      </c>
      <c r="S29" s="248" t="s">
        <v>1417</v>
      </c>
      <c r="T29" s="252"/>
      <c r="U29" s="239"/>
      <c r="V29" s="239" t="s">
        <v>1451</v>
      </c>
      <c r="W29" s="239"/>
      <c r="X29" s="239"/>
      <c r="Y29" s="240"/>
      <c r="Z29" s="252"/>
      <c r="AA29" s="239"/>
      <c r="AB29" s="239"/>
      <c r="AC29" s="240"/>
      <c r="AD29" s="252"/>
      <c r="AE29" s="239"/>
      <c r="AF29" s="239"/>
      <c r="AG29" s="240"/>
      <c r="AH29" s="63"/>
    </row>
    <row r="30" spans="1:34" s="53" customFormat="1" ht="18" customHeight="1">
      <c r="A30" s="60"/>
      <c r="B30" s="226"/>
      <c r="C30" s="60"/>
      <c r="D30" s="60"/>
      <c r="E30" s="75">
        <v>26</v>
      </c>
      <c r="F30" s="811">
        <v>0</v>
      </c>
      <c r="G30" s="1471" t="s">
        <v>1529</v>
      </c>
      <c r="H30" s="1474" t="s">
        <v>1530</v>
      </c>
      <c r="I30" s="78" t="s">
        <v>188</v>
      </c>
      <c r="J30" s="237" t="s">
        <v>1531</v>
      </c>
      <c r="K30" s="1473">
        <v>39220</v>
      </c>
      <c r="L30" s="239" t="s">
        <v>1413</v>
      </c>
      <c r="M30" s="238" t="s">
        <v>106</v>
      </c>
      <c r="N30" s="238">
        <v>1</v>
      </c>
      <c r="O30" s="239" t="s">
        <v>1426</v>
      </c>
      <c r="P30" s="238"/>
      <c r="Q30" s="240" t="s">
        <v>1430</v>
      </c>
      <c r="R30" s="247" t="s">
        <v>1416</v>
      </c>
      <c r="S30" s="1475" t="s">
        <v>1417</v>
      </c>
      <c r="T30" s="252" t="s">
        <v>1600</v>
      </c>
      <c r="U30" s="239" t="s">
        <v>1532</v>
      </c>
      <c r="V30" s="239" t="s">
        <v>1426</v>
      </c>
      <c r="W30" s="239"/>
      <c r="X30" s="239" t="s">
        <v>1420</v>
      </c>
      <c r="Y30" s="240" t="s">
        <v>1421</v>
      </c>
      <c r="Z30" s="252"/>
      <c r="AA30" s="239"/>
      <c r="AB30" s="239"/>
      <c r="AC30" s="240"/>
      <c r="AD30" s="252"/>
      <c r="AE30" s="239"/>
      <c r="AF30" s="239"/>
      <c r="AG30" s="240"/>
      <c r="AH30" s="63"/>
    </row>
    <row r="31" spans="1:34" s="53" customFormat="1" ht="18" customHeight="1">
      <c r="A31" s="60"/>
      <c r="B31" s="226"/>
      <c r="C31" s="60"/>
      <c r="D31" s="60"/>
      <c r="E31" s="75">
        <v>27</v>
      </c>
      <c r="F31" s="811">
        <v>0</v>
      </c>
      <c r="G31" s="1471" t="s">
        <v>1533</v>
      </c>
      <c r="H31" s="1474" t="s">
        <v>1534</v>
      </c>
      <c r="I31" s="78" t="s">
        <v>188</v>
      </c>
      <c r="J31" s="237" t="s">
        <v>1445</v>
      </c>
      <c r="K31" s="1473">
        <v>39024</v>
      </c>
      <c r="L31" s="239" t="s">
        <v>1413</v>
      </c>
      <c r="M31" s="238" t="s">
        <v>106</v>
      </c>
      <c r="N31" s="238">
        <v>1</v>
      </c>
      <c r="O31" s="239" t="s">
        <v>1426</v>
      </c>
      <c r="P31" s="238"/>
      <c r="Q31" s="240" t="s">
        <v>1430</v>
      </c>
      <c r="R31" s="247" t="s">
        <v>1416</v>
      </c>
      <c r="S31" s="248" t="s">
        <v>1417</v>
      </c>
      <c r="T31" s="252" t="s">
        <v>1535</v>
      </c>
      <c r="U31" s="239" t="s">
        <v>1536</v>
      </c>
      <c r="V31" s="239" t="s">
        <v>1426</v>
      </c>
      <c r="W31" s="239"/>
      <c r="X31" s="239" t="s">
        <v>1420</v>
      </c>
      <c r="Y31" s="240" t="s">
        <v>1421</v>
      </c>
      <c r="Z31" s="252"/>
      <c r="AA31" s="239"/>
      <c r="AB31" s="239"/>
      <c r="AC31" s="240"/>
      <c r="AD31" s="252"/>
      <c r="AE31" s="239"/>
      <c r="AF31" s="239"/>
      <c r="AG31" s="240"/>
      <c r="AH31" s="63"/>
    </row>
    <row r="32" spans="1:34" s="53" customFormat="1" ht="18" customHeight="1">
      <c r="A32" s="60"/>
      <c r="B32" s="227"/>
      <c r="C32" s="228"/>
      <c r="D32" s="60"/>
      <c r="E32" s="75">
        <v>28</v>
      </c>
      <c r="F32" s="811">
        <v>0</v>
      </c>
      <c r="G32" s="1471" t="s">
        <v>1537</v>
      </c>
      <c r="H32" s="1474" t="s">
        <v>1538</v>
      </c>
      <c r="I32" s="78" t="s">
        <v>101</v>
      </c>
      <c r="J32" s="237"/>
      <c r="K32" s="238"/>
      <c r="L32" s="239"/>
      <c r="M32" s="238"/>
      <c r="N32" s="238"/>
      <c r="O32" s="239"/>
      <c r="P32" s="238"/>
      <c r="Q32" s="240"/>
      <c r="R32" s="247" t="s">
        <v>1416</v>
      </c>
      <c r="S32" s="248" t="s">
        <v>1417</v>
      </c>
      <c r="T32" s="252"/>
      <c r="U32" s="239"/>
      <c r="V32" s="239"/>
      <c r="W32" s="239"/>
      <c r="X32" s="239"/>
      <c r="Y32" s="240"/>
      <c r="Z32" s="252"/>
      <c r="AA32" s="239"/>
      <c r="AB32" s="239"/>
      <c r="AC32" s="240"/>
      <c r="AD32" s="252"/>
      <c r="AE32" s="239"/>
      <c r="AF32" s="239"/>
      <c r="AG32" s="240"/>
      <c r="AH32" s="63"/>
    </row>
    <row r="33" spans="1:34" s="53" customFormat="1" ht="18" customHeight="1">
      <c r="A33" s="60"/>
      <c r="B33" s="227"/>
      <c r="C33" s="228"/>
      <c r="D33" s="60"/>
      <c r="E33" s="75">
        <v>29</v>
      </c>
      <c r="F33" s="811">
        <v>0</v>
      </c>
      <c r="G33" s="1471" t="s">
        <v>1539</v>
      </c>
      <c r="H33" s="1474" t="s">
        <v>1540</v>
      </c>
      <c r="I33" s="78" t="s">
        <v>101</v>
      </c>
      <c r="J33" s="237" t="s">
        <v>1541</v>
      </c>
      <c r="K33" s="1473">
        <v>38847</v>
      </c>
      <c r="L33" s="239" t="s">
        <v>1413</v>
      </c>
      <c r="M33" s="238" t="s">
        <v>106</v>
      </c>
      <c r="N33" s="238">
        <v>1</v>
      </c>
      <c r="O33" s="239" t="s">
        <v>1451</v>
      </c>
      <c r="P33" s="238"/>
      <c r="Q33" s="240" t="s">
        <v>1597</v>
      </c>
      <c r="R33" s="247" t="s">
        <v>1416</v>
      </c>
      <c r="S33" s="248" t="s">
        <v>1417</v>
      </c>
      <c r="T33" s="252" t="s">
        <v>1542</v>
      </c>
      <c r="U33" s="239" t="s">
        <v>1543</v>
      </c>
      <c r="V33" s="239" t="s">
        <v>1451</v>
      </c>
      <c r="W33" s="239"/>
      <c r="X33" s="239" t="s">
        <v>1420</v>
      </c>
      <c r="Y33" s="240" t="s">
        <v>1421</v>
      </c>
      <c r="Z33" s="252"/>
      <c r="AA33" s="239"/>
      <c r="AB33" s="239"/>
      <c r="AC33" s="240"/>
      <c r="AD33" s="252"/>
      <c r="AE33" s="239"/>
      <c r="AF33" s="239"/>
      <c r="AG33" s="240"/>
      <c r="AH33" s="63"/>
    </row>
    <row r="34" spans="1:34" s="53" customFormat="1" ht="18" customHeight="1">
      <c r="A34" s="60"/>
      <c r="B34" s="227"/>
      <c r="C34" s="229"/>
      <c r="D34" s="60"/>
      <c r="E34" s="75">
        <v>30</v>
      </c>
      <c r="F34" s="811">
        <v>0</v>
      </c>
      <c r="G34" s="1471" t="s">
        <v>1544</v>
      </c>
      <c r="H34" s="1474" t="s">
        <v>1545</v>
      </c>
      <c r="I34" s="78" t="s">
        <v>101</v>
      </c>
      <c r="J34" s="237" t="s">
        <v>1424</v>
      </c>
      <c r="K34" s="1473">
        <v>38398</v>
      </c>
      <c r="L34" s="239" t="s">
        <v>1413</v>
      </c>
      <c r="M34" s="238" t="s">
        <v>106</v>
      </c>
      <c r="N34" s="238">
        <v>2</v>
      </c>
      <c r="O34" s="239" t="s">
        <v>1426</v>
      </c>
      <c r="P34" s="238"/>
      <c r="Q34" s="240" t="s">
        <v>1430</v>
      </c>
      <c r="R34" s="247" t="s">
        <v>1416</v>
      </c>
      <c r="S34" s="248" t="s">
        <v>1417</v>
      </c>
      <c r="T34" s="252" t="s">
        <v>1546</v>
      </c>
      <c r="U34" s="239" t="s">
        <v>1547</v>
      </c>
      <c r="V34" s="239" t="s">
        <v>1548</v>
      </c>
      <c r="W34" s="239"/>
      <c r="X34" s="239" t="s">
        <v>1420</v>
      </c>
      <c r="Y34" s="240" t="s">
        <v>1421</v>
      </c>
      <c r="Z34" s="252"/>
      <c r="AA34" s="239"/>
      <c r="AB34" s="239"/>
      <c r="AC34" s="240"/>
      <c r="AD34" s="252"/>
      <c r="AE34" s="239"/>
      <c r="AF34" s="239"/>
      <c r="AG34" s="240"/>
      <c r="AH34" s="63"/>
    </row>
    <row r="35" spans="1:34" s="53" customFormat="1" ht="18" customHeight="1">
      <c r="A35" s="60"/>
      <c r="B35" s="227"/>
      <c r="C35" s="229"/>
      <c r="D35" s="60"/>
      <c r="E35" s="75">
        <v>31</v>
      </c>
      <c r="F35" s="811">
        <v>0</v>
      </c>
      <c r="G35" s="1471" t="s">
        <v>1549</v>
      </c>
      <c r="H35" s="1474" t="s">
        <v>1550</v>
      </c>
      <c r="I35" s="78" t="s">
        <v>188</v>
      </c>
      <c r="J35" s="237" t="s">
        <v>1445</v>
      </c>
      <c r="K35" s="1473">
        <v>38971</v>
      </c>
      <c r="L35" s="239" t="s">
        <v>1413</v>
      </c>
      <c r="M35" s="238" t="s">
        <v>106</v>
      </c>
      <c r="N35" s="238">
        <v>3</v>
      </c>
      <c r="O35" s="239" t="s">
        <v>1426</v>
      </c>
      <c r="P35" s="238"/>
      <c r="Q35" s="240" t="s">
        <v>1551</v>
      </c>
      <c r="R35" s="247" t="s">
        <v>1416</v>
      </c>
      <c r="S35" s="248" t="s">
        <v>1417</v>
      </c>
      <c r="T35" s="252" t="s">
        <v>1552</v>
      </c>
      <c r="U35" s="239" t="s">
        <v>1553</v>
      </c>
      <c r="V35" s="239" t="s">
        <v>1548</v>
      </c>
      <c r="W35" s="239"/>
      <c r="X35" s="239" t="s">
        <v>1420</v>
      </c>
      <c r="Y35" s="240" t="s">
        <v>1421</v>
      </c>
      <c r="Z35" s="252"/>
      <c r="AA35" s="239"/>
      <c r="AB35" s="239"/>
      <c r="AC35" s="240"/>
      <c r="AD35" s="252"/>
      <c r="AE35" s="239"/>
      <c r="AF35" s="239"/>
      <c r="AG35" s="240"/>
      <c r="AH35" s="63"/>
    </row>
    <row r="36" spans="1:34" s="53" customFormat="1" ht="18" customHeight="1">
      <c r="A36" s="60"/>
      <c r="B36" s="227"/>
      <c r="C36" s="229"/>
      <c r="D36" s="60"/>
      <c r="E36" s="75">
        <v>32</v>
      </c>
      <c r="F36" s="811">
        <v>0</v>
      </c>
      <c r="G36" s="1471" t="s">
        <v>1554</v>
      </c>
      <c r="H36" s="1474" t="s">
        <v>1555</v>
      </c>
      <c r="I36" s="78" t="s">
        <v>101</v>
      </c>
      <c r="J36" s="237" t="s">
        <v>1556</v>
      </c>
      <c r="K36" s="1473">
        <v>39334</v>
      </c>
      <c r="L36" s="239" t="s">
        <v>1413</v>
      </c>
      <c r="M36" s="238" t="s">
        <v>106</v>
      </c>
      <c r="N36" s="238">
        <v>1</v>
      </c>
      <c r="O36" s="239" t="s">
        <v>1451</v>
      </c>
      <c r="P36" s="238"/>
      <c r="Q36" s="240" t="s">
        <v>1452</v>
      </c>
      <c r="R36" s="247" t="s">
        <v>1416</v>
      </c>
      <c r="S36" s="248" t="s">
        <v>1417</v>
      </c>
      <c r="T36" s="252" t="s">
        <v>1557</v>
      </c>
      <c r="U36" s="239" t="s">
        <v>1558</v>
      </c>
      <c r="V36" s="239" t="s">
        <v>1451</v>
      </c>
      <c r="W36" s="239"/>
      <c r="X36" s="239" t="s">
        <v>1420</v>
      </c>
      <c r="Y36" s="240" t="s">
        <v>1421</v>
      </c>
      <c r="Z36" s="252"/>
      <c r="AA36" s="239"/>
      <c r="AB36" s="239"/>
      <c r="AC36" s="240"/>
      <c r="AD36" s="252"/>
      <c r="AE36" s="239"/>
      <c r="AF36" s="239"/>
      <c r="AG36" s="240"/>
      <c r="AH36" s="63"/>
    </row>
    <row r="37" spans="1:34" s="53" customFormat="1" ht="18" customHeight="1">
      <c r="A37" s="60"/>
      <c r="B37" s="227"/>
      <c r="C37" s="229"/>
      <c r="D37" s="60"/>
      <c r="E37" s="75">
        <v>33</v>
      </c>
      <c r="F37" s="811">
        <v>0</v>
      </c>
      <c r="G37" s="1471" t="s">
        <v>1559</v>
      </c>
      <c r="H37" s="1474" t="s">
        <v>1560</v>
      </c>
      <c r="I37" s="78" t="s">
        <v>188</v>
      </c>
      <c r="J37" s="237" t="s">
        <v>1429</v>
      </c>
      <c r="K37" s="1473">
        <v>39133</v>
      </c>
      <c r="L37" s="239" t="s">
        <v>1413</v>
      </c>
      <c r="M37" s="238" t="s">
        <v>106</v>
      </c>
      <c r="N37" s="238">
        <v>8</v>
      </c>
      <c r="O37" s="239" t="s">
        <v>1426</v>
      </c>
      <c r="P37" s="238"/>
      <c r="Q37" s="240" t="s">
        <v>1551</v>
      </c>
      <c r="R37" s="247" t="s">
        <v>1416</v>
      </c>
      <c r="S37" s="248" t="s">
        <v>1417</v>
      </c>
      <c r="T37" s="252" t="s">
        <v>1561</v>
      </c>
      <c r="U37" s="239" t="s">
        <v>1601</v>
      </c>
      <c r="V37" s="239" t="s">
        <v>1426</v>
      </c>
      <c r="W37" s="239"/>
      <c r="X37" s="239" t="s">
        <v>1420</v>
      </c>
      <c r="Y37" s="240" t="s">
        <v>1421</v>
      </c>
      <c r="Z37" s="252"/>
      <c r="AA37" s="239"/>
      <c r="AB37" s="239"/>
      <c r="AC37" s="240"/>
      <c r="AD37" s="252"/>
      <c r="AE37" s="239"/>
      <c r="AF37" s="239"/>
      <c r="AG37" s="240"/>
      <c r="AH37" s="63"/>
    </row>
    <row r="38" spans="1:34" s="53" customFormat="1" ht="18" customHeight="1">
      <c r="A38" s="60"/>
      <c r="B38" s="227"/>
      <c r="C38" s="229"/>
      <c r="D38" s="60"/>
      <c r="E38" s="75">
        <v>34</v>
      </c>
      <c r="F38" s="811">
        <v>0</v>
      </c>
      <c r="G38" s="1471" t="s">
        <v>1562</v>
      </c>
      <c r="H38" s="1474" t="s">
        <v>1563</v>
      </c>
      <c r="I38" s="78" t="s">
        <v>101</v>
      </c>
      <c r="J38" s="237" t="s">
        <v>1564</v>
      </c>
      <c r="K38" s="1473">
        <v>39475</v>
      </c>
      <c r="L38" s="239" t="s">
        <v>1413</v>
      </c>
      <c r="M38" s="238" t="s">
        <v>106</v>
      </c>
      <c r="N38" s="238">
        <v>1</v>
      </c>
      <c r="O38" s="239" t="s">
        <v>1426</v>
      </c>
      <c r="P38" s="238"/>
      <c r="Q38" s="240" t="s">
        <v>1565</v>
      </c>
      <c r="R38" s="247" t="s">
        <v>1416</v>
      </c>
      <c r="S38" s="248" t="s">
        <v>1417</v>
      </c>
      <c r="T38" s="252" t="s">
        <v>1566</v>
      </c>
      <c r="U38" s="239" t="s">
        <v>1602</v>
      </c>
      <c r="V38" s="239" t="s">
        <v>1426</v>
      </c>
      <c r="W38" s="239"/>
      <c r="X38" s="239" t="s">
        <v>1420</v>
      </c>
      <c r="Y38" s="240" t="s">
        <v>1421</v>
      </c>
      <c r="Z38" s="252"/>
      <c r="AA38" s="239"/>
      <c r="AB38" s="239"/>
      <c r="AC38" s="240"/>
      <c r="AD38" s="252"/>
      <c r="AE38" s="239"/>
      <c r="AF38" s="239"/>
      <c r="AG38" s="240"/>
      <c r="AH38" s="63"/>
    </row>
    <row r="39" spans="1:34" s="53" customFormat="1" ht="18" customHeight="1">
      <c r="A39" s="60"/>
      <c r="B39" s="227"/>
      <c r="C39" s="229"/>
      <c r="D39" s="60"/>
      <c r="E39" s="75">
        <v>35</v>
      </c>
      <c r="F39" s="811">
        <v>0</v>
      </c>
      <c r="G39" s="1471" t="s">
        <v>1567</v>
      </c>
      <c r="H39" s="1474" t="s">
        <v>1568</v>
      </c>
      <c r="I39" s="78" t="s">
        <v>101</v>
      </c>
      <c r="J39" s="237" t="s">
        <v>1424</v>
      </c>
      <c r="K39" s="1473">
        <v>38743</v>
      </c>
      <c r="L39" s="239" t="s">
        <v>1413</v>
      </c>
      <c r="M39" s="238" t="s">
        <v>106</v>
      </c>
      <c r="N39" s="238">
        <v>3</v>
      </c>
      <c r="O39" s="239" t="s">
        <v>1426</v>
      </c>
      <c r="P39" s="238"/>
      <c r="Q39" s="240" t="s">
        <v>1551</v>
      </c>
      <c r="R39" s="247" t="s">
        <v>1416</v>
      </c>
      <c r="S39" s="248" t="s">
        <v>1417</v>
      </c>
      <c r="T39" s="252" t="s">
        <v>1569</v>
      </c>
      <c r="U39" s="239" t="s">
        <v>1570</v>
      </c>
      <c r="V39" s="239" t="s">
        <v>1426</v>
      </c>
      <c r="W39" s="239"/>
      <c r="X39" s="239" t="s">
        <v>1420</v>
      </c>
      <c r="Y39" s="240" t="s">
        <v>1421</v>
      </c>
      <c r="Z39" s="252"/>
      <c r="AA39" s="239"/>
      <c r="AB39" s="239"/>
      <c r="AC39" s="240"/>
      <c r="AD39" s="252"/>
      <c r="AE39" s="239"/>
      <c r="AF39" s="239"/>
      <c r="AG39" s="240"/>
      <c r="AH39" s="63"/>
    </row>
    <row r="40" spans="1:34" s="53" customFormat="1" ht="18" customHeight="1">
      <c r="A40" s="60"/>
      <c r="B40" s="227"/>
      <c r="C40" s="229"/>
      <c r="D40" s="60"/>
      <c r="E40" s="75">
        <v>36</v>
      </c>
      <c r="F40" s="811">
        <v>0</v>
      </c>
      <c r="G40" s="1471" t="s">
        <v>1571</v>
      </c>
      <c r="H40" s="1474" t="s">
        <v>1572</v>
      </c>
      <c r="I40" s="78" t="s">
        <v>188</v>
      </c>
      <c r="J40" s="237" t="s">
        <v>1573</v>
      </c>
      <c r="K40" s="1473">
        <v>38381</v>
      </c>
      <c r="L40" s="239" t="s">
        <v>1413</v>
      </c>
      <c r="M40" s="238" t="s">
        <v>106</v>
      </c>
      <c r="N40" s="238">
        <v>3</v>
      </c>
      <c r="O40" s="239" t="s">
        <v>1414</v>
      </c>
      <c r="P40" s="238"/>
      <c r="Q40" s="240" t="s">
        <v>1574</v>
      </c>
      <c r="R40" s="247" t="s">
        <v>1416</v>
      </c>
      <c r="S40" s="248" t="s">
        <v>1417</v>
      </c>
      <c r="T40" s="252" t="s">
        <v>1575</v>
      </c>
      <c r="U40" s="239" t="s">
        <v>1576</v>
      </c>
      <c r="V40" s="239" t="s">
        <v>1414</v>
      </c>
      <c r="W40" s="239"/>
      <c r="X40" s="239" t="s">
        <v>1420</v>
      </c>
      <c r="Y40" s="240" t="s">
        <v>1421</v>
      </c>
      <c r="Z40" s="252" t="s">
        <v>1577</v>
      </c>
      <c r="AA40" s="239" t="s">
        <v>1578</v>
      </c>
      <c r="AB40" s="239"/>
      <c r="AC40" s="240"/>
      <c r="AD40" s="252"/>
      <c r="AE40" s="239"/>
      <c r="AF40" s="239"/>
      <c r="AG40" s="240"/>
      <c r="AH40" s="63"/>
    </row>
    <row r="41" spans="1:34" s="53" customFormat="1" ht="18" customHeight="1">
      <c r="A41" s="60"/>
      <c r="B41" s="227"/>
      <c r="C41" s="229"/>
      <c r="D41" s="60"/>
      <c r="E41" s="75">
        <v>37</v>
      </c>
      <c r="F41" s="811">
        <v>0</v>
      </c>
      <c r="G41" s="1471" t="s">
        <v>1579</v>
      </c>
      <c r="H41" s="1474" t="s">
        <v>1580</v>
      </c>
      <c r="I41" s="78" t="s">
        <v>188</v>
      </c>
      <c r="J41" s="237" t="s">
        <v>1476</v>
      </c>
      <c r="K41" s="1473">
        <v>38768</v>
      </c>
      <c r="L41" s="239" t="s">
        <v>1413</v>
      </c>
      <c r="M41" s="238" t="s">
        <v>106</v>
      </c>
      <c r="N41" s="238">
        <v>4</v>
      </c>
      <c r="O41" s="239" t="s">
        <v>1451</v>
      </c>
      <c r="P41" s="238"/>
      <c r="Q41" s="240" t="s">
        <v>1597</v>
      </c>
      <c r="R41" s="247" t="s">
        <v>1416</v>
      </c>
      <c r="S41" s="248" t="s">
        <v>1417</v>
      </c>
      <c r="T41" s="252" t="s">
        <v>1581</v>
      </c>
      <c r="U41" s="239" t="s">
        <v>1582</v>
      </c>
      <c r="V41" s="239" t="s">
        <v>1451</v>
      </c>
      <c r="W41" s="239"/>
      <c r="X41" s="239" t="s">
        <v>1420</v>
      </c>
      <c r="Y41" s="240" t="s">
        <v>1421</v>
      </c>
      <c r="Z41" s="252"/>
      <c r="AA41" s="239"/>
      <c r="AB41" s="239"/>
      <c r="AC41" s="240"/>
      <c r="AD41" s="252"/>
      <c r="AE41" s="239"/>
      <c r="AF41" s="239"/>
      <c r="AG41" s="240"/>
      <c r="AH41" s="63"/>
    </row>
    <row r="42" spans="1:34" s="53" customFormat="1" ht="18" customHeight="1">
      <c r="A42" s="60"/>
      <c r="B42" s="227"/>
      <c r="C42" s="229"/>
      <c r="D42" s="60"/>
      <c r="E42" s="75">
        <v>38</v>
      </c>
      <c r="F42" s="76"/>
      <c r="G42" s="76"/>
      <c r="H42" s="77"/>
      <c r="I42" s="78"/>
      <c r="J42" s="237"/>
      <c r="K42" s="238"/>
      <c r="L42" s="239"/>
      <c r="M42" s="238"/>
      <c r="N42" s="238"/>
      <c r="O42" s="239"/>
      <c r="P42" s="238"/>
      <c r="Q42" s="240"/>
      <c r="R42" s="247"/>
      <c r="S42" s="248"/>
      <c r="T42" s="252"/>
      <c r="U42" s="239"/>
      <c r="V42" s="239"/>
      <c r="W42" s="239"/>
      <c r="X42" s="239"/>
      <c r="Y42" s="240"/>
      <c r="Z42" s="252"/>
      <c r="AA42" s="239"/>
      <c r="AB42" s="239"/>
      <c r="AC42" s="240"/>
      <c r="AD42" s="252"/>
      <c r="AE42" s="239"/>
      <c r="AF42" s="239"/>
      <c r="AG42" s="240"/>
      <c r="AH42" s="63"/>
    </row>
    <row r="43" spans="1:34" s="53" customFormat="1" ht="18" customHeight="1">
      <c r="A43" s="60"/>
      <c r="B43" s="227"/>
      <c r="C43" s="229"/>
      <c r="D43" s="60"/>
      <c r="E43" s="75">
        <v>39</v>
      </c>
      <c r="F43" s="76"/>
      <c r="G43" s="76"/>
      <c r="H43" s="77"/>
      <c r="I43" s="78"/>
      <c r="J43" s="237"/>
      <c r="K43" s="238"/>
      <c r="L43" s="239"/>
      <c r="M43" s="238"/>
      <c r="N43" s="238"/>
      <c r="O43" s="239"/>
      <c r="P43" s="238"/>
      <c r="Q43" s="240"/>
      <c r="R43" s="247"/>
      <c r="S43" s="248"/>
      <c r="T43" s="252"/>
      <c r="U43" s="239"/>
      <c r="V43" s="239"/>
      <c r="W43" s="239"/>
      <c r="X43" s="239"/>
      <c r="Y43" s="240"/>
      <c r="Z43" s="252"/>
      <c r="AA43" s="239"/>
      <c r="AB43" s="239"/>
      <c r="AC43" s="240"/>
      <c r="AD43" s="252"/>
      <c r="AE43" s="239"/>
      <c r="AF43" s="239"/>
      <c r="AG43" s="240"/>
      <c r="AH43" s="63"/>
    </row>
    <row r="44" spans="1:34" s="53" customFormat="1" ht="18" customHeight="1">
      <c r="A44" s="60"/>
      <c r="B44" s="227"/>
      <c r="C44" s="229"/>
      <c r="D44" s="60"/>
      <c r="E44" s="75">
        <v>40</v>
      </c>
      <c r="F44" s="76"/>
      <c r="G44" s="76"/>
      <c r="H44" s="77"/>
      <c r="I44" s="78"/>
      <c r="J44" s="237"/>
      <c r="K44" s="238"/>
      <c r="L44" s="239"/>
      <c r="M44" s="238"/>
      <c r="N44" s="238"/>
      <c r="O44" s="239"/>
      <c r="P44" s="238"/>
      <c r="Q44" s="240"/>
      <c r="R44" s="247"/>
      <c r="S44" s="248"/>
      <c r="T44" s="252"/>
      <c r="U44" s="239"/>
      <c r="V44" s="239"/>
      <c r="W44" s="239"/>
      <c r="X44" s="239"/>
      <c r="Y44" s="240"/>
      <c r="Z44" s="252"/>
      <c r="AA44" s="239"/>
      <c r="AB44" s="239"/>
      <c r="AC44" s="240"/>
      <c r="AD44" s="252"/>
      <c r="AE44" s="239"/>
      <c r="AF44" s="239"/>
      <c r="AG44" s="240"/>
      <c r="AH44" s="63"/>
    </row>
    <row r="45" spans="1:34" s="53" customFormat="1" ht="18" customHeight="1">
      <c r="A45" s="60"/>
      <c r="B45" s="227"/>
      <c r="C45" s="229"/>
      <c r="D45" s="60"/>
      <c r="E45" s="75">
        <v>41</v>
      </c>
      <c r="F45" s="76"/>
      <c r="G45" s="76"/>
      <c r="H45" s="77"/>
      <c r="I45" s="78"/>
      <c r="J45" s="237"/>
      <c r="K45" s="238"/>
      <c r="L45" s="239"/>
      <c r="M45" s="238"/>
      <c r="N45" s="238"/>
      <c r="O45" s="239"/>
      <c r="P45" s="238"/>
      <c r="Q45" s="240"/>
      <c r="R45" s="247"/>
      <c r="S45" s="248"/>
      <c r="T45" s="252"/>
      <c r="U45" s="239"/>
      <c r="V45" s="239"/>
      <c r="W45" s="239"/>
      <c r="X45" s="239"/>
      <c r="Y45" s="240"/>
      <c r="Z45" s="252"/>
      <c r="AA45" s="239"/>
      <c r="AB45" s="239"/>
      <c r="AC45" s="240"/>
      <c r="AD45" s="252"/>
      <c r="AE45" s="239"/>
      <c r="AF45" s="239"/>
      <c r="AG45" s="240"/>
      <c r="AH45" s="63"/>
    </row>
    <row r="46" spans="1:34" s="53" customFormat="1" ht="18" customHeight="1">
      <c r="A46" s="60"/>
      <c r="B46" s="227"/>
      <c r="C46" s="229"/>
      <c r="D46" s="60"/>
      <c r="E46" s="75">
        <v>42</v>
      </c>
      <c r="F46" s="76"/>
      <c r="G46" s="76"/>
      <c r="H46" s="77"/>
      <c r="I46" s="78"/>
      <c r="J46" s="237"/>
      <c r="K46" s="238"/>
      <c r="L46" s="239"/>
      <c r="M46" s="238"/>
      <c r="N46" s="238"/>
      <c r="O46" s="239"/>
      <c r="P46" s="238"/>
      <c r="Q46" s="240"/>
      <c r="R46" s="247"/>
      <c r="S46" s="248"/>
      <c r="T46" s="252"/>
      <c r="U46" s="239"/>
      <c r="V46" s="239"/>
      <c r="W46" s="239"/>
      <c r="X46" s="239"/>
      <c r="Y46" s="240"/>
      <c r="Z46" s="252"/>
      <c r="AA46" s="239"/>
      <c r="AB46" s="239"/>
      <c r="AC46" s="240"/>
      <c r="AD46" s="252"/>
      <c r="AE46" s="239"/>
      <c r="AF46" s="239"/>
      <c r="AG46" s="240"/>
      <c r="AH46" s="63"/>
    </row>
    <row r="47" spans="1:34" s="53" customFormat="1" ht="18" customHeight="1">
      <c r="A47" s="60"/>
      <c r="B47" s="227"/>
      <c r="C47" s="229"/>
      <c r="D47" s="60"/>
      <c r="E47" s="75">
        <v>43</v>
      </c>
      <c r="F47" s="76"/>
      <c r="G47" s="76"/>
      <c r="H47" s="77"/>
      <c r="I47" s="78"/>
      <c r="J47" s="237"/>
      <c r="K47" s="238"/>
      <c r="L47" s="239"/>
      <c r="M47" s="238"/>
      <c r="N47" s="238"/>
      <c r="O47" s="239"/>
      <c r="P47" s="238"/>
      <c r="Q47" s="240"/>
      <c r="R47" s="247"/>
      <c r="S47" s="248"/>
      <c r="T47" s="252"/>
      <c r="U47" s="239"/>
      <c r="V47" s="239"/>
      <c r="W47" s="239"/>
      <c r="X47" s="239"/>
      <c r="Y47" s="240"/>
      <c r="Z47" s="252"/>
      <c r="AA47" s="239"/>
      <c r="AB47" s="239"/>
      <c r="AC47" s="240"/>
      <c r="AD47" s="252"/>
      <c r="AE47" s="239"/>
      <c r="AF47" s="239"/>
      <c r="AG47" s="240"/>
      <c r="AH47" s="63"/>
    </row>
    <row r="48" spans="1:34" s="53" customFormat="1" ht="18" customHeight="1">
      <c r="A48" s="60"/>
      <c r="B48" s="227"/>
      <c r="C48" s="228"/>
      <c r="D48" s="60"/>
      <c r="E48" s="75">
        <v>44</v>
      </c>
      <c r="F48" s="76"/>
      <c r="G48" s="76"/>
      <c r="H48" s="77"/>
      <c r="I48" s="78"/>
      <c r="J48" s="237"/>
      <c r="K48" s="238"/>
      <c r="L48" s="239"/>
      <c r="M48" s="238"/>
      <c r="N48" s="238"/>
      <c r="O48" s="239"/>
      <c r="P48" s="238"/>
      <c r="Q48" s="240"/>
      <c r="R48" s="247"/>
      <c r="S48" s="248"/>
      <c r="T48" s="252"/>
      <c r="U48" s="239"/>
      <c r="V48" s="239"/>
      <c r="W48" s="239"/>
      <c r="X48" s="239"/>
      <c r="Y48" s="240"/>
      <c r="Z48" s="252"/>
      <c r="AA48" s="239"/>
      <c r="AB48" s="239"/>
      <c r="AC48" s="240"/>
      <c r="AD48" s="252"/>
      <c r="AE48" s="239"/>
      <c r="AF48" s="239"/>
      <c r="AG48" s="240"/>
      <c r="AH48" s="63"/>
    </row>
    <row r="49" spans="1:34" s="53" customFormat="1" ht="18" customHeight="1">
      <c r="A49" s="60"/>
      <c r="B49" s="227"/>
      <c r="C49" s="228"/>
      <c r="D49" s="60"/>
      <c r="E49" s="75">
        <v>45</v>
      </c>
      <c r="F49" s="76"/>
      <c r="G49" s="76"/>
      <c r="H49" s="77"/>
      <c r="I49" s="78"/>
      <c r="J49" s="237"/>
      <c r="K49" s="238"/>
      <c r="L49" s="239"/>
      <c r="M49" s="238"/>
      <c r="N49" s="238"/>
      <c r="O49" s="239"/>
      <c r="P49" s="238"/>
      <c r="Q49" s="240"/>
      <c r="R49" s="247"/>
      <c r="S49" s="248"/>
      <c r="T49" s="252"/>
      <c r="U49" s="239"/>
      <c r="V49" s="239"/>
      <c r="W49" s="239"/>
      <c r="X49" s="239"/>
      <c r="Y49" s="240"/>
      <c r="Z49" s="252"/>
      <c r="AA49" s="239"/>
      <c r="AB49" s="239"/>
      <c r="AC49" s="240"/>
      <c r="AD49" s="252"/>
      <c r="AE49" s="239"/>
      <c r="AF49" s="239"/>
      <c r="AG49" s="240"/>
      <c r="AH49" s="63"/>
    </row>
    <row r="50" spans="1:34" s="53" customFormat="1" ht="18" customHeight="1">
      <c r="A50" s="60"/>
      <c r="B50" s="227"/>
      <c r="C50" s="229"/>
      <c r="D50" s="60"/>
      <c r="E50" s="75">
        <v>46</v>
      </c>
      <c r="F50" s="76"/>
      <c r="G50" s="76"/>
      <c r="H50" s="77"/>
      <c r="I50" s="78"/>
      <c r="J50" s="237"/>
      <c r="K50" s="238"/>
      <c r="L50" s="239"/>
      <c r="M50" s="238"/>
      <c r="N50" s="238"/>
      <c r="O50" s="239"/>
      <c r="P50" s="238"/>
      <c r="Q50" s="240"/>
      <c r="R50" s="247"/>
      <c r="S50" s="248"/>
      <c r="T50" s="252"/>
      <c r="U50" s="239"/>
      <c r="V50" s="239"/>
      <c r="W50" s="239"/>
      <c r="X50" s="239"/>
      <c r="Y50" s="240"/>
      <c r="Z50" s="252"/>
      <c r="AA50" s="239"/>
      <c r="AB50" s="239"/>
      <c r="AC50" s="240"/>
      <c r="AD50" s="252"/>
      <c r="AE50" s="239"/>
      <c r="AF50" s="239"/>
      <c r="AG50" s="240"/>
      <c r="AH50" s="63"/>
    </row>
    <row r="51" spans="1:34" s="53" customFormat="1" ht="18" customHeight="1">
      <c r="A51" s="60"/>
      <c r="B51" s="226"/>
      <c r="C51" s="60"/>
      <c r="D51" s="60"/>
      <c r="E51" s="75">
        <v>47</v>
      </c>
      <c r="F51" s="76"/>
      <c r="G51" s="76"/>
      <c r="H51" s="77"/>
      <c r="I51" s="78"/>
      <c r="J51" s="237"/>
      <c r="K51" s="238"/>
      <c r="L51" s="239"/>
      <c r="M51" s="238"/>
      <c r="N51" s="238"/>
      <c r="O51" s="239"/>
      <c r="P51" s="238"/>
      <c r="Q51" s="240"/>
      <c r="R51" s="247"/>
      <c r="S51" s="248"/>
      <c r="T51" s="252"/>
      <c r="U51" s="239"/>
      <c r="V51" s="239"/>
      <c r="W51" s="239"/>
      <c r="X51" s="239"/>
      <c r="Y51" s="240"/>
      <c r="Z51" s="252"/>
      <c r="AA51" s="239"/>
      <c r="AB51" s="239"/>
      <c r="AC51" s="240"/>
      <c r="AD51" s="252"/>
      <c r="AE51" s="239"/>
      <c r="AF51" s="239"/>
      <c r="AG51" s="240"/>
      <c r="AH51" s="63"/>
    </row>
    <row r="52" spans="1:34" s="53" customFormat="1" ht="18" customHeight="1">
      <c r="A52" s="60"/>
      <c r="B52" s="226"/>
      <c r="C52" s="60"/>
      <c r="D52" s="60"/>
      <c r="E52" s="75">
        <v>48</v>
      </c>
      <c r="F52" s="76"/>
      <c r="G52" s="76"/>
      <c r="H52" s="77"/>
      <c r="I52" s="78"/>
      <c r="J52" s="237"/>
      <c r="K52" s="238"/>
      <c r="L52" s="239"/>
      <c r="M52" s="238"/>
      <c r="N52" s="238"/>
      <c r="O52" s="239"/>
      <c r="P52" s="238"/>
      <c r="Q52" s="240"/>
      <c r="R52" s="247"/>
      <c r="S52" s="248"/>
      <c r="T52" s="252"/>
      <c r="U52" s="239"/>
      <c r="V52" s="239"/>
      <c r="W52" s="239"/>
      <c r="X52" s="239"/>
      <c r="Y52" s="240"/>
      <c r="Z52" s="252"/>
      <c r="AA52" s="239"/>
      <c r="AB52" s="239"/>
      <c r="AC52" s="240"/>
      <c r="AD52" s="252"/>
      <c r="AE52" s="239"/>
      <c r="AF52" s="239"/>
      <c r="AG52" s="240"/>
      <c r="AH52" s="63"/>
    </row>
    <row r="53" spans="1:34" s="53" customFormat="1" ht="18" customHeight="1">
      <c r="A53" s="60"/>
      <c r="B53" s="226"/>
      <c r="C53" s="60"/>
      <c r="D53" s="60"/>
      <c r="E53" s="75">
        <v>49</v>
      </c>
      <c r="F53" s="76"/>
      <c r="G53" s="76"/>
      <c r="H53" s="77"/>
      <c r="I53" s="78"/>
      <c r="J53" s="237"/>
      <c r="K53" s="238"/>
      <c r="L53" s="239"/>
      <c r="M53" s="238"/>
      <c r="N53" s="238"/>
      <c r="O53" s="239"/>
      <c r="P53" s="238"/>
      <c r="Q53" s="240"/>
      <c r="R53" s="247"/>
      <c r="S53" s="248"/>
      <c r="T53" s="252"/>
      <c r="U53" s="239"/>
      <c r="V53" s="239"/>
      <c r="W53" s="239"/>
      <c r="X53" s="239"/>
      <c r="Y53" s="240"/>
      <c r="Z53" s="252"/>
      <c r="AA53" s="239"/>
      <c r="AB53" s="239"/>
      <c r="AC53" s="240"/>
      <c r="AD53" s="252"/>
      <c r="AE53" s="239"/>
      <c r="AF53" s="239"/>
      <c r="AG53" s="240"/>
      <c r="AH53" s="63"/>
    </row>
    <row r="54" spans="1:34" s="53" customFormat="1" ht="18" customHeight="1" thickBot="1">
      <c r="A54" s="60"/>
      <c r="B54" s="226"/>
      <c r="C54" s="230"/>
      <c r="D54" s="60"/>
      <c r="E54" s="75">
        <v>50</v>
      </c>
      <c r="F54" s="210"/>
      <c r="G54" s="210"/>
      <c r="H54" s="211"/>
      <c r="I54" s="212"/>
      <c r="J54" s="241"/>
      <c r="K54" s="242"/>
      <c r="L54" s="243"/>
      <c r="M54" s="242"/>
      <c r="N54" s="242"/>
      <c r="O54" s="243"/>
      <c r="P54" s="242"/>
      <c r="Q54" s="244"/>
      <c r="R54" s="249"/>
      <c r="S54" s="250"/>
      <c r="T54" s="253"/>
      <c r="U54" s="243"/>
      <c r="V54" s="243"/>
      <c r="W54" s="243"/>
      <c r="X54" s="243"/>
      <c r="Y54" s="244"/>
      <c r="Z54" s="253"/>
      <c r="AA54" s="243"/>
      <c r="AB54" s="243"/>
      <c r="AC54" s="244"/>
      <c r="AD54" s="253"/>
      <c r="AE54" s="243"/>
      <c r="AF54" s="243"/>
      <c r="AG54" s="244"/>
      <c r="AH54" s="63"/>
    </row>
    <row r="55" spans="1:34" ht="14.25" customHeight="1">
      <c r="A55" s="55"/>
      <c r="B55" s="55"/>
      <c r="C55" s="55"/>
      <c r="D55" s="55"/>
      <c r="E55" s="231">
        <v>1</v>
      </c>
      <c r="F55" s="231">
        <v>2</v>
      </c>
      <c r="G55" s="231">
        <v>3</v>
      </c>
      <c r="H55" s="231">
        <v>4</v>
      </c>
      <c r="I55" s="231">
        <v>5</v>
      </c>
      <c r="J55" s="231">
        <v>6</v>
      </c>
      <c r="K55" s="231">
        <v>7</v>
      </c>
      <c r="L55" s="231">
        <v>8</v>
      </c>
      <c r="M55" s="231">
        <v>9</v>
      </c>
      <c r="N55" s="231">
        <v>10</v>
      </c>
      <c r="O55" s="231">
        <v>11</v>
      </c>
      <c r="P55" s="231">
        <v>12</v>
      </c>
      <c r="Q55" s="231">
        <v>13</v>
      </c>
      <c r="R55" s="231">
        <v>14</v>
      </c>
      <c r="S55" s="231">
        <v>15</v>
      </c>
      <c r="T55" s="231">
        <v>16</v>
      </c>
      <c r="U55" s="231">
        <v>17</v>
      </c>
      <c r="V55" s="231">
        <v>18</v>
      </c>
      <c r="W55" s="231">
        <v>19</v>
      </c>
      <c r="X55" s="231">
        <v>20</v>
      </c>
      <c r="Y55" s="231">
        <v>21</v>
      </c>
      <c r="Z55" s="231">
        <v>22</v>
      </c>
      <c r="AA55" s="231">
        <v>23</v>
      </c>
      <c r="AB55" s="231">
        <v>24</v>
      </c>
      <c r="AC55" s="231">
        <v>25</v>
      </c>
      <c r="AD55" s="231">
        <v>26</v>
      </c>
      <c r="AE55" s="231">
        <v>27</v>
      </c>
      <c r="AF55" s="231">
        <v>28</v>
      </c>
      <c r="AG55" s="231">
        <v>29</v>
      </c>
      <c r="AH55" s="55"/>
    </row>
    <row r="56" spans="1:34" ht="14.25" customHeight="1">
      <c r="A56" s="55"/>
      <c r="B56" s="55"/>
      <c r="C56" s="55"/>
      <c r="D56" s="55"/>
      <c r="E56" s="55"/>
      <c r="F56" s="56"/>
      <c r="G56" s="56"/>
      <c r="H56" s="55"/>
      <c r="I56" s="56"/>
      <c r="J56" s="55"/>
      <c r="K56" s="65"/>
      <c r="L56" s="65"/>
      <c r="M56" s="65"/>
      <c r="N56" s="65"/>
      <c r="O56" s="65"/>
      <c r="P56" s="55"/>
      <c r="Q56" s="55"/>
      <c r="R56" s="55"/>
      <c r="S56" s="55"/>
      <c r="T56" s="55"/>
      <c r="U56" s="55"/>
      <c r="V56" s="55"/>
      <c r="W56" s="55"/>
      <c r="X56" s="55"/>
      <c r="Y56" s="55"/>
      <c r="Z56" s="55"/>
      <c r="AA56" s="55"/>
      <c r="AB56" s="55"/>
      <c r="AC56" s="55"/>
      <c r="AD56" s="55"/>
      <c r="AE56" s="55"/>
      <c r="AF56" s="55"/>
      <c r="AG56" s="55"/>
      <c r="AH56" s="55"/>
    </row>
    <row r="57" spans="1:34" ht="0" hidden="1" customHeight="1"/>
    <row r="58" spans="1:34" ht="0" hidden="1" customHeight="1"/>
    <row r="59" spans="1:34" ht="0" hidden="1" customHeight="1"/>
  </sheetData>
  <sheetProtection selectLockedCells="1"/>
  <mergeCells count="13">
    <mergeCell ref="B17:C17"/>
    <mergeCell ref="Z3:AC3"/>
    <mergeCell ref="T3:Y3"/>
    <mergeCell ref="R3:S3"/>
    <mergeCell ref="J3:Q3"/>
    <mergeCell ref="AD3:AG4"/>
    <mergeCell ref="J2:O2"/>
    <mergeCell ref="B5:B6"/>
    <mergeCell ref="C5:C6"/>
    <mergeCell ref="E2:I2"/>
    <mergeCell ref="B2:C2"/>
    <mergeCell ref="E3:I3"/>
    <mergeCell ref="B3:C3"/>
  </mergeCells>
  <conditionalFormatting sqref="E42:I54 E5:F41">
    <cfRule type="expression" dxfId="6350" priority="13">
      <formula>MOD($E5,2)=0</formula>
    </cfRule>
  </conditionalFormatting>
  <conditionalFormatting sqref="J42:AC54">
    <cfRule type="expression" dxfId="6349" priority="12">
      <formula>MOD($E42,2)=0</formula>
    </cfRule>
  </conditionalFormatting>
  <conditionalFormatting sqref="AD42:AG54 AG5:AG41">
    <cfRule type="expression" dxfId="6348" priority="11">
      <formula>MOD($E5,2)=0</formula>
    </cfRule>
  </conditionalFormatting>
  <conditionalFormatting sqref="B2:C2">
    <cfRule type="expression" dxfId="6347" priority="10">
      <formula>LOKER=0</formula>
    </cfRule>
  </conditionalFormatting>
  <conditionalFormatting sqref="G18:H41 G5:G17">
    <cfRule type="expression" dxfId="6346" priority="4">
      <formula>MOD($E5,2)=0</formula>
    </cfRule>
  </conditionalFormatting>
  <conditionalFormatting sqref="J5:AC41">
    <cfRule type="expression" dxfId="6345" priority="3">
      <formula>MOD($E5,2)=0</formula>
    </cfRule>
  </conditionalFormatting>
  <conditionalFormatting sqref="AD5:AF41">
    <cfRule type="expression" dxfId="6344" priority="2">
      <formula>MOD($E5,2)=0</formula>
    </cfRule>
  </conditionalFormatting>
  <conditionalFormatting sqref="I5:I41">
    <cfRule type="expression" dxfId="6343" priority="1">
      <formula>MOD($E5,2)=0</formula>
    </cfRule>
  </conditionalFormatting>
  <dataValidations count="9">
    <dataValidation type="list" allowBlank="1" showInputMessage="1" showErrorMessage="1" errorTitle="Petunjuk" error="Isikan angka 1 atau 2" prompt="Model raport otomatis_x000a_sesua pilihan semester" sqref="C10">
      <formula1>"1,2"</formula1>
    </dataValidation>
    <dataValidation type="custom" allowBlank="1" showInputMessage="1" showErrorMessage="1" errorTitle="Petunjuk" error="Penulisan kelas dengan angka_x000a_bukan huruf Romawi" prompt="Penulisan Kelas_x000a_pakailah angka,_x000a_bukan romawi." sqref="C9">
      <formula1>VALUE(LEFT(C9,2))&gt;0</formula1>
    </dataValidation>
    <dataValidation allowBlank="1" showInputMessage="1" showErrorMessage="1" prompt="Tanggal ini tampil pada lembaran nilai tiap semester" sqref="C15"/>
    <dataValidation type="custom" allowBlank="1" showInputMessage="1" showErrorMessage="1" errorTitle="Petunjuk" error="Untuk memakai secara penuh_x000a_buka halaman petunjuk" sqref="I42:I54 G16:G54 H35:H54">
      <formula1>LOKER=1</formula1>
    </dataValidation>
    <dataValidation type="whole" allowBlank="1" showInputMessage="1" showErrorMessage="1" errorTitle="Petunjuik" error="Tulis angka 1, 2 dst." prompt="Khusus yg menggunakan sistem SKS" sqref="C16">
      <formula1>1</formula1>
      <formula2>12</formula2>
    </dataValidation>
    <dataValidation type="whole" allowBlank="1" showInputMessage="1" showErrorMessage="1" errorTitle="Petunjuk" error="Gunakan angkan 1 s.d. ...._x000a_Bukan huruf" sqref="F5:F54">
      <formula1>1</formula1>
      <formula2>1000000000</formula2>
    </dataValidation>
    <dataValidation allowBlank="1" showInputMessage="1" showErrorMessage="1" prompt="Tulis NIP, NRG atau lainnya tanpa tanda titik." sqref="B8 B13"/>
    <dataValidation type="custom" allowBlank="1" showInputMessage="1" showErrorMessage="1" errorTitle="Petunjuk" error="Tulis tanda koma atas (petik)_x000a_diikuti angka 0 sejumlah format_x000a_angka yg diinginkan" prompt="Tulis tanda koma atas (petik) diikuti angka 0 sejumlah format angka yg diinginkan" sqref="C18 C20">
      <formula1>VALUE(C18)=0</formula1>
    </dataValidation>
    <dataValidation type="custom" allowBlank="1" showInputMessage="1" showErrorMessage="1" errorTitle="Petunjuk" error="Mungkin Anda menggunakan Aplikasi ilegal." sqref="H5:H17"/>
  </dataValidations>
  <pageMargins left="0.7" right="0.7" top="0.75" bottom="0.75" header="0.3" footer="0.3"/>
  <pageSetup paperSize="9"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00FF"/>
  </sheetPr>
  <dimension ref="A1:Y27"/>
  <sheetViews>
    <sheetView showGridLines="0" showRowColHeaders="0" zoomScale="110" zoomScaleNormal="110" workbookViewId="0">
      <selection activeCell="L3" sqref="L3"/>
    </sheetView>
  </sheetViews>
  <sheetFormatPr defaultColWidth="0" defaultRowHeight="0" customHeight="1" zeroHeight="1"/>
  <cols>
    <col min="1" max="1" width="3.5703125" style="254" customWidth="1"/>
    <col min="2" max="2" width="13.7109375" style="5" customWidth="1"/>
    <col min="3" max="3" width="33.7109375" style="5" customWidth="1"/>
    <col min="4" max="4" width="15.7109375" style="346" hidden="1" customWidth="1"/>
    <col min="5" max="5" width="5.7109375" style="346" customWidth="1"/>
    <col min="6" max="6" width="8.7109375" style="5" customWidth="1"/>
    <col min="7" max="7" width="6.7109375" style="5" customWidth="1"/>
    <col min="8" max="8" width="1.7109375" style="5" customWidth="1"/>
    <col min="9" max="9" width="5.7109375" style="5" customWidth="1"/>
    <col min="10" max="10" width="2" style="5" customWidth="1"/>
    <col min="11" max="11" width="5.7109375" style="5" customWidth="1"/>
    <col min="12" max="12" width="19.140625" style="5" customWidth="1"/>
    <col min="13" max="13" width="0.5703125" style="5" customWidth="1"/>
    <col min="14" max="14" width="0.85546875" style="5" customWidth="1"/>
    <col min="15" max="15" width="5.7109375" style="4" customWidth="1"/>
    <col min="16" max="16" width="12" style="5" customWidth="1"/>
    <col min="17" max="17" width="1.7109375" style="5" customWidth="1"/>
    <col min="18" max="18" width="9.140625" style="5" hidden="1" customWidth="1"/>
    <col min="19" max="22" width="4.140625" style="5" hidden="1" customWidth="1"/>
    <col min="23" max="23" width="2.7109375" style="5" customWidth="1"/>
    <col min="24" max="24" width="32.5703125" style="5" customWidth="1"/>
    <col min="25" max="25" width="9.140625" style="5" customWidth="1"/>
    <col min="26" max="16384" width="9.140625" style="5" hidden="1"/>
  </cols>
  <sheetData>
    <row r="1" spans="1:25" ht="18" customHeight="1">
      <c r="A1" s="257"/>
      <c r="B1" s="1569" t="s">
        <v>405</v>
      </c>
      <c r="C1" s="1569"/>
      <c r="D1" s="1569"/>
      <c r="E1" s="1569"/>
      <c r="F1" s="1571" t="s">
        <v>1047</v>
      </c>
      <c r="G1" s="1572"/>
      <c r="H1" s="802"/>
      <c r="I1" s="1052" t="str">
        <f>Data!C4</f>
        <v>SMA Negeri 1 Amabi Efeto</v>
      </c>
      <c r="J1" s="1052"/>
      <c r="K1" s="1052"/>
      <c r="L1" s="1052"/>
      <c r="M1" s="871"/>
      <c r="N1" s="871"/>
      <c r="O1" s="871"/>
      <c r="P1" s="871"/>
      <c r="Q1" s="257"/>
      <c r="W1" s="805"/>
      <c r="X1" s="805"/>
      <c r="Y1" s="805"/>
    </row>
    <row r="2" spans="1:25" ht="13.5" customHeight="1">
      <c r="A2" s="257"/>
      <c r="B2" s="1570" t="s">
        <v>390</v>
      </c>
      <c r="C2" s="1570"/>
      <c r="D2" s="1570"/>
      <c r="E2" s="1570"/>
      <c r="F2" s="1573"/>
      <c r="G2" s="1574"/>
      <c r="H2" s="802"/>
      <c r="I2" s="1053"/>
      <c r="J2" s="1053"/>
      <c r="K2" s="1053"/>
      <c r="L2" s="1053"/>
      <c r="M2" s="871"/>
      <c r="N2" s="871"/>
      <c r="O2" s="871"/>
      <c r="P2" s="871"/>
      <c r="Q2" s="258"/>
      <c r="W2" s="805"/>
      <c r="X2" s="805"/>
      <c r="Y2" s="805"/>
    </row>
    <row r="3" spans="1:25" ht="21.95" customHeight="1" thickBot="1">
      <c r="A3" s="257"/>
      <c r="B3" s="1131" t="s">
        <v>389</v>
      </c>
      <c r="C3" s="1132" t="s">
        <v>12</v>
      </c>
      <c r="D3" s="1132" t="s">
        <v>666</v>
      </c>
      <c r="E3" s="1133" t="s">
        <v>593</v>
      </c>
      <c r="F3" s="1132" t="s">
        <v>406</v>
      </c>
      <c r="G3" s="1134" t="s">
        <v>304</v>
      </c>
      <c r="H3" s="257"/>
      <c r="I3" s="1559" t="s">
        <v>302</v>
      </c>
      <c r="J3" s="1560"/>
      <c r="K3" s="1560"/>
      <c r="L3" s="593">
        <v>76</v>
      </c>
      <c r="M3" s="259"/>
      <c r="N3" s="892"/>
      <c r="O3" s="258"/>
      <c r="P3" s="258"/>
      <c r="Q3" s="258"/>
      <c r="W3" s="989"/>
      <c r="X3" s="990" t="s">
        <v>632</v>
      </c>
      <c r="Y3" s="805"/>
    </row>
    <row r="4" spans="1:25" ht="14.1" customHeight="1">
      <c r="A4" s="257"/>
      <c r="B4" s="1556" t="s">
        <v>391</v>
      </c>
      <c r="C4" s="1083" t="s">
        <v>10</v>
      </c>
      <c r="D4" s="1083" t="s">
        <v>669</v>
      </c>
      <c r="E4" s="1084">
        <v>3</v>
      </c>
      <c r="F4" s="1071" t="s">
        <v>69</v>
      </c>
      <c r="G4" s="1072">
        <v>76</v>
      </c>
      <c r="H4" s="257"/>
      <c r="I4" s="1564" t="s">
        <v>273</v>
      </c>
      <c r="J4" s="1565"/>
      <c r="K4" s="1565"/>
      <c r="L4" s="1566"/>
      <c r="M4" s="259"/>
      <c r="N4" s="892"/>
      <c r="O4" s="258"/>
      <c r="P4" s="258"/>
      <c r="Q4" s="257"/>
      <c r="R4" s="346" t="s">
        <v>689</v>
      </c>
      <c r="S4" s="5">
        <v>1</v>
      </c>
      <c r="T4" s="346">
        <f>IF($L$16="KKM TUNGGAL",$L$3,IFERROR(SMALL($G$4:$G$22,S4),""))</f>
        <v>76</v>
      </c>
      <c r="U4" s="5">
        <f>T4</f>
        <v>76</v>
      </c>
      <c r="V4" s="5">
        <f>IFERROR(SMALL($U$4:$U$22,S4),"")</f>
        <v>76</v>
      </c>
      <c r="W4" s="995" t="s">
        <v>125</v>
      </c>
      <c r="X4" s="991" t="s">
        <v>694</v>
      </c>
      <c r="Y4" s="805"/>
    </row>
    <row r="5" spans="1:25" ht="14.1" customHeight="1" thickBot="1">
      <c r="A5" s="257"/>
      <c r="B5" s="1557"/>
      <c r="C5" s="1085" t="s">
        <v>11</v>
      </c>
      <c r="D5" s="1085" t="s">
        <v>670</v>
      </c>
      <c r="E5" s="1086">
        <v>3</v>
      </c>
      <c r="F5" s="1073" t="s">
        <v>221</v>
      </c>
      <c r="G5" s="1074">
        <v>76</v>
      </c>
      <c r="H5" s="257"/>
      <c r="I5" s="1561" t="s">
        <v>57</v>
      </c>
      <c r="J5" s="1562"/>
      <c r="K5" s="1563"/>
      <c r="L5" s="595" t="s">
        <v>14</v>
      </c>
      <c r="M5" s="260"/>
      <c r="N5" s="892"/>
      <c r="O5" s="258"/>
      <c r="P5" s="258"/>
      <c r="Q5" s="257"/>
      <c r="R5" s="346" t="s">
        <v>690</v>
      </c>
      <c r="S5" s="5">
        <v>2</v>
      </c>
      <c r="T5" s="346">
        <f t="shared" ref="T5:T21" si="0">IF($L$16="KKM TUNGGAL",$L$3,IFERROR(SMALL($G$4:$G$22,S5),""))</f>
        <v>76</v>
      </c>
      <c r="U5" s="5" t="str">
        <f>IF(T5=T4,"",T5)</f>
        <v/>
      </c>
      <c r="V5" s="346" t="str">
        <f t="shared" ref="V5:V9" si="1">IFERROR(SMALL($U$4:$U$22,S5),"")</f>
        <v/>
      </c>
      <c r="W5" s="995" t="s">
        <v>126</v>
      </c>
      <c r="X5" s="991" t="s">
        <v>695</v>
      </c>
      <c r="Y5" s="805"/>
    </row>
    <row r="6" spans="1:25" ht="14.1" customHeight="1">
      <c r="A6" s="257"/>
      <c r="B6" s="1557"/>
      <c r="C6" s="1085" t="s">
        <v>218</v>
      </c>
      <c r="D6" s="1085" t="s">
        <v>667</v>
      </c>
      <c r="E6" s="1086">
        <v>4</v>
      </c>
      <c r="F6" s="1073" t="s">
        <v>222</v>
      </c>
      <c r="G6" s="1074">
        <v>76</v>
      </c>
      <c r="H6" s="257"/>
      <c r="I6" s="306">
        <f>K7+1</f>
        <v>93</v>
      </c>
      <c r="J6" s="262" t="s">
        <v>5</v>
      </c>
      <c r="K6" s="308">
        <v>100</v>
      </c>
      <c r="L6" s="1069" t="s">
        <v>6</v>
      </c>
      <c r="M6" s="260"/>
      <c r="N6" s="892"/>
      <c r="O6" s="258"/>
      <c r="P6" s="258"/>
      <c r="Q6" s="257"/>
      <c r="R6" s="346" t="s">
        <v>691</v>
      </c>
      <c r="S6" s="346">
        <v>3</v>
      </c>
      <c r="T6" s="346">
        <f t="shared" si="0"/>
        <v>76</v>
      </c>
      <c r="U6" s="346" t="str">
        <f t="shared" ref="U6:U22" si="2">IF(T6=T5,"",T6)</f>
        <v/>
      </c>
      <c r="V6" s="346" t="str">
        <f t="shared" si="1"/>
        <v/>
      </c>
      <c r="W6" s="995"/>
      <c r="X6" s="992" t="s">
        <v>731</v>
      </c>
      <c r="Y6" s="805"/>
    </row>
    <row r="7" spans="1:25" ht="14.1" customHeight="1">
      <c r="A7" s="257"/>
      <c r="B7" s="1557"/>
      <c r="C7" s="1085" t="s">
        <v>217</v>
      </c>
      <c r="D7" s="1085" t="s">
        <v>671</v>
      </c>
      <c r="E7" s="1086">
        <v>4</v>
      </c>
      <c r="F7" s="1073" t="s">
        <v>223</v>
      </c>
      <c r="G7" s="1074">
        <v>76</v>
      </c>
      <c r="H7" s="257"/>
      <c r="I7" s="307">
        <f>K8+1</f>
        <v>85</v>
      </c>
      <c r="J7" s="263" t="s">
        <v>5</v>
      </c>
      <c r="K7" s="337">
        <f>ROUNDDOWN(I7+($K$6-I7)/2,0)</f>
        <v>92</v>
      </c>
      <c r="L7" s="1070" t="s">
        <v>7</v>
      </c>
      <c r="M7" s="261"/>
      <c r="N7" s="892"/>
      <c r="O7" s="258"/>
      <c r="P7" s="258"/>
      <c r="Q7" s="257"/>
      <c r="R7" s="346" t="s">
        <v>692</v>
      </c>
      <c r="S7" s="346">
        <v>4</v>
      </c>
      <c r="T7" s="346">
        <f t="shared" si="0"/>
        <v>76</v>
      </c>
      <c r="U7" s="346" t="str">
        <f>IF(T7=T6,"",T7)</f>
        <v/>
      </c>
      <c r="V7" s="346" t="str">
        <f t="shared" si="1"/>
        <v/>
      </c>
      <c r="W7" s="995" t="s">
        <v>127</v>
      </c>
      <c r="X7" s="1135" t="s">
        <v>732</v>
      </c>
      <c r="Y7" s="805"/>
    </row>
    <row r="8" spans="1:25" ht="14.1" customHeight="1">
      <c r="A8" s="257"/>
      <c r="B8" s="1557"/>
      <c r="C8" s="1085" t="s">
        <v>386</v>
      </c>
      <c r="D8" s="1085" t="s">
        <v>668</v>
      </c>
      <c r="E8" s="1086">
        <v>4</v>
      </c>
      <c r="F8" s="1073" t="s">
        <v>395</v>
      </c>
      <c r="G8" s="1074">
        <v>76</v>
      </c>
      <c r="H8" s="257"/>
      <c r="I8" s="374">
        <f>L3</f>
        <v>76</v>
      </c>
      <c r="J8" s="263" t="s">
        <v>5</v>
      </c>
      <c r="K8" s="337">
        <f>ROUNDDOWN(I8+($K$6-I8)/3,0)</f>
        <v>84</v>
      </c>
      <c r="L8" s="1070" t="s">
        <v>305</v>
      </c>
      <c r="M8" s="260"/>
      <c r="N8" s="892"/>
      <c r="O8" s="258"/>
      <c r="P8" s="258"/>
      <c r="Q8" s="257"/>
      <c r="S8" s="346">
        <v>5</v>
      </c>
      <c r="T8" s="346">
        <f t="shared" si="0"/>
        <v>76</v>
      </c>
      <c r="U8" s="346" t="str">
        <f t="shared" si="2"/>
        <v/>
      </c>
      <c r="V8" s="346" t="str">
        <f t="shared" si="1"/>
        <v/>
      </c>
      <c r="W8" s="996"/>
      <c r="X8" s="1136" t="s">
        <v>733</v>
      </c>
      <c r="Y8" s="805"/>
    </row>
    <row r="9" spans="1:25" ht="14.1" customHeight="1" thickBot="1">
      <c r="A9" s="257"/>
      <c r="B9" s="1558"/>
      <c r="C9" s="1087" t="s">
        <v>219</v>
      </c>
      <c r="D9" s="1087" t="s">
        <v>672</v>
      </c>
      <c r="E9" s="1088">
        <v>2</v>
      </c>
      <c r="F9" s="1075" t="s">
        <v>224</v>
      </c>
      <c r="G9" s="1074">
        <v>76</v>
      </c>
      <c r="H9" s="257"/>
      <c r="I9" s="307">
        <v>0</v>
      </c>
      <c r="J9" s="263" t="s">
        <v>5</v>
      </c>
      <c r="K9" s="309">
        <f>I8-1</f>
        <v>75</v>
      </c>
      <c r="L9" s="1070" t="s">
        <v>306</v>
      </c>
      <c r="M9" s="258"/>
      <c r="N9" s="892"/>
      <c r="O9" s="258"/>
      <c r="P9" s="258"/>
      <c r="Q9" s="257"/>
      <c r="S9" s="346">
        <v>6</v>
      </c>
      <c r="T9" s="346">
        <f t="shared" si="0"/>
        <v>76</v>
      </c>
      <c r="U9" s="346" t="str">
        <f t="shared" si="2"/>
        <v/>
      </c>
      <c r="V9" s="346" t="str">
        <f t="shared" si="1"/>
        <v/>
      </c>
      <c r="W9" s="996"/>
      <c r="X9" s="1136" t="s">
        <v>734</v>
      </c>
      <c r="Y9" s="805"/>
    </row>
    <row r="10" spans="1:25" ht="14.1" customHeight="1">
      <c r="A10" s="257"/>
      <c r="B10" s="1578" t="s">
        <v>392</v>
      </c>
      <c r="C10" s="1089" t="s">
        <v>220</v>
      </c>
      <c r="D10" s="1089" t="s">
        <v>673</v>
      </c>
      <c r="E10" s="1090">
        <v>2</v>
      </c>
      <c r="F10" s="1071" t="s">
        <v>62</v>
      </c>
      <c r="G10" s="1076">
        <v>76</v>
      </c>
      <c r="H10" s="257"/>
      <c r="I10" s="1550" t="s">
        <v>253</v>
      </c>
      <c r="J10" s="1551"/>
      <c r="K10" s="1551"/>
      <c r="L10" s="1552"/>
      <c r="M10" s="259"/>
      <c r="N10" s="892"/>
      <c r="O10" s="258"/>
      <c r="P10" s="258"/>
      <c r="Q10" s="257"/>
      <c r="S10" s="346">
        <v>7</v>
      </c>
      <c r="T10" s="346">
        <f t="shared" si="0"/>
        <v>76</v>
      </c>
      <c r="U10" s="346" t="str">
        <f t="shared" si="2"/>
        <v/>
      </c>
      <c r="V10" s="346" t="str">
        <f t="shared" ref="V10:V13" si="3">IFERROR(SMALL($U$4:$U$21,S10),"")</f>
        <v/>
      </c>
      <c r="W10" s="995" t="s">
        <v>128</v>
      </c>
      <c r="X10" s="992" t="s">
        <v>696</v>
      </c>
      <c r="Y10" s="805"/>
    </row>
    <row r="11" spans="1:25" ht="14.1" customHeight="1">
      <c r="A11" s="257"/>
      <c r="B11" s="1579"/>
      <c r="C11" s="1091" t="s">
        <v>387</v>
      </c>
      <c r="D11" s="1091"/>
      <c r="E11" s="1092">
        <v>3</v>
      </c>
      <c r="F11" s="1073" t="s">
        <v>70</v>
      </c>
      <c r="G11" s="1077">
        <v>76</v>
      </c>
      <c r="H11" s="257"/>
      <c r="I11" s="1553" t="s">
        <v>57</v>
      </c>
      <c r="J11" s="1554"/>
      <c r="K11" s="1555"/>
      <c r="L11" s="594" t="s">
        <v>28</v>
      </c>
      <c r="M11" s="259"/>
      <c r="N11" s="892"/>
      <c r="O11" s="258"/>
      <c r="P11" s="258"/>
      <c r="Q11" s="257"/>
      <c r="S11" s="346">
        <v>8</v>
      </c>
      <c r="T11" s="346">
        <f t="shared" si="0"/>
        <v>76</v>
      </c>
      <c r="U11" s="346" t="str">
        <f t="shared" si="2"/>
        <v/>
      </c>
      <c r="V11" s="346" t="str">
        <f t="shared" si="3"/>
        <v/>
      </c>
      <c r="W11" s="996"/>
      <c r="X11" s="993" t="s">
        <v>697</v>
      </c>
      <c r="Y11" s="805"/>
    </row>
    <row r="12" spans="1:25" ht="14.1" customHeight="1">
      <c r="A12" s="257"/>
      <c r="B12" s="1579"/>
      <c r="C12" s="1091" t="s">
        <v>388</v>
      </c>
      <c r="D12" s="1091"/>
      <c r="E12" s="1092">
        <v>2</v>
      </c>
      <c r="F12" s="1073" t="s">
        <v>225</v>
      </c>
      <c r="G12" s="1077">
        <v>76</v>
      </c>
      <c r="H12" s="257"/>
      <c r="I12" s="306">
        <f>K13+1</f>
        <v>93</v>
      </c>
      <c r="J12" s="262" t="s">
        <v>5</v>
      </c>
      <c r="K12" s="308">
        <f>K6</f>
        <v>100</v>
      </c>
      <c r="L12" s="1055" t="s">
        <v>58</v>
      </c>
      <c r="M12" s="260"/>
      <c r="N12" s="892"/>
      <c r="O12" s="258"/>
      <c r="P12" s="258"/>
      <c r="Q12" s="257"/>
      <c r="S12" s="346">
        <v>9</v>
      </c>
      <c r="T12" s="346">
        <f t="shared" si="0"/>
        <v>76</v>
      </c>
      <c r="U12" s="346" t="str">
        <f t="shared" si="2"/>
        <v/>
      </c>
      <c r="V12" s="346" t="str">
        <f t="shared" si="3"/>
        <v/>
      </c>
      <c r="W12" s="996"/>
      <c r="X12" s="993" t="s">
        <v>698</v>
      </c>
      <c r="Y12" s="805"/>
    </row>
    <row r="13" spans="1:25" ht="14.1" customHeight="1">
      <c r="A13" s="257"/>
      <c r="B13" s="1579"/>
      <c r="C13" s="1115" t="s">
        <v>693</v>
      </c>
      <c r="D13" s="1115"/>
      <c r="E13" s="1116">
        <v>2</v>
      </c>
      <c r="F13" s="1075" t="s">
        <v>1583</v>
      </c>
      <c r="G13" s="1117">
        <v>76</v>
      </c>
      <c r="H13" s="257"/>
      <c r="I13" s="307">
        <f>K14+1</f>
        <v>85</v>
      </c>
      <c r="J13" s="263" t="s">
        <v>5</v>
      </c>
      <c r="K13" s="309">
        <f>K7</f>
        <v>92</v>
      </c>
      <c r="L13" s="1056" t="s">
        <v>59</v>
      </c>
      <c r="M13" s="260"/>
      <c r="N13" s="892"/>
      <c r="O13" s="258"/>
      <c r="P13" s="258"/>
      <c r="Q13" s="257"/>
      <c r="S13" s="346">
        <v>10</v>
      </c>
      <c r="T13" s="346">
        <f t="shared" si="0"/>
        <v>76</v>
      </c>
      <c r="U13" s="346" t="str">
        <f t="shared" si="2"/>
        <v/>
      </c>
      <c r="V13" s="346" t="str">
        <f t="shared" si="3"/>
        <v/>
      </c>
      <c r="W13" s="996"/>
      <c r="X13" s="992" t="s">
        <v>699</v>
      </c>
      <c r="Y13" s="805"/>
    </row>
    <row r="14" spans="1:25" ht="14.1" customHeight="1" thickBot="1">
      <c r="A14" s="257"/>
      <c r="B14" s="1580"/>
      <c r="C14" s="1093"/>
      <c r="D14" s="1093"/>
      <c r="E14" s="1094"/>
      <c r="F14" s="1153"/>
      <c r="G14" s="1078"/>
      <c r="H14" s="257"/>
      <c r="I14" s="307">
        <f>K15+1</f>
        <v>76</v>
      </c>
      <c r="J14" s="263" t="s">
        <v>5</v>
      </c>
      <c r="K14" s="309">
        <f>K8</f>
        <v>84</v>
      </c>
      <c r="L14" s="1056" t="s">
        <v>60</v>
      </c>
      <c r="M14" s="261"/>
      <c r="N14" s="892"/>
      <c r="O14" s="258"/>
      <c r="P14" s="258"/>
      <c r="Q14" s="257"/>
      <c r="S14" s="346">
        <v>11</v>
      </c>
      <c r="T14" s="346">
        <f t="shared" si="0"/>
        <v>76</v>
      </c>
      <c r="U14" s="346" t="str">
        <f t="shared" si="2"/>
        <v/>
      </c>
      <c r="W14" s="996" t="s">
        <v>129</v>
      </c>
      <c r="X14" s="994" t="s">
        <v>700</v>
      </c>
      <c r="Y14" s="805"/>
    </row>
    <row r="15" spans="1:25" ht="14.1" customHeight="1">
      <c r="A15" s="257"/>
      <c r="B15" s="1577" t="s">
        <v>393</v>
      </c>
      <c r="C15" s="986" t="s">
        <v>1584</v>
      </c>
      <c r="D15" s="1095"/>
      <c r="E15" s="1096">
        <v>4</v>
      </c>
      <c r="F15" s="1150" t="s">
        <v>1585</v>
      </c>
      <c r="G15" s="1079">
        <v>76</v>
      </c>
      <c r="H15" s="257"/>
      <c r="I15" s="371">
        <v>0</v>
      </c>
      <c r="J15" s="372" t="s">
        <v>5</v>
      </c>
      <c r="K15" s="373">
        <f>K9</f>
        <v>75</v>
      </c>
      <c r="L15" s="1057" t="s">
        <v>61</v>
      </c>
      <c r="M15" s="260"/>
      <c r="N15" s="892"/>
      <c r="O15" s="258"/>
      <c r="P15" s="258"/>
      <c r="Q15" s="257"/>
      <c r="S15" s="346">
        <v>12</v>
      </c>
      <c r="T15" s="346">
        <f t="shared" si="0"/>
        <v>76</v>
      </c>
      <c r="U15" s="346" t="str">
        <f t="shared" si="2"/>
        <v/>
      </c>
      <c r="W15" s="996"/>
      <c r="X15" s="994" t="s">
        <v>701</v>
      </c>
      <c r="Y15" s="805"/>
    </row>
    <row r="16" spans="1:25" ht="14.1" customHeight="1">
      <c r="A16" s="805"/>
      <c r="B16" s="1577"/>
      <c r="C16" s="987" t="s">
        <v>1586</v>
      </c>
      <c r="D16" s="1095"/>
      <c r="E16" s="1096">
        <v>4</v>
      </c>
      <c r="F16" s="1151" t="s">
        <v>1587</v>
      </c>
      <c r="G16" s="1080">
        <v>76</v>
      </c>
      <c r="H16" s="257"/>
      <c r="I16" s="1543" t="s">
        <v>303</v>
      </c>
      <c r="J16" s="1544"/>
      <c r="K16" s="1544"/>
      <c r="L16" s="1541" t="s">
        <v>304</v>
      </c>
      <c r="M16" s="257"/>
      <c r="N16" s="892"/>
      <c r="O16" s="258"/>
      <c r="P16" s="258"/>
      <c r="Q16" s="257"/>
      <c r="S16" s="346">
        <v>13</v>
      </c>
      <c r="T16" s="346">
        <f t="shared" si="0"/>
        <v>76</v>
      </c>
      <c r="U16" s="346" t="str">
        <f t="shared" si="2"/>
        <v/>
      </c>
      <c r="W16" s="997"/>
      <c r="X16" s="994"/>
      <c r="Y16" s="805"/>
    </row>
    <row r="17" spans="1:25" ht="14.1" customHeight="1">
      <c r="A17" s="1114" t="s">
        <v>726</v>
      </c>
      <c r="B17" s="1575" t="s">
        <v>691</v>
      </c>
      <c r="C17" s="987" t="s">
        <v>688</v>
      </c>
      <c r="D17" s="1097"/>
      <c r="E17" s="1098">
        <v>4</v>
      </c>
      <c r="F17" s="1152" t="s">
        <v>1588</v>
      </c>
      <c r="G17" s="1081">
        <v>76</v>
      </c>
      <c r="H17" s="257"/>
      <c r="I17" s="1545"/>
      <c r="J17" s="1546"/>
      <c r="K17" s="1546"/>
      <c r="L17" s="1542"/>
      <c r="M17" s="257"/>
      <c r="N17" s="892"/>
      <c r="O17" s="258"/>
      <c r="P17" s="258"/>
      <c r="Q17" s="257"/>
      <c r="S17" s="346">
        <v>14</v>
      </c>
      <c r="T17" s="346">
        <f t="shared" si="0"/>
        <v>76</v>
      </c>
      <c r="U17" s="346" t="str">
        <f t="shared" si="2"/>
        <v/>
      </c>
      <c r="W17" s="995"/>
      <c r="X17" s="994"/>
      <c r="Y17" s="805"/>
    </row>
    <row r="18" spans="1:25" ht="14.1" customHeight="1">
      <c r="A18" s="257"/>
      <c r="B18" s="1575"/>
      <c r="C18" s="987" t="s">
        <v>1589</v>
      </c>
      <c r="D18" s="1097"/>
      <c r="E18" s="1098">
        <v>4</v>
      </c>
      <c r="F18" s="1152" t="s">
        <v>1590</v>
      </c>
      <c r="G18" s="1081">
        <v>76</v>
      </c>
      <c r="H18" s="257"/>
      <c r="I18" s="971"/>
      <c r="J18" s="971"/>
      <c r="K18" s="971"/>
      <c r="L18" s="1058"/>
      <c r="M18" s="802"/>
      <c r="N18" s="893"/>
      <c r="O18" s="803"/>
      <c r="P18" s="803"/>
      <c r="Q18" s="257"/>
      <c r="S18" s="346">
        <v>15</v>
      </c>
      <c r="T18" s="346">
        <f t="shared" si="0"/>
        <v>76</v>
      </c>
      <c r="U18" s="346" t="str">
        <f t="shared" si="2"/>
        <v/>
      </c>
      <c r="W18" s="997"/>
      <c r="X18" s="994" t="s">
        <v>1048</v>
      </c>
      <c r="Y18" s="805"/>
    </row>
    <row r="19" spans="1:25" ht="14.1" customHeight="1">
      <c r="A19" s="257"/>
      <c r="B19" s="1575"/>
      <c r="C19" s="987"/>
      <c r="D19" s="1097"/>
      <c r="E19" s="1098"/>
      <c r="F19" s="1152"/>
      <c r="G19" s="1081"/>
      <c r="H19" s="257"/>
      <c r="I19" s="1137"/>
      <c r="J19" s="971"/>
      <c r="K19" s="971"/>
      <c r="L19" s="1059"/>
      <c r="M19" s="802"/>
      <c r="N19" s="893"/>
      <c r="O19" s="258"/>
      <c r="P19" s="870"/>
      <c r="Q19" s="257"/>
      <c r="S19" s="346">
        <v>16</v>
      </c>
      <c r="T19" s="346">
        <f t="shared" si="0"/>
        <v>76</v>
      </c>
      <c r="U19" s="346" t="str">
        <f t="shared" si="2"/>
        <v/>
      </c>
      <c r="W19" s="995"/>
      <c r="X19" s="994"/>
      <c r="Y19" s="805"/>
    </row>
    <row r="20" spans="1:25" ht="17.100000000000001" customHeight="1" thickBot="1">
      <c r="A20" s="257"/>
      <c r="B20" s="1576"/>
      <c r="C20" s="1120"/>
      <c r="D20" s="1099"/>
      <c r="E20" s="1100"/>
      <c r="F20" s="1153"/>
      <c r="G20" s="1082"/>
      <c r="H20" s="257"/>
      <c r="I20" s="1549" t="s">
        <v>735</v>
      </c>
      <c r="J20" s="1549"/>
      <c r="K20" s="1549"/>
      <c r="L20" s="1549"/>
      <c r="M20" s="802"/>
      <c r="N20" s="1130"/>
      <c r="O20" s="870"/>
      <c r="P20" s="870"/>
      <c r="Q20" s="257"/>
      <c r="S20" s="346">
        <v>17</v>
      </c>
      <c r="T20" s="346" t="str">
        <f t="shared" si="0"/>
        <v/>
      </c>
      <c r="U20" s="346" t="str">
        <f t="shared" si="2"/>
        <v/>
      </c>
      <c r="W20" s="995"/>
      <c r="X20" s="993"/>
      <c r="Y20" s="805"/>
    </row>
    <row r="21" spans="1:25" ht="17.100000000000001" customHeight="1">
      <c r="A21" s="257"/>
      <c r="B21" s="1567" t="s">
        <v>687</v>
      </c>
      <c r="C21" s="986" t="s">
        <v>1591</v>
      </c>
      <c r="D21" s="1095"/>
      <c r="E21" s="1096">
        <v>4</v>
      </c>
      <c r="F21" s="1150" t="s">
        <v>1592</v>
      </c>
      <c r="G21" s="1081">
        <v>76</v>
      </c>
      <c r="H21" s="257"/>
      <c r="I21" s="1549"/>
      <c r="J21" s="1549"/>
      <c r="K21" s="1549"/>
      <c r="L21" s="1549"/>
      <c r="M21" s="257"/>
      <c r="N21" s="1130"/>
      <c r="O21" s="988"/>
      <c r="P21" s="988"/>
      <c r="Q21" s="257"/>
      <c r="S21" s="346">
        <v>18</v>
      </c>
      <c r="T21" s="346" t="str">
        <f t="shared" si="0"/>
        <v/>
      </c>
      <c r="U21" s="346" t="str">
        <f t="shared" si="2"/>
        <v/>
      </c>
      <c r="W21" s="995"/>
      <c r="X21" s="994"/>
      <c r="Y21" s="805"/>
    </row>
    <row r="22" spans="1:25" ht="15.95" customHeight="1">
      <c r="A22" s="805"/>
      <c r="B22" s="1568"/>
      <c r="C22" s="987" t="s">
        <v>1593</v>
      </c>
      <c r="D22" s="1097"/>
      <c r="E22" s="1098">
        <v>4</v>
      </c>
      <c r="F22" s="1152" t="s">
        <v>1593</v>
      </c>
      <c r="G22" s="1081">
        <v>76</v>
      </c>
      <c r="H22" s="805"/>
      <c r="I22" s="1549"/>
      <c r="J22" s="1549"/>
      <c r="K22" s="1549"/>
      <c r="L22" s="1549"/>
      <c r="M22" s="802"/>
      <c r="N22" s="1130"/>
      <c r="O22" s="988"/>
      <c r="P22" s="988"/>
      <c r="Q22" s="805"/>
      <c r="S22" s="346">
        <v>19</v>
      </c>
      <c r="T22" s="346" t="str">
        <f>IF($L$16="KKM TUNGGAL",$L$3,IFERROR(SMALL($G$4:$G$22,S22),""))</f>
        <v/>
      </c>
      <c r="U22" s="346" t="str">
        <f t="shared" si="2"/>
        <v/>
      </c>
      <c r="W22" s="996"/>
      <c r="X22" s="993"/>
      <c r="Y22" s="805"/>
    </row>
    <row r="23" spans="1:25" ht="15.95" customHeight="1">
      <c r="A23" s="805"/>
      <c r="B23" s="806"/>
      <c r="C23" s="1537" t="s">
        <v>573</v>
      </c>
      <c r="D23" s="1547" t="s">
        <v>716</v>
      </c>
      <c r="E23" s="1054"/>
      <c r="F23" s="1539" t="s">
        <v>574</v>
      </c>
      <c r="G23" s="1054"/>
      <c r="H23" s="805"/>
      <c r="I23" s="807"/>
      <c r="J23" s="807"/>
      <c r="K23" s="808"/>
      <c r="L23" s="809"/>
      <c r="M23" s="809"/>
      <c r="N23" s="809"/>
      <c r="O23" s="988"/>
      <c r="P23" s="809"/>
      <c r="Q23" s="809"/>
      <c r="W23" s="805"/>
      <c r="X23" s="805"/>
      <c r="Y23" s="805"/>
    </row>
    <row r="24" spans="1:25" ht="15.95" customHeight="1">
      <c r="A24" s="805"/>
      <c r="B24" s="806"/>
      <c r="C24" s="1538"/>
      <c r="D24" s="1548"/>
      <c r="E24" s="988"/>
      <c r="F24" s="1540"/>
      <c r="G24" s="988"/>
      <c r="H24" s="805"/>
      <c r="I24" s="807"/>
      <c r="J24" s="809"/>
      <c r="K24" s="808"/>
      <c r="L24" s="809"/>
      <c r="M24" s="809"/>
      <c r="N24" s="809"/>
      <c r="O24" s="808"/>
      <c r="P24" s="809"/>
      <c r="Q24" s="809"/>
      <c r="W24" s="805"/>
      <c r="X24" s="805"/>
      <c r="Y24" s="805"/>
    </row>
    <row r="25" spans="1:25" ht="15.95" customHeight="1">
      <c r="A25" s="805"/>
      <c r="B25" s="806"/>
      <c r="C25" s="804"/>
      <c r="D25" s="1548"/>
      <c r="E25" s="988"/>
      <c r="F25" s="1540"/>
      <c r="G25" s="988"/>
      <c r="H25" s="769"/>
      <c r="I25" s="769"/>
      <c r="J25" s="769"/>
      <c r="K25" s="769"/>
      <c r="L25" s="769"/>
      <c r="M25" s="769"/>
      <c r="N25" s="769"/>
      <c r="O25" s="769"/>
      <c r="P25" s="769"/>
      <c r="Q25" s="769"/>
      <c r="W25" s="805"/>
      <c r="X25" s="805"/>
      <c r="Y25" s="805"/>
    </row>
    <row r="26" spans="1:25" ht="0" hidden="1" customHeight="1">
      <c r="B26" s="806"/>
      <c r="C26" s="768"/>
      <c r="D26" s="768"/>
      <c r="E26" s="988"/>
      <c r="F26" s="769"/>
      <c r="G26" s="988"/>
    </row>
    <row r="27" spans="1:25" ht="0" hidden="1" customHeight="1">
      <c r="B27" s="806"/>
      <c r="C27" s="769"/>
      <c r="D27" s="769"/>
      <c r="E27" s="769"/>
      <c r="F27" s="769"/>
      <c r="G27" s="769"/>
    </row>
  </sheetData>
  <sheetProtection insertHyperlinks="0" selectLockedCells="1"/>
  <mergeCells count="19">
    <mergeCell ref="B21:B22"/>
    <mergeCell ref="B1:E1"/>
    <mergeCell ref="B2:E2"/>
    <mergeCell ref="F1:G2"/>
    <mergeCell ref="B17:B20"/>
    <mergeCell ref="B15:B16"/>
    <mergeCell ref="B10:B14"/>
    <mergeCell ref="I10:L10"/>
    <mergeCell ref="I11:K11"/>
    <mergeCell ref="B4:B9"/>
    <mergeCell ref="I3:K3"/>
    <mergeCell ref="I5:K5"/>
    <mergeCell ref="I4:L4"/>
    <mergeCell ref="C23:C24"/>
    <mergeCell ref="F23:F25"/>
    <mergeCell ref="L16:L17"/>
    <mergeCell ref="I16:K17"/>
    <mergeCell ref="D23:D25"/>
    <mergeCell ref="I20:L22"/>
  </mergeCells>
  <conditionalFormatting sqref="G4:G22">
    <cfRule type="colorScale" priority="1">
      <colorScale>
        <cfvo type="min"/>
        <cfvo type="percentile" val="50"/>
        <cfvo type="max"/>
        <color rgb="FFF8696B"/>
        <color rgb="FFFFEB84"/>
        <color rgb="FF63BE7B"/>
      </colorScale>
    </cfRule>
  </conditionalFormatting>
  <dataValidations count="4">
    <dataValidation allowBlank="1" showInputMessage="1" showErrorMessage="1" prompt="KKM" sqref="K7:K8 K14"/>
    <dataValidation type="list" allowBlank="1" showInputMessage="1" showErrorMessage="1" sqref="L16:L17">
      <formula1>"KKM TUNGGAL,MULTI KKM"</formula1>
    </dataValidation>
    <dataValidation allowBlank="1" showInputMessage="1" showErrorMessage="1" prompt="jika tidak ada kosongkan" sqref="D16:E16 C15 C13:E13"/>
    <dataValidation type="list" allowBlank="1" showInputMessage="1" showErrorMessage="1" sqref="B17">
      <formula1>$R$4:$R$7</formula1>
    </dataValidation>
  </dataValidations>
  <hyperlinks>
    <hyperlink ref="F4" location="PA!A1" tooltip="Pendidikan Agama" display="PA"/>
    <hyperlink ref="F5" location="PKn!A1" tooltip="Pendidikan Pancasila dan Kewarganegaraan" display="PPKn"/>
    <hyperlink ref="F6" location="BInd!A1" tooltip="Bahasa Indonesia" display="BIND"/>
    <hyperlink ref="F7" location="Mat!A1" tooltip="Matematika" display="MAT"/>
    <hyperlink ref="F10" location="SB!A1" tooltip="Seni Budaya" display="SB"/>
    <hyperlink ref="F11" location="PJS!A1" tooltip="Pendidikan Jasmani, Olah Raga, dan Kesehatan" display="PJS"/>
    <hyperlink ref="F12" location="Pky!A1" tooltip="Prakarya" display="PKY"/>
    <hyperlink ref="F16" location="'PM2'!A1" display="PMN2"/>
    <hyperlink ref="F17" location="'PM3'!A1" display="PMN3"/>
    <hyperlink ref="F18" location="'PM4'!A1" display="PMN4"/>
    <hyperlink ref="F22" location="'PD2'!A1" display="PDM2"/>
    <hyperlink ref="F8" location="SEJ!A1" display="SEJ"/>
    <hyperlink ref="F9" location="BIng!A1" tooltip="Pendidikan Jasmani, Olah Raga, dan Kesehatan" display="BING"/>
    <hyperlink ref="F15" location="'PM1'!A1" display="PMN1"/>
    <hyperlink ref="F21" location="'PD1'!A1" display="PDM1"/>
    <hyperlink ref="F13" location="'Mlk1'!A1" tooltip="Muatan Lokal-1" display="MLK"/>
  </hyperlinks>
  <pageMargins left="0.28000000000000003" right="0.22" top="0.56999999999999995" bottom="0.74803149606299213" header="0.31496062992125984" footer="0.31496062992125984"/>
  <pageSetup paperSize="9" orientation="landscape" blackAndWhite="1"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AR83"/>
  <sheetViews>
    <sheetView showGridLines="0" showRowColHeaders="0" workbookViewId="0"/>
  </sheetViews>
  <sheetFormatPr defaultColWidth="0" defaultRowHeight="15" customHeight="1" zeroHeight="1"/>
  <cols>
    <col min="1" max="1" width="0.7109375" style="24" customWidth="1"/>
    <col min="2" max="2" width="3.85546875" style="24" customWidth="1"/>
    <col min="3" max="3" width="8.5703125" style="26" customWidth="1"/>
    <col min="4" max="4" width="19.7109375" style="24" customWidth="1"/>
    <col min="5" max="5" width="3.7109375" style="24" customWidth="1"/>
    <col min="6" max="16" width="3.42578125" style="26" customWidth="1"/>
    <col min="17" max="18" width="3.42578125" style="24" customWidth="1"/>
    <col min="19" max="20" width="3.7109375" style="24" customWidth="1"/>
    <col min="21" max="21" width="3.85546875" style="24" customWidth="1"/>
    <col min="22" max="22" width="8.5703125" style="26" customWidth="1"/>
    <col min="23" max="23" width="20.7109375" style="24" customWidth="1"/>
    <col min="24" max="24" width="3.85546875" style="24" customWidth="1"/>
    <col min="25" max="32" width="3.7109375" style="26" customWidth="1"/>
    <col min="33" max="37" width="3.7109375" style="24" customWidth="1"/>
    <col min="38" max="38" width="9.140625" style="37" customWidth="1"/>
    <col min="39" max="40" width="2.7109375" style="37" customWidth="1"/>
    <col min="41" max="41" width="38.140625" style="37" customWidth="1"/>
    <col min="42" max="42" width="2.7109375" style="37" customWidth="1"/>
    <col min="43" max="44" width="0" style="37" hidden="1" customWidth="1"/>
    <col min="45" max="16384" width="9.140625" style="37" hidden="1"/>
  </cols>
  <sheetData>
    <row r="1" spans="1:42" s="35" customFormat="1">
      <c r="A1" s="1307"/>
      <c r="B1" s="1308"/>
      <c r="C1" s="1309"/>
      <c r="D1" s="1310"/>
      <c r="E1" s="1311"/>
      <c r="F1" s="1311"/>
      <c r="G1" s="1312"/>
      <c r="H1" s="1312"/>
      <c r="I1" s="1309"/>
      <c r="J1" s="1312"/>
      <c r="K1" s="1312"/>
      <c r="L1" s="1312"/>
      <c r="M1" s="1312"/>
      <c r="N1" s="1312"/>
      <c r="O1" s="1312"/>
      <c r="P1" s="1312"/>
      <c r="Q1" s="1310"/>
      <c r="R1" s="1310"/>
      <c r="S1" s="1310"/>
      <c r="T1" s="1310"/>
      <c r="U1" s="1310"/>
      <c r="V1" s="1312"/>
      <c r="W1" s="1311"/>
      <c r="X1" s="1311"/>
      <c r="Y1" s="1312"/>
      <c r="Z1" s="1312"/>
      <c r="AA1" s="1309"/>
      <c r="AB1" s="1312"/>
      <c r="AC1" s="1312"/>
      <c r="AD1" s="1312"/>
      <c r="AE1" s="1312"/>
      <c r="AF1" s="1310"/>
      <c r="AG1" s="1310"/>
      <c r="AH1" s="1310"/>
      <c r="AI1" s="1310"/>
      <c r="AJ1" s="1310"/>
      <c r="AK1" s="1310"/>
      <c r="AL1" s="1140"/>
      <c r="AM1" s="1140"/>
      <c r="AN1" s="290" t="s">
        <v>738</v>
      </c>
      <c r="AO1" s="1160"/>
      <c r="AP1" s="1140"/>
    </row>
    <row r="2" spans="1:42" ht="16.5">
      <c r="B2" s="41"/>
      <c r="C2" s="42"/>
      <c r="D2" s="41"/>
      <c r="E2" s="41"/>
      <c r="F2" s="42"/>
      <c r="G2" s="43" t="str">
        <f>"DAFTAR NILAI "&amp;Data!C4</f>
        <v>DAFTAR NILAI SMA Negeri 1 Amabi Efeto</v>
      </c>
      <c r="H2" s="42"/>
      <c r="I2" s="42"/>
      <c r="J2" s="42"/>
      <c r="K2" s="42"/>
      <c r="L2" s="42"/>
      <c r="M2" s="42"/>
      <c r="N2" s="42"/>
      <c r="O2" s="42"/>
      <c r="P2" s="42"/>
      <c r="Q2" s="41"/>
      <c r="R2" s="41"/>
      <c r="S2" s="41"/>
      <c r="T2" s="41"/>
      <c r="U2" s="41"/>
      <c r="V2" s="42"/>
      <c r="W2" s="41"/>
      <c r="X2" s="41"/>
      <c r="Y2" s="42"/>
      <c r="Z2" s="43" t="str">
        <f>G2</f>
        <v>DAFTAR NILAI SMA Negeri 1 Amabi Efeto</v>
      </c>
      <c r="AA2" s="42"/>
      <c r="AB2" s="42"/>
      <c r="AC2" s="42"/>
      <c r="AD2" s="42"/>
      <c r="AE2" s="42"/>
      <c r="AF2" s="42"/>
      <c r="AG2" s="41"/>
      <c r="AH2" s="41"/>
      <c r="AI2" s="41"/>
      <c r="AJ2" s="41"/>
      <c r="AK2" s="41"/>
      <c r="AM2" s="208"/>
      <c r="AN2" s="1617" t="s">
        <v>739</v>
      </c>
      <c r="AO2" s="1617"/>
      <c r="AP2" s="208"/>
    </row>
    <row r="3" spans="1:42">
      <c r="Q3" s="27"/>
      <c r="AG3" s="27"/>
      <c r="AM3" s="208"/>
      <c r="AN3" s="1617"/>
      <c r="AO3" s="1617"/>
      <c r="AP3" s="208"/>
    </row>
    <row r="4" spans="1:42">
      <c r="B4" s="28" t="s">
        <v>39</v>
      </c>
      <c r="C4" s="29"/>
      <c r="D4" s="330" t="s">
        <v>40</v>
      </c>
      <c r="E4" s="28" t="s">
        <v>23</v>
      </c>
      <c r="F4" s="29"/>
      <c r="G4" s="29"/>
      <c r="H4" s="28" t="str">
        <f>": "&amp;Data!C9</f>
        <v>: 10 IIS 2</v>
      </c>
      <c r="I4" s="29"/>
      <c r="J4" s="29"/>
      <c r="N4" s="28" t="s">
        <v>65</v>
      </c>
      <c r="O4" s="28"/>
      <c r="P4" s="1618" t="str">
        <f>": "&amp;Data!$C$12</f>
        <v>: Sendi Laura Kee, S.Pd</v>
      </c>
      <c r="Q4" s="1618"/>
      <c r="R4" s="1618"/>
      <c r="S4" s="1618"/>
      <c r="T4" s="1618"/>
      <c r="U4" s="28" t="s">
        <v>39</v>
      </c>
      <c r="V4" s="29"/>
      <c r="W4" s="330" t="s">
        <v>40</v>
      </c>
      <c r="X4" s="28" t="s">
        <v>23</v>
      </c>
      <c r="Y4" s="29"/>
      <c r="Z4" s="29"/>
      <c r="AA4" s="28" t="str">
        <f>H4</f>
        <v>: 10 IIS 2</v>
      </c>
      <c r="AB4" s="29"/>
      <c r="AC4" s="29"/>
      <c r="AD4" s="29"/>
      <c r="AE4" s="28" t="s">
        <v>65</v>
      </c>
      <c r="AG4" s="1618" t="str">
        <f>": "&amp;Data!$C$12</f>
        <v>: Sendi Laura Kee, S.Pd</v>
      </c>
      <c r="AH4" s="1618"/>
      <c r="AI4" s="1618"/>
      <c r="AJ4" s="1618"/>
      <c r="AK4" s="1618"/>
      <c r="AM4" s="208"/>
      <c r="AN4" s="1617"/>
      <c r="AO4" s="1617"/>
      <c r="AP4" s="208"/>
    </row>
    <row r="5" spans="1:42" ht="15.75">
      <c r="B5" s="12" t="s">
        <v>64</v>
      </c>
      <c r="C5" s="12"/>
      <c r="D5" s="28" t="str">
        <f>": .............../"&amp;Data!C11</f>
        <v>: .............../2022-2023</v>
      </c>
      <c r="E5" s="28" t="s">
        <v>42</v>
      </c>
      <c r="F5" s="12"/>
      <c r="G5" s="12"/>
      <c r="H5" s="28" t="s">
        <v>44</v>
      </c>
      <c r="I5" s="12"/>
      <c r="J5" s="12"/>
      <c r="N5" s="12" t="s">
        <v>41</v>
      </c>
      <c r="O5" s="12"/>
      <c r="P5" s="1619" t="s">
        <v>54</v>
      </c>
      <c r="Q5" s="1619"/>
      <c r="R5" s="1619"/>
      <c r="S5" s="1619"/>
      <c r="T5" s="1619"/>
      <c r="U5" s="12" t="s">
        <v>64</v>
      </c>
      <c r="V5" s="12"/>
      <c r="W5" s="28" t="str">
        <f>D5</f>
        <v>: .............../2022-2023</v>
      </c>
      <c r="X5" s="28" t="s">
        <v>42</v>
      </c>
      <c r="Y5" s="12"/>
      <c r="Z5" s="12"/>
      <c r="AA5" s="28" t="s">
        <v>44</v>
      </c>
      <c r="AB5" s="12"/>
      <c r="AC5" s="12"/>
      <c r="AD5" s="12"/>
      <c r="AE5" s="12" t="s">
        <v>41</v>
      </c>
      <c r="AG5" s="1619" t="s">
        <v>53</v>
      </c>
      <c r="AH5" s="1619"/>
      <c r="AI5" s="1619"/>
      <c r="AJ5" s="1619"/>
      <c r="AK5" s="1619"/>
      <c r="AM5" s="208"/>
      <c r="AN5" s="1138" t="s">
        <v>632</v>
      </c>
      <c r="AO5" s="1138"/>
      <c r="AP5" s="208"/>
    </row>
    <row r="6" spans="1:42" ht="5.25" customHeight="1" thickBot="1">
      <c r="A6" s="30"/>
      <c r="B6" s="46"/>
      <c r="C6" s="46"/>
      <c r="D6" s="46"/>
      <c r="E6" s="46"/>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M6" s="208"/>
      <c r="AN6" s="378"/>
      <c r="AO6" s="378"/>
      <c r="AP6" s="208"/>
    </row>
    <row r="7" spans="1:42" ht="12.95" customHeight="1">
      <c r="B7" s="1604" t="s">
        <v>0</v>
      </c>
      <c r="C7" s="1606" t="s">
        <v>1</v>
      </c>
      <c r="D7" s="1606" t="s">
        <v>2</v>
      </c>
      <c r="E7" s="1608" t="s">
        <v>26</v>
      </c>
      <c r="F7" s="1597" t="s">
        <v>307</v>
      </c>
      <c r="G7" s="1598"/>
      <c r="H7" s="1598"/>
      <c r="I7" s="1598"/>
      <c r="J7" s="1598"/>
      <c r="K7" s="1598"/>
      <c r="L7" s="1598"/>
      <c r="M7" s="1598"/>
      <c r="N7" s="1598"/>
      <c r="O7" s="1598"/>
      <c r="P7" s="1597" t="s">
        <v>1019</v>
      </c>
      <c r="Q7" s="1598"/>
      <c r="R7" s="1599"/>
      <c r="S7" s="1600" t="s">
        <v>254</v>
      </c>
      <c r="T7" s="1602" t="s">
        <v>255</v>
      </c>
      <c r="U7" s="1604" t="s">
        <v>0</v>
      </c>
      <c r="V7" s="1606" t="s">
        <v>1</v>
      </c>
      <c r="W7" s="1606" t="s">
        <v>2</v>
      </c>
      <c r="X7" s="1608" t="s">
        <v>26</v>
      </c>
      <c r="Y7" s="1610" t="s">
        <v>147</v>
      </c>
      <c r="Z7" s="1611"/>
      <c r="AA7" s="1611"/>
      <c r="AB7" s="1611"/>
      <c r="AC7" s="1611"/>
      <c r="AD7" s="1611"/>
      <c r="AE7" s="1611"/>
      <c r="AF7" s="1611"/>
      <c r="AG7" s="1611"/>
      <c r="AH7" s="1611"/>
      <c r="AI7" s="1597" t="s">
        <v>1019</v>
      </c>
      <c r="AJ7" s="1598"/>
      <c r="AK7" s="1599"/>
      <c r="AM7" s="208"/>
      <c r="AN7" s="378" t="s">
        <v>125</v>
      </c>
      <c r="AO7" s="378" t="s">
        <v>740</v>
      </c>
      <c r="AP7" s="208"/>
    </row>
    <row r="8" spans="1:42" ht="12.95" customHeight="1" thickBot="1">
      <c r="B8" s="1605"/>
      <c r="C8" s="1607"/>
      <c r="D8" s="1607"/>
      <c r="E8" s="1609"/>
      <c r="F8" s="13" t="s">
        <v>908</v>
      </c>
      <c r="G8" s="14" t="s">
        <v>911</v>
      </c>
      <c r="H8" s="14" t="s">
        <v>912</v>
      </c>
      <c r="I8" s="14" t="s">
        <v>914</v>
      </c>
      <c r="J8" s="14" t="s">
        <v>915</v>
      </c>
      <c r="K8" s="14" t="s">
        <v>918</v>
      </c>
      <c r="L8" s="14" t="s">
        <v>919</v>
      </c>
      <c r="M8" s="14" t="s">
        <v>921</v>
      </c>
      <c r="N8" s="14" t="s">
        <v>922</v>
      </c>
      <c r="O8" s="1313" t="s">
        <v>927</v>
      </c>
      <c r="P8" s="13"/>
      <c r="Q8" s="14"/>
      <c r="R8" s="15"/>
      <c r="S8" s="1601"/>
      <c r="T8" s="1603"/>
      <c r="U8" s="1605"/>
      <c r="V8" s="1607"/>
      <c r="W8" s="1607"/>
      <c r="X8" s="1609"/>
      <c r="Y8" s="326"/>
      <c r="Z8" s="326"/>
      <c r="AA8" s="326"/>
      <c r="AB8" s="326"/>
      <c r="AC8" s="326"/>
      <c r="AD8" s="326"/>
      <c r="AE8" s="326"/>
      <c r="AF8" s="326"/>
      <c r="AG8" s="326"/>
      <c r="AH8" s="326"/>
      <c r="AI8" s="13"/>
      <c r="AJ8" s="14"/>
      <c r="AK8" s="15"/>
      <c r="AM8" s="208"/>
      <c r="AN8" s="378"/>
      <c r="AO8" s="378" t="s">
        <v>741</v>
      </c>
      <c r="AP8" s="208"/>
    </row>
    <row r="9" spans="1:42">
      <c r="B9" s="16">
        <v>1</v>
      </c>
      <c r="C9" s="17">
        <f>IF(Data!F5="","",Data!F5)</f>
        <v>0</v>
      </c>
      <c r="D9" s="18" t="str">
        <f>IF(Data!H5="","",Data!H5)</f>
        <v>Aldo Alfinus Pakae</v>
      </c>
      <c r="E9" s="19" t="str">
        <f>IF(Data!I5="","",Data!I5)</f>
        <v>L</v>
      </c>
      <c r="F9" s="318"/>
      <c r="G9" s="319"/>
      <c r="H9" s="319"/>
      <c r="I9" s="319"/>
      <c r="J9" s="319"/>
      <c r="K9" s="319"/>
      <c r="L9" s="319"/>
      <c r="M9" s="319"/>
      <c r="N9" s="319"/>
      <c r="O9" s="1314"/>
      <c r="P9" s="318"/>
      <c r="Q9" s="319"/>
      <c r="R9" s="320"/>
      <c r="S9" s="321"/>
      <c r="T9" s="1315"/>
      <c r="U9" s="16">
        <v>1</v>
      </c>
      <c r="V9" s="17">
        <f t="shared" ref="V9:X24" si="0">C9</f>
        <v>0</v>
      </c>
      <c r="W9" s="18" t="str">
        <f t="shared" si="0"/>
        <v>Aldo Alfinus Pakae</v>
      </c>
      <c r="X9" s="19" t="str">
        <f t="shared" si="0"/>
        <v>L</v>
      </c>
      <c r="Y9" s="318"/>
      <c r="Z9" s="319"/>
      <c r="AA9" s="319"/>
      <c r="AB9" s="319"/>
      <c r="AC9" s="319"/>
      <c r="AD9" s="319"/>
      <c r="AE9" s="319"/>
      <c r="AF9" s="319"/>
      <c r="AG9" s="319"/>
      <c r="AH9" s="320"/>
      <c r="AI9" s="318"/>
      <c r="AJ9" s="319"/>
      <c r="AK9" s="320"/>
      <c r="AL9" s="1316">
        <v>1</v>
      </c>
      <c r="AM9" s="208"/>
      <c r="AN9" s="378"/>
      <c r="AO9" s="378" t="s">
        <v>742</v>
      </c>
      <c r="AP9" s="208"/>
    </row>
    <row r="10" spans="1:42">
      <c r="B10" s="20">
        <f>IF(D10="","",B9+1)</f>
        <v>2</v>
      </c>
      <c r="C10" s="21">
        <f>IF(Data!F6="","",Data!F6)</f>
        <v>0</v>
      </c>
      <c r="D10" s="22" t="str">
        <f>IF(Data!H6="","",Data!H6)</f>
        <v>Aprianus Bira</v>
      </c>
      <c r="E10" s="23" t="str">
        <f>IF(Data!I6="","",Data!I6)</f>
        <v>L</v>
      </c>
      <c r="F10" s="322"/>
      <c r="G10" s="323"/>
      <c r="H10" s="323"/>
      <c r="I10" s="323"/>
      <c r="J10" s="323"/>
      <c r="K10" s="323"/>
      <c r="L10" s="323"/>
      <c r="M10" s="323"/>
      <c r="N10" s="323"/>
      <c r="O10" s="1317"/>
      <c r="P10" s="322"/>
      <c r="Q10" s="323"/>
      <c r="R10" s="324"/>
      <c r="S10" s="325"/>
      <c r="T10" s="1318"/>
      <c r="U10" s="20">
        <f>B10</f>
        <v>2</v>
      </c>
      <c r="V10" s="21">
        <f t="shared" si="0"/>
        <v>0</v>
      </c>
      <c r="W10" s="22" t="str">
        <f t="shared" si="0"/>
        <v>Aprianus Bira</v>
      </c>
      <c r="X10" s="23" t="str">
        <f t="shared" si="0"/>
        <v>L</v>
      </c>
      <c r="Y10" s="322"/>
      <c r="Z10" s="323"/>
      <c r="AA10" s="323"/>
      <c r="AB10" s="323"/>
      <c r="AC10" s="323"/>
      <c r="AD10" s="323"/>
      <c r="AE10" s="323"/>
      <c r="AF10" s="323"/>
      <c r="AG10" s="323"/>
      <c r="AH10" s="324"/>
      <c r="AI10" s="322"/>
      <c r="AJ10" s="323"/>
      <c r="AK10" s="324"/>
      <c r="AL10" s="1319">
        <v>2</v>
      </c>
      <c r="AM10" s="208"/>
      <c r="AN10" s="378"/>
      <c r="AO10" s="378" t="s">
        <v>743</v>
      </c>
      <c r="AP10" s="208"/>
    </row>
    <row r="11" spans="1:42">
      <c r="B11" s="20">
        <f t="shared" ref="B11:B58" si="1">IF(D11="","",B10+1)</f>
        <v>3</v>
      </c>
      <c r="C11" s="21">
        <f>IF(Data!F7="","",Data!F7)</f>
        <v>0</v>
      </c>
      <c r="D11" s="22" t="str">
        <f>IF(Data!H7="","",Data!H7)</f>
        <v>Asri Aldina Baksuni</v>
      </c>
      <c r="E11" s="23" t="str">
        <f>IF(Data!I7="","",Data!I7)</f>
        <v>P</v>
      </c>
      <c r="F11" s="322"/>
      <c r="G11" s="323"/>
      <c r="H11" s="323"/>
      <c r="I11" s="323"/>
      <c r="J11" s="323"/>
      <c r="K11" s="323"/>
      <c r="L11" s="323"/>
      <c r="M11" s="323"/>
      <c r="N11" s="323"/>
      <c r="O11" s="1317"/>
      <c r="P11" s="322"/>
      <c r="Q11" s="323"/>
      <c r="R11" s="324"/>
      <c r="S11" s="325"/>
      <c r="T11" s="1318"/>
      <c r="U11" s="20">
        <f t="shared" ref="U11:X37" si="2">B11</f>
        <v>3</v>
      </c>
      <c r="V11" s="21">
        <f t="shared" si="0"/>
        <v>0</v>
      </c>
      <c r="W11" s="22" t="str">
        <f t="shared" si="0"/>
        <v>Asri Aldina Baksuni</v>
      </c>
      <c r="X11" s="23" t="str">
        <f t="shared" si="0"/>
        <v>P</v>
      </c>
      <c r="Y11" s="322"/>
      <c r="Z11" s="323"/>
      <c r="AA11" s="323"/>
      <c r="AB11" s="323"/>
      <c r="AC11" s="323"/>
      <c r="AD11" s="323"/>
      <c r="AE11" s="323"/>
      <c r="AF11" s="323"/>
      <c r="AG11" s="323"/>
      <c r="AH11" s="324"/>
      <c r="AI11" s="322"/>
      <c r="AJ11" s="323"/>
      <c r="AK11" s="324"/>
      <c r="AL11" s="1320">
        <v>3</v>
      </c>
      <c r="AM11" s="208"/>
      <c r="AN11" s="378"/>
      <c r="AO11" s="378" t="s">
        <v>744</v>
      </c>
      <c r="AP11" s="208"/>
    </row>
    <row r="12" spans="1:42">
      <c r="B12" s="20">
        <f t="shared" si="1"/>
        <v>4</v>
      </c>
      <c r="C12" s="21">
        <f>IF(Data!F8="","",Data!F8)</f>
        <v>0</v>
      </c>
      <c r="D12" s="22" t="str">
        <f>IF(Data!H8="","",Data!H8)</f>
        <v>Asti Welmince Welkis</v>
      </c>
      <c r="E12" s="23" t="str">
        <f>IF(Data!I8="","",Data!I8)</f>
        <v>P</v>
      </c>
      <c r="F12" s="322"/>
      <c r="G12" s="323"/>
      <c r="H12" s="323"/>
      <c r="I12" s="323"/>
      <c r="J12" s="323"/>
      <c r="K12" s="323"/>
      <c r="L12" s="323"/>
      <c r="M12" s="323"/>
      <c r="N12" s="323"/>
      <c r="O12" s="1317"/>
      <c r="P12" s="322"/>
      <c r="Q12" s="323"/>
      <c r="R12" s="324"/>
      <c r="S12" s="325"/>
      <c r="T12" s="1318"/>
      <c r="U12" s="20">
        <f t="shared" si="2"/>
        <v>4</v>
      </c>
      <c r="V12" s="21">
        <f t="shared" si="0"/>
        <v>0</v>
      </c>
      <c r="W12" s="22" t="str">
        <f t="shared" si="0"/>
        <v>Asti Welmince Welkis</v>
      </c>
      <c r="X12" s="23" t="str">
        <f t="shared" si="0"/>
        <v>P</v>
      </c>
      <c r="Y12" s="322"/>
      <c r="Z12" s="323"/>
      <c r="AA12" s="323"/>
      <c r="AB12" s="323"/>
      <c r="AC12" s="323"/>
      <c r="AD12" s="323"/>
      <c r="AE12" s="323"/>
      <c r="AF12" s="323"/>
      <c r="AG12" s="323"/>
      <c r="AH12" s="324"/>
      <c r="AI12" s="322"/>
      <c r="AJ12" s="323"/>
      <c r="AK12" s="324"/>
      <c r="AL12" s="1319">
        <v>4</v>
      </c>
      <c r="AM12" s="208"/>
      <c r="AN12" s="378"/>
      <c r="AO12" s="378" t="s">
        <v>745</v>
      </c>
      <c r="AP12" s="208"/>
    </row>
    <row r="13" spans="1:42">
      <c r="B13" s="20">
        <f t="shared" si="1"/>
        <v>5</v>
      </c>
      <c r="C13" s="21">
        <f>IF(Data!F9="","",Data!F9)</f>
        <v>0</v>
      </c>
      <c r="D13" s="22" t="str">
        <f>IF(Data!H9="","",Data!H9)</f>
        <v>Aulya Noviyanti Mbura</v>
      </c>
      <c r="E13" s="23" t="str">
        <f>IF(Data!I9="","",Data!I9)</f>
        <v>P</v>
      </c>
      <c r="F13" s="322"/>
      <c r="G13" s="323"/>
      <c r="H13" s="323"/>
      <c r="I13" s="323"/>
      <c r="J13" s="323"/>
      <c r="K13" s="323"/>
      <c r="L13" s="323"/>
      <c r="M13" s="323"/>
      <c r="N13" s="323"/>
      <c r="O13" s="1317"/>
      <c r="P13" s="322"/>
      <c r="Q13" s="323"/>
      <c r="R13" s="324"/>
      <c r="S13" s="325"/>
      <c r="T13" s="1318"/>
      <c r="U13" s="20">
        <f t="shared" si="2"/>
        <v>5</v>
      </c>
      <c r="V13" s="21">
        <f t="shared" si="0"/>
        <v>0</v>
      </c>
      <c r="W13" s="22" t="str">
        <f t="shared" si="0"/>
        <v>Aulya Noviyanti Mbura</v>
      </c>
      <c r="X13" s="23" t="str">
        <f t="shared" si="0"/>
        <v>P</v>
      </c>
      <c r="Y13" s="322"/>
      <c r="Z13" s="323"/>
      <c r="AA13" s="323"/>
      <c r="AB13" s="323"/>
      <c r="AC13" s="323"/>
      <c r="AD13" s="323"/>
      <c r="AE13" s="323"/>
      <c r="AF13" s="323"/>
      <c r="AG13" s="323"/>
      <c r="AH13" s="324"/>
      <c r="AI13" s="322"/>
      <c r="AJ13" s="323"/>
      <c r="AK13" s="324"/>
      <c r="AL13" s="1320">
        <v>5</v>
      </c>
      <c r="AM13" s="208"/>
      <c r="AN13" s="378"/>
      <c r="AO13" s="378" t="s">
        <v>746</v>
      </c>
      <c r="AP13" s="208"/>
    </row>
    <row r="14" spans="1:42">
      <c r="B14" s="20">
        <f t="shared" si="1"/>
        <v>6</v>
      </c>
      <c r="C14" s="21">
        <f>IF(Data!F10="","",Data!F10)</f>
        <v>0</v>
      </c>
      <c r="D14" s="22" t="str">
        <f>IF(Data!H10="","",Data!H10)</f>
        <v>Ayu Oliberta Ranboki</v>
      </c>
      <c r="E14" s="23" t="str">
        <f>IF(Data!I10="","",Data!I10)</f>
        <v>P</v>
      </c>
      <c r="F14" s="322"/>
      <c r="G14" s="323"/>
      <c r="H14" s="323"/>
      <c r="I14" s="323"/>
      <c r="J14" s="323"/>
      <c r="K14" s="323"/>
      <c r="L14" s="323"/>
      <c r="M14" s="323"/>
      <c r="N14" s="323"/>
      <c r="O14" s="1317"/>
      <c r="P14" s="322"/>
      <c r="Q14" s="323"/>
      <c r="R14" s="324"/>
      <c r="S14" s="325"/>
      <c r="T14" s="1318"/>
      <c r="U14" s="20">
        <f t="shared" si="2"/>
        <v>6</v>
      </c>
      <c r="V14" s="21">
        <f t="shared" si="0"/>
        <v>0</v>
      </c>
      <c r="W14" s="22" t="str">
        <f t="shared" si="0"/>
        <v>Ayu Oliberta Ranboki</v>
      </c>
      <c r="X14" s="23" t="str">
        <f t="shared" si="0"/>
        <v>P</v>
      </c>
      <c r="Y14" s="322"/>
      <c r="Z14" s="323"/>
      <c r="AA14" s="323"/>
      <c r="AB14" s="323"/>
      <c r="AC14" s="323"/>
      <c r="AD14" s="323"/>
      <c r="AE14" s="323"/>
      <c r="AF14" s="323"/>
      <c r="AG14" s="323"/>
      <c r="AH14" s="324"/>
      <c r="AI14" s="322"/>
      <c r="AJ14" s="323"/>
      <c r="AK14" s="324"/>
      <c r="AL14" s="1319">
        <v>6</v>
      </c>
      <c r="AM14" s="208"/>
      <c r="AN14" s="378" t="s">
        <v>126</v>
      </c>
      <c r="AO14" s="378" t="s">
        <v>747</v>
      </c>
      <c r="AP14" s="208"/>
    </row>
    <row r="15" spans="1:42">
      <c r="B15" s="20">
        <f t="shared" si="1"/>
        <v>7</v>
      </c>
      <c r="C15" s="21">
        <f>IF(Data!F11="","",Data!F11)</f>
        <v>0</v>
      </c>
      <c r="D15" s="22" t="str">
        <f>IF(Data!H11="","",Data!H11)</f>
        <v>Benediktus Faot</v>
      </c>
      <c r="E15" s="23" t="str">
        <f>IF(Data!I11="","",Data!I11)</f>
        <v>L</v>
      </c>
      <c r="F15" s="322"/>
      <c r="G15" s="323"/>
      <c r="H15" s="323"/>
      <c r="I15" s="323"/>
      <c r="J15" s="323"/>
      <c r="K15" s="323"/>
      <c r="L15" s="323"/>
      <c r="M15" s="323"/>
      <c r="N15" s="323"/>
      <c r="O15" s="1317"/>
      <c r="P15" s="322"/>
      <c r="Q15" s="323"/>
      <c r="R15" s="324"/>
      <c r="S15" s="325"/>
      <c r="T15" s="1318"/>
      <c r="U15" s="20">
        <f t="shared" si="2"/>
        <v>7</v>
      </c>
      <c r="V15" s="21">
        <f t="shared" si="0"/>
        <v>0</v>
      </c>
      <c r="W15" s="22" t="str">
        <f t="shared" si="0"/>
        <v>Benediktus Faot</v>
      </c>
      <c r="X15" s="23" t="str">
        <f t="shared" si="0"/>
        <v>L</v>
      </c>
      <c r="Y15" s="322"/>
      <c r="Z15" s="323"/>
      <c r="AA15" s="323"/>
      <c r="AB15" s="323"/>
      <c r="AC15" s="323"/>
      <c r="AD15" s="323"/>
      <c r="AE15" s="323"/>
      <c r="AF15" s="323"/>
      <c r="AG15" s="323"/>
      <c r="AH15" s="324"/>
      <c r="AI15" s="322"/>
      <c r="AJ15" s="323"/>
      <c r="AK15" s="324"/>
      <c r="AL15" s="1320">
        <v>7</v>
      </c>
      <c r="AM15" s="208"/>
      <c r="AN15" s="378"/>
      <c r="AO15" s="378" t="s">
        <v>748</v>
      </c>
      <c r="AP15" s="208"/>
    </row>
    <row r="16" spans="1:42">
      <c r="B16" s="20">
        <f t="shared" si="1"/>
        <v>8</v>
      </c>
      <c r="C16" s="21">
        <f>IF(Data!F12="","",Data!F12)</f>
        <v>0</v>
      </c>
      <c r="D16" s="22" t="str">
        <f>IF(Data!H12="","",Data!H12)</f>
        <v>Betron Imanuel Kuni</v>
      </c>
      <c r="E16" s="23" t="str">
        <f>IF(Data!I12="","",Data!I12)</f>
        <v>L</v>
      </c>
      <c r="F16" s="322"/>
      <c r="G16" s="323"/>
      <c r="H16" s="323"/>
      <c r="I16" s="323"/>
      <c r="J16" s="323"/>
      <c r="K16" s="323"/>
      <c r="L16" s="323"/>
      <c r="M16" s="323"/>
      <c r="N16" s="323"/>
      <c r="O16" s="1317"/>
      <c r="P16" s="322"/>
      <c r="Q16" s="323"/>
      <c r="R16" s="324"/>
      <c r="S16" s="325"/>
      <c r="T16" s="1318"/>
      <c r="U16" s="20">
        <f t="shared" si="2"/>
        <v>8</v>
      </c>
      <c r="V16" s="21">
        <f t="shared" si="0"/>
        <v>0</v>
      </c>
      <c r="W16" s="22" t="str">
        <f t="shared" si="0"/>
        <v>Betron Imanuel Kuni</v>
      </c>
      <c r="X16" s="23" t="str">
        <f t="shared" si="0"/>
        <v>L</v>
      </c>
      <c r="Y16" s="322"/>
      <c r="Z16" s="323"/>
      <c r="AA16" s="323"/>
      <c r="AB16" s="323"/>
      <c r="AC16" s="323"/>
      <c r="AD16" s="323"/>
      <c r="AE16" s="323"/>
      <c r="AF16" s="323"/>
      <c r="AG16" s="323"/>
      <c r="AH16" s="324"/>
      <c r="AI16" s="322"/>
      <c r="AJ16" s="323"/>
      <c r="AK16" s="324"/>
      <c r="AL16" s="1319">
        <v>8</v>
      </c>
      <c r="AM16" s="208"/>
      <c r="AN16" s="378" t="s">
        <v>127</v>
      </c>
      <c r="AO16" s="378" t="s">
        <v>749</v>
      </c>
      <c r="AP16" s="208"/>
    </row>
    <row r="17" spans="2:42" s="37" customFormat="1">
      <c r="B17" s="20">
        <f t="shared" si="1"/>
        <v>9</v>
      </c>
      <c r="C17" s="21">
        <f>IF(Data!F13="","",Data!F13)</f>
        <v>0</v>
      </c>
      <c r="D17" s="22" t="str">
        <f>IF(Data!H13="","",Data!H13)</f>
        <v>Demrianus Ton</v>
      </c>
      <c r="E17" s="23" t="str">
        <f>IF(Data!I13="","",Data!I13)</f>
        <v>L</v>
      </c>
      <c r="F17" s="322"/>
      <c r="G17" s="323"/>
      <c r="H17" s="323"/>
      <c r="I17" s="323"/>
      <c r="J17" s="323"/>
      <c r="K17" s="323"/>
      <c r="L17" s="323"/>
      <c r="M17" s="323"/>
      <c r="N17" s="323"/>
      <c r="O17" s="1317"/>
      <c r="P17" s="322"/>
      <c r="Q17" s="323"/>
      <c r="R17" s="324"/>
      <c r="S17" s="325"/>
      <c r="T17" s="1318"/>
      <c r="U17" s="20">
        <f t="shared" si="2"/>
        <v>9</v>
      </c>
      <c r="V17" s="21">
        <f t="shared" si="0"/>
        <v>0</v>
      </c>
      <c r="W17" s="22" t="str">
        <f t="shared" si="0"/>
        <v>Demrianus Ton</v>
      </c>
      <c r="X17" s="23" t="str">
        <f t="shared" si="0"/>
        <v>L</v>
      </c>
      <c r="Y17" s="322"/>
      <c r="Z17" s="323"/>
      <c r="AA17" s="323"/>
      <c r="AB17" s="323"/>
      <c r="AC17" s="323"/>
      <c r="AD17" s="323"/>
      <c r="AE17" s="323"/>
      <c r="AF17" s="323"/>
      <c r="AG17" s="323"/>
      <c r="AH17" s="324"/>
      <c r="AI17" s="322"/>
      <c r="AJ17" s="323"/>
      <c r="AK17" s="324"/>
      <c r="AL17" s="1320">
        <v>9</v>
      </c>
      <c r="AM17" s="208"/>
      <c r="AN17" s="378"/>
      <c r="AO17" s="378" t="s">
        <v>750</v>
      </c>
      <c r="AP17" s="208"/>
    </row>
    <row r="18" spans="2:42" s="37" customFormat="1">
      <c r="B18" s="20">
        <f t="shared" si="1"/>
        <v>10</v>
      </c>
      <c r="C18" s="21">
        <f>IF(Data!F14="","",Data!F14)</f>
        <v>0</v>
      </c>
      <c r="D18" s="22" t="str">
        <f>IF(Data!H14="","",Data!H14)</f>
        <v>Desti Manggoa</v>
      </c>
      <c r="E18" s="23" t="str">
        <f>IF(Data!I14="","",Data!I14)</f>
        <v>P</v>
      </c>
      <c r="F18" s="322"/>
      <c r="G18" s="323"/>
      <c r="H18" s="323"/>
      <c r="I18" s="323"/>
      <c r="J18" s="323"/>
      <c r="K18" s="323"/>
      <c r="L18" s="323"/>
      <c r="M18" s="323"/>
      <c r="N18" s="323"/>
      <c r="O18" s="1317"/>
      <c r="P18" s="322"/>
      <c r="Q18" s="323"/>
      <c r="R18" s="324"/>
      <c r="S18" s="325"/>
      <c r="T18" s="1318"/>
      <c r="U18" s="20">
        <f t="shared" si="2"/>
        <v>10</v>
      </c>
      <c r="V18" s="21">
        <f t="shared" si="0"/>
        <v>0</v>
      </c>
      <c r="W18" s="22" t="str">
        <f t="shared" si="0"/>
        <v>Desti Manggoa</v>
      </c>
      <c r="X18" s="23" t="str">
        <f t="shared" si="0"/>
        <v>P</v>
      </c>
      <c r="Y18" s="322"/>
      <c r="Z18" s="323"/>
      <c r="AA18" s="323"/>
      <c r="AB18" s="323"/>
      <c r="AC18" s="323"/>
      <c r="AD18" s="323"/>
      <c r="AE18" s="323"/>
      <c r="AF18" s="323"/>
      <c r="AG18" s="323"/>
      <c r="AH18" s="324"/>
      <c r="AI18" s="322"/>
      <c r="AJ18" s="323"/>
      <c r="AK18" s="324"/>
      <c r="AL18" s="1319">
        <v>10</v>
      </c>
      <c r="AM18" s="208"/>
      <c r="AN18" s="378" t="s">
        <v>128</v>
      </c>
      <c r="AO18" s="378" t="s">
        <v>751</v>
      </c>
      <c r="AP18" s="208"/>
    </row>
    <row r="19" spans="2:42" s="37" customFormat="1">
      <c r="B19" s="20">
        <f t="shared" si="1"/>
        <v>11</v>
      </c>
      <c r="C19" s="21">
        <f>IF(Data!F15="","",Data!F15)</f>
        <v>0</v>
      </c>
      <c r="D19" s="22" t="str">
        <f>IF(Data!H15="","",Data!H15)</f>
        <v>Dorkas Meliana Talita Kesnay</v>
      </c>
      <c r="E19" s="23" t="str">
        <f>IF(Data!I15="","",Data!I15)</f>
        <v>P</v>
      </c>
      <c r="F19" s="322"/>
      <c r="G19" s="323"/>
      <c r="H19" s="323"/>
      <c r="I19" s="323"/>
      <c r="J19" s="323"/>
      <c r="K19" s="323"/>
      <c r="L19" s="323"/>
      <c r="M19" s="323"/>
      <c r="N19" s="323"/>
      <c r="O19" s="1317"/>
      <c r="P19" s="322"/>
      <c r="Q19" s="323"/>
      <c r="R19" s="324"/>
      <c r="S19" s="325"/>
      <c r="T19" s="1318"/>
      <c r="U19" s="20">
        <f t="shared" si="2"/>
        <v>11</v>
      </c>
      <c r="V19" s="21">
        <f t="shared" si="0"/>
        <v>0</v>
      </c>
      <c r="W19" s="22" t="str">
        <f t="shared" si="0"/>
        <v>Dorkas Meliana Talita Kesnay</v>
      </c>
      <c r="X19" s="23" t="str">
        <f t="shared" si="0"/>
        <v>P</v>
      </c>
      <c r="Y19" s="322"/>
      <c r="Z19" s="323"/>
      <c r="AA19" s="323"/>
      <c r="AB19" s="323"/>
      <c r="AC19" s="323"/>
      <c r="AD19" s="323"/>
      <c r="AE19" s="323"/>
      <c r="AF19" s="323"/>
      <c r="AG19" s="323"/>
      <c r="AH19" s="324"/>
      <c r="AI19" s="322"/>
      <c r="AJ19" s="323"/>
      <c r="AK19" s="324"/>
      <c r="AL19" s="1320">
        <v>11</v>
      </c>
      <c r="AM19" s="208"/>
      <c r="AN19" s="378"/>
      <c r="AO19" s="378" t="s">
        <v>752</v>
      </c>
      <c r="AP19" s="208"/>
    </row>
    <row r="20" spans="2:42" s="37" customFormat="1">
      <c r="B20" s="20">
        <f t="shared" si="1"/>
        <v>12</v>
      </c>
      <c r="C20" s="21">
        <f>IF(Data!F16="","",Data!F16)</f>
        <v>0</v>
      </c>
      <c r="D20" s="22" t="str">
        <f>IF(Data!H16="","",Data!H16)</f>
        <v>Erto Seprianto Leukune</v>
      </c>
      <c r="E20" s="23" t="str">
        <f>IF(Data!I16="","",Data!I16)</f>
        <v>L</v>
      </c>
      <c r="F20" s="322"/>
      <c r="G20" s="323"/>
      <c r="H20" s="323"/>
      <c r="I20" s="323"/>
      <c r="J20" s="323"/>
      <c r="K20" s="323"/>
      <c r="L20" s="323"/>
      <c r="M20" s="323"/>
      <c r="N20" s="323"/>
      <c r="O20" s="1317"/>
      <c r="P20" s="322"/>
      <c r="Q20" s="323"/>
      <c r="R20" s="324"/>
      <c r="S20" s="325"/>
      <c r="T20" s="1318"/>
      <c r="U20" s="20">
        <f t="shared" si="2"/>
        <v>12</v>
      </c>
      <c r="V20" s="21">
        <f t="shared" si="0"/>
        <v>0</v>
      </c>
      <c r="W20" s="22" t="str">
        <f t="shared" si="0"/>
        <v>Erto Seprianto Leukune</v>
      </c>
      <c r="X20" s="23" t="str">
        <f t="shared" si="0"/>
        <v>L</v>
      </c>
      <c r="Y20" s="322"/>
      <c r="Z20" s="323"/>
      <c r="AA20" s="323"/>
      <c r="AB20" s="323"/>
      <c r="AC20" s="323"/>
      <c r="AD20" s="323"/>
      <c r="AE20" s="323"/>
      <c r="AF20" s="323"/>
      <c r="AG20" s="323"/>
      <c r="AH20" s="324"/>
      <c r="AI20" s="322"/>
      <c r="AJ20" s="323"/>
      <c r="AK20" s="324"/>
      <c r="AL20" s="1319">
        <v>12</v>
      </c>
      <c r="AM20" s="208"/>
      <c r="AN20" s="378"/>
      <c r="AO20" s="378" t="s">
        <v>753</v>
      </c>
      <c r="AP20" s="208"/>
    </row>
    <row r="21" spans="2:42" s="37" customFormat="1">
      <c r="B21" s="20">
        <f t="shared" si="1"/>
        <v>13</v>
      </c>
      <c r="C21" s="21">
        <f>IF(Data!F17="","",Data!F17)</f>
        <v>0</v>
      </c>
      <c r="D21" s="22" t="str">
        <f>IF(Data!H17="","",Data!H17)</f>
        <v>Feli Tipnoni</v>
      </c>
      <c r="E21" s="23" t="str">
        <f>IF(Data!I17="","",Data!I17)</f>
        <v>P</v>
      </c>
      <c r="F21" s="322"/>
      <c r="G21" s="323"/>
      <c r="H21" s="323"/>
      <c r="I21" s="323"/>
      <c r="J21" s="323"/>
      <c r="K21" s="323"/>
      <c r="L21" s="323"/>
      <c r="M21" s="323"/>
      <c r="N21" s="323"/>
      <c r="O21" s="1317"/>
      <c r="P21" s="322"/>
      <c r="Q21" s="323"/>
      <c r="R21" s="324"/>
      <c r="S21" s="325"/>
      <c r="T21" s="1318"/>
      <c r="U21" s="20">
        <f t="shared" si="2"/>
        <v>13</v>
      </c>
      <c r="V21" s="21">
        <f t="shared" si="0"/>
        <v>0</v>
      </c>
      <c r="W21" s="22" t="str">
        <f t="shared" si="0"/>
        <v>Feli Tipnoni</v>
      </c>
      <c r="X21" s="23" t="str">
        <f t="shared" si="0"/>
        <v>P</v>
      </c>
      <c r="Y21" s="322"/>
      <c r="Z21" s="323"/>
      <c r="AA21" s="323"/>
      <c r="AB21" s="323"/>
      <c r="AC21" s="323"/>
      <c r="AD21" s="323"/>
      <c r="AE21" s="323"/>
      <c r="AF21" s="323"/>
      <c r="AG21" s="323"/>
      <c r="AH21" s="324"/>
      <c r="AI21" s="322"/>
      <c r="AJ21" s="323"/>
      <c r="AK21" s="324"/>
      <c r="AL21" s="1320">
        <v>13</v>
      </c>
      <c r="AM21" s="208"/>
      <c r="AN21" s="378" t="s">
        <v>129</v>
      </c>
      <c r="AO21" s="378" t="s">
        <v>754</v>
      </c>
      <c r="AP21" s="208"/>
    </row>
    <row r="22" spans="2:42" s="37" customFormat="1">
      <c r="B22" s="20">
        <f t="shared" si="1"/>
        <v>14</v>
      </c>
      <c r="C22" s="21">
        <f>IF(Data!F18="","",Data!F18)</f>
        <v>0</v>
      </c>
      <c r="D22" s="22" t="str">
        <f>IF(Data!H18="","",Data!H18)</f>
        <v xml:space="preserve">Ferdinandes Sakbana </v>
      </c>
      <c r="E22" s="23" t="str">
        <f>IF(Data!I18="","",Data!I18)</f>
        <v>L</v>
      </c>
      <c r="F22" s="322"/>
      <c r="G22" s="323"/>
      <c r="H22" s="323"/>
      <c r="I22" s="323"/>
      <c r="J22" s="323"/>
      <c r="K22" s="323"/>
      <c r="L22" s="323"/>
      <c r="M22" s="323"/>
      <c r="N22" s="323"/>
      <c r="O22" s="1317"/>
      <c r="P22" s="322"/>
      <c r="Q22" s="323"/>
      <c r="R22" s="324"/>
      <c r="S22" s="325"/>
      <c r="T22" s="1318"/>
      <c r="U22" s="20">
        <f t="shared" si="2"/>
        <v>14</v>
      </c>
      <c r="V22" s="21">
        <f t="shared" si="0"/>
        <v>0</v>
      </c>
      <c r="W22" s="22" t="str">
        <f t="shared" si="0"/>
        <v xml:space="preserve">Ferdinandes Sakbana </v>
      </c>
      <c r="X22" s="23" t="str">
        <f t="shared" si="0"/>
        <v>L</v>
      </c>
      <c r="Y22" s="322"/>
      <c r="Z22" s="323"/>
      <c r="AA22" s="323"/>
      <c r="AB22" s="323"/>
      <c r="AC22" s="323"/>
      <c r="AD22" s="323"/>
      <c r="AE22" s="323"/>
      <c r="AF22" s="323"/>
      <c r="AG22" s="323"/>
      <c r="AH22" s="324"/>
      <c r="AI22" s="322"/>
      <c r="AJ22" s="323"/>
      <c r="AK22" s="324"/>
      <c r="AL22" s="1319">
        <v>14</v>
      </c>
      <c r="AM22" s="208"/>
      <c r="AN22" s="378"/>
      <c r="AO22" s="378" t="s">
        <v>755</v>
      </c>
      <c r="AP22" s="208"/>
    </row>
    <row r="23" spans="2:42" s="37" customFormat="1">
      <c r="B23" s="20">
        <f t="shared" si="1"/>
        <v>15</v>
      </c>
      <c r="C23" s="21">
        <f>IF(Data!F19="","",Data!F19)</f>
        <v>0</v>
      </c>
      <c r="D23" s="22" t="str">
        <f>IF(Data!H19="","",Data!H19)</f>
        <v>Fitri Novani Nitbani</v>
      </c>
      <c r="E23" s="23" t="str">
        <f>IF(Data!I19="","",Data!I19)</f>
        <v>P</v>
      </c>
      <c r="F23" s="322"/>
      <c r="G23" s="323"/>
      <c r="H23" s="323"/>
      <c r="I23" s="323"/>
      <c r="J23" s="323"/>
      <c r="K23" s="323"/>
      <c r="L23" s="323"/>
      <c r="M23" s="323"/>
      <c r="N23" s="323"/>
      <c r="O23" s="1317"/>
      <c r="P23" s="322"/>
      <c r="Q23" s="323"/>
      <c r="R23" s="324"/>
      <c r="S23" s="325"/>
      <c r="T23" s="1318"/>
      <c r="U23" s="20">
        <f t="shared" si="2"/>
        <v>15</v>
      </c>
      <c r="V23" s="21">
        <f t="shared" si="0"/>
        <v>0</v>
      </c>
      <c r="W23" s="22" t="str">
        <f t="shared" si="0"/>
        <v>Fitri Novani Nitbani</v>
      </c>
      <c r="X23" s="23" t="str">
        <f t="shared" si="0"/>
        <v>P</v>
      </c>
      <c r="Y23" s="322"/>
      <c r="Z23" s="323"/>
      <c r="AA23" s="323"/>
      <c r="AB23" s="323"/>
      <c r="AC23" s="323"/>
      <c r="AD23" s="323"/>
      <c r="AE23" s="323"/>
      <c r="AF23" s="323"/>
      <c r="AG23" s="323"/>
      <c r="AH23" s="324"/>
      <c r="AI23" s="322"/>
      <c r="AJ23" s="323"/>
      <c r="AK23" s="324"/>
      <c r="AL23" s="1320">
        <v>15</v>
      </c>
      <c r="AM23" s="208"/>
      <c r="AN23" s="378"/>
      <c r="AO23" s="378" t="s">
        <v>756</v>
      </c>
      <c r="AP23" s="208"/>
    </row>
    <row r="24" spans="2:42" s="37" customFormat="1">
      <c r="B24" s="20">
        <f t="shared" si="1"/>
        <v>16</v>
      </c>
      <c r="C24" s="21">
        <f>IF(Data!F20="","",Data!F20)</f>
        <v>0</v>
      </c>
      <c r="D24" s="22" t="str">
        <f>IF(Data!H20="","",Data!H20)</f>
        <v>Helsina Benu</v>
      </c>
      <c r="E24" s="23" t="str">
        <f>IF(Data!I20="","",Data!I20)</f>
        <v>P</v>
      </c>
      <c r="F24" s="322"/>
      <c r="G24" s="323"/>
      <c r="H24" s="323"/>
      <c r="I24" s="323"/>
      <c r="J24" s="323"/>
      <c r="K24" s="323"/>
      <c r="L24" s="323"/>
      <c r="M24" s="323"/>
      <c r="N24" s="323"/>
      <c r="O24" s="1317"/>
      <c r="P24" s="322"/>
      <c r="Q24" s="323"/>
      <c r="R24" s="324"/>
      <c r="S24" s="325"/>
      <c r="T24" s="1318"/>
      <c r="U24" s="20">
        <f t="shared" si="2"/>
        <v>16</v>
      </c>
      <c r="V24" s="21">
        <f t="shared" si="0"/>
        <v>0</v>
      </c>
      <c r="W24" s="22" t="str">
        <f t="shared" si="0"/>
        <v>Helsina Benu</v>
      </c>
      <c r="X24" s="23" t="str">
        <f t="shared" si="0"/>
        <v>P</v>
      </c>
      <c r="Y24" s="322"/>
      <c r="Z24" s="323"/>
      <c r="AA24" s="323"/>
      <c r="AB24" s="323"/>
      <c r="AC24" s="323"/>
      <c r="AD24" s="323"/>
      <c r="AE24" s="323"/>
      <c r="AF24" s="323"/>
      <c r="AG24" s="323"/>
      <c r="AH24" s="324"/>
      <c r="AI24" s="322"/>
      <c r="AJ24" s="323"/>
      <c r="AK24" s="324"/>
      <c r="AL24" s="1319">
        <v>16</v>
      </c>
      <c r="AM24" s="208"/>
      <c r="AN24" s="378"/>
      <c r="AO24" s="378" t="s">
        <v>757</v>
      </c>
      <c r="AP24" s="208"/>
    </row>
    <row r="25" spans="2:42" s="37" customFormat="1">
      <c r="B25" s="20">
        <f t="shared" si="1"/>
        <v>17</v>
      </c>
      <c r="C25" s="21">
        <f>IF(Data!F21="","",Data!F21)</f>
        <v>0</v>
      </c>
      <c r="D25" s="22" t="str">
        <f>IF(Data!H21="","",Data!H21)</f>
        <v xml:space="preserve">Hezron Nubatonis </v>
      </c>
      <c r="E25" s="23" t="str">
        <f>IF(Data!I21="","",Data!I21)</f>
        <v>L</v>
      </c>
      <c r="F25" s="322"/>
      <c r="G25" s="323"/>
      <c r="H25" s="323"/>
      <c r="I25" s="323"/>
      <c r="J25" s="323"/>
      <c r="K25" s="323"/>
      <c r="L25" s="323"/>
      <c r="M25" s="323"/>
      <c r="N25" s="323"/>
      <c r="O25" s="1317"/>
      <c r="P25" s="322"/>
      <c r="Q25" s="323"/>
      <c r="R25" s="324"/>
      <c r="S25" s="325"/>
      <c r="T25" s="1318"/>
      <c r="U25" s="20">
        <f t="shared" si="2"/>
        <v>17</v>
      </c>
      <c r="V25" s="21">
        <f t="shared" si="2"/>
        <v>0</v>
      </c>
      <c r="W25" s="22" t="str">
        <f t="shared" si="2"/>
        <v xml:space="preserve">Hezron Nubatonis </v>
      </c>
      <c r="X25" s="23" t="str">
        <f t="shared" si="2"/>
        <v>L</v>
      </c>
      <c r="Y25" s="322"/>
      <c r="Z25" s="323"/>
      <c r="AA25" s="323"/>
      <c r="AB25" s="323"/>
      <c r="AC25" s="323"/>
      <c r="AD25" s="323"/>
      <c r="AE25" s="323"/>
      <c r="AF25" s="323"/>
      <c r="AG25" s="323"/>
      <c r="AH25" s="324"/>
      <c r="AI25" s="322"/>
      <c r="AJ25" s="323"/>
      <c r="AK25" s="324"/>
      <c r="AL25" s="1320">
        <v>17</v>
      </c>
      <c r="AM25" s="208"/>
      <c r="AN25" s="378" t="s">
        <v>130</v>
      </c>
      <c r="AO25" s="378" t="s">
        <v>758</v>
      </c>
      <c r="AP25" s="208"/>
    </row>
    <row r="26" spans="2:42" s="37" customFormat="1">
      <c r="B26" s="20">
        <f t="shared" si="1"/>
        <v>18</v>
      </c>
      <c r="C26" s="21">
        <f>IF(Data!F22="","",Data!F22)</f>
        <v>0</v>
      </c>
      <c r="D26" s="22" t="str">
        <f>IF(Data!H22="","",Data!H22)</f>
        <v>Jelita Anita Boimau</v>
      </c>
      <c r="E26" s="23" t="str">
        <f>IF(Data!I22="","",Data!I22)</f>
        <v>P</v>
      </c>
      <c r="F26" s="322"/>
      <c r="G26" s="323"/>
      <c r="H26" s="323"/>
      <c r="I26" s="323"/>
      <c r="J26" s="323"/>
      <c r="K26" s="323"/>
      <c r="L26" s="323"/>
      <c r="M26" s="323"/>
      <c r="N26" s="323"/>
      <c r="O26" s="1317"/>
      <c r="P26" s="322"/>
      <c r="Q26" s="323"/>
      <c r="R26" s="324"/>
      <c r="S26" s="325"/>
      <c r="T26" s="1318"/>
      <c r="U26" s="20">
        <f t="shared" si="2"/>
        <v>18</v>
      </c>
      <c r="V26" s="21">
        <f t="shared" si="2"/>
        <v>0</v>
      </c>
      <c r="W26" s="22" t="str">
        <f t="shared" si="2"/>
        <v>Jelita Anita Boimau</v>
      </c>
      <c r="X26" s="23" t="str">
        <f t="shared" si="2"/>
        <v>P</v>
      </c>
      <c r="Y26" s="322"/>
      <c r="Z26" s="323"/>
      <c r="AA26" s="323"/>
      <c r="AB26" s="323"/>
      <c r="AC26" s="323"/>
      <c r="AD26" s="323"/>
      <c r="AE26" s="323"/>
      <c r="AF26" s="323"/>
      <c r="AG26" s="323"/>
      <c r="AH26" s="324"/>
      <c r="AI26" s="322"/>
      <c r="AJ26" s="323"/>
      <c r="AK26" s="324"/>
      <c r="AL26" s="1319">
        <v>18</v>
      </c>
      <c r="AM26" s="208"/>
      <c r="AN26" s="378"/>
      <c r="AO26" s="378" t="s">
        <v>759</v>
      </c>
      <c r="AP26" s="208"/>
    </row>
    <row r="27" spans="2:42" s="37" customFormat="1">
      <c r="B27" s="20">
        <f t="shared" si="1"/>
        <v>19</v>
      </c>
      <c r="C27" s="21">
        <f>IF(Data!F23="","",Data!F23)</f>
        <v>0</v>
      </c>
      <c r="D27" s="22" t="str">
        <f>IF(Data!H23="","",Data!H23)</f>
        <v>Jidon Nubatonis</v>
      </c>
      <c r="E27" s="23" t="str">
        <f>IF(Data!I23="","",Data!I23)</f>
        <v>L</v>
      </c>
      <c r="F27" s="322"/>
      <c r="G27" s="323"/>
      <c r="H27" s="323"/>
      <c r="I27" s="323"/>
      <c r="J27" s="323"/>
      <c r="K27" s="323"/>
      <c r="L27" s="323"/>
      <c r="M27" s="323"/>
      <c r="N27" s="323"/>
      <c r="O27" s="1317"/>
      <c r="P27" s="322"/>
      <c r="Q27" s="323"/>
      <c r="R27" s="324"/>
      <c r="S27" s="325"/>
      <c r="T27" s="1318"/>
      <c r="U27" s="20">
        <f t="shared" si="2"/>
        <v>19</v>
      </c>
      <c r="V27" s="21">
        <f t="shared" si="2"/>
        <v>0</v>
      </c>
      <c r="W27" s="22" t="str">
        <f t="shared" si="2"/>
        <v>Jidon Nubatonis</v>
      </c>
      <c r="X27" s="23" t="str">
        <f t="shared" si="2"/>
        <v>L</v>
      </c>
      <c r="Y27" s="322"/>
      <c r="Z27" s="323"/>
      <c r="AA27" s="323"/>
      <c r="AB27" s="323"/>
      <c r="AC27" s="323"/>
      <c r="AD27" s="323"/>
      <c r="AE27" s="323"/>
      <c r="AF27" s="323"/>
      <c r="AG27" s="323"/>
      <c r="AH27" s="324"/>
      <c r="AI27" s="322"/>
      <c r="AJ27" s="323"/>
      <c r="AK27" s="324"/>
      <c r="AL27" s="1320">
        <v>19</v>
      </c>
      <c r="AM27" s="208"/>
      <c r="AN27" s="378"/>
      <c r="AO27" s="378" t="s">
        <v>760</v>
      </c>
      <c r="AP27" s="208"/>
    </row>
    <row r="28" spans="2:42" s="37" customFormat="1">
      <c r="B28" s="20">
        <f t="shared" si="1"/>
        <v>20</v>
      </c>
      <c r="C28" s="21">
        <f>IF(Data!F24="","",Data!F24)</f>
        <v>0</v>
      </c>
      <c r="D28" s="22" t="str">
        <f>IF(Data!H24="","",Data!H24)</f>
        <v>Jitro Andro Baran</v>
      </c>
      <c r="E28" s="23" t="str">
        <f>IF(Data!I24="","",Data!I24)</f>
        <v>L</v>
      </c>
      <c r="F28" s="322"/>
      <c r="G28" s="323"/>
      <c r="H28" s="323"/>
      <c r="I28" s="323"/>
      <c r="J28" s="323"/>
      <c r="K28" s="323"/>
      <c r="L28" s="323"/>
      <c r="M28" s="323"/>
      <c r="N28" s="323"/>
      <c r="O28" s="1317"/>
      <c r="P28" s="322"/>
      <c r="Q28" s="323"/>
      <c r="R28" s="324"/>
      <c r="S28" s="325"/>
      <c r="T28" s="1318"/>
      <c r="U28" s="20">
        <f t="shared" si="2"/>
        <v>20</v>
      </c>
      <c r="V28" s="21">
        <f t="shared" si="2"/>
        <v>0</v>
      </c>
      <c r="W28" s="22" t="str">
        <f t="shared" si="2"/>
        <v>Jitro Andro Baran</v>
      </c>
      <c r="X28" s="23" t="str">
        <f t="shared" si="2"/>
        <v>L</v>
      </c>
      <c r="Y28" s="322"/>
      <c r="Z28" s="323"/>
      <c r="AA28" s="323"/>
      <c r="AB28" s="323"/>
      <c r="AC28" s="323"/>
      <c r="AD28" s="323"/>
      <c r="AE28" s="323"/>
      <c r="AF28" s="323"/>
      <c r="AG28" s="323"/>
      <c r="AH28" s="324"/>
      <c r="AI28" s="322"/>
      <c r="AJ28" s="323"/>
      <c r="AK28" s="324"/>
      <c r="AL28" s="1319">
        <v>20</v>
      </c>
      <c r="AM28" s="208"/>
      <c r="AN28" s="378"/>
      <c r="AO28" s="378"/>
      <c r="AP28" s="208"/>
    </row>
    <row r="29" spans="2:42" s="37" customFormat="1">
      <c r="B29" s="20">
        <f t="shared" si="1"/>
        <v>21</v>
      </c>
      <c r="C29" s="21">
        <f>IF(Data!F25="","",Data!F25)</f>
        <v>0</v>
      </c>
      <c r="D29" s="22" t="str">
        <f>IF(Data!H25="","",Data!H25)</f>
        <v>Juan Manuel Boys</v>
      </c>
      <c r="E29" s="23" t="str">
        <f>IF(Data!I25="","",Data!I25)</f>
        <v>L</v>
      </c>
      <c r="F29" s="322"/>
      <c r="G29" s="323"/>
      <c r="H29" s="323"/>
      <c r="I29" s="323"/>
      <c r="J29" s="323"/>
      <c r="K29" s="323"/>
      <c r="L29" s="323"/>
      <c r="M29" s="323"/>
      <c r="N29" s="323"/>
      <c r="O29" s="1317"/>
      <c r="P29" s="322"/>
      <c r="Q29" s="323"/>
      <c r="R29" s="324"/>
      <c r="S29" s="325"/>
      <c r="T29" s="1318"/>
      <c r="U29" s="20">
        <f t="shared" si="2"/>
        <v>21</v>
      </c>
      <c r="V29" s="21">
        <f t="shared" si="2"/>
        <v>0</v>
      </c>
      <c r="W29" s="22" t="str">
        <f t="shared" si="2"/>
        <v>Juan Manuel Boys</v>
      </c>
      <c r="X29" s="23" t="str">
        <f t="shared" si="2"/>
        <v>L</v>
      </c>
      <c r="Y29" s="322"/>
      <c r="Z29" s="323"/>
      <c r="AA29" s="323"/>
      <c r="AB29" s="323"/>
      <c r="AC29" s="323"/>
      <c r="AD29" s="323"/>
      <c r="AE29" s="323"/>
      <c r="AF29" s="323"/>
      <c r="AG29" s="323"/>
      <c r="AH29" s="324"/>
      <c r="AI29" s="322"/>
      <c r="AJ29" s="323"/>
      <c r="AK29" s="324"/>
      <c r="AL29" s="1320">
        <v>21</v>
      </c>
      <c r="AM29" s="208"/>
      <c r="AN29" s="378"/>
      <c r="AO29" s="378"/>
      <c r="AP29" s="208"/>
    </row>
    <row r="30" spans="2:42" s="37" customFormat="1">
      <c r="B30" s="20">
        <f t="shared" si="1"/>
        <v>22</v>
      </c>
      <c r="C30" s="21">
        <f>IF(Data!F26="","",Data!F26)</f>
        <v>0</v>
      </c>
      <c r="D30" s="22" t="str">
        <f>IF(Data!H26="","",Data!H26)</f>
        <v>Krisyanti Ernela Kesnay</v>
      </c>
      <c r="E30" s="23" t="str">
        <f>IF(Data!I26="","",Data!I26)</f>
        <v>P</v>
      </c>
      <c r="F30" s="322"/>
      <c r="G30" s="323"/>
      <c r="H30" s="323"/>
      <c r="I30" s="323"/>
      <c r="J30" s="323"/>
      <c r="K30" s="323"/>
      <c r="L30" s="323"/>
      <c r="M30" s="323"/>
      <c r="N30" s="323"/>
      <c r="O30" s="1317"/>
      <c r="P30" s="322"/>
      <c r="Q30" s="323"/>
      <c r="R30" s="324"/>
      <c r="S30" s="325"/>
      <c r="T30" s="1318"/>
      <c r="U30" s="20">
        <f t="shared" si="2"/>
        <v>22</v>
      </c>
      <c r="V30" s="21">
        <f t="shared" si="2"/>
        <v>0</v>
      </c>
      <c r="W30" s="22" t="str">
        <f t="shared" si="2"/>
        <v>Krisyanti Ernela Kesnay</v>
      </c>
      <c r="X30" s="23" t="str">
        <f t="shared" si="2"/>
        <v>P</v>
      </c>
      <c r="Y30" s="322"/>
      <c r="Z30" s="323"/>
      <c r="AA30" s="323"/>
      <c r="AB30" s="323"/>
      <c r="AC30" s="323"/>
      <c r="AD30" s="323"/>
      <c r="AE30" s="323"/>
      <c r="AF30" s="323"/>
      <c r="AG30" s="323"/>
      <c r="AH30" s="324"/>
      <c r="AI30" s="322"/>
      <c r="AJ30" s="323"/>
      <c r="AK30" s="324"/>
      <c r="AL30" s="1319">
        <v>22</v>
      </c>
      <c r="AM30" s="208"/>
      <c r="AN30" s="378"/>
      <c r="AO30" s="378"/>
      <c r="AP30" s="208"/>
    </row>
    <row r="31" spans="2:42" s="37" customFormat="1">
      <c r="B31" s="20">
        <f t="shared" si="1"/>
        <v>23</v>
      </c>
      <c r="C31" s="21">
        <f>IF(Data!F27="","",Data!F27)</f>
        <v>0</v>
      </c>
      <c r="D31" s="22" t="str">
        <f>IF(Data!H27="","",Data!H27)</f>
        <v>Leni Aknesia Knoan</v>
      </c>
      <c r="E31" s="23" t="str">
        <f>IF(Data!I27="","",Data!I27)</f>
        <v>P</v>
      </c>
      <c r="F31" s="322"/>
      <c r="G31" s="323"/>
      <c r="H31" s="323"/>
      <c r="I31" s="323"/>
      <c r="J31" s="323"/>
      <c r="K31" s="323"/>
      <c r="L31" s="323"/>
      <c r="M31" s="323"/>
      <c r="N31" s="323"/>
      <c r="O31" s="1317"/>
      <c r="P31" s="322"/>
      <c r="Q31" s="323"/>
      <c r="R31" s="324"/>
      <c r="S31" s="325"/>
      <c r="T31" s="1318"/>
      <c r="U31" s="20">
        <f t="shared" si="2"/>
        <v>23</v>
      </c>
      <c r="V31" s="21">
        <f t="shared" si="2"/>
        <v>0</v>
      </c>
      <c r="W31" s="22" t="str">
        <f t="shared" si="2"/>
        <v>Leni Aknesia Knoan</v>
      </c>
      <c r="X31" s="23" t="str">
        <f t="shared" si="2"/>
        <v>P</v>
      </c>
      <c r="Y31" s="322"/>
      <c r="Z31" s="323"/>
      <c r="AA31" s="323"/>
      <c r="AB31" s="323"/>
      <c r="AC31" s="323"/>
      <c r="AD31" s="323"/>
      <c r="AE31" s="323"/>
      <c r="AF31" s="323"/>
      <c r="AG31" s="323"/>
      <c r="AH31" s="324"/>
      <c r="AI31" s="322"/>
      <c r="AJ31" s="323"/>
      <c r="AK31" s="324"/>
      <c r="AL31" s="1320">
        <v>23</v>
      </c>
      <c r="AM31" s="208"/>
      <c r="AN31" s="378"/>
      <c r="AO31" s="1139"/>
      <c r="AP31" s="208"/>
    </row>
    <row r="32" spans="2:42" s="37" customFormat="1">
      <c r="B32" s="20">
        <f t="shared" si="1"/>
        <v>24</v>
      </c>
      <c r="C32" s="21">
        <f>IF(Data!F28="","",Data!F28)</f>
        <v>0</v>
      </c>
      <c r="D32" s="22" t="str">
        <f>IF(Data!H28="","",Data!H28)</f>
        <v>Marlon Dioninsius Lalus</v>
      </c>
      <c r="E32" s="23" t="str">
        <f>IF(Data!I28="","",Data!I28)</f>
        <v>L</v>
      </c>
      <c r="F32" s="322"/>
      <c r="G32" s="323"/>
      <c r="H32" s="323"/>
      <c r="I32" s="323"/>
      <c r="J32" s="323"/>
      <c r="K32" s="323"/>
      <c r="L32" s="323"/>
      <c r="M32" s="323"/>
      <c r="N32" s="323"/>
      <c r="O32" s="1317"/>
      <c r="P32" s="322"/>
      <c r="Q32" s="323"/>
      <c r="R32" s="324"/>
      <c r="S32" s="325"/>
      <c r="T32" s="1318"/>
      <c r="U32" s="20">
        <f t="shared" si="2"/>
        <v>24</v>
      </c>
      <c r="V32" s="21">
        <f t="shared" si="2"/>
        <v>0</v>
      </c>
      <c r="W32" s="22" t="str">
        <f t="shared" si="2"/>
        <v>Marlon Dioninsius Lalus</v>
      </c>
      <c r="X32" s="23" t="str">
        <f t="shared" si="2"/>
        <v>L</v>
      </c>
      <c r="Y32" s="322"/>
      <c r="Z32" s="323"/>
      <c r="AA32" s="323"/>
      <c r="AB32" s="323"/>
      <c r="AC32" s="323"/>
      <c r="AD32" s="323"/>
      <c r="AE32" s="323"/>
      <c r="AF32" s="323"/>
      <c r="AG32" s="323"/>
      <c r="AH32" s="324"/>
      <c r="AI32" s="322"/>
      <c r="AJ32" s="323"/>
      <c r="AK32" s="324"/>
      <c r="AL32" s="1319">
        <v>24</v>
      </c>
      <c r="AM32" s="208"/>
      <c r="AN32" s="378"/>
      <c r="AO32" s="1139"/>
      <c r="AP32" s="208"/>
    </row>
    <row r="33" spans="1:42">
      <c r="A33" s="37"/>
      <c r="B33" s="20">
        <f t="shared" si="1"/>
        <v>25</v>
      </c>
      <c r="C33" s="21">
        <f>IF(Data!F29="","",Data!F29)</f>
        <v>0</v>
      </c>
      <c r="D33" s="22" t="str">
        <f>IF(Data!H29="","",Data!H29)</f>
        <v>Maya Trifena Niobe</v>
      </c>
      <c r="E33" s="23" t="str">
        <f>IF(Data!I29="","",Data!I29)</f>
        <v>P</v>
      </c>
      <c r="F33" s="322"/>
      <c r="G33" s="323"/>
      <c r="H33" s="323"/>
      <c r="I33" s="323"/>
      <c r="J33" s="323"/>
      <c r="K33" s="323"/>
      <c r="L33" s="323"/>
      <c r="M33" s="323"/>
      <c r="N33" s="323"/>
      <c r="O33" s="1317"/>
      <c r="P33" s="322"/>
      <c r="Q33" s="323"/>
      <c r="R33" s="324"/>
      <c r="S33" s="325"/>
      <c r="T33" s="1318"/>
      <c r="U33" s="20">
        <f t="shared" si="2"/>
        <v>25</v>
      </c>
      <c r="V33" s="21">
        <f t="shared" si="2"/>
        <v>0</v>
      </c>
      <c r="W33" s="22" t="str">
        <f t="shared" si="2"/>
        <v>Maya Trifena Niobe</v>
      </c>
      <c r="X33" s="23" t="str">
        <f t="shared" si="2"/>
        <v>P</v>
      </c>
      <c r="Y33" s="322"/>
      <c r="Z33" s="323"/>
      <c r="AA33" s="323"/>
      <c r="AB33" s="323"/>
      <c r="AC33" s="323"/>
      <c r="AD33" s="323"/>
      <c r="AE33" s="323"/>
      <c r="AF33" s="323"/>
      <c r="AG33" s="323"/>
      <c r="AH33" s="324"/>
      <c r="AI33" s="322"/>
      <c r="AJ33" s="323"/>
      <c r="AK33" s="324"/>
      <c r="AL33" s="1320">
        <v>25</v>
      </c>
      <c r="AM33" s="208"/>
      <c r="AN33" s="378"/>
      <c r="AO33" s="1139"/>
      <c r="AP33" s="208"/>
    </row>
    <row r="34" spans="1:42">
      <c r="A34" s="37"/>
      <c r="B34" s="20">
        <f t="shared" si="1"/>
        <v>26</v>
      </c>
      <c r="C34" s="21">
        <f>IF(Data!F30="","",Data!F30)</f>
        <v>0</v>
      </c>
      <c r="D34" s="22" t="str">
        <f>IF(Data!H30="","",Data!H30)</f>
        <v>Misel Miranda Sora</v>
      </c>
      <c r="E34" s="23" t="str">
        <f>IF(Data!I30="","",Data!I30)</f>
        <v>P</v>
      </c>
      <c r="F34" s="322"/>
      <c r="G34" s="323"/>
      <c r="H34" s="323"/>
      <c r="I34" s="323"/>
      <c r="J34" s="323"/>
      <c r="K34" s="323"/>
      <c r="L34" s="323"/>
      <c r="M34" s="323"/>
      <c r="N34" s="323"/>
      <c r="O34" s="1317"/>
      <c r="P34" s="322"/>
      <c r="Q34" s="323"/>
      <c r="R34" s="324"/>
      <c r="S34" s="325"/>
      <c r="T34" s="1318"/>
      <c r="U34" s="20">
        <f t="shared" si="2"/>
        <v>26</v>
      </c>
      <c r="V34" s="21">
        <f t="shared" si="2"/>
        <v>0</v>
      </c>
      <c r="W34" s="22" t="str">
        <f t="shared" si="2"/>
        <v>Misel Miranda Sora</v>
      </c>
      <c r="X34" s="23" t="str">
        <f t="shared" si="2"/>
        <v>P</v>
      </c>
      <c r="Y34" s="322"/>
      <c r="Z34" s="323"/>
      <c r="AA34" s="323"/>
      <c r="AB34" s="323"/>
      <c r="AC34" s="323"/>
      <c r="AD34" s="323"/>
      <c r="AE34" s="323"/>
      <c r="AF34" s="323"/>
      <c r="AG34" s="323"/>
      <c r="AH34" s="324"/>
      <c r="AI34" s="322"/>
      <c r="AJ34" s="323"/>
      <c r="AK34" s="324"/>
      <c r="AL34" s="1319">
        <v>26</v>
      </c>
      <c r="AM34" s="208"/>
      <c r="AN34" s="378"/>
      <c r="AO34" s="378"/>
      <c r="AP34" s="208"/>
    </row>
    <row r="35" spans="1:42">
      <c r="A35" s="37"/>
      <c r="B35" s="20">
        <f t="shared" si="1"/>
        <v>27</v>
      </c>
      <c r="C35" s="21">
        <f>IF(Data!F31="","",Data!F31)</f>
        <v>0</v>
      </c>
      <c r="D35" s="22" t="str">
        <f>IF(Data!H31="","",Data!H31)</f>
        <v>Nofianti Tainmeta</v>
      </c>
      <c r="E35" s="23" t="str">
        <f>IF(Data!I31="","",Data!I31)</f>
        <v>P</v>
      </c>
      <c r="F35" s="322"/>
      <c r="G35" s="323"/>
      <c r="H35" s="323"/>
      <c r="I35" s="323"/>
      <c r="J35" s="323"/>
      <c r="K35" s="323"/>
      <c r="L35" s="323"/>
      <c r="M35" s="323"/>
      <c r="N35" s="323"/>
      <c r="O35" s="1317"/>
      <c r="P35" s="322"/>
      <c r="Q35" s="323"/>
      <c r="R35" s="324"/>
      <c r="S35" s="325"/>
      <c r="T35" s="1318"/>
      <c r="U35" s="20">
        <f t="shared" si="2"/>
        <v>27</v>
      </c>
      <c r="V35" s="21">
        <f t="shared" si="2"/>
        <v>0</v>
      </c>
      <c r="W35" s="22" t="str">
        <f t="shared" si="2"/>
        <v>Nofianti Tainmeta</v>
      </c>
      <c r="X35" s="23" t="str">
        <f t="shared" si="2"/>
        <v>P</v>
      </c>
      <c r="Y35" s="322"/>
      <c r="Z35" s="323"/>
      <c r="AA35" s="323"/>
      <c r="AB35" s="323"/>
      <c r="AC35" s="323"/>
      <c r="AD35" s="323"/>
      <c r="AE35" s="323"/>
      <c r="AF35" s="323"/>
      <c r="AG35" s="323"/>
      <c r="AH35" s="324"/>
      <c r="AI35" s="322"/>
      <c r="AJ35" s="323"/>
      <c r="AK35" s="324"/>
      <c r="AL35" s="1320">
        <v>27</v>
      </c>
      <c r="AM35" s="208"/>
      <c r="AN35" s="378"/>
      <c r="AO35" s="378"/>
      <c r="AP35" s="208"/>
    </row>
    <row r="36" spans="1:42">
      <c r="A36" s="37"/>
      <c r="B36" s="20">
        <f t="shared" si="1"/>
        <v>28</v>
      </c>
      <c r="C36" s="21">
        <f>IF(Data!F32="","",Data!F32)</f>
        <v>0</v>
      </c>
      <c r="D36" s="22" t="str">
        <f>IF(Data!H32="","",Data!H32)</f>
        <v>Ofni Antrikus Banun</v>
      </c>
      <c r="E36" s="23" t="str">
        <f>IF(Data!I32="","",Data!I32)</f>
        <v>L</v>
      </c>
      <c r="F36" s="322"/>
      <c r="G36" s="323"/>
      <c r="H36" s="323"/>
      <c r="I36" s="323"/>
      <c r="J36" s="323"/>
      <c r="K36" s="323"/>
      <c r="L36" s="323"/>
      <c r="M36" s="323"/>
      <c r="N36" s="323"/>
      <c r="O36" s="1317"/>
      <c r="P36" s="322"/>
      <c r="Q36" s="323"/>
      <c r="R36" s="324"/>
      <c r="S36" s="325"/>
      <c r="T36" s="1318"/>
      <c r="U36" s="20">
        <f t="shared" si="2"/>
        <v>28</v>
      </c>
      <c r="V36" s="21">
        <f t="shared" si="2"/>
        <v>0</v>
      </c>
      <c r="W36" s="22" t="str">
        <f t="shared" si="2"/>
        <v>Ofni Antrikus Banun</v>
      </c>
      <c r="X36" s="23" t="str">
        <f t="shared" si="2"/>
        <v>L</v>
      </c>
      <c r="Y36" s="322"/>
      <c r="Z36" s="323"/>
      <c r="AA36" s="323"/>
      <c r="AB36" s="323"/>
      <c r="AC36" s="323"/>
      <c r="AD36" s="323"/>
      <c r="AE36" s="323"/>
      <c r="AF36" s="323"/>
      <c r="AG36" s="323"/>
      <c r="AH36" s="324"/>
      <c r="AI36" s="322"/>
      <c r="AJ36" s="323"/>
      <c r="AK36" s="324"/>
      <c r="AL36" s="1319">
        <v>28</v>
      </c>
      <c r="AM36" s="208"/>
      <c r="AN36" s="378"/>
      <c r="AO36" s="378"/>
      <c r="AP36" s="208"/>
    </row>
    <row r="37" spans="1:42">
      <c r="A37" s="37"/>
      <c r="B37" s="20">
        <f t="shared" si="1"/>
        <v>29</v>
      </c>
      <c r="C37" s="21">
        <f>IF(Data!F33="","",Data!F33)</f>
        <v>0</v>
      </c>
      <c r="D37" s="22" t="str">
        <f>IF(Data!H33="","",Data!H33)</f>
        <v>Roiyandi Saebesi</v>
      </c>
      <c r="E37" s="23" t="str">
        <f>IF(Data!I33="","",Data!I33)</f>
        <v>L</v>
      </c>
      <c r="F37" s="322"/>
      <c r="G37" s="323"/>
      <c r="H37" s="323"/>
      <c r="I37" s="323"/>
      <c r="J37" s="323"/>
      <c r="K37" s="323"/>
      <c r="L37" s="323"/>
      <c r="M37" s="323"/>
      <c r="N37" s="323"/>
      <c r="O37" s="1317"/>
      <c r="P37" s="322"/>
      <c r="Q37" s="323"/>
      <c r="R37" s="324"/>
      <c r="S37" s="325"/>
      <c r="T37" s="1318"/>
      <c r="U37" s="20">
        <f t="shared" si="2"/>
        <v>29</v>
      </c>
      <c r="V37" s="21">
        <f t="shared" si="2"/>
        <v>0</v>
      </c>
      <c r="W37" s="22" t="str">
        <f t="shared" si="2"/>
        <v>Roiyandi Saebesi</v>
      </c>
      <c r="X37" s="23" t="str">
        <f t="shared" si="2"/>
        <v>L</v>
      </c>
      <c r="Y37" s="322"/>
      <c r="Z37" s="323"/>
      <c r="AA37" s="323"/>
      <c r="AB37" s="323"/>
      <c r="AC37" s="323"/>
      <c r="AD37" s="323"/>
      <c r="AE37" s="323"/>
      <c r="AF37" s="323"/>
      <c r="AG37" s="323"/>
      <c r="AH37" s="324"/>
      <c r="AI37" s="322"/>
      <c r="AJ37" s="323"/>
      <c r="AK37" s="324"/>
      <c r="AL37" s="1320">
        <v>29</v>
      </c>
      <c r="AM37" s="208"/>
      <c r="AN37" s="378"/>
      <c r="AO37" s="1139"/>
      <c r="AP37" s="208"/>
    </row>
    <row r="38" spans="1:42">
      <c r="A38" s="37"/>
      <c r="B38" s="20">
        <f t="shared" si="1"/>
        <v>30</v>
      </c>
      <c r="C38" s="21">
        <f>IF(Data!F34="","",Data!F34)</f>
        <v>0</v>
      </c>
      <c r="D38" s="22" t="str">
        <f>IF(Data!H34="","",Data!H34)</f>
        <v>Roni Yohanis Bira</v>
      </c>
      <c r="E38" s="23" t="str">
        <f>IF(Data!I34="","",Data!I34)</f>
        <v>L</v>
      </c>
      <c r="F38" s="322"/>
      <c r="G38" s="323"/>
      <c r="H38" s="323"/>
      <c r="I38" s="323"/>
      <c r="J38" s="323"/>
      <c r="K38" s="323"/>
      <c r="L38" s="323"/>
      <c r="M38" s="323"/>
      <c r="N38" s="323"/>
      <c r="O38" s="1317"/>
      <c r="P38" s="322"/>
      <c r="Q38" s="323"/>
      <c r="R38" s="324"/>
      <c r="S38" s="325"/>
      <c r="T38" s="1318"/>
      <c r="U38" s="20">
        <f t="shared" ref="U38:X58" si="3">B38</f>
        <v>30</v>
      </c>
      <c r="V38" s="21">
        <f t="shared" si="3"/>
        <v>0</v>
      </c>
      <c r="W38" s="22" t="str">
        <f t="shared" si="3"/>
        <v>Roni Yohanis Bira</v>
      </c>
      <c r="X38" s="23" t="str">
        <f t="shared" si="3"/>
        <v>L</v>
      </c>
      <c r="Y38" s="322"/>
      <c r="Z38" s="323"/>
      <c r="AA38" s="323"/>
      <c r="AB38" s="323"/>
      <c r="AC38" s="323"/>
      <c r="AD38" s="323"/>
      <c r="AE38" s="323"/>
      <c r="AF38" s="323"/>
      <c r="AG38" s="323"/>
      <c r="AH38" s="324"/>
      <c r="AI38" s="322"/>
      <c r="AJ38" s="323"/>
      <c r="AK38" s="324"/>
      <c r="AL38" s="1319">
        <v>30</v>
      </c>
      <c r="AM38" s="208"/>
      <c r="AN38" s="378"/>
      <c r="AO38" s="378"/>
      <c r="AP38" s="208"/>
    </row>
    <row r="39" spans="1:42">
      <c r="A39" s="37"/>
      <c r="B39" s="20">
        <f t="shared" si="1"/>
        <v>31</v>
      </c>
      <c r="C39" s="21">
        <f>IF(Data!F35="","",Data!F35)</f>
        <v>0</v>
      </c>
      <c r="D39" s="22" t="str">
        <f>IF(Data!H35="","",Data!H35)</f>
        <v>Sinta Norliana Funan</v>
      </c>
      <c r="E39" s="23" t="str">
        <f>IF(Data!I35="","",Data!I35)</f>
        <v>P</v>
      </c>
      <c r="F39" s="322"/>
      <c r="G39" s="323"/>
      <c r="H39" s="323"/>
      <c r="I39" s="323"/>
      <c r="J39" s="323"/>
      <c r="K39" s="323"/>
      <c r="L39" s="323"/>
      <c r="M39" s="323"/>
      <c r="N39" s="323"/>
      <c r="O39" s="1317"/>
      <c r="P39" s="322"/>
      <c r="Q39" s="323"/>
      <c r="R39" s="324"/>
      <c r="S39" s="325"/>
      <c r="T39" s="1318"/>
      <c r="U39" s="20">
        <f t="shared" si="3"/>
        <v>31</v>
      </c>
      <c r="V39" s="21">
        <f t="shared" si="3"/>
        <v>0</v>
      </c>
      <c r="W39" s="22" t="str">
        <f t="shared" si="3"/>
        <v>Sinta Norliana Funan</v>
      </c>
      <c r="X39" s="23" t="str">
        <f t="shared" si="3"/>
        <v>P</v>
      </c>
      <c r="Y39" s="322"/>
      <c r="Z39" s="323"/>
      <c r="AA39" s="323"/>
      <c r="AB39" s="323"/>
      <c r="AC39" s="323"/>
      <c r="AD39" s="323"/>
      <c r="AE39" s="323"/>
      <c r="AF39" s="323"/>
      <c r="AG39" s="323"/>
      <c r="AH39" s="324"/>
      <c r="AI39" s="322"/>
      <c r="AJ39" s="323"/>
      <c r="AK39" s="324"/>
      <c r="AL39" s="1320">
        <v>31</v>
      </c>
      <c r="AM39" s="208"/>
      <c r="AN39" s="378"/>
      <c r="AO39" s="378"/>
      <c r="AP39" s="208"/>
    </row>
    <row r="40" spans="1:42">
      <c r="A40" s="37"/>
      <c r="B40" s="20">
        <f t="shared" si="1"/>
        <v>32</v>
      </c>
      <c r="C40" s="21">
        <f>IF(Data!F36="","",Data!F36)</f>
        <v>0</v>
      </c>
      <c r="D40" s="22" t="str">
        <f>IF(Data!H36="","",Data!H36)</f>
        <v>Stevi Otnial Loemnanu</v>
      </c>
      <c r="E40" s="23" t="str">
        <f>IF(Data!I36="","",Data!I36)</f>
        <v>L</v>
      </c>
      <c r="F40" s="322"/>
      <c r="G40" s="323"/>
      <c r="H40" s="323"/>
      <c r="I40" s="323"/>
      <c r="J40" s="323"/>
      <c r="K40" s="323"/>
      <c r="L40" s="323"/>
      <c r="M40" s="323"/>
      <c r="N40" s="323"/>
      <c r="O40" s="1317"/>
      <c r="P40" s="322"/>
      <c r="Q40" s="323"/>
      <c r="R40" s="324"/>
      <c r="S40" s="325"/>
      <c r="T40" s="1318"/>
      <c r="U40" s="20">
        <f t="shared" si="3"/>
        <v>32</v>
      </c>
      <c r="V40" s="21">
        <f t="shared" si="3"/>
        <v>0</v>
      </c>
      <c r="W40" s="22" t="str">
        <f t="shared" si="3"/>
        <v>Stevi Otnial Loemnanu</v>
      </c>
      <c r="X40" s="23" t="str">
        <f t="shared" si="3"/>
        <v>L</v>
      </c>
      <c r="Y40" s="322"/>
      <c r="Z40" s="323"/>
      <c r="AA40" s="323"/>
      <c r="AB40" s="323"/>
      <c r="AC40" s="323"/>
      <c r="AD40" s="323"/>
      <c r="AE40" s="323"/>
      <c r="AF40" s="323"/>
      <c r="AG40" s="323"/>
      <c r="AH40" s="324"/>
      <c r="AI40" s="322"/>
      <c r="AJ40" s="323"/>
      <c r="AK40" s="324"/>
      <c r="AL40" s="1319">
        <v>32</v>
      </c>
      <c r="AM40" s="208"/>
      <c r="AN40" s="378"/>
      <c r="AO40" s="378"/>
      <c r="AP40" s="208"/>
    </row>
    <row r="41" spans="1:42">
      <c r="A41" s="37"/>
      <c r="B41" s="20">
        <f t="shared" si="1"/>
        <v>33</v>
      </c>
      <c r="C41" s="21">
        <f>IF(Data!F37="","",Data!F37)</f>
        <v>0</v>
      </c>
      <c r="D41" s="22" t="str">
        <f>IF(Data!H37="","",Data!H37)</f>
        <v>Venciani Sefrianti Sufnera</v>
      </c>
      <c r="E41" s="23" t="str">
        <f>IF(Data!I37="","",Data!I37)</f>
        <v>P</v>
      </c>
      <c r="F41" s="322"/>
      <c r="G41" s="323"/>
      <c r="H41" s="323"/>
      <c r="I41" s="323"/>
      <c r="J41" s="323"/>
      <c r="K41" s="323"/>
      <c r="L41" s="323"/>
      <c r="M41" s="323"/>
      <c r="N41" s="323"/>
      <c r="O41" s="1317"/>
      <c r="P41" s="322"/>
      <c r="Q41" s="323"/>
      <c r="R41" s="324"/>
      <c r="S41" s="325"/>
      <c r="T41" s="1318"/>
      <c r="U41" s="20">
        <f t="shared" si="3"/>
        <v>33</v>
      </c>
      <c r="V41" s="21">
        <f t="shared" si="3"/>
        <v>0</v>
      </c>
      <c r="W41" s="22" t="str">
        <f t="shared" si="3"/>
        <v>Venciani Sefrianti Sufnera</v>
      </c>
      <c r="X41" s="23" t="str">
        <f t="shared" si="3"/>
        <v>P</v>
      </c>
      <c r="Y41" s="322"/>
      <c r="Z41" s="323"/>
      <c r="AA41" s="323"/>
      <c r="AB41" s="323"/>
      <c r="AC41" s="323"/>
      <c r="AD41" s="323"/>
      <c r="AE41" s="323"/>
      <c r="AF41" s="323"/>
      <c r="AG41" s="323"/>
      <c r="AH41" s="324"/>
      <c r="AI41" s="322"/>
      <c r="AJ41" s="323"/>
      <c r="AK41" s="324"/>
      <c r="AL41" s="1320">
        <v>33</v>
      </c>
      <c r="AM41" s="208"/>
      <c r="AN41" s="378"/>
      <c r="AO41" s="378"/>
      <c r="AP41" s="208"/>
    </row>
    <row r="42" spans="1:42">
      <c r="A42" s="37"/>
      <c r="B42" s="20">
        <f t="shared" si="1"/>
        <v>34</v>
      </c>
      <c r="C42" s="21">
        <f>IF(Data!F38="","",Data!F38)</f>
        <v>0</v>
      </c>
      <c r="D42" s="22" t="str">
        <f>IF(Data!H38="","",Data!H38)</f>
        <v>Yangres Nitti</v>
      </c>
      <c r="E42" s="23" t="str">
        <f>IF(Data!I38="","",Data!I38)</f>
        <v>L</v>
      </c>
      <c r="F42" s="322"/>
      <c r="G42" s="323"/>
      <c r="H42" s="323"/>
      <c r="I42" s="323"/>
      <c r="J42" s="323"/>
      <c r="K42" s="323"/>
      <c r="L42" s="323"/>
      <c r="M42" s="323"/>
      <c r="N42" s="323"/>
      <c r="O42" s="1317"/>
      <c r="P42" s="322"/>
      <c r="Q42" s="323"/>
      <c r="R42" s="324"/>
      <c r="S42" s="325"/>
      <c r="T42" s="1318"/>
      <c r="U42" s="20">
        <f t="shared" si="3"/>
        <v>34</v>
      </c>
      <c r="V42" s="21">
        <f t="shared" si="3"/>
        <v>0</v>
      </c>
      <c r="W42" s="22" t="str">
        <f t="shared" si="3"/>
        <v>Yangres Nitti</v>
      </c>
      <c r="X42" s="23" t="str">
        <f t="shared" si="3"/>
        <v>L</v>
      </c>
      <c r="Y42" s="322"/>
      <c r="Z42" s="323"/>
      <c r="AA42" s="323"/>
      <c r="AB42" s="323"/>
      <c r="AC42" s="323"/>
      <c r="AD42" s="323"/>
      <c r="AE42" s="323"/>
      <c r="AF42" s="323"/>
      <c r="AG42" s="323"/>
      <c r="AH42" s="324"/>
      <c r="AI42" s="322"/>
      <c r="AJ42" s="323"/>
      <c r="AK42" s="324"/>
      <c r="AL42" s="1319">
        <v>34</v>
      </c>
      <c r="AM42" s="208"/>
      <c r="AN42" s="208"/>
      <c r="AO42" s="208"/>
      <c r="AP42" s="208"/>
    </row>
    <row r="43" spans="1:42">
      <c r="A43" s="37"/>
      <c r="B43" s="20">
        <f t="shared" si="1"/>
        <v>35</v>
      </c>
      <c r="C43" s="21">
        <f>IF(Data!F39="","",Data!F39)</f>
        <v>0</v>
      </c>
      <c r="D43" s="22" t="str">
        <f>IF(Data!H39="","",Data!H39)</f>
        <v>Yefta Trianus Mau</v>
      </c>
      <c r="E43" s="23" t="str">
        <f>IF(Data!I39="","",Data!I39)</f>
        <v>L</v>
      </c>
      <c r="F43" s="322"/>
      <c r="G43" s="323"/>
      <c r="H43" s="323"/>
      <c r="I43" s="323"/>
      <c r="J43" s="323"/>
      <c r="K43" s="323"/>
      <c r="L43" s="323"/>
      <c r="M43" s="323"/>
      <c r="N43" s="323"/>
      <c r="O43" s="1317"/>
      <c r="P43" s="322"/>
      <c r="Q43" s="323"/>
      <c r="R43" s="324"/>
      <c r="S43" s="325"/>
      <c r="T43" s="1318"/>
      <c r="U43" s="20">
        <f t="shared" si="3"/>
        <v>35</v>
      </c>
      <c r="V43" s="21">
        <f t="shared" si="3"/>
        <v>0</v>
      </c>
      <c r="W43" s="22" t="str">
        <f t="shared" si="3"/>
        <v>Yefta Trianus Mau</v>
      </c>
      <c r="X43" s="23" t="str">
        <f t="shared" si="3"/>
        <v>L</v>
      </c>
      <c r="Y43" s="322"/>
      <c r="Z43" s="323"/>
      <c r="AA43" s="323"/>
      <c r="AB43" s="323"/>
      <c r="AC43" s="323"/>
      <c r="AD43" s="323"/>
      <c r="AE43" s="323"/>
      <c r="AF43" s="323"/>
      <c r="AG43" s="323"/>
      <c r="AH43" s="324"/>
      <c r="AI43" s="322"/>
      <c r="AJ43" s="323"/>
      <c r="AK43" s="324"/>
      <c r="AL43" s="1320">
        <v>35</v>
      </c>
      <c r="AM43" s="208"/>
      <c r="AN43" s="208"/>
      <c r="AO43" s="208"/>
      <c r="AP43" s="208"/>
    </row>
    <row r="44" spans="1:42" ht="6.75" customHeight="1">
      <c r="A44" s="37"/>
      <c r="B44" s="20">
        <f t="shared" si="1"/>
        <v>36</v>
      </c>
      <c r="C44" s="21">
        <f>IF(Data!F40="","",Data!F40)</f>
        <v>0</v>
      </c>
      <c r="D44" s="22" t="str">
        <f>IF(Data!H40="","",Data!H40)</f>
        <v>Yuliana Febriyanti Nggeon</v>
      </c>
      <c r="E44" s="23" t="str">
        <f>IF(Data!I40="","",Data!I40)</f>
        <v>P</v>
      </c>
      <c r="F44" s="322"/>
      <c r="G44" s="323"/>
      <c r="H44" s="323"/>
      <c r="I44" s="323"/>
      <c r="J44" s="323"/>
      <c r="K44" s="323"/>
      <c r="L44" s="323"/>
      <c r="M44" s="323"/>
      <c r="N44" s="323"/>
      <c r="O44" s="1317"/>
      <c r="P44" s="322"/>
      <c r="Q44" s="323"/>
      <c r="R44" s="324"/>
      <c r="S44" s="325"/>
      <c r="T44" s="1318"/>
      <c r="U44" s="20">
        <f t="shared" si="3"/>
        <v>36</v>
      </c>
      <c r="V44" s="21">
        <f t="shared" si="3"/>
        <v>0</v>
      </c>
      <c r="W44" s="22" t="str">
        <f t="shared" si="3"/>
        <v>Yuliana Febriyanti Nggeon</v>
      </c>
      <c r="X44" s="23" t="str">
        <f t="shared" si="3"/>
        <v>P</v>
      </c>
      <c r="Y44" s="322"/>
      <c r="Z44" s="323"/>
      <c r="AA44" s="323"/>
      <c r="AB44" s="323"/>
      <c r="AC44" s="323"/>
      <c r="AD44" s="323"/>
      <c r="AE44" s="323"/>
      <c r="AF44" s="323"/>
      <c r="AG44" s="323"/>
      <c r="AH44" s="324"/>
      <c r="AI44" s="322"/>
      <c r="AJ44" s="323"/>
      <c r="AK44" s="324"/>
      <c r="AL44" s="1319">
        <v>36</v>
      </c>
      <c r="AM44" s="208"/>
      <c r="AN44" s="208"/>
      <c r="AO44" s="208"/>
      <c r="AP44" s="208"/>
    </row>
    <row r="45" spans="1:42" ht="2.1" customHeight="1">
      <c r="A45" s="37"/>
      <c r="B45" s="20">
        <f t="shared" si="1"/>
        <v>37</v>
      </c>
      <c r="C45" s="21">
        <f>IF(Data!F41="","",Data!F41)</f>
        <v>0</v>
      </c>
      <c r="D45" s="22" t="str">
        <f>IF(Data!H41="","",Data!H41)</f>
        <v>Yuninda Pono</v>
      </c>
      <c r="E45" s="23" t="str">
        <f>IF(Data!I41="","",Data!I41)</f>
        <v>P</v>
      </c>
      <c r="F45" s="322"/>
      <c r="G45" s="323"/>
      <c r="H45" s="323"/>
      <c r="I45" s="323"/>
      <c r="J45" s="323"/>
      <c r="K45" s="323"/>
      <c r="L45" s="323"/>
      <c r="M45" s="323"/>
      <c r="N45" s="323"/>
      <c r="O45" s="1317"/>
      <c r="P45" s="322"/>
      <c r="Q45" s="323"/>
      <c r="R45" s="324"/>
      <c r="S45" s="325"/>
      <c r="T45" s="1318"/>
      <c r="U45" s="20">
        <f t="shared" si="3"/>
        <v>37</v>
      </c>
      <c r="V45" s="21">
        <f t="shared" si="3"/>
        <v>0</v>
      </c>
      <c r="W45" s="22" t="str">
        <f t="shared" si="3"/>
        <v>Yuninda Pono</v>
      </c>
      <c r="X45" s="23" t="str">
        <f t="shared" si="3"/>
        <v>P</v>
      </c>
      <c r="Y45" s="322"/>
      <c r="Z45" s="323"/>
      <c r="AA45" s="323"/>
      <c r="AB45" s="323"/>
      <c r="AC45" s="323"/>
      <c r="AD45" s="323"/>
      <c r="AE45" s="323"/>
      <c r="AF45" s="323"/>
      <c r="AG45" s="323"/>
      <c r="AH45" s="324"/>
      <c r="AI45" s="322"/>
      <c r="AJ45" s="323"/>
      <c r="AK45" s="324"/>
      <c r="AL45" s="1320">
        <v>37</v>
      </c>
      <c r="AM45" s="208"/>
      <c r="AN45" s="208"/>
      <c r="AO45" s="208"/>
      <c r="AP45" s="208"/>
    </row>
    <row r="46" spans="1:42" ht="2.1" customHeight="1">
      <c r="A46" s="37"/>
      <c r="B46" s="20" t="str">
        <f t="shared" si="1"/>
        <v/>
      </c>
      <c r="C46" s="21" t="str">
        <f>IF(Data!F42="","",Data!F42)</f>
        <v/>
      </c>
      <c r="D46" s="22" t="str">
        <f>IF(Data!H42="","",Data!H42)</f>
        <v/>
      </c>
      <c r="E46" s="23" t="str">
        <f>IF(Data!I42="","",Data!I42)</f>
        <v/>
      </c>
      <c r="F46" s="322"/>
      <c r="G46" s="323"/>
      <c r="H46" s="323"/>
      <c r="I46" s="323"/>
      <c r="J46" s="323"/>
      <c r="K46" s="323"/>
      <c r="L46" s="323"/>
      <c r="M46" s="323"/>
      <c r="N46" s="323"/>
      <c r="O46" s="1317"/>
      <c r="P46" s="322"/>
      <c r="Q46" s="323"/>
      <c r="R46" s="324"/>
      <c r="S46" s="325"/>
      <c r="T46" s="1318"/>
      <c r="U46" s="20" t="str">
        <f t="shared" si="3"/>
        <v/>
      </c>
      <c r="V46" s="21" t="str">
        <f t="shared" si="3"/>
        <v/>
      </c>
      <c r="W46" s="22" t="str">
        <f t="shared" si="3"/>
        <v/>
      </c>
      <c r="X46" s="23" t="str">
        <f t="shared" si="3"/>
        <v/>
      </c>
      <c r="Y46" s="322"/>
      <c r="Z46" s="323"/>
      <c r="AA46" s="323"/>
      <c r="AB46" s="323"/>
      <c r="AC46" s="323"/>
      <c r="AD46" s="323"/>
      <c r="AE46" s="323"/>
      <c r="AF46" s="323"/>
      <c r="AG46" s="323"/>
      <c r="AH46" s="324"/>
      <c r="AI46" s="322"/>
      <c r="AJ46" s="323"/>
      <c r="AK46" s="324"/>
      <c r="AL46" s="1319">
        <v>38</v>
      </c>
      <c r="AM46" s="208"/>
      <c r="AN46" s="208"/>
      <c r="AO46" s="208"/>
      <c r="AP46" s="208"/>
    </row>
    <row r="47" spans="1:42" ht="2.1" customHeight="1">
      <c r="A47" s="37"/>
      <c r="B47" s="20" t="str">
        <f t="shared" si="1"/>
        <v/>
      </c>
      <c r="C47" s="21" t="str">
        <f>IF(Data!F43="","",Data!F43)</f>
        <v/>
      </c>
      <c r="D47" s="22" t="str">
        <f>IF(Data!H43="","",Data!H43)</f>
        <v/>
      </c>
      <c r="E47" s="23" t="str">
        <f>IF(Data!I43="","",Data!I43)</f>
        <v/>
      </c>
      <c r="F47" s="322"/>
      <c r="G47" s="323"/>
      <c r="H47" s="323"/>
      <c r="I47" s="323"/>
      <c r="J47" s="323"/>
      <c r="K47" s="323"/>
      <c r="L47" s="323"/>
      <c r="M47" s="323"/>
      <c r="N47" s="323"/>
      <c r="O47" s="1317"/>
      <c r="P47" s="322"/>
      <c r="Q47" s="323"/>
      <c r="R47" s="324"/>
      <c r="S47" s="325"/>
      <c r="T47" s="1318"/>
      <c r="U47" s="20" t="str">
        <f t="shared" si="3"/>
        <v/>
      </c>
      <c r="V47" s="21" t="str">
        <f t="shared" si="3"/>
        <v/>
      </c>
      <c r="W47" s="22" t="str">
        <f t="shared" si="3"/>
        <v/>
      </c>
      <c r="X47" s="23" t="str">
        <f t="shared" si="3"/>
        <v/>
      </c>
      <c r="Y47" s="322"/>
      <c r="Z47" s="323"/>
      <c r="AA47" s="323"/>
      <c r="AB47" s="323"/>
      <c r="AC47" s="323"/>
      <c r="AD47" s="323"/>
      <c r="AE47" s="323"/>
      <c r="AF47" s="323"/>
      <c r="AG47" s="323"/>
      <c r="AH47" s="324"/>
      <c r="AI47" s="322"/>
      <c r="AJ47" s="323"/>
      <c r="AK47" s="324"/>
      <c r="AL47" s="1320">
        <v>39</v>
      </c>
      <c r="AM47" s="208"/>
      <c r="AN47" s="208"/>
      <c r="AO47" s="208"/>
      <c r="AP47" s="208"/>
    </row>
    <row r="48" spans="1:42" ht="2.1" customHeight="1">
      <c r="A48" s="37"/>
      <c r="B48" s="20" t="str">
        <f t="shared" si="1"/>
        <v/>
      </c>
      <c r="C48" s="21" t="str">
        <f>IF(Data!F44="","",Data!F44)</f>
        <v/>
      </c>
      <c r="D48" s="22" t="str">
        <f>IF(Data!H44="","",Data!H44)</f>
        <v/>
      </c>
      <c r="E48" s="23" t="str">
        <f>IF(Data!I44="","",Data!I44)</f>
        <v/>
      </c>
      <c r="F48" s="322"/>
      <c r="G48" s="323"/>
      <c r="H48" s="323"/>
      <c r="I48" s="323"/>
      <c r="J48" s="323"/>
      <c r="K48" s="323"/>
      <c r="L48" s="323"/>
      <c r="M48" s="323"/>
      <c r="N48" s="323"/>
      <c r="O48" s="1317"/>
      <c r="P48" s="322"/>
      <c r="Q48" s="323"/>
      <c r="R48" s="324"/>
      <c r="S48" s="325"/>
      <c r="T48" s="1318"/>
      <c r="U48" s="20" t="str">
        <f t="shared" si="3"/>
        <v/>
      </c>
      <c r="V48" s="21" t="str">
        <f t="shared" si="3"/>
        <v/>
      </c>
      <c r="W48" s="22" t="str">
        <f t="shared" si="3"/>
        <v/>
      </c>
      <c r="X48" s="23" t="str">
        <f t="shared" si="3"/>
        <v/>
      </c>
      <c r="Y48" s="322"/>
      <c r="Z48" s="323"/>
      <c r="AA48" s="323"/>
      <c r="AB48" s="323"/>
      <c r="AC48" s="323"/>
      <c r="AD48" s="323"/>
      <c r="AE48" s="323"/>
      <c r="AF48" s="323"/>
      <c r="AG48" s="323"/>
      <c r="AH48" s="324"/>
      <c r="AI48" s="322"/>
      <c r="AJ48" s="323"/>
      <c r="AK48" s="324"/>
      <c r="AL48" s="1319">
        <v>40</v>
      </c>
      <c r="AM48" s="208"/>
      <c r="AN48" s="208"/>
      <c r="AO48" s="208"/>
      <c r="AP48" s="208"/>
    </row>
    <row r="49" spans="1:42" ht="2.1" customHeight="1">
      <c r="A49" s="37"/>
      <c r="B49" s="20" t="str">
        <f t="shared" si="1"/>
        <v/>
      </c>
      <c r="C49" s="21" t="str">
        <f>IF(Data!F45="","",Data!F45)</f>
        <v/>
      </c>
      <c r="D49" s="22" t="str">
        <f>IF(Data!H45="","",Data!H45)</f>
        <v/>
      </c>
      <c r="E49" s="23" t="str">
        <f>IF(Data!I45="","",Data!I45)</f>
        <v/>
      </c>
      <c r="F49" s="322"/>
      <c r="G49" s="323"/>
      <c r="H49" s="323"/>
      <c r="I49" s="323"/>
      <c r="J49" s="323"/>
      <c r="K49" s="323"/>
      <c r="L49" s="323"/>
      <c r="M49" s="323"/>
      <c r="N49" s="323"/>
      <c r="O49" s="1317"/>
      <c r="P49" s="322"/>
      <c r="Q49" s="323"/>
      <c r="R49" s="324"/>
      <c r="S49" s="325"/>
      <c r="T49" s="1318"/>
      <c r="U49" s="20" t="str">
        <f t="shared" si="3"/>
        <v/>
      </c>
      <c r="V49" s="21" t="str">
        <f t="shared" si="3"/>
        <v/>
      </c>
      <c r="W49" s="22" t="str">
        <f t="shared" si="3"/>
        <v/>
      </c>
      <c r="X49" s="23" t="str">
        <f t="shared" si="3"/>
        <v/>
      </c>
      <c r="Y49" s="322"/>
      <c r="Z49" s="323"/>
      <c r="AA49" s="323"/>
      <c r="AB49" s="323"/>
      <c r="AC49" s="323"/>
      <c r="AD49" s="323"/>
      <c r="AE49" s="323"/>
      <c r="AF49" s="323"/>
      <c r="AG49" s="323"/>
      <c r="AH49" s="324"/>
      <c r="AI49" s="322"/>
      <c r="AJ49" s="323"/>
      <c r="AK49" s="324"/>
      <c r="AL49" s="1320">
        <v>41</v>
      </c>
      <c r="AM49" s="208"/>
      <c r="AN49" s="208"/>
      <c r="AO49" s="208"/>
      <c r="AP49" s="208"/>
    </row>
    <row r="50" spans="1:42" ht="2.1" customHeight="1">
      <c r="A50" s="37"/>
      <c r="B50" s="20" t="str">
        <f t="shared" si="1"/>
        <v/>
      </c>
      <c r="C50" s="21" t="str">
        <f>IF(Data!F46="","",Data!F46)</f>
        <v/>
      </c>
      <c r="D50" s="22" t="str">
        <f>IF(Data!H46="","",Data!H46)</f>
        <v/>
      </c>
      <c r="E50" s="23" t="str">
        <f>IF(Data!I46="","",Data!I46)</f>
        <v/>
      </c>
      <c r="F50" s="322"/>
      <c r="G50" s="323"/>
      <c r="H50" s="323"/>
      <c r="I50" s="323"/>
      <c r="J50" s="323"/>
      <c r="K50" s="323"/>
      <c r="L50" s="323"/>
      <c r="M50" s="323"/>
      <c r="N50" s="323"/>
      <c r="O50" s="1317"/>
      <c r="P50" s="322"/>
      <c r="Q50" s="323"/>
      <c r="R50" s="324"/>
      <c r="S50" s="325"/>
      <c r="T50" s="1318"/>
      <c r="U50" s="20" t="str">
        <f t="shared" si="3"/>
        <v/>
      </c>
      <c r="V50" s="21" t="str">
        <f t="shared" si="3"/>
        <v/>
      </c>
      <c r="W50" s="22" t="str">
        <f t="shared" si="3"/>
        <v/>
      </c>
      <c r="X50" s="23" t="str">
        <f t="shared" si="3"/>
        <v/>
      </c>
      <c r="Y50" s="322"/>
      <c r="Z50" s="323"/>
      <c r="AA50" s="323"/>
      <c r="AB50" s="323"/>
      <c r="AC50" s="323"/>
      <c r="AD50" s="323"/>
      <c r="AE50" s="323"/>
      <c r="AF50" s="323"/>
      <c r="AG50" s="323"/>
      <c r="AH50" s="324"/>
      <c r="AI50" s="322"/>
      <c r="AJ50" s="323"/>
      <c r="AK50" s="324"/>
      <c r="AL50" s="1319">
        <v>42</v>
      </c>
      <c r="AM50" s="208"/>
      <c r="AN50" s="208"/>
      <c r="AO50" s="208"/>
      <c r="AP50" s="208"/>
    </row>
    <row r="51" spans="1:42" ht="2.1" customHeight="1">
      <c r="A51" s="37"/>
      <c r="B51" s="20" t="str">
        <f t="shared" si="1"/>
        <v/>
      </c>
      <c r="C51" s="21" t="str">
        <f>IF(Data!F47="","",Data!F47)</f>
        <v/>
      </c>
      <c r="D51" s="22" t="str">
        <f>IF(Data!H47="","",Data!H47)</f>
        <v/>
      </c>
      <c r="E51" s="23" t="str">
        <f>IF(Data!I47="","",Data!I47)</f>
        <v/>
      </c>
      <c r="F51" s="322"/>
      <c r="G51" s="323"/>
      <c r="H51" s="323"/>
      <c r="I51" s="323"/>
      <c r="J51" s="323"/>
      <c r="K51" s="323"/>
      <c r="L51" s="323"/>
      <c r="M51" s="323"/>
      <c r="N51" s="323"/>
      <c r="O51" s="1317"/>
      <c r="P51" s="322"/>
      <c r="Q51" s="323"/>
      <c r="R51" s="324"/>
      <c r="S51" s="325"/>
      <c r="T51" s="1318"/>
      <c r="U51" s="20" t="str">
        <f t="shared" si="3"/>
        <v/>
      </c>
      <c r="V51" s="21" t="str">
        <f t="shared" si="3"/>
        <v/>
      </c>
      <c r="W51" s="22" t="str">
        <f t="shared" si="3"/>
        <v/>
      </c>
      <c r="X51" s="23" t="str">
        <f t="shared" si="3"/>
        <v/>
      </c>
      <c r="Y51" s="322"/>
      <c r="Z51" s="323"/>
      <c r="AA51" s="323"/>
      <c r="AB51" s="323"/>
      <c r="AC51" s="323"/>
      <c r="AD51" s="323"/>
      <c r="AE51" s="323"/>
      <c r="AF51" s="323"/>
      <c r="AG51" s="323"/>
      <c r="AH51" s="324"/>
      <c r="AI51" s="322"/>
      <c r="AJ51" s="323"/>
      <c r="AK51" s="324"/>
      <c r="AL51" s="1320">
        <v>43</v>
      </c>
      <c r="AM51" s="208"/>
      <c r="AN51" s="208"/>
      <c r="AO51" s="208"/>
      <c r="AP51" s="208"/>
    </row>
    <row r="52" spans="1:42" ht="2.1" customHeight="1">
      <c r="A52" s="37"/>
      <c r="B52" s="20" t="str">
        <f t="shared" si="1"/>
        <v/>
      </c>
      <c r="C52" s="21" t="str">
        <f>IF(Data!F48="","",Data!F48)</f>
        <v/>
      </c>
      <c r="D52" s="22" t="str">
        <f>IF(Data!H48="","",Data!H48)</f>
        <v/>
      </c>
      <c r="E52" s="23" t="str">
        <f>IF(Data!I48="","",Data!I48)</f>
        <v/>
      </c>
      <c r="F52" s="322"/>
      <c r="G52" s="323"/>
      <c r="H52" s="323"/>
      <c r="I52" s="323"/>
      <c r="J52" s="323"/>
      <c r="K52" s="323"/>
      <c r="L52" s="323"/>
      <c r="M52" s="323"/>
      <c r="N52" s="323"/>
      <c r="O52" s="1317"/>
      <c r="P52" s="322"/>
      <c r="Q52" s="323"/>
      <c r="R52" s="324"/>
      <c r="S52" s="325"/>
      <c r="T52" s="1318"/>
      <c r="U52" s="20" t="str">
        <f t="shared" si="3"/>
        <v/>
      </c>
      <c r="V52" s="21" t="str">
        <f t="shared" si="3"/>
        <v/>
      </c>
      <c r="W52" s="22" t="str">
        <f t="shared" si="3"/>
        <v/>
      </c>
      <c r="X52" s="23" t="str">
        <f t="shared" si="3"/>
        <v/>
      </c>
      <c r="Y52" s="322"/>
      <c r="Z52" s="323"/>
      <c r="AA52" s="323"/>
      <c r="AB52" s="323"/>
      <c r="AC52" s="323"/>
      <c r="AD52" s="323"/>
      <c r="AE52" s="323"/>
      <c r="AF52" s="323"/>
      <c r="AG52" s="323"/>
      <c r="AH52" s="324"/>
      <c r="AI52" s="322"/>
      <c r="AJ52" s="323"/>
      <c r="AK52" s="324"/>
      <c r="AL52" s="1319">
        <v>44</v>
      </c>
      <c r="AM52" s="208"/>
      <c r="AN52" s="208"/>
      <c r="AO52" s="208"/>
      <c r="AP52" s="208"/>
    </row>
    <row r="53" spans="1:42" ht="2.1" customHeight="1">
      <c r="A53" s="37"/>
      <c r="B53" s="20" t="str">
        <f t="shared" si="1"/>
        <v/>
      </c>
      <c r="C53" s="21" t="str">
        <f>IF(Data!F49="","",Data!F49)</f>
        <v/>
      </c>
      <c r="D53" s="22" t="str">
        <f>IF(Data!H49="","",Data!H49)</f>
        <v/>
      </c>
      <c r="E53" s="23" t="str">
        <f>IF(Data!I49="","",Data!I49)</f>
        <v/>
      </c>
      <c r="F53" s="322"/>
      <c r="G53" s="323"/>
      <c r="H53" s="323"/>
      <c r="I53" s="323"/>
      <c r="J53" s="323"/>
      <c r="K53" s="323"/>
      <c r="L53" s="323"/>
      <c r="M53" s="323"/>
      <c r="N53" s="323"/>
      <c r="O53" s="1317"/>
      <c r="P53" s="322"/>
      <c r="Q53" s="323"/>
      <c r="R53" s="324"/>
      <c r="S53" s="325"/>
      <c r="T53" s="1318"/>
      <c r="U53" s="20" t="str">
        <f t="shared" si="3"/>
        <v/>
      </c>
      <c r="V53" s="21" t="str">
        <f t="shared" si="3"/>
        <v/>
      </c>
      <c r="W53" s="22" t="str">
        <f t="shared" si="3"/>
        <v/>
      </c>
      <c r="X53" s="23" t="str">
        <f t="shared" si="3"/>
        <v/>
      </c>
      <c r="Y53" s="322"/>
      <c r="Z53" s="323"/>
      <c r="AA53" s="323"/>
      <c r="AB53" s="323"/>
      <c r="AC53" s="323"/>
      <c r="AD53" s="323"/>
      <c r="AE53" s="323"/>
      <c r="AF53" s="323"/>
      <c r="AG53" s="323"/>
      <c r="AH53" s="324"/>
      <c r="AI53" s="322"/>
      <c r="AJ53" s="323"/>
      <c r="AK53" s="324"/>
      <c r="AL53" s="1320">
        <v>45</v>
      </c>
      <c r="AM53" s="208"/>
      <c r="AN53" s="208"/>
      <c r="AO53" s="208"/>
      <c r="AP53" s="208"/>
    </row>
    <row r="54" spans="1:42" ht="2.1" customHeight="1">
      <c r="A54" s="37"/>
      <c r="B54" s="20" t="str">
        <f t="shared" si="1"/>
        <v/>
      </c>
      <c r="C54" s="21" t="str">
        <f>IF(Data!F50="","",Data!F50)</f>
        <v/>
      </c>
      <c r="D54" s="22" t="str">
        <f>IF(Data!H50="","",Data!H50)</f>
        <v/>
      </c>
      <c r="E54" s="23" t="str">
        <f>IF(Data!I50="","",Data!I50)</f>
        <v/>
      </c>
      <c r="F54" s="322"/>
      <c r="G54" s="323"/>
      <c r="H54" s="323"/>
      <c r="I54" s="323"/>
      <c r="J54" s="323"/>
      <c r="K54" s="323"/>
      <c r="L54" s="323"/>
      <c r="M54" s="323"/>
      <c r="N54" s="323"/>
      <c r="O54" s="1317"/>
      <c r="P54" s="322"/>
      <c r="Q54" s="323"/>
      <c r="R54" s="324"/>
      <c r="S54" s="325"/>
      <c r="T54" s="1318"/>
      <c r="U54" s="20" t="str">
        <f t="shared" si="3"/>
        <v/>
      </c>
      <c r="V54" s="21" t="str">
        <f t="shared" si="3"/>
        <v/>
      </c>
      <c r="W54" s="22" t="str">
        <f t="shared" si="3"/>
        <v/>
      </c>
      <c r="X54" s="23" t="str">
        <f t="shared" si="3"/>
        <v/>
      </c>
      <c r="Y54" s="322"/>
      <c r="Z54" s="323"/>
      <c r="AA54" s="323"/>
      <c r="AB54" s="323"/>
      <c r="AC54" s="323"/>
      <c r="AD54" s="323"/>
      <c r="AE54" s="323"/>
      <c r="AF54" s="323"/>
      <c r="AG54" s="323"/>
      <c r="AH54" s="324"/>
      <c r="AI54" s="322"/>
      <c r="AJ54" s="323"/>
      <c r="AK54" s="324"/>
      <c r="AL54" s="1319">
        <v>46</v>
      </c>
      <c r="AM54" s="208"/>
      <c r="AN54" s="208"/>
      <c r="AO54" s="208"/>
      <c r="AP54" s="208"/>
    </row>
    <row r="55" spans="1:42" ht="2.1" customHeight="1">
      <c r="A55" s="37"/>
      <c r="B55" s="20" t="str">
        <f t="shared" si="1"/>
        <v/>
      </c>
      <c r="C55" s="21" t="str">
        <f>IF(Data!F51="","",Data!F51)</f>
        <v/>
      </c>
      <c r="D55" s="22" t="str">
        <f>IF(Data!H51="","",Data!H51)</f>
        <v/>
      </c>
      <c r="E55" s="23" t="str">
        <f>IF(Data!I51="","",Data!I51)</f>
        <v/>
      </c>
      <c r="F55" s="322"/>
      <c r="G55" s="323"/>
      <c r="H55" s="323"/>
      <c r="I55" s="323"/>
      <c r="J55" s="323"/>
      <c r="K55" s="323"/>
      <c r="L55" s="323"/>
      <c r="M55" s="323"/>
      <c r="N55" s="323"/>
      <c r="O55" s="1317"/>
      <c r="P55" s="322"/>
      <c r="Q55" s="323"/>
      <c r="R55" s="324"/>
      <c r="S55" s="325"/>
      <c r="T55" s="1318"/>
      <c r="U55" s="20" t="str">
        <f t="shared" si="3"/>
        <v/>
      </c>
      <c r="V55" s="21" t="str">
        <f t="shared" si="3"/>
        <v/>
      </c>
      <c r="W55" s="22" t="str">
        <f t="shared" si="3"/>
        <v/>
      </c>
      <c r="X55" s="23" t="str">
        <f t="shared" si="3"/>
        <v/>
      </c>
      <c r="Y55" s="322"/>
      <c r="Z55" s="323"/>
      <c r="AA55" s="323"/>
      <c r="AB55" s="323"/>
      <c r="AC55" s="323"/>
      <c r="AD55" s="323"/>
      <c r="AE55" s="323"/>
      <c r="AF55" s="323"/>
      <c r="AG55" s="323"/>
      <c r="AH55" s="324"/>
      <c r="AI55" s="322"/>
      <c r="AJ55" s="323"/>
      <c r="AK55" s="324"/>
      <c r="AL55" s="1320">
        <v>47</v>
      </c>
      <c r="AM55" s="208"/>
      <c r="AN55" s="208"/>
      <c r="AO55" s="208"/>
      <c r="AP55" s="208"/>
    </row>
    <row r="56" spans="1:42" ht="2.1" customHeight="1">
      <c r="A56" s="37"/>
      <c r="B56" s="20" t="str">
        <f t="shared" si="1"/>
        <v/>
      </c>
      <c r="C56" s="21" t="str">
        <f>IF(Data!F52="","",Data!F52)</f>
        <v/>
      </c>
      <c r="D56" s="22" t="str">
        <f>IF(Data!H52="","",Data!H52)</f>
        <v/>
      </c>
      <c r="E56" s="23" t="str">
        <f>IF(Data!I52="","",Data!I52)</f>
        <v/>
      </c>
      <c r="F56" s="322"/>
      <c r="G56" s="323"/>
      <c r="H56" s="323"/>
      <c r="I56" s="323"/>
      <c r="J56" s="323"/>
      <c r="K56" s="323"/>
      <c r="L56" s="323"/>
      <c r="M56" s="323"/>
      <c r="N56" s="323"/>
      <c r="O56" s="1317"/>
      <c r="P56" s="322"/>
      <c r="Q56" s="323"/>
      <c r="R56" s="324"/>
      <c r="S56" s="325"/>
      <c r="T56" s="1318"/>
      <c r="U56" s="20" t="str">
        <f t="shared" si="3"/>
        <v/>
      </c>
      <c r="V56" s="21" t="str">
        <f t="shared" si="3"/>
        <v/>
      </c>
      <c r="W56" s="22" t="str">
        <f t="shared" si="3"/>
        <v/>
      </c>
      <c r="X56" s="23" t="str">
        <f t="shared" si="3"/>
        <v/>
      </c>
      <c r="Y56" s="322"/>
      <c r="Z56" s="323"/>
      <c r="AA56" s="323"/>
      <c r="AB56" s="323"/>
      <c r="AC56" s="323"/>
      <c r="AD56" s="323"/>
      <c r="AE56" s="323"/>
      <c r="AF56" s="323"/>
      <c r="AG56" s="323"/>
      <c r="AH56" s="324"/>
      <c r="AI56" s="322"/>
      <c r="AJ56" s="323"/>
      <c r="AK56" s="324"/>
      <c r="AL56" s="1319">
        <v>48</v>
      </c>
      <c r="AM56" s="208"/>
      <c r="AN56" s="208"/>
      <c r="AO56" s="208"/>
      <c r="AP56" s="208"/>
    </row>
    <row r="57" spans="1:42" ht="2.1" customHeight="1">
      <c r="A57" s="37"/>
      <c r="B57" s="20" t="str">
        <f t="shared" si="1"/>
        <v/>
      </c>
      <c r="C57" s="21" t="str">
        <f>IF(Data!F53="","",Data!F53)</f>
        <v/>
      </c>
      <c r="D57" s="22" t="str">
        <f>IF(Data!H53="","",Data!H53)</f>
        <v/>
      </c>
      <c r="E57" s="23" t="str">
        <f>IF(Data!I53="","",Data!I53)</f>
        <v/>
      </c>
      <c r="F57" s="322"/>
      <c r="G57" s="323"/>
      <c r="H57" s="323"/>
      <c r="I57" s="323"/>
      <c r="J57" s="323"/>
      <c r="K57" s="323"/>
      <c r="L57" s="323"/>
      <c r="M57" s="323"/>
      <c r="N57" s="323"/>
      <c r="O57" s="1317"/>
      <c r="P57" s="322"/>
      <c r="Q57" s="323"/>
      <c r="R57" s="324"/>
      <c r="S57" s="325"/>
      <c r="T57" s="1318"/>
      <c r="U57" s="20" t="str">
        <f t="shared" si="3"/>
        <v/>
      </c>
      <c r="V57" s="21" t="str">
        <f t="shared" si="3"/>
        <v/>
      </c>
      <c r="W57" s="22" t="str">
        <f t="shared" si="3"/>
        <v/>
      </c>
      <c r="X57" s="23" t="str">
        <f t="shared" si="3"/>
        <v/>
      </c>
      <c r="Y57" s="322"/>
      <c r="Z57" s="323"/>
      <c r="AA57" s="323"/>
      <c r="AB57" s="323"/>
      <c r="AC57" s="323"/>
      <c r="AD57" s="323"/>
      <c r="AE57" s="323"/>
      <c r="AF57" s="323"/>
      <c r="AG57" s="323"/>
      <c r="AH57" s="324"/>
      <c r="AI57" s="322"/>
      <c r="AJ57" s="323"/>
      <c r="AK57" s="324"/>
      <c r="AL57" s="1320">
        <v>49</v>
      </c>
      <c r="AM57" s="208"/>
      <c r="AN57" s="208"/>
      <c r="AO57" s="208"/>
      <c r="AP57" s="208"/>
    </row>
    <row r="58" spans="1:42" ht="2.1" customHeight="1" thickBot="1">
      <c r="A58" s="37"/>
      <c r="B58" s="1321" t="str">
        <f t="shared" si="1"/>
        <v/>
      </c>
      <c r="C58" s="1322" t="str">
        <f>IF(Data!F54="","",Data!F54)</f>
        <v/>
      </c>
      <c r="D58" s="1323" t="str">
        <f>IF(Data!H54="","",Data!H54)</f>
        <v/>
      </c>
      <c r="E58" s="1324" t="str">
        <f>IF(Data!I54="","",Data!I54)</f>
        <v/>
      </c>
      <c r="F58" s="1325"/>
      <c r="G58" s="1326"/>
      <c r="H58" s="1326"/>
      <c r="I58" s="1326"/>
      <c r="J58" s="1326"/>
      <c r="K58" s="1326"/>
      <c r="L58" s="1326"/>
      <c r="M58" s="1326"/>
      <c r="N58" s="1326"/>
      <c r="O58" s="1327"/>
      <c r="P58" s="1325"/>
      <c r="Q58" s="1326"/>
      <c r="R58" s="1328"/>
      <c r="S58" s="1329"/>
      <c r="T58" s="1330"/>
      <c r="U58" s="1321" t="str">
        <f t="shared" si="3"/>
        <v/>
      </c>
      <c r="V58" s="1322" t="str">
        <f t="shared" si="3"/>
        <v/>
      </c>
      <c r="W58" s="1323" t="str">
        <f t="shared" si="3"/>
        <v/>
      </c>
      <c r="X58" s="1324" t="str">
        <f t="shared" si="3"/>
        <v/>
      </c>
      <c r="Y58" s="1325"/>
      <c r="Z58" s="1326"/>
      <c r="AA58" s="1326"/>
      <c r="AB58" s="1326"/>
      <c r="AC58" s="1326"/>
      <c r="AD58" s="1326"/>
      <c r="AE58" s="1326"/>
      <c r="AF58" s="1326"/>
      <c r="AG58" s="1326"/>
      <c r="AH58" s="1328"/>
      <c r="AI58" s="1325"/>
      <c r="AJ58" s="1326"/>
      <c r="AK58" s="1328"/>
      <c r="AL58" s="1319">
        <v>50</v>
      </c>
      <c r="AM58" s="208"/>
      <c r="AN58" s="208"/>
      <c r="AO58" s="208"/>
      <c r="AP58" s="208"/>
    </row>
    <row r="59" spans="1:42" ht="6" customHeight="1" thickBot="1">
      <c r="A59" s="37"/>
      <c r="B59" s="25"/>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320">
        <v>51</v>
      </c>
      <c r="AM59" s="208"/>
      <c r="AN59" s="208"/>
      <c r="AO59" s="208"/>
      <c r="AP59" s="208"/>
    </row>
    <row r="60" spans="1:42">
      <c r="A60" s="37"/>
      <c r="B60" s="1331" t="s">
        <v>55</v>
      </c>
      <c r="C60" s="1332" t="s">
        <v>56</v>
      </c>
      <c r="D60" s="1612" t="s">
        <v>349</v>
      </c>
      <c r="E60" s="1613"/>
      <c r="F60" s="1613"/>
      <c r="G60" s="1613"/>
      <c r="H60" s="1613"/>
      <c r="I60" s="1613"/>
      <c r="J60" s="1613"/>
      <c r="K60" s="1613"/>
      <c r="L60" s="1613"/>
      <c r="M60" s="1613"/>
      <c r="N60" s="1613"/>
      <c r="O60" s="1613"/>
      <c r="P60" s="1613"/>
      <c r="Q60" s="1613"/>
      <c r="R60" s="1613"/>
      <c r="S60" s="1613"/>
      <c r="T60" s="1614"/>
      <c r="U60" s="1331" t="s">
        <v>55</v>
      </c>
      <c r="V60" s="1332" t="s">
        <v>56</v>
      </c>
      <c r="W60" s="1615" t="s">
        <v>350</v>
      </c>
      <c r="X60" s="1615"/>
      <c r="Y60" s="1615"/>
      <c r="Z60" s="1615"/>
      <c r="AA60" s="1615"/>
      <c r="AB60" s="1615"/>
      <c r="AC60" s="1615"/>
      <c r="AD60" s="1615"/>
      <c r="AE60" s="1615"/>
      <c r="AF60" s="1615"/>
      <c r="AG60" s="1615"/>
      <c r="AH60" s="1615"/>
      <c r="AI60" s="1615"/>
      <c r="AJ60" s="1615"/>
      <c r="AK60" s="1616"/>
      <c r="AL60" s="1319">
        <v>52</v>
      </c>
      <c r="AM60" s="208"/>
      <c r="AN60" s="208"/>
      <c r="AO60" s="208"/>
      <c r="AP60" s="208"/>
    </row>
    <row r="61" spans="1:42" ht="12" customHeight="1">
      <c r="A61" s="37"/>
      <c r="B61" s="1333">
        <v>0</v>
      </c>
      <c r="C61" s="44" t="s">
        <v>66</v>
      </c>
      <c r="D61" s="1591" t="s">
        <v>67</v>
      </c>
      <c r="E61" s="1592"/>
      <c r="F61" s="1592"/>
      <c r="G61" s="1592"/>
      <c r="H61" s="1592"/>
      <c r="I61" s="1592"/>
      <c r="J61" s="1592"/>
      <c r="K61" s="1592"/>
      <c r="L61" s="1592"/>
      <c r="M61" s="1592"/>
      <c r="N61" s="1592"/>
      <c r="O61" s="1592"/>
      <c r="P61" s="1592"/>
      <c r="Q61" s="1592"/>
      <c r="R61" s="1592"/>
      <c r="S61" s="1592"/>
      <c r="T61" s="1593"/>
      <c r="U61" s="1333">
        <v>0</v>
      </c>
      <c r="V61" s="44" t="s">
        <v>189</v>
      </c>
      <c r="W61" s="1594" t="s">
        <v>68</v>
      </c>
      <c r="X61" s="1595"/>
      <c r="Y61" s="1595"/>
      <c r="Z61" s="1595"/>
      <c r="AA61" s="1595"/>
      <c r="AB61" s="1595"/>
      <c r="AC61" s="1595"/>
      <c r="AD61" s="1595"/>
      <c r="AE61" s="1595"/>
      <c r="AF61" s="1595"/>
      <c r="AG61" s="1595"/>
      <c r="AH61" s="1595"/>
      <c r="AI61" s="1595"/>
      <c r="AJ61" s="1595"/>
      <c r="AK61" s="1596"/>
      <c r="AL61" s="1320">
        <v>53</v>
      </c>
      <c r="AM61" s="208"/>
      <c r="AN61" s="208"/>
      <c r="AO61" s="208"/>
      <c r="AP61" s="208"/>
    </row>
    <row r="62" spans="1:42" ht="12" customHeight="1">
      <c r="A62" s="37"/>
      <c r="B62" s="1334">
        <v>1</v>
      </c>
      <c r="C62" s="38" t="s">
        <v>45</v>
      </c>
      <c r="D62" s="1588"/>
      <c r="E62" s="1589"/>
      <c r="F62" s="1589"/>
      <c r="G62" s="1589"/>
      <c r="H62" s="1589"/>
      <c r="I62" s="1589"/>
      <c r="J62" s="1589"/>
      <c r="K62" s="1589"/>
      <c r="L62" s="1589"/>
      <c r="M62" s="1589"/>
      <c r="N62" s="1589"/>
      <c r="O62" s="1589"/>
      <c r="P62" s="1589"/>
      <c r="Q62" s="1589"/>
      <c r="R62" s="1589"/>
      <c r="S62" s="1589"/>
      <c r="T62" s="1590"/>
      <c r="U62" s="1334">
        <v>1</v>
      </c>
      <c r="V62" s="327"/>
      <c r="W62" s="1588"/>
      <c r="X62" s="1589"/>
      <c r="Y62" s="1589"/>
      <c r="Z62" s="1589"/>
      <c r="AA62" s="1589"/>
      <c r="AB62" s="1589"/>
      <c r="AC62" s="1589"/>
      <c r="AD62" s="1589"/>
      <c r="AE62" s="1589"/>
      <c r="AF62" s="1589"/>
      <c r="AG62" s="1589"/>
      <c r="AH62" s="1589"/>
      <c r="AI62" s="1589"/>
      <c r="AJ62" s="1589"/>
      <c r="AK62" s="1590"/>
      <c r="AL62" s="1319">
        <v>54</v>
      </c>
      <c r="AM62" s="208"/>
      <c r="AN62" s="208"/>
      <c r="AO62" s="208"/>
      <c r="AP62" s="208"/>
    </row>
    <row r="63" spans="1:42" ht="12" customHeight="1">
      <c r="A63" s="37"/>
      <c r="B63" s="20">
        <v>2</v>
      </c>
      <c r="C63" s="21" t="s">
        <v>46</v>
      </c>
      <c r="D63" s="1581"/>
      <c r="E63" s="1582"/>
      <c r="F63" s="1582"/>
      <c r="G63" s="1582"/>
      <c r="H63" s="1582"/>
      <c r="I63" s="1582"/>
      <c r="J63" s="1582"/>
      <c r="K63" s="1582"/>
      <c r="L63" s="1582"/>
      <c r="M63" s="1582"/>
      <c r="N63" s="1582"/>
      <c r="O63" s="1582"/>
      <c r="P63" s="1582"/>
      <c r="Q63" s="1582"/>
      <c r="R63" s="1582"/>
      <c r="S63" s="1582"/>
      <c r="T63" s="1583"/>
      <c r="U63" s="20">
        <v>2</v>
      </c>
      <c r="V63" s="328"/>
      <c r="W63" s="1581"/>
      <c r="X63" s="1582"/>
      <c r="Y63" s="1582"/>
      <c r="Z63" s="1582"/>
      <c r="AA63" s="1582"/>
      <c r="AB63" s="1582"/>
      <c r="AC63" s="1582"/>
      <c r="AD63" s="1582"/>
      <c r="AE63" s="1582"/>
      <c r="AF63" s="1582"/>
      <c r="AG63" s="1582"/>
      <c r="AH63" s="1582"/>
      <c r="AI63" s="1582"/>
      <c r="AJ63" s="1582"/>
      <c r="AK63" s="1583"/>
      <c r="AL63" s="1320">
        <v>55</v>
      </c>
      <c r="AM63" s="208"/>
      <c r="AN63" s="208"/>
      <c r="AO63" s="208"/>
      <c r="AP63" s="208"/>
    </row>
    <row r="64" spans="1:42" ht="12" customHeight="1">
      <c r="A64" s="37"/>
      <c r="B64" s="20">
        <v>3</v>
      </c>
      <c r="C64" s="21" t="s">
        <v>47</v>
      </c>
      <c r="D64" s="1581"/>
      <c r="E64" s="1582"/>
      <c r="F64" s="1582"/>
      <c r="G64" s="1582"/>
      <c r="H64" s="1582"/>
      <c r="I64" s="1582"/>
      <c r="J64" s="1582"/>
      <c r="K64" s="1582"/>
      <c r="L64" s="1582"/>
      <c r="M64" s="1582"/>
      <c r="N64" s="1582"/>
      <c r="O64" s="1582"/>
      <c r="P64" s="1582"/>
      <c r="Q64" s="1582"/>
      <c r="R64" s="1582"/>
      <c r="S64" s="1582"/>
      <c r="T64" s="1583"/>
      <c r="U64" s="20">
        <v>3</v>
      </c>
      <c r="V64" s="328"/>
      <c r="W64" s="1581"/>
      <c r="X64" s="1582"/>
      <c r="Y64" s="1582"/>
      <c r="Z64" s="1582"/>
      <c r="AA64" s="1582"/>
      <c r="AB64" s="1582"/>
      <c r="AC64" s="1582"/>
      <c r="AD64" s="1582"/>
      <c r="AE64" s="1582"/>
      <c r="AF64" s="1582"/>
      <c r="AG64" s="1582"/>
      <c r="AH64" s="1582"/>
      <c r="AI64" s="1582"/>
      <c r="AJ64" s="1582"/>
      <c r="AK64" s="1583"/>
      <c r="AL64" s="1319">
        <v>56</v>
      </c>
      <c r="AM64" s="208"/>
      <c r="AN64" s="208"/>
      <c r="AO64" s="208"/>
      <c r="AP64" s="208"/>
    </row>
    <row r="65" spans="1:42" ht="12" customHeight="1">
      <c r="A65" s="37"/>
      <c r="B65" s="20">
        <v>4</v>
      </c>
      <c r="C65" s="21" t="s">
        <v>48</v>
      </c>
      <c r="D65" s="1581"/>
      <c r="E65" s="1582"/>
      <c r="F65" s="1582"/>
      <c r="G65" s="1582"/>
      <c r="H65" s="1582"/>
      <c r="I65" s="1582"/>
      <c r="J65" s="1582"/>
      <c r="K65" s="1582"/>
      <c r="L65" s="1582"/>
      <c r="M65" s="1582"/>
      <c r="N65" s="1582"/>
      <c r="O65" s="1582"/>
      <c r="P65" s="1582"/>
      <c r="Q65" s="1582"/>
      <c r="R65" s="1582"/>
      <c r="S65" s="1582"/>
      <c r="T65" s="1583"/>
      <c r="U65" s="20">
        <v>4</v>
      </c>
      <c r="V65" s="328"/>
      <c r="W65" s="1581"/>
      <c r="X65" s="1582"/>
      <c r="Y65" s="1582"/>
      <c r="Z65" s="1582"/>
      <c r="AA65" s="1582"/>
      <c r="AB65" s="1582"/>
      <c r="AC65" s="1582"/>
      <c r="AD65" s="1582"/>
      <c r="AE65" s="1582"/>
      <c r="AF65" s="1582"/>
      <c r="AG65" s="1582"/>
      <c r="AH65" s="1582"/>
      <c r="AI65" s="1582"/>
      <c r="AJ65" s="1582"/>
      <c r="AK65" s="1583"/>
      <c r="AL65" s="1320">
        <v>57</v>
      </c>
      <c r="AM65" s="208"/>
      <c r="AN65" s="208"/>
      <c r="AO65" s="208"/>
      <c r="AP65" s="208"/>
    </row>
    <row r="66" spans="1:42" ht="12" customHeight="1">
      <c r="A66" s="37"/>
      <c r="B66" s="20">
        <v>5</v>
      </c>
      <c r="C66" s="21" t="s">
        <v>49</v>
      </c>
      <c r="D66" s="1581"/>
      <c r="E66" s="1582"/>
      <c r="F66" s="1582"/>
      <c r="G66" s="1582"/>
      <c r="H66" s="1582"/>
      <c r="I66" s="1582"/>
      <c r="J66" s="1582"/>
      <c r="K66" s="1582"/>
      <c r="L66" s="1582"/>
      <c r="M66" s="1582"/>
      <c r="N66" s="1582"/>
      <c r="O66" s="1582"/>
      <c r="P66" s="1582"/>
      <c r="Q66" s="1582"/>
      <c r="R66" s="1582"/>
      <c r="S66" s="1582"/>
      <c r="T66" s="1583"/>
      <c r="U66" s="20">
        <v>5</v>
      </c>
      <c r="V66" s="328"/>
      <c r="W66" s="1581"/>
      <c r="X66" s="1582"/>
      <c r="Y66" s="1582"/>
      <c r="Z66" s="1582"/>
      <c r="AA66" s="1582"/>
      <c r="AB66" s="1582"/>
      <c r="AC66" s="1582"/>
      <c r="AD66" s="1582"/>
      <c r="AE66" s="1582"/>
      <c r="AF66" s="1582"/>
      <c r="AG66" s="1582"/>
      <c r="AH66" s="1582"/>
      <c r="AI66" s="1582"/>
      <c r="AJ66" s="1582"/>
      <c r="AK66" s="1583"/>
      <c r="AL66" s="1319">
        <v>58</v>
      </c>
      <c r="AM66" s="208"/>
      <c r="AN66" s="208"/>
      <c r="AO66" s="208"/>
      <c r="AP66" s="208"/>
    </row>
    <row r="67" spans="1:42" ht="12" customHeight="1">
      <c r="A67" s="37"/>
      <c r="B67" s="20">
        <v>6</v>
      </c>
      <c r="C67" s="21" t="s">
        <v>50</v>
      </c>
      <c r="D67" s="1581"/>
      <c r="E67" s="1582"/>
      <c r="F67" s="1582"/>
      <c r="G67" s="1582"/>
      <c r="H67" s="1582"/>
      <c r="I67" s="1582"/>
      <c r="J67" s="1582"/>
      <c r="K67" s="1582"/>
      <c r="L67" s="1582"/>
      <c r="M67" s="1582"/>
      <c r="N67" s="1582"/>
      <c r="O67" s="1582"/>
      <c r="P67" s="1582"/>
      <c r="Q67" s="1582"/>
      <c r="R67" s="1582"/>
      <c r="S67" s="1582"/>
      <c r="T67" s="1583"/>
      <c r="U67" s="20">
        <v>6</v>
      </c>
      <c r="V67" s="328"/>
      <c r="W67" s="1581"/>
      <c r="X67" s="1582"/>
      <c r="Y67" s="1582"/>
      <c r="Z67" s="1582"/>
      <c r="AA67" s="1582"/>
      <c r="AB67" s="1582"/>
      <c r="AC67" s="1582"/>
      <c r="AD67" s="1582"/>
      <c r="AE67" s="1582"/>
      <c r="AF67" s="1582"/>
      <c r="AG67" s="1582"/>
      <c r="AH67" s="1582"/>
      <c r="AI67" s="1582"/>
      <c r="AJ67" s="1582"/>
      <c r="AK67" s="1583"/>
      <c r="AL67" s="1320">
        <v>59</v>
      </c>
      <c r="AM67" s="208"/>
      <c r="AN67" s="208"/>
      <c r="AO67" s="208"/>
      <c r="AP67" s="208"/>
    </row>
    <row r="68" spans="1:42" ht="12" customHeight="1">
      <c r="A68" s="37"/>
      <c r="B68" s="20">
        <v>7</v>
      </c>
      <c r="C68" s="21" t="s">
        <v>51</v>
      </c>
      <c r="D68" s="1581"/>
      <c r="E68" s="1582"/>
      <c r="F68" s="1582"/>
      <c r="G68" s="1582"/>
      <c r="H68" s="1582"/>
      <c r="I68" s="1582"/>
      <c r="J68" s="1582"/>
      <c r="K68" s="1582"/>
      <c r="L68" s="1582"/>
      <c r="M68" s="1582"/>
      <c r="N68" s="1582"/>
      <c r="O68" s="1582"/>
      <c r="P68" s="1582"/>
      <c r="Q68" s="1582"/>
      <c r="R68" s="1582"/>
      <c r="S68" s="1582"/>
      <c r="T68" s="1583"/>
      <c r="U68" s="20">
        <v>7</v>
      </c>
      <c r="V68" s="328"/>
      <c r="W68" s="1581"/>
      <c r="X68" s="1582"/>
      <c r="Y68" s="1582"/>
      <c r="Z68" s="1582"/>
      <c r="AA68" s="1582"/>
      <c r="AB68" s="1582"/>
      <c r="AC68" s="1582"/>
      <c r="AD68" s="1582"/>
      <c r="AE68" s="1582"/>
      <c r="AF68" s="1582"/>
      <c r="AG68" s="1582"/>
      <c r="AH68" s="1582"/>
      <c r="AI68" s="1582"/>
      <c r="AJ68" s="1582"/>
      <c r="AK68" s="1583"/>
      <c r="AL68" s="1319">
        <v>60</v>
      </c>
      <c r="AM68" s="208"/>
      <c r="AN68" s="208"/>
      <c r="AO68" s="208"/>
      <c r="AP68" s="208"/>
    </row>
    <row r="69" spans="1:42" ht="12" customHeight="1" thickBot="1">
      <c r="A69" s="37"/>
      <c r="B69" s="1321">
        <v>8</v>
      </c>
      <c r="C69" s="1322" t="s">
        <v>52</v>
      </c>
      <c r="D69" s="1584"/>
      <c r="E69" s="1585"/>
      <c r="F69" s="1585"/>
      <c r="G69" s="1585"/>
      <c r="H69" s="1585"/>
      <c r="I69" s="1585"/>
      <c r="J69" s="1585"/>
      <c r="K69" s="1585"/>
      <c r="L69" s="1585"/>
      <c r="M69" s="1585"/>
      <c r="N69" s="1585"/>
      <c r="O69" s="1585"/>
      <c r="P69" s="1585"/>
      <c r="Q69" s="1585"/>
      <c r="R69" s="1585"/>
      <c r="S69" s="1585"/>
      <c r="T69" s="1586"/>
      <c r="U69" s="1321">
        <v>8</v>
      </c>
      <c r="V69" s="1335"/>
      <c r="W69" s="1584"/>
      <c r="X69" s="1585"/>
      <c r="Y69" s="1585"/>
      <c r="Z69" s="1585"/>
      <c r="AA69" s="1585"/>
      <c r="AB69" s="1585"/>
      <c r="AC69" s="1585"/>
      <c r="AD69" s="1585"/>
      <c r="AE69" s="1585"/>
      <c r="AF69" s="1585"/>
      <c r="AG69" s="1585"/>
      <c r="AH69" s="1585"/>
      <c r="AI69" s="1585"/>
      <c r="AJ69" s="1585"/>
      <c r="AK69" s="1586"/>
      <c r="AL69" s="1320">
        <v>61</v>
      </c>
      <c r="AM69" s="208"/>
      <c r="AN69" s="208"/>
      <c r="AO69" s="208"/>
      <c r="AP69" s="208"/>
    </row>
    <row r="70" spans="1:42" ht="5.25" customHeight="1">
      <c r="A70" s="37"/>
      <c r="AL70" s="1319">
        <v>62</v>
      </c>
      <c r="AM70" s="208"/>
      <c r="AN70" s="208"/>
      <c r="AO70" s="208"/>
      <c r="AP70" s="208"/>
    </row>
    <row r="71" spans="1:42">
      <c r="A71" s="37"/>
      <c r="C71" s="40"/>
      <c r="D71" s="39" t="s">
        <v>345</v>
      </c>
      <c r="E71" s="329"/>
      <c r="J71" s="31" t="s">
        <v>346</v>
      </c>
      <c r="K71" s="329"/>
      <c r="Q71" s="31" t="s">
        <v>347</v>
      </c>
      <c r="R71" s="329"/>
      <c r="V71" s="36"/>
      <c r="W71" s="39" t="s">
        <v>145</v>
      </c>
      <c r="X71" s="329"/>
      <c r="AC71" s="31" t="s">
        <v>144</v>
      </c>
      <c r="AD71" s="329"/>
      <c r="AH71" s="31" t="s">
        <v>146</v>
      </c>
      <c r="AI71" s="329"/>
      <c r="AJ71" s="36"/>
      <c r="AK71" s="36"/>
      <c r="AL71" s="1320">
        <v>63</v>
      </c>
      <c r="AM71" s="208"/>
      <c r="AN71" s="208"/>
      <c r="AO71" s="208"/>
      <c r="AP71" s="208"/>
    </row>
    <row r="72" spans="1:42" ht="4.5" customHeight="1">
      <c r="A72" s="37"/>
      <c r="C72" s="40"/>
      <c r="D72" s="40"/>
      <c r="E72" s="36"/>
      <c r="H72" s="31"/>
      <c r="I72" s="36"/>
      <c r="R72" s="31"/>
      <c r="S72" s="36"/>
      <c r="V72" s="36"/>
      <c r="W72" s="40"/>
      <c r="X72" s="36"/>
      <c r="AA72" s="31"/>
      <c r="AB72" s="36"/>
      <c r="AG72" s="31"/>
      <c r="AH72" s="36"/>
      <c r="AI72" s="36"/>
      <c r="AJ72" s="36"/>
      <c r="AK72" s="36"/>
      <c r="AL72" s="1319">
        <v>64</v>
      </c>
      <c r="AM72" s="208"/>
      <c r="AN72" s="208"/>
      <c r="AO72" s="208"/>
      <c r="AP72" s="208"/>
    </row>
    <row r="73" spans="1:42" ht="13.5" customHeight="1">
      <c r="A73" s="37"/>
      <c r="B73" s="1587" t="s">
        <v>348</v>
      </c>
      <c r="C73" s="1587"/>
      <c r="D73" s="1587"/>
      <c r="E73" s="1587"/>
      <c r="F73" s="1587"/>
      <c r="G73" s="1587"/>
      <c r="H73" s="1587"/>
      <c r="I73" s="1587"/>
      <c r="J73" s="1587"/>
      <c r="K73" s="1587"/>
      <c r="L73" s="1587"/>
      <c r="M73" s="1587"/>
      <c r="N73" s="1587"/>
      <c r="O73" s="1587"/>
      <c r="P73" s="1587"/>
      <c r="Q73" s="1587"/>
      <c r="R73" s="1587"/>
      <c r="S73" s="1587"/>
      <c r="T73" s="1587"/>
      <c r="U73" s="1587" t="s">
        <v>200</v>
      </c>
      <c r="V73" s="1587"/>
      <c r="W73" s="1587"/>
      <c r="X73" s="1587"/>
      <c r="Y73" s="1587"/>
      <c r="Z73" s="1587"/>
      <c r="AA73" s="1587"/>
      <c r="AB73" s="1587"/>
      <c r="AC73" s="1587"/>
      <c r="AD73" s="1587"/>
      <c r="AE73" s="1587"/>
      <c r="AF73" s="1587"/>
      <c r="AG73" s="1587"/>
      <c r="AH73" s="1587"/>
      <c r="AI73" s="1587"/>
      <c r="AJ73" s="1587"/>
      <c r="AK73" s="1587"/>
      <c r="AL73" s="1320">
        <v>65</v>
      </c>
      <c r="AM73" s="208"/>
      <c r="AN73" s="208"/>
      <c r="AO73" s="208"/>
      <c r="AP73" s="208"/>
    </row>
    <row r="74" spans="1:42" hidden="1">
      <c r="A74" s="37"/>
      <c r="Y74" s="32"/>
      <c r="Z74" s="33"/>
      <c r="AA74" s="32"/>
      <c r="AB74" s="34"/>
      <c r="AC74" s="34"/>
      <c r="AD74" s="34"/>
      <c r="AE74" s="34"/>
      <c r="AF74" s="34"/>
      <c r="AG74" s="34"/>
      <c r="AH74" s="34"/>
      <c r="AI74" s="34"/>
      <c r="AJ74" s="34"/>
      <c r="AK74" s="34"/>
    </row>
    <row r="75" spans="1:42" hidden="1">
      <c r="A75" s="37"/>
      <c r="Y75" s="32"/>
      <c r="Z75" s="33"/>
      <c r="AA75" s="32"/>
      <c r="AB75" s="34"/>
      <c r="AC75" s="34"/>
      <c r="AD75" s="34"/>
      <c r="AE75" s="34"/>
      <c r="AF75" s="34"/>
      <c r="AG75" s="34"/>
      <c r="AH75" s="34"/>
      <c r="AI75" s="34"/>
      <c r="AJ75" s="34"/>
      <c r="AK75" s="34"/>
    </row>
    <row r="76" spans="1:42" hidden="1"/>
    <row r="77" spans="1:42" hidden="1"/>
    <row r="78" spans="1:42" hidden="1"/>
    <row r="79" spans="1:42" hidden="1"/>
    <row r="80" spans="1:42" hidden="1"/>
    <row r="81" s="37" customFormat="1" hidden="1"/>
    <row r="82" s="37" customFormat="1" hidden="1"/>
    <row r="83" s="37" customFormat="1" hidden="1"/>
  </sheetData>
  <sheetProtection formatRows="0" insertHyperlinks="0" selectLockedCells="1"/>
  <mergeCells count="41">
    <mergeCell ref="B7:B8"/>
    <mergeCell ref="C7:C8"/>
    <mergeCell ref="D7:D8"/>
    <mergeCell ref="E7:E8"/>
    <mergeCell ref="F7:O7"/>
    <mergeCell ref="AN2:AO4"/>
    <mergeCell ref="P4:T4"/>
    <mergeCell ref="AG4:AK4"/>
    <mergeCell ref="P5:T5"/>
    <mergeCell ref="AG5:AK5"/>
    <mergeCell ref="D61:T61"/>
    <mergeCell ref="W61:AK61"/>
    <mergeCell ref="P7:R7"/>
    <mergeCell ref="S7:S8"/>
    <mergeCell ref="T7:T8"/>
    <mergeCell ref="U7:U8"/>
    <mergeCell ref="V7:V8"/>
    <mergeCell ref="W7:W8"/>
    <mergeCell ref="X7:X8"/>
    <mergeCell ref="Y7:AH7"/>
    <mergeCell ref="AI7:AK7"/>
    <mergeCell ref="D60:T60"/>
    <mergeCell ref="W60:AK60"/>
    <mergeCell ref="D62:T62"/>
    <mergeCell ref="W62:AK62"/>
    <mergeCell ref="D63:T63"/>
    <mergeCell ref="W63:AK63"/>
    <mergeCell ref="D64:T64"/>
    <mergeCell ref="W64:AK64"/>
    <mergeCell ref="D65:T65"/>
    <mergeCell ref="W65:AK65"/>
    <mergeCell ref="D66:T66"/>
    <mergeCell ref="W66:AK66"/>
    <mergeCell ref="D67:T67"/>
    <mergeCell ref="W67:AK67"/>
    <mergeCell ref="D68:T68"/>
    <mergeCell ref="W68:AK68"/>
    <mergeCell ref="D69:T69"/>
    <mergeCell ref="W69:AK69"/>
    <mergeCell ref="B73:T73"/>
    <mergeCell ref="U73:AK73"/>
  </mergeCells>
  <conditionalFormatting sqref="B9:AH57">
    <cfRule type="expression" dxfId="6342" priority="9">
      <formula>AND($B9&lt;&gt;"",$B10="")</formula>
    </cfRule>
    <cfRule type="expression" dxfId="6341" priority="10">
      <formula>$B9=""</formula>
    </cfRule>
  </conditionalFormatting>
  <conditionalFormatting sqref="C44:T58">
    <cfRule type="expression" dxfId="6340" priority="11">
      <formula>AND($B44&lt;&gt;"",#REF!="")</formula>
    </cfRule>
    <cfRule type="expression" dxfId="6339" priority="12">
      <formula>$B44=""</formula>
    </cfRule>
  </conditionalFormatting>
  <conditionalFormatting sqref="U44:AH58">
    <cfRule type="expression" dxfId="6338" priority="7">
      <formula>AND($B44&lt;&gt;"",#REF!="")</formula>
    </cfRule>
    <cfRule type="expression" dxfId="6337" priority="8">
      <formula>$B44=""</formula>
    </cfRule>
  </conditionalFormatting>
  <conditionalFormatting sqref="B58:AH58">
    <cfRule type="expression" dxfId="6336" priority="13">
      <formula>AND($B58&lt;&gt;"",#REF!="")</formula>
    </cfRule>
    <cfRule type="expression" dxfId="6335" priority="14">
      <formula>$B58=""</formula>
    </cfRule>
  </conditionalFormatting>
  <conditionalFormatting sqref="U56:X58">
    <cfRule type="expression" dxfId="6334" priority="15">
      <formula>AND($B56&lt;&gt;"",$B60="")</formula>
    </cfRule>
    <cfRule type="expression" dxfId="6333" priority="16">
      <formula>$B56=""</formula>
    </cfRule>
  </conditionalFormatting>
  <conditionalFormatting sqref="U44:X58">
    <cfRule type="expression" dxfId="6332" priority="17">
      <formula>AND($B44&lt;&gt;"",$B59="")</formula>
    </cfRule>
    <cfRule type="expression" dxfId="6331" priority="18">
      <formula>$B44=""</formula>
    </cfRule>
  </conditionalFormatting>
  <conditionalFormatting sqref="AI9:AK57">
    <cfRule type="expression" dxfId="6330" priority="1">
      <formula>AND($B9&lt;&gt;"",$B10="")</formula>
    </cfRule>
    <cfRule type="expression" dxfId="6329" priority="2">
      <formula>$B9=""</formula>
    </cfRule>
  </conditionalFormatting>
  <conditionalFormatting sqref="AI44:AK58">
    <cfRule type="expression" dxfId="6328" priority="3">
      <formula>AND($B44&lt;&gt;"",#REF!="")</formula>
    </cfRule>
    <cfRule type="expression" dxfId="6327" priority="4">
      <formula>$B44=""</formula>
    </cfRule>
  </conditionalFormatting>
  <conditionalFormatting sqref="AI58:AK58">
    <cfRule type="expression" dxfId="6326" priority="5">
      <formula>AND($B58&lt;&gt;"",#REF!="")</formula>
    </cfRule>
    <cfRule type="expression" dxfId="6325" priority="6">
      <formula>$B58=""</formula>
    </cfRule>
  </conditionalFormatting>
  <dataValidations count="1">
    <dataValidation allowBlank="1" showInputMessage="1" showErrorMessage="1" promptTitle="Tulis Kode Jenis Nilai" prompt="Berupa Nilai Praktik (Pt), Portofolio(Pf) atau Proyek(Py)." sqref="Y8:AH8"/>
  </dataValidations>
  <printOptions horizontalCentered="1"/>
  <pageMargins left="0.51181102362204722" right="0.39370078740157483" top="0.3" bottom="0.3" header="0.18" footer="0.22"/>
  <pageSetup paperSize="9" orientation="portrait" verticalDpi="0" r:id="rId1"/>
  <colBreaks count="1" manualBreakCount="1">
    <brk id="20"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F0"/>
  </sheetPr>
  <dimension ref="A1:BY67"/>
  <sheetViews>
    <sheetView showGridLines="0" showRowColHeaders="0" workbookViewId="0">
      <pane xSplit="5" ySplit="8" topLeftCell="F12" activePane="bottomRight" state="frozen"/>
      <selection pane="topRight" activeCell="F1" sqref="F1"/>
      <selection pane="bottomLeft" activeCell="A9" sqref="A9"/>
      <selection pane="bottomRight" activeCell="L17" sqref="L17"/>
    </sheetView>
  </sheetViews>
  <sheetFormatPr defaultColWidth="0" defaultRowHeight="12" customHeight="1" zeroHeight="1"/>
  <cols>
    <col min="1" max="1" width="1.28515625" style="2" customWidth="1"/>
    <col min="2" max="2" width="3.85546875" style="2" customWidth="1"/>
    <col min="3" max="3" width="10" style="1" customWidth="1"/>
    <col min="4" max="4" width="22.7109375" style="2" customWidth="1"/>
    <col min="5" max="5" width="3.140625" style="2" customWidth="1"/>
    <col min="6" max="6" width="6.42578125" style="1" customWidth="1"/>
    <col min="7" max="7" width="11.5703125" style="1" customWidth="1"/>
    <col min="8" max="8" width="0.85546875" style="1" customWidth="1"/>
    <col min="9" max="9" width="4.5703125" style="1" customWidth="1"/>
    <col min="10" max="14" width="24.7109375" style="2" customWidth="1"/>
    <col min="15" max="15" width="5.7109375" style="2" customWidth="1"/>
    <col min="16" max="77" width="5.7109375" style="2" hidden="1" customWidth="1"/>
    <col min="78" max="16384" width="9.140625" style="2" hidden="1"/>
  </cols>
  <sheetData>
    <row r="1" spans="1:19" ht="15" customHeight="1">
      <c r="A1" s="67"/>
      <c r="B1" s="66"/>
      <c r="C1" s="66"/>
      <c r="D1" s="1634" t="s">
        <v>785</v>
      </c>
      <c r="E1" s="1635"/>
      <c r="F1" s="1638" t="s">
        <v>935</v>
      </c>
      <c r="G1" s="1639"/>
      <c r="H1" s="66"/>
      <c r="I1" s="1226" t="s">
        <v>632</v>
      </c>
      <c r="J1" s="1227"/>
      <c r="K1" s="1227"/>
      <c r="L1" s="1227"/>
      <c r="M1" s="1227"/>
      <c r="N1" s="1227"/>
      <c r="O1" s="66"/>
    </row>
    <row r="2" spans="1:19" ht="15" customHeight="1">
      <c r="A2" s="67"/>
      <c r="B2" s="67"/>
      <c r="C2" s="255"/>
      <c r="D2" s="1636"/>
      <c r="E2" s="1637"/>
      <c r="F2" s="1638"/>
      <c r="G2" s="1639"/>
      <c r="H2" s="255"/>
      <c r="I2" s="1228" t="s">
        <v>125</v>
      </c>
      <c r="J2" s="1229" t="s">
        <v>936</v>
      </c>
      <c r="K2" s="1230"/>
      <c r="L2" s="1230"/>
      <c r="M2" s="1230"/>
      <c r="N2" s="1230"/>
      <c r="O2" s="255"/>
    </row>
    <row r="3" spans="1:19" s="101" customFormat="1" ht="15" customHeight="1">
      <c r="A3" s="100"/>
      <c r="B3" s="100"/>
      <c r="C3" s="256"/>
      <c r="D3" s="1642" t="s">
        <v>933</v>
      </c>
      <c r="E3" s="1643"/>
      <c r="F3" s="1638"/>
      <c r="G3" s="1639"/>
      <c r="H3" s="256"/>
      <c r="I3" s="1228" t="s">
        <v>126</v>
      </c>
      <c r="J3" s="1229" t="s">
        <v>937</v>
      </c>
      <c r="K3" s="1231"/>
      <c r="L3" s="1231"/>
      <c r="M3" s="1231"/>
      <c r="N3" s="1231"/>
      <c r="O3" s="256"/>
    </row>
    <row r="4" spans="1:19" ht="15" customHeight="1" thickBot="1">
      <c r="A4" s="67"/>
      <c r="B4" s="67"/>
      <c r="C4" s="255"/>
      <c r="D4" s="1644"/>
      <c r="E4" s="1645"/>
      <c r="F4" s="1640"/>
      <c r="G4" s="1641"/>
      <c r="H4" s="255"/>
      <c r="I4" s="1228" t="s">
        <v>127</v>
      </c>
      <c r="J4" s="1229" t="s">
        <v>938</v>
      </c>
      <c r="K4" s="1230"/>
      <c r="L4" s="1230"/>
      <c r="M4" s="1230"/>
      <c r="N4" s="1230"/>
      <c r="O4" s="255"/>
    </row>
    <row r="5" spans="1:19" ht="21.95" customHeight="1">
      <c r="A5" s="67"/>
      <c r="B5" s="1620" t="str">
        <f>"Kelas : "&amp;Data!C9</f>
        <v>Kelas : 10 IIS 2</v>
      </c>
      <c r="C5" s="1621"/>
      <c r="D5" s="1654" t="str">
        <f>"Smt. "&amp;Data!C10&amp;" / Th.Plj : "&amp;Data!C11</f>
        <v>Smt. 1 / Th.Plj : 2022-2023</v>
      </c>
      <c r="E5" s="1655"/>
      <c r="F5" s="1655"/>
      <c r="G5" s="1656"/>
      <c r="H5" s="255"/>
      <c r="I5" s="1232" t="s">
        <v>939</v>
      </c>
      <c r="J5" s="1233"/>
      <c r="K5" s="1233"/>
      <c r="L5" s="1233"/>
      <c r="M5" s="1233"/>
      <c r="N5" s="1234"/>
      <c r="O5" s="255"/>
    </row>
    <row r="6" spans="1:19" s="3" customFormat="1" ht="1.5" customHeight="1" thickBot="1">
      <c r="A6" s="68"/>
      <c r="B6" s="1235"/>
      <c r="C6" s="94"/>
      <c r="D6" s="94"/>
      <c r="E6" s="94"/>
      <c r="F6" s="102"/>
      <c r="G6" s="1236"/>
      <c r="H6" s="255"/>
      <c r="I6" s="1237"/>
      <c r="N6" s="1238"/>
      <c r="O6" s="255"/>
    </row>
    <row r="7" spans="1:19" s="45" customFormat="1" ht="12" customHeight="1">
      <c r="A7" s="67"/>
      <c r="B7" s="1628" t="s">
        <v>0</v>
      </c>
      <c r="C7" s="1630" t="s">
        <v>1</v>
      </c>
      <c r="D7" s="1630" t="s">
        <v>2</v>
      </c>
      <c r="E7" s="1632" t="s">
        <v>26</v>
      </c>
      <c r="F7" s="1650" t="s">
        <v>940</v>
      </c>
      <c r="G7" s="1652" t="s">
        <v>941</v>
      </c>
      <c r="H7" s="255"/>
      <c r="I7" s="1646" t="s">
        <v>0</v>
      </c>
      <c r="J7" s="1648" t="s">
        <v>105</v>
      </c>
      <c r="K7" s="1622" t="s">
        <v>730</v>
      </c>
      <c r="L7" s="1624" t="s">
        <v>942</v>
      </c>
      <c r="M7" s="1622" t="s">
        <v>943</v>
      </c>
      <c r="N7" s="1626" t="s">
        <v>944</v>
      </c>
      <c r="O7" s="255"/>
      <c r="P7" s="1239"/>
      <c r="Q7" s="1239"/>
      <c r="R7" s="1239"/>
      <c r="S7" s="1239"/>
    </row>
    <row r="8" spans="1:19" s="45" customFormat="1" ht="12" customHeight="1" thickBot="1">
      <c r="A8" s="67"/>
      <c r="B8" s="1629"/>
      <c r="C8" s="1631"/>
      <c r="D8" s="1631"/>
      <c r="E8" s="1633"/>
      <c r="F8" s="1651"/>
      <c r="G8" s="1653"/>
      <c r="H8" s="255"/>
      <c r="I8" s="1647"/>
      <c r="J8" s="1649"/>
      <c r="K8" s="1623"/>
      <c r="L8" s="1625"/>
      <c r="M8" s="1623"/>
      <c r="N8" s="1627"/>
      <c r="O8" s="255"/>
    </row>
    <row r="9" spans="1:19" s="45" customFormat="1" ht="33.950000000000003" customHeight="1">
      <c r="A9" s="67"/>
      <c r="B9" s="95">
        <v>1</v>
      </c>
      <c r="C9" s="96">
        <f>IF(Data!F5="","",Data!F5)</f>
        <v>0</v>
      </c>
      <c r="D9" s="134" t="str">
        <f>IF(Data!H5="","",Data!H5)</f>
        <v>Aldo Alfinus Pakae</v>
      </c>
      <c r="E9" s="97" t="str">
        <f>IF(Data!I5="","",Data!I5)</f>
        <v>L</v>
      </c>
      <c r="F9" s="1240">
        <v>2</v>
      </c>
      <c r="G9" s="1241" t="str">
        <f t="shared" ref="G9:G58" si="0">IFERROR(CHOOSE(F9,$J$7,$K$7,$L$7,$M$7,$N$7),"")</f>
        <v>Kristen</v>
      </c>
      <c r="H9" s="255"/>
      <c r="I9" s="1242">
        <v>1</v>
      </c>
      <c r="J9" s="1243" t="s">
        <v>333</v>
      </c>
      <c r="K9" s="1499" t="s">
        <v>1690</v>
      </c>
      <c r="L9" s="1174" t="s">
        <v>1694</v>
      </c>
      <c r="M9" s="1244" t="s">
        <v>945</v>
      </c>
      <c r="N9" s="1245" t="s">
        <v>946</v>
      </c>
      <c r="O9" s="255"/>
    </row>
    <row r="10" spans="1:19" s="45" customFormat="1" ht="33.950000000000003" customHeight="1">
      <c r="A10" s="67"/>
      <c r="B10" s="80">
        <f>IF(D10="","",B9+1)</f>
        <v>2</v>
      </c>
      <c r="C10" s="98">
        <f>IF(Data!F6="","",Data!F6)</f>
        <v>0</v>
      </c>
      <c r="D10" s="135" t="str">
        <f>IF(Data!H6="","",Data!H6)</f>
        <v>Aprianus Bira</v>
      </c>
      <c r="E10" s="99" t="str">
        <f>IF(Data!I6="","",Data!I6)</f>
        <v>L</v>
      </c>
      <c r="F10" s="1246">
        <v>2</v>
      </c>
      <c r="G10" s="1241" t="str">
        <f t="shared" si="0"/>
        <v>Kristen</v>
      </c>
      <c r="H10" s="255"/>
      <c r="I10" s="1247">
        <v>2</v>
      </c>
      <c r="J10" s="1248" t="s">
        <v>334</v>
      </c>
      <c r="K10" s="1500" t="s">
        <v>1691</v>
      </c>
      <c r="L10" s="1182" t="s">
        <v>1695</v>
      </c>
      <c r="M10" s="1249" t="s">
        <v>947</v>
      </c>
      <c r="N10" s="1251" t="s">
        <v>948</v>
      </c>
      <c r="O10" s="255"/>
    </row>
    <row r="11" spans="1:19" s="45" customFormat="1" ht="33.950000000000003" customHeight="1">
      <c r="A11" s="67"/>
      <c r="B11" s="80">
        <f t="shared" ref="B11:B58" si="1">IF(D11="","",B10+1)</f>
        <v>3</v>
      </c>
      <c r="C11" s="98">
        <f>IF(Data!F7="","",Data!F7)</f>
        <v>0</v>
      </c>
      <c r="D11" s="135" t="str">
        <f>IF(Data!H7="","",Data!H7)</f>
        <v>Asri Aldina Baksuni</v>
      </c>
      <c r="E11" s="99" t="str">
        <f>IF(Data!I7="","",Data!I7)</f>
        <v>P</v>
      </c>
      <c r="F11" s="1240">
        <v>2</v>
      </c>
      <c r="G11" s="1241" t="str">
        <f t="shared" si="0"/>
        <v>Kristen</v>
      </c>
      <c r="H11" s="255"/>
      <c r="I11" s="1247">
        <v>3</v>
      </c>
      <c r="J11" s="1248" t="s">
        <v>949</v>
      </c>
      <c r="K11" s="1476"/>
      <c r="L11" s="1182" t="s">
        <v>1696</v>
      </c>
      <c r="M11" s="1244" t="s">
        <v>950</v>
      </c>
      <c r="N11" s="1245" t="s">
        <v>951</v>
      </c>
      <c r="O11" s="255"/>
    </row>
    <row r="12" spans="1:19" s="45" customFormat="1" ht="33.950000000000003" customHeight="1">
      <c r="A12" s="67"/>
      <c r="B12" s="80">
        <f t="shared" si="1"/>
        <v>4</v>
      </c>
      <c r="C12" s="98">
        <f>IF(Data!F8="","",Data!F8)</f>
        <v>0</v>
      </c>
      <c r="D12" s="135" t="str">
        <f>IF(Data!H8="","",Data!H8)</f>
        <v>Asti Welmince Welkis</v>
      </c>
      <c r="E12" s="99" t="str">
        <f>IF(Data!I8="","",Data!I8)</f>
        <v>P</v>
      </c>
      <c r="F12" s="1246">
        <v>2</v>
      </c>
      <c r="G12" s="1241" t="str">
        <f t="shared" si="0"/>
        <v>Kristen</v>
      </c>
      <c r="H12" s="255"/>
      <c r="I12" s="1247">
        <v>4</v>
      </c>
      <c r="J12" s="1248" t="s">
        <v>952</v>
      </c>
      <c r="K12" s="1476"/>
      <c r="L12" s="1182" t="s">
        <v>1697</v>
      </c>
      <c r="M12" s="1249" t="s">
        <v>953</v>
      </c>
      <c r="N12" s="1251" t="s">
        <v>954</v>
      </c>
      <c r="O12" s="255"/>
    </row>
    <row r="13" spans="1:19" s="45" customFormat="1" ht="33.950000000000003" customHeight="1">
      <c r="A13" s="67"/>
      <c r="B13" s="80">
        <f t="shared" si="1"/>
        <v>5</v>
      </c>
      <c r="C13" s="98">
        <f>IF(Data!F9="","",Data!F9)</f>
        <v>0</v>
      </c>
      <c r="D13" s="135" t="str">
        <f>IF(Data!H9="","",Data!H9)</f>
        <v>Aulya Noviyanti Mbura</v>
      </c>
      <c r="E13" s="99" t="str">
        <f>IF(Data!I9="","",Data!I9)</f>
        <v>P</v>
      </c>
      <c r="F13" s="1246">
        <v>2</v>
      </c>
      <c r="G13" s="1241" t="str">
        <f t="shared" si="0"/>
        <v>Kristen</v>
      </c>
      <c r="H13" s="255"/>
      <c r="I13" s="1242">
        <v>5</v>
      </c>
      <c r="J13" s="1243" t="s">
        <v>955</v>
      </c>
      <c r="K13" s="1476"/>
      <c r="L13" s="1508"/>
      <c r="M13" s="1244" t="s">
        <v>956</v>
      </c>
      <c r="N13" s="1245" t="s">
        <v>957</v>
      </c>
      <c r="O13" s="255"/>
    </row>
    <row r="14" spans="1:19" s="45" customFormat="1" ht="33.950000000000003" customHeight="1">
      <c r="A14" s="67"/>
      <c r="B14" s="80">
        <f t="shared" si="1"/>
        <v>6</v>
      </c>
      <c r="C14" s="98">
        <f>IF(Data!F10="","",Data!F10)</f>
        <v>0</v>
      </c>
      <c r="D14" s="135" t="str">
        <f>IF(Data!H10="","",Data!H10)</f>
        <v>Ayu Oliberta Ranboki</v>
      </c>
      <c r="E14" s="99" t="str">
        <f>IF(Data!I10="","",Data!I10)</f>
        <v>P</v>
      </c>
      <c r="F14" s="1246">
        <v>2</v>
      </c>
      <c r="G14" s="1241" t="str">
        <f t="shared" si="0"/>
        <v>Kristen</v>
      </c>
      <c r="H14" s="255"/>
      <c r="I14" s="1247">
        <v>6</v>
      </c>
      <c r="J14" s="1248" t="s">
        <v>958</v>
      </c>
      <c r="K14" s="1249" t="s">
        <v>959</v>
      </c>
      <c r="L14" s="1508"/>
      <c r="M14" s="1249"/>
      <c r="N14" s="1251" t="s">
        <v>960</v>
      </c>
      <c r="O14" s="255"/>
    </row>
    <row r="15" spans="1:19" s="45" customFormat="1" ht="33.950000000000003" customHeight="1">
      <c r="A15" s="67"/>
      <c r="B15" s="80">
        <f t="shared" si="1"/>
        <v>7</v>
      </c>
      <c r="C15" s="98">
        <f>IF(Data!F11="","",Data!F11)</f>
        <v>0</v>
      </c>
      <c r="D15" s="135" t="str">
        <f>IF(Data!H11="","",Data!H11)</f>
        <v>Benediktus Faot</v>
      </c>
      <c r="E15" s="99" t="str">
        <f>IF(Data!I11="","",Data!I11)</f>
        <v>L</v>
      </c>
      <c r="F15" s="1246">
        <v>2</v>
      </c>
      <c r="G15" s="1241" t="str">
        <f t="shared" si="0"/>
        <v>Kristen</v>
      </c>
      <c r="H15" s="255"/>
      <c r="I15" s="1247">
        <v>7</v>
      </c>
      <c r="J15" s="1248" t="s">
        <v>961</v>
      </c>
      <c r="K15" s="1249" t="s">
        <v>962</v>
      </c>
      <c r="L15" s="1508"/>
      <c r="M15" s="1244"/>
      <c r="N15" s="1245" t="s">
        <v>963</v>
      </c>
      <c r="O15" s="255"/>
    </row>
    <row r="16" spans="1:19" s="45" customFormat="1" ht="33.950000000000003" customHeight="1">
      <c r="A16" s="67"/>
      <c r="B16" s="80">
        <f t="shared" si="1"/>
        <v>8</v>
      </c>
      <c r="C16" s="98">
        <f>IF(Data!F12="","",Data!F12)</f>
        <v>0</v>
      </c>
      <c r="D16" s="135" t="str">
        <f>IF(Data!H12="","",Data!H12)</f>
        <v>Betron Imanuel Kuni</v>
      </c>
      <c r="E16" s="99" t="str">
        <f>IF(Data!I12="","",Data!I12)</f>
        <v>L</v>
      </c>
      <c r="F16" s="1246">
        <v>2</v>
      </c>
      <c r="G16" s="1241" t="str">
        <f t="shared" si="0"/>
        <v>Kristen</v>
      </c>
      <c r="H16" s="255"/>
      <c r="I16" s="1247">
        <v>8</v>
      </c>
      <c r="J16" s="1248" t="s">
        <v>964</v>
      </c>
      <c r="K16" s="1249"/>
      <c r="L16" s="1250" t="s">
        <v>965</v>
      </c>
      <c r="M16" s="1249"/>
      <c r="N16" s="1251" t="s">
        <v>966</v>
      </c>
      <c r="O16" s="255"/>
    </row>
    <row r="17" spans="1:15" s="45" customFormat="1" ht="33.950000000000003" customHeight="1">
      <c r="A17" s="67"/>
      <c r="B17" s="80">
        <f t="shared" si="1"/>
        <v>9</v>
      </c>
      <c r="C17" s="98">
        <f>IF(Data!F13="","",Data!F13)</f>
        <v>0</v>
      </c>
      <c r="D17" s="135" t="str">
        <f>IF(Data!H13="","",Data!H13)</f>
        <v>Demrianus Ton</v>
      </c>
      <c r="E17" s="99" t="str">
        <f>IF(Data!I13="","",Data!I13)</f>
        <v>L</v>
      </c>
      <c r="F17" s="1246">
        <v>2</v>
      </c>
      <c r="G17" s="1241" t="str">
        <f t="shared" si="0"/>
        <v>Kristen</v>
      </c>
      <c r="H17" s="255"/>
      <c r="I17" s="1247">
        <v>9</v>
      </c>
      <c r="J17" s="1248" t="s">
        <v>967</v>
      </c>
      <c r="K17" s="1249"/>
      <c r="L17" s="1250"/>
      <c r="M17" s="1244"/>
      <c r="N17" s="1245" t="s">
        <v>968</v>
      </c>
      <c r="O17" s="255"/>
    </row>
    <row r="18" spans="1:15" s="45" customFormat="1" ht="33.950000000000003" customHeight="1" thickBot="1">
      <c r="A18" s="67"/>
      <c r="B18" s="80">
        <f t="shared" si="1"/>
        <v>10</v>
      </c>
      <c r="C18" s="98">
        <f>IF(Data!F14="","",Data!F14)</f>
        <v>0</v>
      </c>
      <c r="D18" s="135" t="str">
        <f>IF(Data!H14="","",Data!H14)</f>
        <v>Desti Manggoa</v>
      </c>
      <c r="E18" s="99" t="str">
        <f>IF(Data!I14="","",Data!I14)</f>
        <v>P</v>
      </c>
      <c r="F18" s="1246">
        <v>2</v>
      </c>
      <c r="G18" s="1241" t="str">
        <f t="shared" si="0"/>
        <v>Kristen</v>
      </c>
      <c r="H18" s="255"/>
      <c r="I18" s="1252">
        <v>10</v>
      </c>
      <c r="J18" s="1253" t="s">
        <v>969</v>
      </c>
      <c r="K18" s="1254"/>
      <c r="L18" s="1255"/>
      <c r="M18" s="1254"/>
      <c r="N18" s="1256" t="s">
        <v>970</v>
      </c>
      <c r="O18" s="255"/>
    </row>
    <row r="19" spans="1:15" s="45" customFormat="1" ht="24.95" customHeight="1" thickBot="1">
      <c r="A19" s="67"/>
      <c r="B19" s="80">
        <f t="shared" si="1"/>
        <v>11</v>
      </c>
      <c r="C19" s="98">
        <f>IF(Data!F15="","",Data!F15)</f>
        <v>0</v>
      </c>
      <c r="D19" s="135" t="str">
        <f>IF(Data!H15="","",Data!H15)</f>
        <v>Dorkas Meliana Talita Kesnay</v>
      </c>
      <c r="E19" s="99" t="str">
        <f>IF(Data!I15="","",Data!I15)</f>
        <v>P</v>
      </c>
      <c r="F19" s="1246">
        <v>2</v>
      </c>
      <c r="G19" s="1241" t="str">
        <f t="shared" si="0"/>
        <v>Kristen</v>
      </c>
      <c r="H19" s="255"/>
      <c r="I19" s="1257" t="s">
        <v>971</v>
      </c>
      <c r="J19" s="1258"/>
      <c r="K19" s="1259"/>
      <c r="L19" s="1258"/>
      <c r="M19" s="1260"/>
      <c r="N19" s="1261"/>
      <c r="O19" s="255"/>
    </row>
    <row r="20" spans="1:15" s="45" customFormat="1" ht="24.95" customHeight="1" thickBot="1">
      <c r="A20" s="67"/>
      <c r="B20" s="80">
        <f t="shared" si="1"/>
        <v>12</v>
      </c>
      <c r="C20" s="98">
        <f>IF(Data!F16="","",Data!F16)</f>
        <v>0</v>
      </c>
      <c r="D20" s="135" t="str">
        <f>IF(Data!H16="","",Data!H16)</f>
        <v>Erto Seprianto Leukune</v>
      </c>
      <c r="E20" s="99" t="str">
        <f>IF(Data!I16="","",Data!I16)</f>
        <v>L</v>
      </c>
      <c r="F20" s="1246">
        <v>2</v>
      </c>
      <c r="G20" s="1241" t="str">
        <f t="shared" si="0"/>
        <v>Kristen</v>
      </c>
      <c r="H20" s="255"/>
      <c r="I20" s="1262" t="s">
        <v>0</v>
      </c>
      <c r="J20" s="1263" t="str">
        <f>J7</f>
        <v>Islam</v>
      </c>
      <c r="K20" s="1264" t="str">
        <f t="shared" ref="K20:N20" si="2">K7</f>
        <v>Kristen</v>
      </c>
      <c r="L20" s="1265" t="str">
        <f t="shared" si="2"/>
        <v>Katholik</v>
      </c>
      <c r="M20" s="1264" t="str">
        <f t="shared" si="2"/>
        <v>Hindu</v>
      </c>
      <c r="N20" s="1266" t="str">
        <f t="shared" si="2"/>
        <v>Budha</v>
      </c>
      <c r="O20" s="255"/>
    </row>
    <row r="21" spans="1:15" s="45" customFormat="1" ht="33.950000000000003" customHeight="1">
      <c r="A21" s="67"/>
      <c r="B21" s="80">
        <f t="shared" si="1"/>
        <v>13</v>
      </c>
      <c r="C21" s="98">
        <f>IF(Data!F17="","",Data!F17)</f>
        <v>0</v>
      </c>
      <c r="D21" s="135" t="str">
        <f>IF(Data!H17="","",Data!H17)</f>
        <v>Feli Tipnoni</v>
      </c>
      <c r="E21" s="99" t="str">
        <f>IF(Data!I17="","",Data!I17)</f>
        <v>P</v>
      </c>
      <c r="F21" s="1246">
        <v>2</v>
      </c>
      <c r="G21" s="1241" t="str">
        <f t="shared" si="0"/>
        <v>Kristen</v>
      </c>
      <c r="H21" s="255"/>
      <c r="I21" s="1242">
        <v>1</v>
      </c>
      <c r="J21" s="1243" t="s">
        <v>972</v>
      </c>
      <c r="K21" s="1501" t="s">
        <v>1692</v>
      </c>
      <c r="L21" s="1179" t="s">
        <v>1698</v>
      </c>
      <c r="M21" s="1244" t="s">
        <v>973</v>
      </c>
      <c r="N21" s="1245" t="s">
        <v>974</v>
      </c>
      <c r="O21" s="255"/>
    </row>
    <row r="22" spans="1:15" s="45" customFormat="1" ht="33.950000000000003" customHeight="1">
      <c r="A22" s="67"/>
      <c r="B22" s="80">
        <f t="shared" si="1"/>
        <v>14</v>
      </c>
      <c r="C22" s="98">
        <f>IF(Data!F18="","",Data!F18)</f>
        <v>0</v>
      </c>
      <c r="D22" s="135" t="str">
        <f>IF(Data!H18="","",Data!H18)</f>
        <v xml:space="preserve">Ferdinandes Sakbana </v>
      </c>
      <c r="E22" s="99" t="str">
        <f>IF(Data!I18="","",Data!I18)</f>
        <v>L</v>
      </c>
      <c r="F22" s="1246">
        <v>3</v>
      </c>
      <c r="G22" s="1241" t="str">
        <f t="shared" si="0"/>
        <v>Katholik</v>
      </c>
      <c r="H22" s="255"/>
      <c r="I22" s="1247">
        <v>2</v>
      </c>
      <c r="J22" s="1248" t="s">
        <v>975</v>
      </c>
      <c r="K22" s="1502" t="s">
        <v>1693</v>
      </c>
      <c r="L22" s="1186" t="s">
        <v>1699</v>
      </c>
      <c r="M22" s="1249" t="s">
        <v>976</v>
      </c>
      <c r="N22" s="1251" t="s">
        <v>977</v>
      </c>
      <c r="O22" s="255"/>
    </row>
    <row r="23" spans="1:15" s="45" customFormat="1" ht="33.950000000000003" customHeight="1">
      <c r="A23" s="67"/>
      <c r="B23" s="80">
        <f t="shared" si="1"/>
        <v>15</v>
      </c>
      <c r="C23" s="98">
        <f>IF(Data!F19="","",Data!F19)</f>
        <v>0</v>
      </c>
      <c r="D23" s="135" t="str">
        <f>IF(Data!H19="","",Data!H19)</f>
        <v>Fitri Novani Nitbani</v>
      </c>
      <c r="E23" s="99" t="str">
        <f>IF(Data!I19="","",Data!I19)</f>
        <v>P</v>
      </c>
      <c r="F23" s="1246">
        <v>2</v>
      </c>
      <c r="G23" s="1241" t="str">
        <f t="shared" si="0"/>
        <v>Kristen</v>
      </c>
      <c r="H23" s="255"/>
      <c r="I23" s="1247">
        <v>3</v>
      </c>
      <c r="J23" s="1248" t="s">
        <v>978</v>
      </c>
      <c r="K23" s="1477"/>
      <c r="L23" s="1186" t="s">
        <v>1700</v>
      </c>
      <c r="M23" s="1249" t="s">
        <v>979</v>
      </c>
      <c r="N23" s="1251" t="s">
        <v>980</v>
      </c>
      <c r="O23" s="255"/>
    </row>
    <row r="24" spans="1:15" s="45" customFormat="1" ht="33.950000000000003" customHeight="1">
      <c r="A24" s="67"/>
      <c r="B24" s="80">
        <f t="shared" si="1"/>
        <v>16</v>
      </c>
      <c r="C24" s="98">
        <f>IF(Data!F20="","",Data!F20)</f>
        <v>0</v>
      </c>
      <c r="D24" s="135" t="str">
        <f>IF(Data!H20="","",Data!H20)</f>
        <v>Helsina Benu</v>
      </c>
      <c r="E24" s="99" t="str">
        <f>IF(Data!I20="","",Data!I20)</f>
        <v>P</v>
      </c>
      <c r="F24" s="1246">
        <v>2</v>
      </c>
      <c r="G24" s="1241" t="str">
        <f t="shared" si="0"/>
        <v>Kristen</v>
      </c>
      <c r="H24" s="255"/>
      <c r="I24" s="1247">
        <v>4</v>
      </c>
      <c r="J24" s="1248" t="s">
        <v>981</v>
      </c>
      <c r="K24" s="1477"/>
      <c r="L24" s="1186" t="s">
        <v>1701</v>
      </c>
      <c r="M24" s="1249" t="s">
        <v>982</v>
      </c>
      <c r="N24" s="1251" t="s">
        <v>983</v>
      </c>
      <c r="O24" s="255"/>
    </row>
    <row r="25" spans="1:15" s="45" customFormat="1" ht="33.950000000000003" customHeight="1">
      <c r="A25" s="67"/>
      <c r="B25" s="80">
        <f t="shared" si="1"/>
        <v>17</v>
      </c>
      <c r="C25" s="98">
        <f>IF(Data!F21="","",Data!F21)</f>
        <v>0</v>
      </c>
      <c r="D25" s="135" t="str">
        <f>IF(Data!H21="","",Data!H21)</f>
        <v xml:space="preserve">Hezron Nubatonis </v>
      </c>
      <c r="E25" s="99" t="str">
        <f>IF(Data!I21="","",Data!I21)</f>
        <v>L</v>
      </c>
      <c r="F25" s="1246">
        <v>2</v>
      </c>
      <c r="G25" s="1241" t="str">
        <f t="shared" si="0"/>
        <v>Kristen</v>
      </c>
      <c r="H25" s="255"/>
      <c r="I25" s="1247">
        <v>5</v>
      </c>
      <c r="J25" s="1248" t="s">
        <v>984</v>
      </c>
      <c r="K25" s="1249" t="s">
        <v>985</v>
      </c>
      <c r="L25" s="1250" t="s">
        <v>986</v>
      </c>
      <c r="M25" s="1249" t="s">
        <v>987</v>
      </c>
      <c r="N25" s="1251" t="s">
        <v>988</v>
      </c>
      <c r="O25" s="255"/>
    </row>
    <row r="26" spans="1:15" s="45" customFormat="1" ht="33.950000000000003" customHeight="1">
      <c r="A26" s="67"/>
      <c r="B26" s="80">
        <f t="shared" si="1"/>
        <v>18</v>
      </c>
      <c r="C26" s="98">
        <f>IF(Data!F22="","",Data!F22)</f>
        <v>0</v>
      </c>
      <c r="D26" s="135" t="str">
        <f>IF(Data!H22="","",Data!H22)</f>
        <v>Jelita Anita Boimau</v>
      </c>
      <c r="E26" s="99" t="str">
        <f>IF(Data!I22="","",Data!I22)</f>
        <v>P</v>
      </c>
      <c r="F26" s="1246">
        <v>2</v>
      </c>
      <c r="G26" s="1241" t="str">
        <f t="shared" si="0"/>
        <v>Kristen</v>
      </c>
      <c r="H26" s="255"/>
      <c r="I26" s="1247">
        <v>6</v>
      </c>
      <c r="J26" s="1248" t="s">
        <v>989</v>
      </c>
      <c r="K26" s="1249" t="s">
        <v>990</v>
      </c>
      <c r="L26" s="1250" t="s">
        <v>991</v>
      </c>
      <c r="M26" s="1249"/>
      <c r="N26" s="1251" t="s">
        <v>992</v>
      </c>
      <c r="O26" s="255"/>
    </row>
    <row r="27" spans="1:15" s="45" customFormat="1" ht="33.950000000000003" customHeight="1">
      <c r="A27" s="67"/>
      <c r="B27" s="80">
        <f t="shared" si="1"/>
        <v>19</v>
      </c>
      <c r="C27" s="98">
        <f>IF(Data!F23="","",Data!F23)</f>
        <v>0</v>
      </c>
      <c r="D27" s="135" t="str">
        <f>IF(Data!H23="","",Data!H23)</f>
        <v>Jidon Nubatonis</v>
      </c>
      <c r="E27" s="99" t="str">
        <f>IF(Data!I23="","",Data!I23)</f>
        <v>L</v>
      </c>
      <c r="F27" s="1246">
        <v>2</v>
      </c>
      <c r="G27" s="1241" t="str">
        <f t="shared" si="0"/>
        <v>Kristen</v>
      </c>
      <c r="H27" s="255"/>
      <c r="I27" s="1247">
        <v>7</v>
      </c>
      <c r="J27" s="1248" t="s">
        <v>993</v>
      </c>
      <c r="K27" s="1249" t="s">
        <v>994</v>
      </c>
      <c r="L27" s="1250" t="s">
        <v>995</v>
      </c>
      <c r="M27" s="1249"/>
      <c r="N27" s="1251" t="s">
        <v>996</v>
      </c>
      <c r="O27" s="255"/>
    </row>
    <row r="28" spans="1:15" s="45" customFormat="1" ht="33.950000000000003" customHeight="1">
      <c r="A28" s="67"/>
      <c r="B28" s="80">
        <f t="shared" si="1"/>
        <v>20</v>
      </c>
      <c r="C28" s="98">
        <f>IF(Data!F24="","",Data!F24)</f>
        <v>0</v>
      </c>
      <c r="D28" s="135" t="str">
        <f>IF(Data!H24="","",Data!H24)</f>
        <v>Jitro Andro Baran</v>
      </c>
      <c r="E28" s="99" t="str">
        <f>IF(Data!I24="","",Data!I24)</f>
        <v>L</v>
      </c>
      <c r="F28" s="1246">
        <v>2</v>
      </c>
      <c r="G28" s="1241" t="str">
        <f t="shared" si="0"/>
        <v>Kristen</v>
      </c>
      <c r="H28" s="255"/>
      <c r="I28" s="1247">
        <v>8</v>
      </c>
      <c r="J28" s="1248" t="s">
        <v>997</v>
      </c>
      <c r="K28" s="1249"/>
      <c r="L28" s="1250" t="s">
        <v>998</v>
      </c>
      <c r="M28" s="1249"/>
      <c r="N28" s="1251" t="s">
        <v>999</v>
      </c>
      <c r="O28" s="255"/>
    </row>
    <row r="29" spans="1:15" s="45" customFormat="1" ht="33.950000000000003" customHeight="1">
      <c r="A29" s="67"/>
      <c r="B29" s="80">
        <f t="shared" si="1"/>
        <v>21</v>
      </c>
      <c r="C29" s="98">
        <f>IF(Data!F25="","",Data!F25)</f>
        <v>0</v>
      </c>
      <c r="D29" s="135" t="str">
        <f>IF(Data!H25="","",Data!H25)</f>
        <v>Juan Manuel Boys</v>
      </c>
      <c r="E29" s="99" t="str">
        <f>IF(Data!I25="","",Data!I25)</f>
        <v>L</v>
      </c>
      <c r="F29" s="1246">
        <v>2</v>
      </c>
      <c r="G29" s="1241" t="str">
        <f t="shared" si="0"/>
        <v>Kristen</v>
      </c>
      <c r="H29" s="255"/>
      <c r="I29" s="1247">
        <v>9</v>
      </c>
      <c r="J29" s="1248" t="s">
        <v>1000</v>
      </c>
      <c r="K29" s="1249"/>
      <c r="L29" s="1250"/>
      <c r="M29" s="1249"/>
      <c r="N29" s="1251" t="s">
        <v>1001</v>
      </c>
      <c r="O29" s="255"/>
    </row>
    <row r="30" spans="1:15" s="45" customFormat="1" ht="33.950000000000003" customHeight="1" thickBot="1">
      <c r="A30" s="67"/>
      <c r="B30" s="80">
        <f t="shared" si="1"/>
        <v>22</v>
      </c>
      <c r="C30" s="98">
        <f>IF(Data!F26="","",Data!F26)</f>
        <v>0</v>
      </c>
      <c r="D30" s="135" t="str">
        <f>IF(Data!H26="","",Data!H26)</f>
        <v>Krisyanti Ernela Kesnay</v>
      </c>
      <c r="E30" s="99" t="str">
        <f>IF(Data!I26="","",Data!I26)</f>
        <v>P</v>
      </c>
      <c r="F30" s="1246">
        <v>2</v>
      </c>
      <c r="G30" s="1241" t="str">
        <f t="shared" si="0"/>
        <v>Kristen</v>
      </c>
      <c r="H30" s="255"/>
      <c r="I30" s="1252">
        <v>10</v>
      </c>
      <c r="J30" s="1253" t="s">
        <v>1002</v>
      </c>
      <c r="K30" s="1254"/>
      <c r="L30" s="1255"/>
      <c r="M30" s="1254"/>
      <c r="N30" s="1256" t="s">
        <v>1003</v>
      </c>
      <c r="O30" s="255"/>
    </row>
    <row r="31" spans="1:15" s="45" customFormat="1" ht="24.95" customHeight="1">
      <c r="A31" s="67"/>
      <c r="B31" s="80">
        <f t="shared" si="1"/>
        <v>23</v>
      </c>
      <c r="C31" s="98">
        <f>IF(Data!F27="","",Data!F27)</f>
        <v>0</v>
      </c>
      <c r="D31" s="135" t="str">
        <f>IF(Data!H27="","",Data!H27)</f>
        <v>Leni Aknesia Knoan</v>
      </c>
      <c r="E31" s="99" t="str">
        <f>IF(Data!I27="","",Data!I27)</f>
        <v>P</v>
      </c>
      <c r="F31" s="1246">
        <v>2</v>
      </c>
      <c r="G31" s="1241" t="str">
        <f t="shared" si="0"/>
        <v>Kristen</v>
      </c>
      <c r="H31" s="255"/>
      <c r="I31" s="255"/>
      <c r="J31" s="255"/>
      <c r="K31" s="255"/>
      <c r="L31" s="255"/>
      <c r="M31" s="255"/>
      <c r="N31" s="255"/>
      <c r="O31" s="255"/>
    </row>
    <row r="32" spans="1:15" s="45" customFormat="1" ht="24.95" customHeight="1">
      <c r="A32" s="67"/>
      <c r="B32" s="80">
        <f t="shared" si="1"/>
        <v>24</v>
      </c>
      <c r="C32" s="98">
        <f>IF(Data!F28="","",Data!F28)</f>
        <v>0</v>
      </c>
      <c r="D32" s="135" t="str">
        <f>IF(Data!H28="","",Data!H28)</f>
        <v>Marlon Dioninsius Lalus</v>
      </c>
      <c r="E32" s="99" t="str">
        <f>IF(Data!I28="","",Data!I28)</f>
        <v>L</v>
      </c>
      <c r="F32" s="1246">
        <v>2</v>
      </c>
      <c r="G32" s="1241" t="str">
        <f t="shared" si="0"/>
        <v>Kristen</v>
      </c>
      <c r="H32" s="255"/>
      <c r="I32" s="255"/>
      <c r="J32" s="255"/>
      <c r="K32" s="255"/>
      <c r="L32" s="255"/>
      <c r="M32" s="255"/>
      <c r="N32" s="255"/>
      <c r="O32" s="255"/>
    </row>
    <row r="33" spans="1:15" s="45" customFormat="1" ht="24.95" customHeight="1">
      <c r="A33" s="67"/>
      <c r="B33" s="80">
        <f t="shared" si="1"/>
        <v>25</v>
      </c>
      <c r="C33" s="98">
        <f>IF(Data!F29="","",Data!F29)</f>
        <v>0</v>
      </c>
      <c r="D33" s="135" t="str">
        <f>IF(Data!H29="","",Data!H29)</f>
        <v>Maya Trifena Niobe</v>
      </c>
      <c r="E33" s="99" t="str">
        <f>IF(Data!I29="","",Data!I29)</f>
        <v>P</v>
      </c>
      <c r="F33" s="1246">
        <v>2</v>
      </c>
      <c r="G33" s="1241" t="str">
        <f t="shared" si="0"/>
        <v>Kristen</v>
      </c>
      <c r="H33" s="255"/>
      <c r="I33" s="255"/>
      <c r="J33" s="255"/>
      <c r="K33" s="255"/>
      <c r="L33" s="255"/>
      <c r="M33" s="255"/>
      <c r="N33" s="255"/>
      <c r="O33" s="255"/>
    </row>
    <row r="34" spans="1:15" s="45" customFormat="1" ht="24.95" customHeight="1">
      <c r="A34" s="67"/>
      <c r="B34" s="80">
        <f t="shared" si="1"/>
        <v>26</v>
      </c>
      <c r="C34" s="98">
        <f>IF(Data!F30="","",Data!F30)</f>
        <v>0</v>
      </c>
      <c r="D34" s="135" t="str">
        <f>IF(Data!H30="","",Data!H30)</f>
        <v>Misel Miranda Sora</v>
      </c>
      <c r="E34" s="99" t="str">
        <f>IF(Data!I30="","",Data!I30)</f>
        <v>P</v>
      </c>
      <c r="F34" s="1246">
        <v>2</v>
      </c>
      <c r="G34" s="1241" t="str">
        <f t="shared" si="0"/>
        <v>Kristen</v>
      </c>
      <c r="H34" s="255"/>
      <c r="I34" s="255"/>
      <c r="J34" s="255"/>
      <c r="K34" s="255"/>
      <c r="L34" s="255"/>
      <c r="M34" s="255"/>
      <c r="N34" s="255"/>
      <c r="O34" s="255"/>
    </row>
    <row r="35" spans="1:15" s="45" customFormat="1" ht="24.95" customHeight="1">
      <c r="A35" s="67"/>
      <c r="B35" s="80">
        <f t="shared" si="1"/>
        <v>27</v>
      </c>
      <c r="C35" s="98">
        <f>IF(Data!F31="","",Data!F31)</f>
        <v>0</v>
      </c>
      <c r="D35" s="135" t="str">
        <f>IF(Data!H31="","",Data!H31)</f>
        <v>Nofianti Tainmeta</v>
      </c>
      <c r="E35" s="99" t="str">
        <f>IF(Data!I31="","",Data!I31)</f>
        <v>P</v>
      </c>
      <c r="F35" s="1246">
        <v>2</v>
      </c>
      <c r="G35" s="1241" t="str">
        <f t="shared" si="0"/>
        <v>Kristen</v>
      </c>
      <c r="H35" s="255"/>
      <c r="I35" s="255"/>
      <c r="J35" s="255"/>
      <c r="K35" s="255"/>
      <c r="L35" s="255"/>
      <c r="M35" s="255"/>
      <c r="N35" s="255"/>
      <c r="O35" s="255"/>
    </row>
    <row r="36" spans="1:15" s="45" customFormat="1" ht="24.95" customHeight="1">
      <c r="A36" s="67"/>
      <c r="B36" s="80">
        <f t="shared" si="1"/>
        <v>28</v>
      </c>
      <c r="C36" s="98">
        <f>IF(Data!F32="","",Data!F32)</f>
        <v>0</v>
      </c>
      <c r="D36" s="135" t="str">
        <f>IF(Data!H32="","",Data!H32)</f>
        <v>Ofni Antrikus Banun</v>
      </c>
      <c r="E36" s="99" t="str">
        <f>IF(Data!I32="","",Data!I32)</f>
        <v>L</v>
      </c>
      <c r="F36" s="1246">
        <v>2</v>
      </c>
      <c r="G36" s="1241" t="str">
        <f t="shared" si="0"/>
        <v>Kristen</v>
      </c>
      <c r="H36" s="255"/>
      <c r="I36" s="255"/>
      <c r="J36" s="255"/>
      <c r="K36" s="255"/>
      <c r="L36" s="255"/>
      <c r="M36" s="255"/>
      <c r="N36" s="255"/>
      <c r="O36" s="255"/>
    </row>
    <row r="37" spans="1:15" s="45" customFormat="1" ht="24.95" customHeight="1">
      <c r="A37" s="67"/>
      <c r="B37" s="80">
        <f t="shared" si="1"/>
        <v>29</v>
      </c>
      <c r="C37" s="98">
        <f>IF(Data!F33="","",Data!F33)</f>
        <v>0</v>
      </c>
      <c r="D37" s="135" t="str">
        <f>IF(Data!H33="","",Data!H33)</f>
        <v>Roiyandi Saebesi</v>
      </c>
      <c r="E37" s="99" t="str">
        <f>IF(Data!I33="","",Data!I33)</f>
        <v>L</v>
      </c>
      <c r="F37" s="1246">
        <v>2</v>
      </c>
      <c r="G37" s="1241" t="str">
        <f t="shared" si="0"/>
        <v>Kristen</v>
      </c>
      <c r="H37" s="255"/>
      <c r="I37" s="255"/>
      <c r="J37" s="255"/>
      <c r="K37" s="255"/>
      <c r="L37" s="255"/>
      <c r="M37" s="255"/>
      <c r="N37" s="255"/>
      <c r="O37" s="255"/>
    </row>
    <row r="38" spans="1:15" s="45" customFormat="1" ht="24.95" customHeight="1">
      <c r="A38" s="67"/>
      <c r="B38" s="80">
        <f t="shared" si="1"/>
        <v>30</v>
      </c>
      <c r="C38" s="98">
        <f>IF(Data!F34="","",Data!F34)</f>
        <v>0</v>
      </c>
      <c r="D38" s="135" t="str">
        <f>IF(Data!H34="","",Data!H34)</f>
        <v>Roni Yohanis Bira</v>
      </c>
      <c r="E38" s="99" t="str">
        <f>IF(Data!I34="","",Data!I34)</f>
        <v>L</v>
      </c>
      <c r="F38" s="1246">
        <v>2</v>
      </c>
      <c r="G38" s="1241" t="str">
        <f t="shared" si="0"/>
        <v>Kristen</v>
      </c>
      <c r="H38" s="255"/>
      <c r="I38" s="255"/>
      <c r="J38" s="255"/>
      <c r="K38" s="255"/>
      <c r="L38" s="255"/>
      <c r="M38" s="255"/>
      <c r="N38" s="255"/>
      <c r="O38" s="255"/>
    </row>
    <row r="39" spans="1:15" s="45" customFormat="1" ht="24.95" customHeight="1">
      <c r="A39" s="67"/>
      <c r="B39" s="80">
        <f t="shared" si="1"/>
        <v>31</v>
      </c>
      <c r="C39" s="98">
        <f>IF(Data!F35="","",Data!F35)</f>
        <v>0</v>
      </c>
      <c r="D39" s="135" t="str">
        <f>IF(Data!H35="","",Data!H35)</f>
        <v>Sinta Norliana Funan</v>
      </c>
      <c r="E39" s="99" t="str">
        <f>IF(Data!I35="","",Data!I35)</f>
        <v>P</v>
      </c>
      <c r="F39" s="1246">
        <v>2</v>
      </c>
      <c r="G39" s="1241" t="str">
        <f t="shared" si="0"/>
        <v>Kristen</v>
      </c>
      <c r="H39" s="255"/>
      <c r="I39" s="255"/>
      <c r="J39" s="255"/>
      <c r="K39" s="255"/>
      <c r="L39" s="255"/>
      <c r="M39" s="255"/>
      <c r="N39" s="255"/>
      <c r="O39" s="255"/>
    </row>
    <row r="40" spans="1:15" s="45" customFormat="1" ht="24.95" customHeight="1">
      <c r="A40" s="67"/>
      <c r="B40" s="80">
        <f t="shared" si="1"/>
        <v>32</v>
      </c>
      <c r="C40" s="98">
        <f>IF(Data!F36="","",Data!F36)</f>
        <v>0</v>
      </c>
      <c r="D40" s="135" t="str">
        <f>IF(Data!H36="","",Data!H36)</f>
        <v>Stevi Otnial Loemnanu</v>
      </c>
      <c r="E40" s="99" t="str">
        <f>IF(Data!I36="","",Data!I36)</f>
        <v>L</v>
      </c>
      <c r="F40" s="1246">
        <v>2</v>
      </c>
      <c r="G40" s="1241" t="str">
        <f t="shared" si="0"/>
        <v>Kristen</v>
      </c>
      <c r="H40" s="255"/>
      <c r="I40" s="255"/>
      <c r="J40" s="255"/>
      <c r="K40" s="255"/>
      <c r="L40" s="255"/>
      <c r="M40" s="255"/>
      <c r="N40" s="255"/>
      <c r="O40" s="255"/>
    </row>
    <row r="41" spans="1:15" s="45" customFormat="1" ht="24.95" customHeight="1">
      <c r="A41" s="67"/>
      <c r="B41" s="80">
        <f t="shared" si="1"/>
        <v>33</v>
      </c>
      <c r="C41" s="98">
        <f>IF(Data!F37="","",Data!F37)</f>
        <v>0</v>
      </c>
      <c r="D41" s="135" t="str">
        <f>IF(Data!H37="","",Data!H37)</f>
        <v>Venciani Sefrianti Sufnera</v>
      </c>
      <c r="E41" s="99" t="str">
        <f>IF(Data!I37="","",Data!I37)</f>
        <v>P</v>
      </c>
      <c r="F41" s="1246">
        <v>2</v>
      </c>
      <c r="G41" s="1241" t="str">
        <f t="shared" si="0"/>
        <v>Kristen</v>
      </c>
      <c r="H41" s="255"/>
      <c r="I41" s="255"/>
      <c r="J41" s="255"/>
      <c r="K41" s="255"/>
      <c r="L41" s="255"/>
      <c r="M41" s="255"/>
      <c r="N41" s="255"/>
      <c r="O41" s="255"/>
    </row>
    <row r="42" spans="1:15" s="45" customFormat="1" ht="24.95" customHeight="1">
      <c r="A42" s="67"/>
      <c r="B42" s="80">
        <f t="shared" si="1"/>
        <v>34</v>
      </c>
      <c r="C42" s="98">
        <f>IF(Data!F38="","",Data!F38)</f>
        <v>0</v>
      </c>
      <c r="D42" s="135" t="str">
        <f>IF(Data!H38="","",Data!H38)</f>
        <v>Yangres Nitti</v>
      </c>
      <c r="E42" s="99" t="str">
        <f>IF(Data!I38="","",Data!I38)</f>
        <v>L</v>
      </c>
      <c r="F42" s="1246">
        <v>2</v>
      </c>
      <c r="G42" s="1241" t="str">
        <f t="shared" si="0"/>
        <v>Kristen</v>
      </c>
      <c r="H42" s="255"/>
      <c r="I42" s="255"/>
      <c r="J42" s="255"/>
      <c r="K42" s="255"/>
      <c r="L42" s="255"/>
      <c r="M42" s="255"/>
      <c r="N42" s="255"/>
      <c r="O42" s="255"/>
    </row>
    <row r="43" spans="1:15" s="45" customFormat="1" ht="24.95" customHeight="1">
      <c r="A43" s="67"/>
      <c r="B43" s="80">
        <f t="shared" si="1"/>
        <v>35</v>
      </c>
      <c r="C43" s="98">
        <f>IF(Data!F39="","",Data!F39)</f>
        <v>0</v>
      </c>
      <c r="D43" s="135" t="str">
        <f>IF(Data!H39="","",Data!H39)</f>
        <v>Yefta Trianus Mau</v>
      </c>
      <c r="E43" s="99" t="str">
        <f>IF(Data!I39="","",Data!I39)</f>
        <v>L</v>
      </c>
      <c r="F43" s="1246">
        <v>2</v>
      </c>
      <c r="G43" s="1241" t="str">
        <f t="shared" si="0"/>
        <v>Kristen</v>
      </c>
      <c r="H43" s="255"/>
      <c r="I43" s="255"/>
      <c r="J43" s="255"/>
      <c r="K43" s="255"/>
      <c r="L43" s="255"/>
      <c r="M43" s="255"/>
      <c r="N43" s="255"/>
      <c r="O43" s="255"/>
    </row>
    <row r="44" spans="1:15" s="45" customFormat="1" ht="24.95" customHeight="1">
      <c r="A44" s="67"/>
      <c r="B44" s="80">
        <f t="shared" si="1"/>
        <v>36</v>
      </c>
      <c r="C44" s="98">
        <f>IF(Data!F40="","",Data!F40)</f>
        <v>0</v>
      </c>
      <c r="D44" s="135" t="str">
        <f>IF(Data!H40="","",Data!H40)</f>
        <v>Yuliana Febriyanti Nggeon</v>
      </c>
      <c r="E44" s="99" t="str">
        <f>IF(Data!I40="","",Data!I40)</f>
        <v>P</v>
      </c>
      <c r="F44" s="1246">
        <v>2</v>
      </c>
      <c r="G44" s="1241" t="str">
        <f t="shared" si="0"/>
        <v>Kristen</v>
      </c>
      <c r="H44" s="255"/>
      <c r="I44" s="255"/>
      <c r="J44" s="255"/>
      <c r="K44" s="255"/>
      <c r="L44" s="255"/>
      <c r="M44" s="255"/>
      <c r="N44" s="255"/>
      <c r="O44" s="255"/>
    </row>
    <row r="45" spans="1:15" s="45" customFormat="1" ht="24.95" customHeight="1">
      <c r="A45" s="67"/>
      <c r="B45" s="80">
        <f t="shared" si="1"/>
        <v>37</v>
      </c>
      <c r="C45" s="98">
        <f>IF(Data!F41="","",Data!F41)</f>
        <v>0</v>
      </c>
      <c r="D45" s="135" t="str">
        <f>IF(Data!H41="","",Data!H41)</f>
        <v>Yuninda Pono</v>
      </c>
      <c r="E45" s="99" t="str">
        <f>IF(Data!I41="","",Data!I41)</f>
        <v>P</v>
      </c>
      <c r="F45" s="1246">
        <v>2</v>
      </c>
      <c r="G45" s="1241" t="str">
        <f t="shared" si="0"/>
        <v>Kristen</v>
      </c>
      <c r="H45" s="255"/>
      <c r="I45" s="255"/>
      <c r="J45" s="255"/>
      <c r="K45" s="1267"/>
      <c r="L45" s="255"/>
      <c r="M45" s="255"/>
      <c r="N45" s="255"/>
      <c r="O45" s="255"/>
    </row>
    <row r="46" spans="1:15" s="45" customFormat="1" ht="24.95" customHeight="1">
      <c r="A46" s="67"/>
      <c r="B46" s="80" t="str">
        <f t="shared" si="1"/>
        <v/>
      </c>
      <c r="C46" s="98" t="str">
        <f>IF(Data!F42="","",Data!F42)</f>
        <v/>
      </c>
      <c r="D46" s="135" t="str">
        <f>IF(Data!H42="","",Data!H42)</f>
        <v/>
      </c>
      <c r="E46" s="99" t="str">
        <f>IF(Data!I42="","",Data!I42)</f>
        <v/>
      </c>
      <c r="F46" s="1246"/>
      <c r="G46" s="1241" t="str">
        <f t="shared" si="0"/>
        <v/>
      </c>
      <c r="H46" s="255"/>
      <c r="I46" s="255"/>
      <c r="J46" s="255"/>
      <c r="K46" s="1267"/>
      <c r="L46" s="255"/>
      <c r="M46" s="255"/>
      <c r="N46" s="255"/>
      <c r="O46" s="255"/>
    </row>
    <row r="47" spans="1:15" s="45" customFormat="1" ht="24.95" customHeight="1">
      <c r="A47" s="67"/>
      <c r="B47" s="80" t="str">
        <f t="shared" si="1"/>
        <v/>
      </c>
      <c r="C47" s="98" t="str">
        <f>IF(Data!F43="","",Data!F43)</f>
        <v/>
      </c>
      <c r="D47" s="135" t="str">
        <f>IF(Data!H43="","",Data!H43)</f>
        <v/>
      </c>
      <c r="E47" s="99" t="str">
        <f>IF(Data!I43="","",Data!I43)</f>
        <v/>
      </c>
      <c r="F47" s="1246"/>
      <c r="G47" s="1241" t="str">
        <f t="shared" si="0"/>
        <v/>
      </c>
      <c r="H47" s="255"/>
      <c r="I47" s="255"/>
      <c r="J47" s="255"/>
      <c r="K47" s="1267"/>
      <c r="L47" s="255"/>
      <c r="M47" s="255"/>
      <c r="N47" s="255"/>
      <c r="O47" s="255"/>
    </row>
    <row r="48" spans="1:15" s="45" customFormat="1" ht="24.95" customHeight="1">
      <c r="A48" s="67"/>
      <c r="B48" s="80" t="str">
        <f t="shared" si="1"/>
        <v/>
      </c>
      <c r="C48" s="98" t="str">
        <f>IF(Data!F44="","",Data!F44)</f>
        <v/>
      </c>
      <c r="D48" s="135" t="str">
        <f>IF(Data!H44="","",Data!H44)</f>
        <v/>
      </c>
      <c r="E48" s="99" t="str">
        <f>IF(Data!I44="","",Data!I44)</f>
        <v/>
      </c>
      <c r="F48" s="1246"/>
      <c r="G48" s="1241" t="str">
        <f t="shared" si="0"/>
        <v/>
      </c>
      <c r="H48" s="255"/>
      <c r="I48" s="255"/>
      <c r="J48" s="255"/>
      <c r="K48" s="1267"/>
      <c r="L48" s="255"/>
      <c r="M48" s="255"/>
      <c r="N48" s="255"/>
      <c r="O48" s="255"/>
    </row>
    <row r="49" spans="1:15" s="45" customFormat="1" ht="24.95" customHeight="1">
      <c r="A49" s="67"/>
      <c r="B49" s="80" t="str">
        <f t="shared" si="1"/>
        <v/>
      </c>
      <c r="C49" s="98" t="str">
        <f>IF(Data!F45="","",Data!F45)</f>
        <v/>
      </c>
      <c r="D49" s="135" t="str">
        <f>IF(Data!H45="","",Data!H45)</f>
        <v/>
      </c>
      <c r="E49" s="99" t="str">
        <f>IF(Data!I45="","",Data!I45)</f>
        <v/>
      </c>
      <c r="F49" s="1246"/>
      <c r="G49" s="1241" t="str">
        <f t="shared" si="0"/>
        <v/>
      </c>
      <c r="H49" s="255"/>
      <c r="I49" s="255"/>
      <c r="J49" s="255"/>
      <c r="K49" s="1267"/>
      <c r="L49" s="255"/>
      <c r="M49" s="255"/>
      <c r="N49" s="255"/>
      <c r="O49" s="255"/>
    </row>
    <row r="50" spans="1:15" s="45" customFormat="1" ht="24.95" customHeight="1">
      <c r="A50" s="67"/>
      <c r="B50" s="80" t="str">
        <f t="shared" si="1"/>
        <v/>
      </c>
      <c r="C50" s="98" t="str">
        <f>IF(Data!F46="","",Data!F46)</f>
        <v/>
      </c>
      <c r="D50" s="135" t="str">
        <f>IF(Data!H46="","",Data!H46)</f>
        <v/>
      </c>
      <c r="E50" s="99" t="str">
        <f>IF(Data!I46="","",Data!I46)</f>
        <v/>
      </c>
      <c r="F50" s="1246"/>
      <c r="G50" s="1241" t="str">
        <f t="shared" si="0"/>
        <v/>
      </c>
      <c r="H50" s="255"/>
      <c r="I50" s="255"/>
      <c r="J50" s="255"/>
      <c r="K50" s="1267"/>
      <c r="L50" s="255"/>
      <c r="M50" s="255"/>
      <c r="N50" s="255"/>
      <c r="O50" s="255"/>
    </row>
    <row r="51" spans="1:15" s="45" customFormat="1" ht="24.95" customHeight="1">
      <c r="A51" s="67"/>
      <c r="B51" s="80" t="str">
        <f t="shared" si="1"/>
        <v/>
      </c>
      <c r="C51" s="98" t="str">
        <f>IF(Data!F47="","",Data!F47)</f>
        <v/>
      </c>
      <c r="D51" s="135" t="str">
        <f>IF(Data!H47="","",Data!H47)</f>
        <v/>
      </c>
      <c r="E51" s="99" t="str">
        <f>IF(Data!I47="","",Data!I47)</f>
        <v/>
      </c>
      <c r="F51" s="1246"/>
      <c r="G51" s="1241" t="str">
        <f t="shared" si="0"/>
        <v/>
      </c>
      <c r="H51" s="255"/>
      <c r="I51" s="255"/>
      <c r="J51" s="255"/>
      <c r="K51" s="1267"/>
      <c r="L51" s="255"/>
      <c r="M51" s="255"/>
      <c r="N51" s="255"/>
      <c r="O51" s="255"/>
    </row>
    <row r="52" spans="1:15" s="45" customFormat="1" ht="24.95" customHeight="1">
      <c r="A52" s="67"/>
      <c r="B52" s="80" t="str">
        <f t="shared" si="1"/>
        <v/>
      </c>
      <c r="C52" s="98" t="str">
        <f>IF(Data!F48="","",Data!F48)</f>
        <v/>
      </c>
      <c r="D52" s="135" t="str">
        <f>IF(Data!H48="","",Data!H48)</f>
        <v/>
      </c>
      <c r="E52" s="99" t="str">
        <f>IF(Data!I48="","",Data!I48)</f>
        <v/>
      </c>
      <c r="F52" s="1246"/>
      <c r="G52" s="1241" t="str">
        <f t="shared" si="0"/>
        <v/>
      </c>
      <c r="H52" s="255"/>
      <c r="I52" s="255"/>
      <c r="J52" s="255"/>
      <c r="K52" s="1267"/>
      <c r="L52" s="255"/>
      <c r="M52" s="255"/>
      <c r="N52" s="255"/>
      <c r="O52" s="255"/>
    </row>
    <row r="53" spans="1:15" s="45" customFormat="1" ht="24.95" customHeight="1">
      <c r="A53" s="67"/>
      <c r="B53" s="80" t="str">
        <f t="shared" si="1"/>
        <v/>
      </c>
      <c r="C53" s="98" t="str">
        <f>IF(Data!F49="","",Data!F49)</f>
        <v/>
      </c>
      <c r="D53" s="135" t="str">
        <f>IF(Data!H49="","",Data!H49)</f>
        <v/>
      </c>
      <c r="E53" s="99" t="str">
        <f>IF(Data!I49="","",Data!I49)</f>
        <v/>
      </c>
      <c r="F53" s="1246"/>
      <c r="G53" s="1241" t="str">
        <f t="shared" si="0"/>
        <v/>
      </c>
      <c r="H53" s="255"/>
      <c r="I53" s="255"/>
      <c r="J53" s="255"/>
      <c r="K53" s="1267"/>
      <c r="L53" s="255"/>
      <c r="M53" s="255"/>
      <c r="N53" s="255"/>
      <c r="O53" s="255"/>
    </row>
    <row r="54" spans="1:15" s="45" customFormat="1" ht="24.95" customHeight="1">
      <c r="A54" s="67"/>
      <c r="B54" s="80" t="str">
        <f t="shared" si="1"/>
        <v/>
      </c>
      <c r="C54" s="98" t="str">
        <f>IF(Data!F50="","",Data!F50)</f>
        <v/>
      </c>
      <c r="D54" s="135" t="str">
        <f>IF(Data!H50="","",Data!H50)</f>
        <v/>
      </c>
      <c r="E54" s="99" t="str">
        <f>IF(Data!I50="","",Data!I50)</f>
        <v/>
      </c>
      <c r="F54" s="1246"/>
      <c r="G54" s="1241" t="str">
        <f t="shared" si="0"/>
        <v/>
      </c>
      <c r="H54" s="255"/>
      <c r="I54" s="255"/>
      <c r="J54" s="255"/>
      <c r="K54" s="1267"/>
      <c r="L54" s="255"/>
      <c r="M54" s="255"/>
      <c r="N54" s="255"/>
      <c r="O54" s="255"/>
    </row>
    <row r="55" spans="1:15" s="45" customFormat="1" ht="24.95" customHeight="1">
      <c r="A55" s="67"/>
      <c r="B55" s="80" t="str">
        <f t="shared" si="1"/>
        <v/>
      </c>
      <c r="C55" s="98" t="str">
        <f>IF(Data!F51="","",Data!F51)</f>
        <v/>
      </c>
      <c r="D55" s="135" t="str">
        <f>IF(Data!H51="","",Data!H51)</f>
        <v/>
      </c>
      <c r="E55" s="99" t="str">
        <f>IF(Data!I51="","",Data!I51)</f>
        <v/>
      </c>
      <c r="F55" s="1246"/>
      <c r="G55" s="1241" t="str">
        <f t="shared" si="0"/>
        <v/>
      </c>
      <c r="H55" s="255"/>
      <c r="I55" s="255"/>
      <c r="J55" s="255"/>
      <c r="K55" s="1267"/>
      <c r="L55" s="255"/>
      <c r="M55" s="255"/>
      <c r="N55" s="255"/>
      <c r="O55" s="255"/>
    </row>
    <row r="56" spans="1:15" s="45" customFormat="1" ht="24.95" customHeight="1">
      <c r="A56" s="67"/>
      <c r="B56" s="80" t="str">
        <f t="shared" si="1"/>
        <v/>
      </c>
      <c r="C56" s="98" t="str">
        <f>IF(Data!F52="","",Data!F52)</f>
        <v/>
      </c>
      <c r="D56" s="135" t="str">
        <f>IF(Data!H52="","",Data!H52)</f>
        <v/>
      </c>
      <c r="E56" s="99" t="str">
        <f>IF(Data!I52="","",Data!I52)</f>
        <v/>
      </c>
      <c r="F56" s="1246"/>
      <c r="G56" s="1241" t="str">
        <f t="shared" si="0"/>
        <v/>
      </c>
      <c r="H56" s="255"/>
      <c r="I56" s="255"/>
      <c r="J56" s="255"/>
      <c r="K56" s="1267"/>
      <c r="L56" s="255"/>
      <c r="M56" s="255"/>
      <c r="N56" s="255"/>
      <c r="O56" s="255"/>
    </row>
    <row r="57" spans="1:15" s="45" customFormat="1" ht="24.95" customHeight="1">
      <c r="A57" s="67"/>
      <c r="B57" s="80" t="str">
        <f t="shared" si="1"/>
        <v/>
      </c>
      <c r="C57" s="98" t="str">
        <f>IF(Data!F53="","",Data!F53)</f>
        <v/>
      </c>
      <c r="D57" s="135" t="str">
        <f>IF(Data!H53="","",Data!H53)</f>
        <v/>
      </c>
      <c r="E57" s="99" t="str">
        <f>IF(Data!I53="","",Data!I53)</f>
        <v/>
      </c>
      <c r="F57" s="1246"/>
      <c r="G57" s="1241" t="str">
        <f t="shared" si="0"/>
        <v/>
      </c>
      <c r="H57" s="255"/>
      <c r="I57" s="255"/>
      <c r="J57" s="255"/>
      <c r="K57" s="1267"/>
      <c r="L57" s="255"/>
      <c r="M57" s="255"/>
      <c r="N57" s="255"/>
      <c r="O57" s="255"/>
    </row>
    <row r="58" spans="1:15" s="45" customFormat="1" ht="24.95" customHeight="1" thickBot="1">
      <c r="A58" s="67"/>
      <c r="B58" s="1268" t="str">
        <f t="shared" si="1"/>
        <v/>
      </c>
      <c r="C58" s="1269" t="str">
        <f>IF(Data!F54="","",Data!F54)</f>
        <v/>
      </c>
      <c r="D58" s="1270" t="str">
        <f>IF(Data!H54="","",Data!H54)</f>
        <v/>
      </c>
      <c r="E58" s="1271" t="str">
        <f>IF(Data!I54="","",Data!I54)</f>
        <v/>
      </c>
      <c r="F58" s="1272"/>
      <c r="G58" s="1273" t="str">
        <f t="shared" si="0"/>
        <v/>
      </c>
      <c r="H58" s="255"/>
      <c r="I58" s="255"/>
      <c r="J58" s="255"/>
      <c r="K58" s="1267"/>
      <c r="L58" s="255"/>
      <c r="M58" s="255"/>
      <c r="N58" s="255"/>
      <c r="O58" s="255"/>
    </row>
    <row r="59" spans="1:15">
      <c r="A59" s="67"/>
      <c r="B59" s="109">
        <v>1</v>
      </c>
      <c r="C59" s="109">
        <v>2</v>
      </c>
      <c r="D59" s="109">
        <v>3</v>
      </c>
      <c r="E59" s="109">
        <v>4</v>
      </c>
      <c r="F59" s="109">
        <v>5</v>
      </c>
      <c r="G59" s="109">
        <v>6</v>
      </c>
      <c r="H59" s="255"/>
      <c r="I59" s="255"/>
      <c r="J59" s="255"/>
      <c r="K59" s="255"/>
      <c r="L59" s="255"/>
      <c r="M59" s="255"/>
      <c r="N59" s="255"/>
      <c r="O59" s="255"/>
    </row>
    <row r="60" spans="1:15" ht="12" hidden="1" customHeight="1">
      <c r="C60" s="2"/>
    </row>
    <row r="61" spans="1:15" ht="12" hidden="1" customHeight="1">
      <c r="C61" s="2"/>
    </row>
    <row r="62" spans="1:15" ht="12" hidden="1" customHeight="1">
      <c r="C62" s="2"/>
    </row>
    <row r="63" spans="1:15" ht="12" hidden="1" customHeight="1">
      <c r="C63" s="2"/>
    </row>
    <row r="64" spans="1:15" ht="12" hidden="1" customHeight="1"/>
    <row r="65" s="2" customFormat="1" ht="12" hidden="1" customHeight="1"/>
    <row r="66" s="2" customFormat="1" ht="12" hidden="1" customHeight="1"/>
    <row r="67" s="2" customFormat="1" ht="12" hidden="1" customHeight="1"/>
  </sheetData>
  <sheetProtection password="C5D2" sheet="1" objects="1" scenarios="1" selectLockedCells="1"/>
  <mergeCells count="17">
    <mergeCell ref="D1:E2"/>
    <mergeCell ref="F1:G4"/>
    <mergeCell ref="D3:E4"/>
    <mergeCell ref="I7:I8"/>
    <mergeCell ref="J7:J8"/>
    <mergeCell ref="F7:F8"/>
    <mergeCell ref="G7:G8"/>
    <mergeCell ref="D5:G5"/>
    <mergeCell ref="B5:C5"/>
    <mergeCell ref="K7:K8"/>
    <mergeCell ref="L7:L8"/>
    <mergeCell ref="M7:M8"/>
    <mergeCell ref="N7:N8"/>
    <mergeCell ref="B7:B8"/>
    <mergeCell ref="C7:C8"/>
    <mergeCell ref="D7:D8"/>
    <mergeCell ref="E7:E8"/>
  </mergeCells>
  <conditionalFormatting sqref="B49:F57 B48:E48 B13:F47 B9:G12">
    <cfRule type="expression" dxfId="6324" priority="5">
      <formula>AND($B9&lt;&gt;"",$B10="")</formula>
    </cfRule>
    <cfRule type="expression" dxfId="6323" priority="6">
      <formula>$B9=""</formula>
    </cfRule>
  </conditionalFormatting>
  <conditionalFormatting sqref="F48">
    <cfRule type="expression" dxfId="6322" priority="3">
      <formula>AND($B48&lt;&gt;"",$B49="")</formula>
    </cfRule>
    <cfRule type="expression" dxfId="6321" priority="4">
      <formula>$B48=""</formula>
    </cfRule>
  </conditionalFormatting>
  <conditionalFormatting sqref="G13:G58">
    <cfRule type="expression" dxfId="6320" priority="1">
      <formula>AND($B13&lt;&gt;"",$B14="")</formula>
    </cfRule>
    <cfRule type="expression" dxfId="6319" priority="2">
      <formula>$B13=""</formula>
    </cfRule>
  </conditionalFormatting>
  <conditionalFormatting sqref="B51:F51">
    <cfRule type="expression" dxfId="6318" priority="7">
      <formula>AND($B51&lt;&gt;"",$B58="")</formula>
    </cfRule>
    <cfRule type="expression" dxfId="6317" priority="8">
      <formula>$B51=""</formula>
    </cfRule>
  </conditionalFormatting>
  <conditionalFormatting sqref="B45:F45">
    <cfRule type="expression" dxfId="6316" priority="9">
      <formula>AND($B45&lt;&gt;"",$B58="")</formula>
    </cfRule>
    <cfRule type="expression" dxfId="6315" priority="10">
      <formula>$B45=""</formula>
    </cfRule>
  </conditionalFormatting>
  <conditionalFormatting sqref="B38:F39">
    <cfRule type="expression" dxfId="6314" priority="11">
      <formula>AND($B38&lt;&gt;"",$B57="")</formula>
    </cfRule>
    <cfRule type="expression" dxfId="6313" priority="12">
      <formula>$B38=""</formula>
    </cfRule>
  </conditionalFormatting>
  <conditionalFormatting sqref="B58:F58">
    <cfRule type="expression" dxfId="6312" priority="13">
      <formula>AND($B58&lt;&gt;"",#REF!="")</formula>
    </cfRule>
    <cfRule type="expression" dxfId="6311" priority="14">
      <formula>$B58=""</formula>
    </cfRule>
  </conditionalFormatting>
  <conditionalFormatting sqref="B56:F56">
    <cfRule type="expression" dxfId="6310" priority="15">
      <formula>AND($B56&lt;&gt;"",$B59="")</formula>
    </cfRule>
    <cfRule type="expression" dxfId="6309" priority="16">
      <formula>$B56=""</formula>
    </cfRule>
  </conditionalFormatting>
  <conditionalFormatting sqref="B52:F55">
    <cfRule type="expression" dxfId="6308" priority="17">
      <formula>AND($B52&lt;&gt;"",#REF!="")</formula>
    </cfRule>
    <cfRule type="expression" dxfId="6307" priority="18">
      <formula>$B52=""</formula>
    </cfRule>
  </conditionalFormatting>
  <conditionalFormatting sqref="B50:F50">
    <cfRule type="expression" dxfId="6306" priority="19">
      <formula>AND($B50&lt;&gt;"",$B59="")</formula>
    </cfRule>
    <cfRule type="expression" dxfId="6305" priority="20">
      <formula>$B50=""</formula>
    </cfRule>
  </conditionalFormatting>
  <conditionalFormatting sqref="B46:F47 B49:F49 B48:E48">
    <cfRule type="expression" dxfId="6304" priority="21">
      <formula>AND($B46&lt;&gt;"",#REF!="")</formula>
    </cfRule>
    <cfRule type="expression" dxfId="6303" priority="22">
      <formula>$B46=""</formula>
    </cfRule>
  </conditionalFormatting>
  <conditionalFormatting sqref="B44:F44">
    <cfRule type="expression" dxfId="6302" priority="23">
      <formula>AND($B44&lt;&gt;"",$B59="")</formula>
    </cfRule>
    <cfRule type="expression" dxfId="6301" priority="24">
      <formula>$B44=""</formula>
    </cfRule>
  </conditionalFormatting>
  <conditionalFormatting sqref="B40:F43">
    <cfRule type="expression" dxfId="6300" priority="25">
      <formula>AND($B40&lt;&gt;"",#REF!="")</formula>
    </cfRule>
    <cfRule type="expression" dxfId="6299" priority="26">
      <formula>$B40=""</formula>
    </cfRule>
  </conditionalFormatting>
  <dataValidations count="1">
    <dataValidation type="textLength" allowBlank="1" showInputMessage="1" showErrorMessage="1" errorTitle="Petunjuk" error="Ringkasan KD maksimal 65 huruf" sqref="J21:N30 J9:K18 M9:N18 L9:L12 L16:L18">
      <formula1>0</formula1>
      <formula2>65</formula2>
    </dataValidation>
  </dataValidations>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00FF"/>
  </sheetPr>
  <dimension ref="A1:DJ97"/>
  <sheetViews>
    <sheetView showGridLines="0" showRowColHeaders="0" tabSelected="1" workbookViewId="0">
      <pane xSplit="5" ySplit="13" topLeftCell="F14" activePane="bottomRight" state="frozen"/>
      <selection activeCell="AW5" sqref="AW5:BN7"/>
      <selection pane="topRight" activeCell="AW5" sqref="AW5:BN7"/>
      <selection pane="bottomLeft" activeCell="AW5" sqref="AW5:BN7"/>
      <selection pane="bottomRight" activeCell="AQ27" sqref="AQ27"/>
    </sheetView>
  </sheetViews>
  <sheetFormatPr defaultColWidth="0" defaultRowHeight="15"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28515625" customWidth="1"/>
    <col min="68" max="111" width="9.140625" hidden="1" customWidth="1"/>
    <col min="112" max="114" width="5.7109375" style="2" hidden="1" customWidth="1"/>
    <col min="115" max="16384" width="9.140625" style="2" hidden="1"/>
  </cols>
  <sheetData>
    <row r="1" spans="1:111" ht="17.100000000000001" customHeight="1">
      <c r="A1" s="67"/>
      <c r="B1" s="1748" t="s">
        <v>934</v>
      </c>
      <c r="C1" s="1749"/>
      <c r="D1" s="1732" t="str">
        <f>Data2!C4</f>
        <v>Pendidikan Agama dan Budi Pekerti</v>
      </c>
      <c r="E1" s="1733"/>
      <c r="F1" s="1721" t="s">
        <v>1004</v>
      </c>
      <c r="G1" s="1722"/>
      <c r="H1" s="1722"/>
      <c r="I1" s="1722"/>
      <c r="J1" s="1722"/>
      <c r="K1" s="1722"/>
      <c r="L1" s="1722"/>
      <c r="M1" s="1722"/>
      <c r="N1" s="1722"/>
      <c r="O1" s="1722"/>
      <c r="P1" s="1722"/>
      <c r="Q1" s="1722"/>
      <c r="R1" s="1722"/>
      <c r="S1" s="1274"/>
      <c r="T1" s="1274"/>
      <c r="U1" s="1275"/>
      <c r="V1" s="1275"/>
      <c r="W1" s="1275"/>
      <c r="X1" s="1275"/>
      <c r="Y1" s="1275"/>
      <c r="Z1" s="1275"/>
      <c r="AA1" s="1275"/>
      <c r="AB1" s="1275"/>
      <c r="AC1" s="1275"/>
      <c r="AD1" s="1275"/>
      <c r="AE1" s="1275"/>
      <c r="AF1" s="1275"/>
      <c r="AG1" s="1275"/>
      <c r="AH1" s="1275"/>
      <c r="AI1" s="1275"/>
      <c r="AJ1" s="1275"/>
      <c r="AK1" s="1276"/>
      <c r="AL1" s="1277"/>
      <c r="AM1" s="1715"/>
      <c r="AN1" s="1715"/>
      <c r="AO1" s="1715"/>
      <c r="AP1" s="1715"/>
      <c r="AQ1" s="1715"/>
      <c r="AR1" s="1715"/>
      <c r="AS1" s="1715"/>
      <c r="AT1" s="1715"/>
      <c r="AU1" s="1715"/>
      <c r="AV1" s="1278"/>
      <c r="AW1" s="1278"/>
      <c r="AX1" s="1279"/>
      <c r="AY1" s="1278"/>
      <c r="AZ1" s="1278"/>
      <c r="BA1" s="1278"/>
      <c r="BB1" s="1278"/>
      <c r="BC1" s="1278"/>
      <c r="BD1" s="1278"/>
      <c r="BE1" s="1278"/>
      <c r="BF1" s="1278"/>
      <c r="BG1" s="1278"/>
      <c r="BH1" s="1278"/>
      <c r="BI1" s="1278"/>
      <c r="BJ1" s="1278"/>
      <c r="BK1" s="1278"/>
      <c r="BL1" s="1278"/>
      <c r="BM1" s="1278"/>
      <c r="BN1" s="1280"/>
      <c r="BO1" s="1281"/>
    </row>
    <row r="2" spans="1:111" ht="12" customHeight="1" thickBot="1">
      <c r="A2" s="67"/>
      <c r="B2" s="1750"/>
      <c r="C2" s="1751"/>
      <c r="D2" s="1732"/>
      <c r="E2" s="1733"/>
      <c r="F2" s="1282" t="s">
        <v>125</v>
      </c>
      <c r="G2" s="1716" t="s">
        <v>907</v>
      </c>
      <c r="H2" s="1716"/>
      <c r="I2" s="1716"/>
      <c r="J2" s="1716"/>
      <c r="K2" s="1716"/>
      <c r="L2" s="1716"/>
      <c r="M2" s="1716"/>
      <c r="N2" s="1716"/>
      <c r="O2" s="1716"/>
      <c r="P2" s="1716"/>
      <c r="Q2" s="1716"/>
      <c r="R2" s="1717"/>
      <c r="S2" s="1283" t="s">
        <v>129</v>
      </c>
      <c r="T2" s="1284" t="s">
        <v>188</v>
      </c>
      <c r="U2" s="1285"/>
      <c r="V2" s="1285"/>
      <c r="W2" s="1285"/>
      <c r="X2" s="1285"/>
      <c r="Y2" s="1285"/>
      <c r="Z2" s="1285"/>
      <c r="AA2" s="1285"/>
      <c r="AB2" s="1285"/>
      <c r="AC2" s="1285"/>
      <c r="AD2" s="1285"/>
      <c r="AE2" s="1285"/>
      <c r="AF2" s="1285"/>
      <c r="AG2" s="1285"/>
      <c r="AH2" s="1285"/>
      <c r="AI2" s="1285"/>
      <c r="AJ2" s="1285"/>
      <c r="AK2" s="1286" t="s">
        <v>1005</v>
      </c>
      <c r="AL2" s="1718" t="s">
        <v>130</v>
      </c>
      <c r="AM2" s="1719" t="s">
        <v>1006</v>
      </c>
      <c r="AN2" s="1719"/>
      <c r="AO2" s="1719"/>
      <c r="AP2" s="1719"/>
      <c r="AQ2" s="1719"/>
      <c r="AR2" s="1719"/>
      <c r="AS2" s="1719"/>
      <c r="AT2" s="1719"/>
      <c r="AU2" s="1720"/>
      <c r="AV2" s="1756" t="s">
        <v>133</v>
      </c>
      <c r="AW2" s="1752" t="s">
        <v>317</v>
      </c>
      <c r="AX2" s="1287"/>
      <c r="AY2" s="1287"/>
      <c r="AZ2" s="1287"/>
      <c r="BA2" s="1287"/>
      <c r="BB2" s="1287"/>
      <c r="BC2" s="1287"/>
      <c r="BD2" s="1287"/>
      <c r="BE2" s="1287"/>
      <c r="BF2" s="1287"/>
      <c r="BG2" s="1287"/>
      <c r="BH2" s="1288"/>
      <c r="BI2" s="1288"/>
      <c r="BJ2" s="1288"/>
      <c r="BK2" s="1288"/>
      <c r="BL2" s="1288"/>
      <c r="BM2" s="1288"/>
      <c r="BN2" s="1753" t="s">
        <v>1007</v>
      </c>
      <c r="BO2" s="1281"/>
      <c r="BP2" s="811"/>
      <c r="BQ2" s="811"/>
      <c r="BR2" s="811"/>
      <c r="BS2" s="811"/>
      <c r="BT2" s="811"/>
      <c r="BU2" s="811"/>
      <c r="BV2" s="811"/>
      <c r="BW2" s="811"/>
      <c r="BX2" s="811"/>
      <c r="BY2" s="811"/>
      <c r="BZ2" s="811"/>
      <c r="CA2" s="811"/>
      <c r="CB2" s="811"/>
      <c r="CC2" s="811"/>
      <c r="CD2" s="811"/>
      <c r="CE2" s="811"/>
      <c r="CF2" s="811"/>
      <c r="CG2" s="811"/>
      <c r="CH2" s="811"/>
      <c r="CI2" s="811"/>
      <c r="CJ2" s="811"/>
      <c r="CK2" s="811"/>
      <c r="CL2" s="811"/>
      <c r="CM2" s="811"/>
      <c r="CN2" s="811"/>
      <c r="CO2" s="811"/>
      <c r="CP2" s="811"/>
      <c r="CQ2" s="811"/>
      <c r="CR2" s="811"/>
      <c r="CS2" s="811"/>
      <c r="CT2" s="811"/>
      <c r="CU2" s="811"/>
      <c r="CV2" s="811"/>
      <c r="CW2" s="811"/>
      <c r="CX2" s="811"/>
      <c r="CY2" s="811"/>
      <c r="CZ2" s="811"/>
      <c r="DA2" s="811"/>
      <c r="DB2" s="811"/>
      <c r="DC2" s="811"/>
      <c r="DD2" s="811"/>
      <c r="DE2" s="811"/>
      <c r="DF2" s="811"/>
      <c r="DG2" s="811"/>
    </row>
    <row r="3" spans="1:111" ht="12" customHeight="1">
      <c r="A3" s="67"/>
      <c r="B3" s="1734" t="str">
        <f>Data2!L16&amp;" - "&amp;F77</f>
        <v>MULTI KKM - 76</v>
      </c>
      <c r="C3" s="1735"/>
      <c r="D3" s="1738" t="s">
        <v>785</v>
      </c>
      <c r="E3" s="1739"/>
      <c r="F3" s="1707" t="s">
        <v>126</v>
      </c>
      <c r="G3" s="1723" t="s">
        <v>910</v>
      </c>
      <c r="H3" s="1723"/>
      <c r="I3" s="1723"/>
      <c r="J3" s="1723"/>
      <c r="K3" s="1723"/>
      <c r="L3" s="1723"/>
      <c r="M3" s="1723"/>
      <c r="N3" s="1723"/>
      <c r="O3" s="1723"/>
      <c r="P3" s="1723"/>
      <c r="Q3" s="1723"/>
      <c r="R3" s="1724"/>
      <c r="S3" s="1289"/>
      <c r="T3" s="1754" t="s">
        <v>353</v>
      </c>
      <c r="U3" s="1285"/>
      <c r="V3" s="1285"/>
      <c r="W3" s="1285"/>
      <c r="X3" s="1285"/>
      <c r="Y3" s="1285"/>
      <c r="Z3" s="1285"/>
      <c r="AA3" s="1285"/>
      <c r="AB3" s="1285"/>
      <c r="AC3" s="1285"/>
      <c r="AD3" s="1285"/>
      <c r="AE3" s="1285"/>
      <c r="AF3" s="1285"/>
      <c r="AG3" s="1285"/>
      <c r="AH3" s="1285"/>
      <c r="AI3" s="1285"/>
      <c r="AJ3" s="1285"/>
      <c r="AK3" s="1755" t="s">
        <v>1008</v>
      </c>
      <c r="AL3" s="1718"/>
      <c r="AM3" s="1719"/>
      <c r="AN3" s="1719"/>
      <c r="AO3" s="1719"/>
      <c r="AP3" s="1719"/>
      <c r="AQ3" s="1719"/>
      <c r="AR3" s="1719"/>
      <c r="AS3" s="1719"/>
      <c r="AT3" s="1719"/>
      <c r="AU3" s="1720"/>
      <c r="AV3" s="1756"/>
      <c r="AW3" s="1752"/>
      <c r="AX3" s="1290"/>
      <c r="AY3" s="1290"/>
      <c r="AZ3" s="1290"/>
      <c r="BA3" s="1290"/>
      <c r="BB3" s="1290"/>
      <c r="BC3" s="1290"/>
      <c r="BD3" s="1290"/>
      <c r="BE3" s="1290"/>
      <c r="BF3" s="1290"/>
      <c r="BG3" s="1290"/>
      <c r="BH3" s="1288"/>
      <c r="BI3" s="1288"/>
      <c r="BJ3" s="1288"/>
      <c r="BK3" s="1288"/>
      <c r="BL3" s="1288"/>
      <c r="BM3" s="1288"/>
      <c r="BN3" s="1753"/>
      <c r="BO3" s="305"/>
      <c r="BP3" s="811"/>
      <c r="BQ3" s="811"/>
      <c r="BR3" s="811"/>
      <c r="BS3" s="811"/>
      <c r="BT3" s="811"/>
      <c r="BU3" s="811"/>
      <c r="BV3" s="811"/>
      <c r="BW3" s="811"/>
      <c r="BX3" s="811"/>
      <c r="BY3" s="811"/>
      <c r="BZ3" s="811"/>
      <c r="CA3" s="811"/>
      <c r="CB3" s="811"/>
      <c r="CC3" s="811"/>
      <c r="CD3" s="811"/>
      <c r="CE3" s="811"/>
      <c r="CF3" s="811"/>
      <c r="CG3" s="811"/>
      <c r="CH3" s="811"/>
      <c r="CI3" s="811"/>
      <c r="CJ3" s="811"/>
      <c r="CK3" s="811"/>
      <c r="CL3" s="811"/>
      <c r="CM3" s="811"/>
      <c r="CN3" s="811"/>
      <c r="CO3" s="811"/>
      <c r="CP3" s="811"/>
      <c r="CQ3" s="811"/>
      <c r="CR3" s="811"/>
      <c r="CS3" s="811"/>
      <c r="CT3" s="811"/>
      <c r="CU3" s="811"/>
      <c r="CV3" s="811"/>
      <c r="CW3" s="811"/>
      <c r="CX3" s="811"/>
      <c r="CY3" s="811"/>
      <c r="CZ3" s="811"/>
      <c r="DA3" s="811"/>
      <c r="DB3" s="811"/>
      <c r="DC3" s="811"/>
      <c r="DD3" s="811"/>
      <c r="DE3" s="811"/>
      <c r="DF3" s="811"/>
      <c r="DG3" s="811"/>
    </row>
    <row r="4" spans="1:111" ht="12" customHeight="1">
      <c r="A4" s="67"/>
      <c r="B4" s="1736"/>
      <c r="C4" s="1737"/>
      <c r="D4" s="1740"/>
      <c r="E4" s="1741"/>
      <c r="F4" s="1707"/>
      <c r="G4" s="1723"/>
      <c r="H4" s="1723"/>
      <c r="I4" s="1723"/>
      <c r="J4" s="1723"/>
      <c r="K4" s="1723"/>
      <c r="L4" s="1723"/>
      <c r="M4" s="1723"/>
      <c r="N4" s="1723"/>
      <c r="O4" s="1723"/>
      <c r="P4" s="1723"/>
      <c r="Q4" s="1723"/>
      <c r="R4" s="1724"/>
      <c r="S4" s="1289"/>
      <c r="T4" s="1754"/>
      <c r="U4" s="1285"/>
      <c r="V4" s="1285"/>
      <c r="W4" s="1285"/>
      <c r="X4" s="1285"/>
      <c r="Y4" s="1285"/>
      <c r="Z4" s="1285"/>
      <c r="AA4" s="1285"/>
      <c r="AB4" s="1285"/>
      <c r="AC4" s="1285"/>
      <c r="AD4" s="1285"/>
      <c r="AE4" s="1285"/>
      <c r="AF4" s="1285"/>
      <c r="AG4" s="1285"/>
      <c r="AH4" s="1285"/>
      <c r="AI4" s="1285"/>
      <c r="AJ4" s="1285"/>
      <c r="AK4" s="1755"/>
      <c r="AL4" s="1718" t="s">
        <v>131</v>
      </c>
      <c r="AM4" s="1725" t="s">
        <v>913</v>
      </c>
      <c r="AN4" s="1725"/>
      <c r="AO4" s="1725"/>
      <c r="AP4" s="1725"/>
      <c r="AQ4" s="1725"/>
      <c r="AR4" s="1725"/>
      <c r="AS4" s="1725"/>
      <c r="AT4" s="1725"/>
      <c r="AU4" s="1726"/>
      <c r="AV4" s="1756" t="s">
        <v>134</v>
      </c>
      <c r="AW4" s="1291" t="s">
        <v>27</v>
      </c>
      <c r="AX4" s="1292"/>
      <c r="AY4" s="1292"/>
      <c r="AZ4" s="1292"/>
      <c r="BA4" s="1292"/>
      <c r="BB4" s="1292"/>
      <c r="BC4" s="1292"/>
      <c r="BD4" s="1292"/>
      <c r="BE4" s="1292"/>
      <c r="BF4" s="1292"/>
      <c r="BG4" s="1292"/>
      <c r="BH4" s="1293"/>
      <c r="BI4" s="1293"/>
      <c r="BJ4" s="1293"/>
      <c r="BK4" s="1293"/>
      <c r="BL4" s="1293"/>
      <c r="BM4" s="1293"/>
      <c r="BN4" s="1294"/>
      <c r="BO4" s="305"/>
      <c r="BP4" s="811"/>
      <c r="BQ4" s="811"/>
      <c r="BR4" s="811"/>
      <c r="BS4" s="811"/>
      <c r="BT4" s="811"/>
      <c r="BU4" s="811"/>
      <c r="BV4" s="811"/>
      <c r="BW4" s="811"/>
      <c r="BX4" s="811"/>
      <c r="BY4" s="811"/>
      <c r="BZ4" s="811"/>
      <c r="CA4" s="811"/>
      <c r="CB4" s="811"/>
      <c r="CC4" s="811"/>
      <c r="CD4" s="811"/>
      <c r="CE4" s="811"/>
      <c r="CF4" s="811"/>
      <c r="CG4" s="811"/>
      <c r="CH4" s="811"/>
      <c r="CI4" s="811"/>
      <c r="CJ4" s="811"/>
      <c r="CK4" s="811"/>
      <c r="CL4" s="811"/>
      <c r="CM4" s="811"/>
      <c r="CN4" s="811"/>
      <c r="CO4" s="811"/>
      <c r="CP4" s="811"/>
      <c r="CQ4" s="811"/>
      <c r="CR4" s="811"/>
      <c r="CS4" s="811"/>
      <c r="CT4" s="811"/>
      <c r="CU4" s="811"/>
      <c r="CV4" s="811"/>
      <c r="CW4" s="811"/>
      <c r="CX4" s="811"/>
      <c r="CY4" s="811"/>
      <c r="CZ4" s="811"/>
      <c r="DA4" s="811"/>
      <c r="DB4" s="811"/>
      <c r="DC4" s="811"/>
      <c r="DD4" s="811"/>
      <c r="DE4" s="811"/>
      <c r="DF4" s="811"/>
      <c r="DG4" s="811"/>
    </row>
    <row r="5" spans="1:111" ht="12" customHeight="1">
      <c r="A5" s="67"/>
      <c r="B5" s="1224" t="s">
        <v>27</v>
      </c>
      <c r="C5" s="1225"/>
      <c r="D5" s="1740"/>
      <c r="E5" s="1741"/>
      <c r="F5" s="1707"/>
      <c r="G5" s="1723"/>
      <c r="H5" s="1723"/>
      <c r="I5" s="1723"/>
      <c r="J5" s="1723"/>
      <c r="K5" s="1723"/>
      <c r="L5" s="1723"/>
      <c r="M5" s="1723"/>
      <c r="N5" s="1723"/>
      <c r="O5" s="1723"/>
      <c r="P5" s="1723"/>
      <c r="Q5" s="1723"/>
      <c r="R5" s="1724"/>
      <c r="S5" s="1289"/>
      <c r="T5" s="1754"/>
      <c r="U5" s="1295"/>
      <c r="V5" s="1285"/>
      <c r="W5" s="1285"/>
      <c r="X5" s="1285"/>
      <c r="Y5" s="1285"/>
      <c r="Z5" s="1285"/>
      <c r="AA5" s="1285"/>
      <c r="AB5" s="1285"/>
      <c r="AC5" s="1285"/>
      <c r="AD5" s="1285"/>
      <c r="AE5" s="1285"/>
      <c r="AF5" s="1285"/>
      <c r="AG5" s="1285"/>
      <c r="AH5" s="1285"/>
      <c r="AI5" s="1285"/>
      <c r="AJ5" s="1285"/>
      <c r="AK5" s="1755"/>
      <c r="AL5" s="1718"/>
      <c r="AM5" s="1725"/>
      <c r="AN5" s="1725"/>
      <c r="AO5" s="1725"/>
      <c r="AP5" s="1725"/>
      <c r="AQ5" s="1725"/>
      <c r="AR5" s="1725"/>
      <c r="AS5" s="1725"/>
      <c r="AT5" s="1725"/>
      <c r="AU5" s="1726"/>
      <c r="AV5" s="1756"/>
      <c r="AW5" s="1757" t="s">
        <v>1009</v>
      </c>
      <c r="AX5" s="1758"/>
      <c r="AY5" s="1758"/>
      <c r="AZ5" s="1758"/>
      <c r="BA5" s="1758"/>
      <c r="BB5" s="1758"/>
      <c r="BC5" s="1758"/>
      <c r="BD5" s="1758"/>
      <c r="BE5" s="1758"/>
      <c r="BF5" s="1758"/>
      <c r="BG5" s="1758"/>
      <c r="BH5" s="1758"/>
      <c r="BI5" s="1758"/>
      <c r="BJ5" s="1758"/>
      <c r="BK5" s="1758"/>
      <c r="BL5" s="1758"/>
      <c r="BM5" s="1758"/>
      <c r="BN5" s="1759"/>
      <c r="BO5" s="305"/>
      <c r="BP5" s="811"/>
      <c r="BQ5" s="811"/>
      <c r="BR5" s="811"/>
      <c r="BS5" s="811"/>
      <c r="BT5" s="811"/>
      <c r="BU5" s="811"/>
      <c r="BV5" s="811"/>
      <c r="BW5" s="811"/>
      <c r="BX5" s="811"/>
      <c r="BY5" s="811"/>
      <c r="BZ5" s="811"/>
      <c r="CA5" s="811"/>
      <c r="CB5" s="811"/>
      <c r="CC5" s="811"/>
      <c r="CD5" s="811"/>
      <c r="CE5" s="811"/>
      <c r="CF5" s="811"/>
      <c r="CG5" s="811"/>
      <c r="CH5" s="811"/>
      <c r="CI5" s="811"/>
      <c r="CJ5" s="811"/>
      <c r="CK5" s="811"/>
      <c r="CL5" s="811"/>
      <c r="CM5" s="811"/>
      <c r="CN5" s="811"/>
      <c r="CO5" s="811"/>
      <c r="CP5" s="811"/>
      <c r="CQ5" s="811"/>
      <c r="CR5" s="811"/>
      <c r="CS5" s="811"/>
      <c r="CT5" s="811"/>
      <c r="CU5" s="811"/>
      <c r="CV5" s="811"/>
      <c r="CW5" s="811"/>
      <c r="CX5" s="811"/>
      <c r="CY5" s="811"/>
      <c r="CZ5" s="811"/>
      <c r="DA5" s="811"/>
      <c r="DB5" s="811"/>
      <c r="DC5" s="811"/>
      <c r="DD5" s="811"/>
      <c r="DE5" s="811"/>
      <c r="DF5" s="811"/>
      <c r="DG5" s="811"/>
    </row>
    <row r="6" spans="1:111" ht="12" customHeight="1">
      <c r="A6" s="67"/>
      <c r="B6" s="1742" t="str">
        <f>F75&amp;" - "&amp;H75&amp;"--"&amp;Q75</f>
        <v>93 - 100--A</v>
      </c>
      <c r="C6" s="1743"/>
      <c r="D6" s="1740"/>
      <c r="E6" s="1741"/>
      <c r="F6" s="1707"/>
      <c r="G6" s="1723"/>
      <c r="H6" s="1723"/>
      <c r="I6" s="1723"/>
      <c r="J6" s="1723"/>
      <c r="K6" s="1723"/>
      <c r="L6" s="1723"/>
      <c r="M6" s="1723"/>
      <c r="N6" s="1723"/>
      <c r="O6" s="1723"/>
      <c r="P6" s="1723"/>
      <c r="Q6" s="1723"/>
      <c r="R6" s="1724"/>
      <c r="S6" s="1289"/>
      <c r="T6" s="1754"/>
      <c r="U6" s="1285"/>
      <c r="V6" s="1285"/>
      <c r="W6" s="1285"/>
      <c r="X6" s="1285"/>
      <c r="Y6" s="1285"/>
      <c r="Z6" s="1285"/>
      <c r="AA6" s="1285"/>
      <c r="AB6" s="1285"/>
      <c r="AC6" s="1285"/>
      <c r="AD6" s="1285"/>
      <c r="AE6" s="1285"/>
      <c r="AF6" s="1285"/>
      <c r="AG6" s="1285"/>
      <c r="AH6" s="1285"/>
      <c r="AI6" s="1285"/>
      <c r="AJ6" s="1285"/>
      <c r="AK6" s="1755"/>
      <c r="AL6" s="1727" t="s">
        <v>132</v>
      </c>
      <c r="AM6" s="1760" t="s">
        <v>1010</v>
      </c>
      <c r="AN6" s="1761"/>
      <c r="AO6" s="1761"/>
      <c r="AP6" s="1761"/>
      <c r="AQ6" s="1761"/>
      <c r="AR6" s="1761"/>
      <c r="AS6" s="1761"/>
      <c r="AT6" s="1761"/>
      <c r="AU6" s="1762"/>
      <c r="AV6" s="1756"/>
      <c r="AW6" s="1757"/>
      <c r="AX6" s="1758"/>
      <c r="AY6" s="1758"/>
      <c r="AZ6" s="1758"/>
      <c r="BA6" s="1758"/>
      <c r="BB6" s="1758"/>
      <c r="BC6" s="1758"/>
      <c r="BD6" s="1758"/>
      <c r="BE6" s="1758"/>
      <c r="BF6" s="1758"/>
      <c r="BG6" s="1758"/>
      <c r="BH6" s="1758"/>
      <c r="BI6" s="1758"/>
      <c r="BJ6" s="1758"/>
      <c r="BK6" s="1758"/>
      <c r="BL6" s="1758"/>
      <c r="BM6" s="1758"/>
      <c r="BN6" s="1759"/>
      <c r="BO6" s="305"/>
      <c r="BP6" s="811"/>
      <c r="BQ6" s="811"/>
      <c r="BR6" s="811"/>
      <c r="BS6" s="811"/>
      <c r="BT6" s="811"/>
      <c r="BU6" s="811"/>
      <c r="BV6" s="811"/>
      <c r="BW6" s="811"/>
      <c r="BX6" s="811"/>
      <c r="BY6" s="811"/>
      <c r="BZ6" s="811"/>
      <c r="CA6" s="811"/>
      <c r="CB6" s="811"/>
      <c r="CC6" s="811"/>
      <c r="CD6" s="811"/>
      <c r="CE6" s="811"/>
      <c r="CF6" s="811"/>
      <c r="CG6" s="811"/>
      <c r="CH6" s="811"/>
      <c r="CI6" s="811"/>
      <c r="CJ6" s="811"/>
      <c r="CK6" s="811"/>
      <c r="CL6" s="811"/>
      <c r="CM6" s="811"/>
      <c r="CN6" s="811"/>
      <c r="CO6" s="811"/>
      <c r="CP6" s="811"/>
      <c r="CQ6" s="811"/>
      <c r="CR6" s="811"/>
      <c r="CS6" s="811"/>
      <c r="CT6" s="811"/>
      <c r="CU6" s="811"/>
      <c r="CV6" s="811"/>
      <c r="CW6" s="811"/>
      <c r="CX6" s="811"/>
      <c r="CY6" s="811"/>
      <c r="CZ6" s="811"/>
      <c r="DA6" s="811"/>
      <c r="DB6" s="811"/>
      <c r="DC6" s="811"/>
      <c r="DD6" s="811"/>
      <c r="DE6" s="811"/>
      <c r="DF6" s="811"/>
      <c r="DG6" s="811"/>
    </row>
    <row r="7" spans="1:111" ht="12" customHeight="1">
      <c r="A7" s="67"/>
      <c r="B7" s="1742" t="str">
        <f>F76&amp;" - "&amp;ROUNDDOWN(H76,0)&amp;"---"&amp;Q76</f>
        <v>85 - 92---B</v>
      </c>
      <c r="C7" s="1743"/>
      <c r="D7" s="1744" t="s">
        <v>933</v>
      </c>
      <c r="E7" s="1745"/>
      <c r="F7" s="1707" t="s">
        <v>127</v>
      </c>
      <c r="G7" s="1729" t="s">
        <v>1011</v>
      </c>
      <c r="H7" s="1730"/>
      <c r="I7" s="1730"/>
      <c r="J7" s="1730"/>
      <c r="K7" s="1730"/>
      <c r="L7" s="1730"/>
      <c r="M7" s="1730"/>
      <c r="N7" s="1730"/>
      <c r="O7" s="1730"/>
      <c r="P7" s="1730"/>
      <c r="Q7" s="1730"/>
      <c r="R7" s="1731"/>
      <c r="S7" s="1289"/>
      <c r="T7" s="1754"/>
      <c r="U7" s="1285"/>
      <c r="V7" s="1285"/>
      <c r="W7" s="1285"/>
      <c r="X7" s="1285"/>
      <c r="Y7" s="1285"/>
      <c r="Z7" s="1285"/>
      <c r="AA7" s="1285"/>
      <c r="AB7" s="1285"/>
      <c r="AC7" s="1285"/>
      <c r="AD7" s="1285"/>
      <c r="AE7" s="1285"/>
      <c r="AF7" s="1285"/>
      <c r="AG7" s="1285"/>
      <c r="AH7" s="1285"/>
      <c r="AI7" s="1285"/>
      <c r="AJ7" s="1285"/>
      <c r="AK7" s="1755"/>
      <c r="AL7" s="1728"/>
      <c r="AM7" s="1760"/>
      <c r="AN7" s="1761"/>
      <c r="AO7" s="1761"/>
      <c r="AP7" s="1761"/>
      <c r="AQ7" s="1761"/>
      <c r="AR7" s="1761"/>
      <c r="AS7" s="1761"/>
      <c r="AT7" s="1761"/>
      <c r="AU7" s="1762"/>
      <c r="AV7" s="1756"/>
      <c r="AW7" s="1757"/>
      <c r="AX7" s="1758"/>
      <c r="AY7" s="1758"/>
      <c r="AZ7" s="1758"/>
      <c r="BA7" s="1758"/>
      <c r="BB7" s="1758"/>
      <c r="BC7" s="1758"/>
      <c r="BD7" s="1758"/>
      <c r="BE7" s="1758"/>
      <c r="BF7" s="1758"/>
      <c r="BG7" s="1758"/>
      <c r="BH7" s="1758"/>
      <c r="BI7" s="1758"/>
      <c r="BJ7" s="1758"/>
      <c r="BK7" s="1758"/>
      <c r="BL7" s="1758"/>
      <c r="BM7" s="1758"/>
      <c r="BN7" s="1759"/>
      <c r="BO7" s="305"/>
    </row>
    <row r="8" spans="1:111" s="101" customFormat="1" ht="12" customHeight="1">
      <c r="A8" s="100"/>
      <c r="B8" s="1742" t="str">
        <f t="shared" ref="B8" si="0">F77&amp;" - "&amp;ROUNDDOWN(H77,0)&amp;"---"&amp;Q77</f>
        <v>76 - 84---C</v>
      </c>
      <c r="C8" s="1743"/>
      <c r="D8" s="1744"/>
      <c r="E8" s="1745"/>
      <c r="F8" s="1707"/>
      <c r="G8" s="1729"/>
      <c r="H8" s="1730"/>
      <c r="I8" s="1730"/>
      <c r="J8" s="1730"/>
      <c r="K8" s="1730"/>
      <c r="L8" s="1730"/>
      <c r="M8" s="1730"/>
      <c r="N8" s="1730"/>
      <c r="O8" s="1730"/>
      <c r="P8" s="1730"/>
      <c r="Q8" s="1730"/>
      <c r="R8" s="1731"/>
      <c r="S8" s="1289"/>
      <c r="T8" s="1284" t="s">
        <v>346</v>
      </c>
      <c r="U8" s="1285"/>
      <c r="V8" s="1285"/>
      <c r="W8" s="1285"/>
      <c r="X8" s="1285"/>
      <c r="Y8" s="1285"/>
      <c r="Z8" s="1285"/>
      <c r="AA8" s="1285"/>
      <c r="AB8" s="1285"/>
      <c r="AC8" s="1285"/>
      <c r="AD8" s="1285"/>
      <c r="AE8" s="1285"/>
      <c r="AF8" s="1285"/>
      <c r="AG8" s="1285"/>
      <c r="AH8" s="1285"/>
      <c r="AI8" s="1285"/>
      <c r="AJ8" s="1285"/>
      <c r="AK8" s="1286" t="s">
        <v>1012</v>
      </c>
      <c r="AL8" s="1296"/>
      <c r="AM8" s="1760"/>
      <c r="AN8" s="1761"/>
      <c r="AO8" s="1761"/>
      <c r="AP8" s="1761"/>
      <c r="AQ8" s="1761"/>
      <c r="AR8" s="1761"/>
      <c r="AS8" s="1761"/>
      <c r="AT8" s="1761"/>
      <c r="AU8" s="1762"/>
      <c r="AV8" s="1756" t="s">
        <v>135</v>
      </c>
      <c r="AW8" s="1297" t="s">
        <v>1013</v>
      </c>
      <c r="AX8" s="1298"/>
      <c r="AY8" s="1298"/>
      <c r="AZ8" s="1298"/>
      <c r="BA8" s="1298"/>
      <c r="BB8" s="1298"/>
      <c r="BC8" s="1298"/>
      <c r="BD8" s="1298"/>
      <c r="BE8" s="1298"/>
      <c r="BF8" s="1298"/>
      <c r="BG8" s="1298"/>
      <c r="BH8" s="1298"/>
      <c r="BI8" s="1298"/>
      <c r="BJ8" s="1298"/>
      <c r="BK8" s="1298"/>
      <c r="BL8" s="1298"/>
      <c r="BM8" s="1298"/>
      <c r="BN8" s="1299"/>
      <c r="BO8" s="100"/>
    </row>
    <row r="9" spans="1:111" ht="12" customHeight="1" thickBot="1">
      <c r="A9" s="67"/>
      <c r="B9" s="1742" t="str">
        <f>F78&amp;"  -  "&amp;ROUNDDOWN(H78,0)&amp;"---"&amp;Q78</f>
        <v>0  -  75---D</v>
      </c>
      <c r="C9" s="1743"/>
      <c r="D9" s="1746"/>
      <c r="E9" s="1747"/>
      <c r="F9" s="1707"/>
      <c r="G9" s="1729"/>
      <c r="H9" s="1730"/>
      <c r="I9" s="1730"/>
      <c r="J9" s="1730"/>
      <c r="K9" s="1730"/>
      <c r="L9" s="1730"/>
      <c r="M9" s="1730"/>
      <c r="N9" s="1730"/>
      <c r="O9" s="1730"/>
      <c r="P9" s="1730"/>
      <c r="Q9" s="1730"/>
      <c r="R9" s="1731"/>
      <c r="S9" s="1289"/>
      <c r="T9" s="1284" t="s">
        <v>354</v>
      </c>
      <c r="U9" s="1285"/>
      <c r="V9" s="1285"/>
      <c r="W9" s="1285"/>
      <c r="X9" s="1285"/>
      <c r="Y9" s="1285"/>
      <c r="Z9" s="1285"/>
      <c r="AA9" s="1285"/>
      <c r="AB9" s="1285"/>
      <c r="AC9" s="1285"/>
      <c r="AD9" s="1285"/>
      <c r="AE9" s="1285"/>
      <c r="AF9" s="1285"/>
      <c r="AG9" s="1285"/>
      <c r="AH9" s="1285"/>
      <c r="AI9" s="1285"/>
      <c r="AJ9" s="1285"/>
      <c r="AK9" s="1286" t="s">
        <v>1014</v>
      </c>
      <c r="AL9" s="1300"/>
      <c r="AM9" s="1760"/>
      <c r="AN9" s="1761"/>
      <c r="AO9" s="1761"/>
      <c r="AP9" s="1761"/>
      <c r="AQ9" s="1761"/>
      <c r="AR9" s="1761"/>
      <c r="AS9" s="1761"/>
      <c r="AT9" s="1761"/>
      <c r="AU9" s="1762"/>
      <c r="AV9" s="1756"/>
      <c r="AW9" s="1757" t="s">
        <v>1015</v>
      </c>
      <c r="AX9" s="1758"/>
      <c r="AY9" s="1758"/>
      <c r="AZ9" s="1758"/>
      <c r="BA9" s="1758"/>
      <c r="BB9" s="1758"/>
      <c r="BC9" s="1758"/>
      <c r="BD9" s="1758"/>
      <c r="BE9" s="1758"/>
      <c r="BF9" s="1758"/>
      <c r="BG9" s="1758"/>
      <c r="BH9" s="1758"/>
      <c r="BI9" s="1758"/>
      <c r="BJ9" s="1758"/>
      <c r="BK9" s="1758"/>
      <c r="BL9" s="1758"/>
      <c r="BM9" s="1758"/>
      <c r="BN9" s="1759"/>
      <c r="BO9" s="305"/>
    </row>
    <row r="10" spans="1:111" ht="12" customHeight="1">
      <c r="A10" s="67"/>
      <c r="B10" s="1667" t="str">
        <f>"Kelas : "&amp;Data!C9</f>
        <v>Kelas : 10 IIS 2</v>
      </c>
      <c r="C10" s="1668"/>
      <c r="D10" s="1671" t="str">
        <f>"Smt. "&amp;Data!C10&amp;" / Th.Plj : "&amp;Data!C11</f>
        <v>Smt. 1 / Th.Plj : 2022-2023</v>
      </c>
      <c r="E10" s="1672"/>
      <c r="F10" s="1707" t="s">
        <v>128</v>
      </c>
      <c r="G10" s="1709" t="s">
        <v>1016</v>
      </c>
      <c r="H10" s="1710"/>
      <c r="I10" s="1710"/>
      <c r="J10" s="1710"/>
      <c r="K10" s="1710"/>
      <c r="L10" s="1710"/>
      <c r="M10" s="1710"/>
      <c r="N10" s="1710"/>
      <c r="O10" s="1710"/>
      <c r="P10" s="1710"/>
      <c r="Q10" s="1710"/>
      <c r="R10" s="1711"/>
      <c r="S10" s="1289"/>
      <c r="T10" s="1754" t="s">
        <v>256</v>
      </c>
      <c r="U10" s="1285"/>
      <c r="V10" s="1285"/>
      <c r="W10" s="1285"/>
      <c r="X10" s="1285"/>
      <c r="Y10" s="1285"/>
      <c r="Z10" s="1285"/>
      <c r="AA10" s="1285"/>
      <c r="AB10" s="1285"/>
      <c r="AC10" s="1285"/>
      <c r="AD10" s="1285"/>
      <c r="AE10" s="1285"/>
      <c r="AF10" s="1285"/>
      <c r="AG10" s="1285"/>
      <c r="AH10" s="1285"/>
      <c r="AI10" s="1285"/>
      <c r="AJ10" s="1285"/>
      <c r="AK10" s="1755" t="s">
        <v>1017</v>
      </c>
      <c r="AL10" s="1728" t="s">
        <v>133</v>
      </c>
      <c r="AM10" s="1770" t="s">
        <v>1018</v>
      </c>
      <c r="AN10" s="1771"/>
      <c r="AO10" s="1771"/>
      <c r="AP10" s="1771"/>
      <c r="AQ10" s="1771"/>
      <c r="AR10" s="1771"/>
      <c r="AS10" s="1771"/>
      <c r="AT10" s="1771"/>
      <c r="AU10" s="1772"/>
      <c r="AV10" s="1756"/>
      <c r="AW10" s="1757"/>
      <c r="AX10" s="1758"/>
      <c r="AY10" s="1758"/>
      <c r="AZ10" s="1758"/>
      <c r="BA10" s="1758"/>
      <c r="BB10" s="1758"/>
      <c r="BC10" s="1758"/>
      <c r="BD10" s="1758"/>
      <c r="BE10" s="1758"/>
      <c r="BF10" s="1758"/>
      <c r="BG10" s="1758"/>
      <c r="BH10" s="1758"/>
      <c r="BI10" s="1758"/>
      <c r="BJ10" s="1758"/>
      <c r="BK10" s="1758"/>
      <c r="BL10" s="1758"/>
      <c r="BM10" s="1758"/>
      <c r="BN10" s="1759"/>
      <c r="BO10" s="305"/>
    </row>
    <row r="11" spans="1:111" s="3" customFormat="1" ht="12" customHeight="1" thickBot="1">
      <c r="A11" s="68"/>
      <c r="B11" s="1669"/>
      <c r="C11" s="1670"/>
      <c r="D11" s="1673"/>
      <c r="E11" s="1674"/>
      <c r="F11" s="1708"/>
      <c r="G11" s="1712"/>
      <c r="H11" s="1713"/>
      <c r="I11" s="1713"/>
      <c r="J11" s="1713"/>
      <c r="K11" s="1713"/>
      <c r="L11" s="1713"/>
      <c r="M11" s="1713"/>
      <c r="N11" s="1713"/>
      <c r="O11" s="1713"/>
      <c r="P11" s="1713"/>
      <c r="Q11" s="1713"/>
      <c r="R11" s="1714"/>
      <c r="S11" s="1301"/>
      <c r="T11" s="1767"/>
      <c r="U11" s="1302"/>
      <c r="V11" s="1302"/>
      <c r="W11" s="1302"/>
      <c r="X11" s="1302"/>
      <c r="Y11" s="1302"/>
      <c r="Z11" s="1302"/>
      <c r="AA11" s="1302"/>
      <c r="AB11" s="1302"/>
      <c r="AC11" s="1302"/>
      <c r="AD11" s="1302"/>
      <c r="AE11" s="1302"/>
      <c r="AF11" s="1302"/>
      <c r="AG11" s="1302"/>
      <c r="AH11" s="1302"/>
      <c r="AI11" s="1302"/>
      <c r="AJ11" s="1302"/>
      <c r="AK11" s="1768"/>
      <c r="AL11" s="1769"/>
      <c r="AM11" s="1773"/>
      <c r="AN11" s="1774"/>
      <c r="AO11" s="1774"/>
      <c r="AP11" s="1774"/>
      <c r="AQ11" s="1774"/>
      <c r="AR11" s="1774"/>
      <c r="AS11" s="1774"/>
      <c r="AT11" s="1774"/>
      <c r="AU11" s="1775"/>
      <c r="AV11" s="1763"/>
      <c r="AW11" s="1764"/>
      <c r="AX11" s="1765"/>
      <c r="AY11" s="1765"/>
      <c r="AZ11" s="1765"/>
      <c r="BA11" s="1765"/>
      <c r="BB11" s="1765"/>
      <c r="BC11" s="1765"/>
      <c r="BD11" s="1765"/>
      <c r="BE11" s="1765"/>
      <c r="BF11" s="1765"/>
      <c r="BG11" s="1765"/>
      <c r="BH11" s="1765"/>
      <c r="BI11" s="1765"/>
      <c r="BJ11" s="1765"/>
      <c r="BK11" s="1765"/>
      <c r="BL11" s="1765"/>
      <c r="BM11" s="1765"/>
      <c r="BN11" s="1766"/>
      <c r="BO11" s="68"/>
    </row>
    <row r="12" spans="1:111" ht="12.95" customHeight="1" thickBot="1">
      <c r="A12" s="67"/>
      <c r="B12" s="1675" t="s">
        <v>0</v>
      </c>
      <c r="C12" s="1676" t="s">
        <v>1</v>
      </c>
      <c r="D12" s="1676" t="s">
        <v>2</v>
      </c>
      <c r="E12" s="1677" t="s">
        <v>26</v>
      </c>
      <c r="F12" s="1684" t="s">
        <v>352</v>
      </c>
      <c r="G12" s="1685"/>
      <c r="H12" s="1685"/>
      <c r="I12" s="1685"/>
      <c r="J12" s="1685"/>
      <c r="K12" s="1685"/>
      <c r="L12" s="1685"/>
      <c r="M12" s="1685"/>
      <c r="N12" s="1685"/>
      <c r="O12" s="1686"/>
      <c r="P12" s="776" t="s">
        <v>353</v>
      </c>
      <c r="Q12" s="777" t="s">
        <v>346</v>
      </c>
      <c r="R12" s="778" t="s">
        <v>354</v>
      </c>
      <c r="S12" s="1680" t="s">
        <v>256</v>
      </c>
      <c r="T12" s="1687" t="s">
        <v>257</v>
      </c>
      <c r="U12" s="1201">
        <f t="shared" ref="U12:AD12" si="1">IF(COUNT(U14:U63)&gt;0,1,"")</f>
        <v>1</v>
      </c>
      <c r="V12" s="1201">
        <f t="shared" si="1"/>
        <v>1</v>
      </c>
      <c r="W12" s="1201">
        <f t="shared" si="1"/>
        <v>1</v>
      </c>
      <c r="X12" s="1201">
        <f t="shared" si="1"/>
        <v>1</v>
      </c>
      <c r="Y12" s="1201" t="str">
        <f t="shared" si="1"/>
        <v/>
      </c>
      <c r="Z12" s="1201" t="str">
        <f t="shared" si="1"/>
        <v/>
      </c>
      <c r="AA12" s="1201" t="str">
        <f t="shared" si="1"/>
        <v/>
      </c>
      <c r="AB12" s="1201" t="str">
        <f t="shared" si="1"/>
        <v/>
      </c>
      <c r="AC12" s="1201" t="str">
        <f t="shared" si="1"/>
        <v/>
      </c>
      <c r="AD12" s="1201" t="str">
        <f t="shared" si="1"/>
        <v/>
      </c>
      <c r="AE12" s="1202">
        <f>SUM(U12:AD12)</f>
        <v>4</v>
      </c>
      <c r="AF12" s="1202">
        <f>SUM(P13:R13)</f>
        <v>4</v>
      </c>
      <c r="AG12" s="779"/>
      <c r="AH12" s="779"/>
      <c r="AI12" s="779"/>
      <c r="AJ12" s="779"/>
      <c r="AK12" s="1682" t="s">
        <v>931</v>
      </c>
      <c r="AL12" s="1700" t="s">
        <v>148</v>
      </c>
      <c r="AM12" s="1702" t="s">
        <v>149</v>
      </c>
      <c r="AN12" s="1702" t="s">
        <v>150</v>
      </c>
      <c r="AO12" s="1702" t="s">
        <v>151</v>
      </c>
      <c r="AP12" s="1702" t="s">
        <v>152</v>
      </c>
      <c r="AQ12" s="1702" t="s">
        <v>153</v>
      </c>
      <c r="AR12" s="1702" t="s">
        <v>154</v>
      </c>
      <c r="AS12" s="1702" t="s">
        <v>155</v>
      </c>
      <c r="AT12" s="1702" t="s">
        <v>924</v>
      </c>
      <c r="AU12" s="1776" t="s">
        <v>929</v>
      </c>
      <c r="AV12" s="1678" t="s">
        <v>256</v>
      </c>
      <c r="AW12" s="1665" t="s">
        <v>257</v>
      </c>
      <c r="AX12" s="780">
        <v>0.01</v>
      </c>
      <c r="AY12" s="781">
        <v>0.02</v>
      </c>
      <c r="AZ12" s="781">
        <v>0.03</v>
      </c>
      <c r="BA12" s="781">
        <v>0.04</v>
      </c>
      <c r="BB12" s="781">
        <v>0.05</v>
      </c>
      <c r="BC12" s="781">
        <v>0.06</v>
      </c>
      <c r="BD12" s="781">
        <v>7.0000000000000007E-2</v>
      </c>
      <c r="BE12" s="781">
        <v>0.08</v>
      </c>
      <c r="BF12" s="781">
        <v>0.09</v>
      </c>
      <c r="BG12" s="781">
        <v>0.1</v>
      </c>
      <c r="BH12" s="783"/>
      <c r="BI12" s="783"/>
      <c r="BJ12" s="783"/>
      <c r="BK12" s="783"/>
      <c r="BL12" s="783"/>
      <c r="BM12" s="783"/>
      <c r="BN12" s="1661" t="s">
        <v>932</v>
      </c>
      <c r="BO12" s="305"/>
    </row>
    <row r="13" spans="1:111" ht="12.95" customHeight="1" thickBot="1">
      <c r="A13" s="67"/>
      <c r="B13" s="1629"/>
      <c r="C13" s="1631"/>
      <c r="D13" s="1631"/>
      <c r="E13" s="1633"/>
      <c r="F13" s="91" t="s">
        <v>908</v>
      </c>
      <c r="G13" s="92" t="s">
        <v>911</v>
      </c>
      <c r="H13" s="92" t="s">
        <v>912</v>
      </c>
      <c r="I13" s="92" t="s">
        <v>914</v>
      </c>
      <c r="J13" s="92" t="s">
        <v>915</v>
      </c>
      <c r="K13" s="92" t="s">
        <v>918</v>
      </c>
      <c r="L13" s="92" t="s">
        <v>919</v>
      </c>
      <c r="M13" s="1207" t="s">
        <v>921</v>
      </c>
      <c r="N13" s="92" t="s">
        <v>922</v>
      </c>
      <c r="O13" s="93" t="s">
        <v>927</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1701"/>
      <c r="AM13" s="1703"/>
      <c r="AN13" s="1703"/>
      <c r="AO13" s="1703"/>
      <c r="AP13" s="1703"/>
      <c r="AQ13" s="1703"/>
      <c r="AR13" s="1703"/>
      <c r="AS13" s="1703"/>
      <c r="AT13" s="1703"/>
      <c r="AU13" s="1777"/>
      <c r="AV13" s="1679"/>
      <c r="AW13" s="1666"/>
      <c r="AX13" s="1214">
        <f>AL13</f>
        <v>0</v>
      </c>
      <c r="AY13" s="1214">
        <f t="shared" ref="AY13:BG13" si="2">AM13</f>
        <v>0</v>
      </c>
      <c r="AZ13" s="1214">
        <f t="shared" si="2"/>
        <v>0</v>
      </c>
      <c r="BA13" s="1214">
        <f t="shared" si="2"/>
        <v>0</v>
      </c>
      <c r="BB13" s="1214">
        <f t="shared" si="2"/>
        <v>0</v>
      </c>
      <c r="BC13" s="1214">
        <f t="shared" si="2"/>
        <v>0</v>
      </c>
      <c r="BD13" s="1214">
        <f t="shared" si="2"/>
        <v>0</v>
      </c>
      <c r="BE13" s="1214">
        <f t="shared" si="2"/>
        <v>0</v>
      </c>
      <c r="BF13" s="1214">
        <f t="shared" si="2"/>
        <v>0</v>
      </c>
      <c r="BG13" s="1214">
        <f t="shared" si="2"/>
        <v>0</v>
      </c>
      <c r="BH13" s="1158" t="s">
        <v>4</v>
      </c>
      <c r="BI13" s="1158" t="s">
        <v>3</v>
      </c>
      <c r="BJ13" s="1663" t="s">
        <v>8</v>
      </c>
      <c r="BK13" s="1663"/>
      <c r="BL13" s="1664" t="s">
        <v>9</v>
      </c>
      <c r="BM13" s="1664"/>
      <c r="BN13" s="1662"/>
      <c r="BO13" s="305"/>
    </row>
    <row r="14" spans="1:111" ht="33" customHeight="1">
      <c r="A14" s="67"/>
      <c r="B14" s="268">
        <v>1</v>
      </c>
      <c r="C14" s="269">
        <f>IF(Data!F5="","",Data!F5)</f>
        <v>0</v>
      </c>
      <c r="D14" s="274" t="str">
        <f>IF(Data!H5="","",Data!H5)&amp;""&amp;IF('KD-PA'!G9="","","("&amp;'KD-PA'!G9&amp;")")</f>
        <v>Aldo Alfinus Pakae(Kristen)</v>
      </c>
      <c r="E14" s="271" t="str">
        <f>IF(Data!I5="","",Data!I5)</f>
        <v>L</v>
      </c>
      <c r="F14" s="1503">
        <v>95</v>
      </c>
      <c r="G14" s="1504">
        <v>95</v>
      </c>
      <c r="H14" s="1478"/>
      <c r="I14" s="1478"/>
      <c r="J14" s="1478"/>
      <c r="K14" s="277"/>
      <c r="L14" s="277"/>
      <c r="M14" s="280"/>
      <c r="N14" s="277"/>
      <c r="O14" s="278"/>
      <c r="P14" s="279">
        <f t="shared" ref="P14" si="3">IF(COUNT(U14:AD14)&lt;2,"",ROUND(AVERAGE(F14:O14),0))</f>
        <v>95</v>
      </c>
      <c r="Q14" s="1505">
        <v>95</v>
      </c>
      <c r="R14" s="1506">
        <v>95</v>
      </c>
      <c r="S14" s="281">
        <f t="shared" ref="S14" si="4">IFERROR(ROUND(((P14*$P$13)+(Q14*$Q$13)+(R14*$R$13))/$AF$12,0),"")</f>
        <v>95</v>
      </c>
      <c r="T14" s="295" t="str">
        <f t="shared" ref="T14" si="5">IF(S14="","",IF(S14&gt;$H$76,$Q$75,IF(S14&gt;$H$77,$Q$76,IF(S14&gt;$H$78,$Q$77,$Q$78))))</f>
        <v>A</v>
      </c>
      <c r="U14" s="1215">
        <f t="shared" ref="U14:AD39" si="6">IF(F14="","",F14+U$13)</f>
        <v>95.01</v>
      </c>
      <c r="V14" s="1216">
        <f t="shared" si="6"/>
        <v>95.02</v>
      </c>
      <c r="W14" s="1216" t="str">
        <f t="shared" si="6"/>
        <v/>
      </c>
      <c r="X14" s="1216" t="str">
        <f t="shared" si="6"/>
        <v/>
      </c>
      <c r="Y14" s="1216" t="str">
        <f t="shared" si="6"/>
        <v/>
      </c>
      <c r="Z14" s="1216" t="str">
        <f t="shared" si="6"/>
        <v/>
      </c>
      <c r="AA14" s="1216" t="str">
        <f t="shared" si="6"/>
        <v/>
      </c>
      <c r="AB14" s="1217" t="str">
        <f t="shared" si="6"/>
        <v/>
      </c>
      <c r="AC14" s="1216" t="str">
        <f t="shared" si="6"/>
        <v/>
      </c>
      <c r="AD14" s="1218" t="str">
        <f t="shared" si="6"/>
        <v/>
      </c>
      <c r="AE14" s="1219">
        <f t="shared" ref="AE14" si="7">MAX(U14:AD14)</f>
        <v>95.02</v>
      </c>
      <c r="AF14" s="282">
        <f t="shared" ref="AF14" si="8">MIN(U14:AD14)</f>
        <v>95.01</v>
      </c>
      <c r="AG14" s="282" t="str">
        <f t="shared" ref="AG14:AH29" si="9">IF(AE14&gt;$H$76,$I$75,IF(AE14&gt;$H$77,$I$76,IF(AE14&gt;$H$78,$I$77,$I$78)))</f>
        <v>sangat baik</v>
      </c>
      <c r="AH14" s="282" t="str">
        <f t="shared" si="9"/>
        <v>sangat baik</v>
      </c>
      <c r="AI14" s="282">
        <f t="shared" ref="AI14" si="10">IFERROR(MATCH(AE14,U14:AD14,0),"")</f>
        <v>2</v>
      </c>
      <c r="AJ14" s="283">
        <f t="shared" ref="AJ14" si="11">IFERROR(MATCH(AF14,U14:AD14,0),"")</f>
        <v>1</v>
      </c>
      <c r="AK14" s="284" t="str">
        <f>IF(P14="","",IFERROR("Memiliki kemampuan "&amp;IF(AG14=AH14,AG14&amp;" dalam "&amp;VLOOKUP(AI14,'KD-PA'!$I$9:$N$18,'KD-PA'!F9+1)&amp;" dan "&amp;VLOOKUP(AJ14,'KD-PA'!$I$9:$N$18,'KD-PA'!F9+1),AG14&amp;" dalam "&amp;VLOOKUP(AI14,'KD-PA'!$I$9:$N$18,'KD-PA'!F9+1)&amp;", "&amp;AH14&amp;" kemampuan dalam "&amp;VLOOKUP(AJ14,'KD-PA'!$I$9:$N$18,'KD-PA'!F9+1)),""))</f>
        <v>Memiliki kemampuan sangat baik dalam Memahami keberadaan Allah sebagai pembaharu kehidupan  dan Menjelaskan makna kebersamaan dengan orang lain</v>
      </c>
      <c r="AL14" s="1503">
        <v>95</v>
      </c>
      <c r="AM14" s="1504">
        <v>95</v>
      </c>
      <c r="AN14" s="277"/>
      <c r="AO14" s="277"/>
      <c r="AP14" s="277"/>
      <c r="AQ14" s="277"/>
      <c r="AR14" s="277"/>
      <c r="AS14" s="280"/>
      <c r="AT14" s="277"/>
      <c r="AU14" s="278"/>
      <c r="AV14" s="285">
        <f t="shared" ref="AV14" si="12">IF(COUNT(AL14:AU14)&lt;2,"",ROUND(AVERAGE(AL14:AU14),0))</f>
        <v>95</v>
      </c>
      <c r="AW14" s="296" t="str">
        <f t="shared" ref="AW14" si="13">IF(AV14="","",IF(AV14&gt;$AN$76,$AV$75,IF(AV14&gt;$AN$77,$AV$76,IF(AV14&gt;$AN$78,$AV$77,$AV$78))))</f>
        <v>A</v>
      </c>
      <c r="AX14" s="1220">
        <f t="shared" ref="AX14:BG29" si="14">IF(AL14="","",AL14+AX$12)</f>
        <v>95.01</v>
      </c>
      <c r="AY14" s="1221">
        <f t="shared" si="14"/>
        <v>95.02</v>
      </c>
      <c r="AZ14" s="1221" t="str">
        <f t="shared" si="14"/>
        <v/>
      </c>
      <c r="BA14" s="1221" t="str">
        <f t="shared" si="14"/>
        <v/>
      </c>
      <c r="BB14" s="1221" t="str">
        <f t="shared" si="14"/>
        <v/>
      </c>
      <c r="BC14" s="1221" t="str">
        <f t="shared" si="14"/>
        <v/>
      </c>
      <c r="BD14" s="1221" t="str">
        <f t="shared" si="14"/>
        <v/>
      </c>
      <c r="BE14" s="1222" t="str">
        <f t="shared" si="14"/>
        <v/>
      </c>
      <c r="BF14" s="1221" t="str">
        <f t="shared" si="14"/>
        <v/>
      </c>
      <c r="BG14" s="1223" t="str">
        <f t="shared" si="14"/>
        <v/>
      </c>
      <c r="BH14" s="286">
        <f t="shared" ref="BH14" si="15">MAX(AX14:BG14)</f>
        <v>95.02</v>
      </c>
      <c r="BI14" s="286">
        <f t="shared" ref="BI14" si="16">MIN(AX14:BG14)</f>
        <v>95.01</v>
      </c>
      <c r="BJ14" s="287" t="str">
        <f t="shared" ref="BJ14:BK14" si="17">IF(BH14&gt;$H$76,$AO$75,IF(BH14&gt;$H$77,$AO$76,IF(BH14&gt;$H$78,$AO$77,$AO$78)))</f>
        <v>sangat baik</v>
      </c>
      <c r="BK14" s="287" t="str">
        <f t="shared" si="17"/>
        <v>sangat baik</v>
      </c>
      <c r="BL14" s="286">
        <f t="shared" ref="BL14" si="18">MATCH(BH14,AX14:BG14,0)</f>
        <v>2</v>
      </c>
      <c r="BM14" s="288">
        <f t="shared" ref="BM14" si="19">MATCH(BI14,AX14:BG14,0)</f>
        <v>1</v>
      </c>
      <c r="BN14" s="289" t="str">
        <f>IF(AV14="","",IFERROR("Memiliki keterampilan "&amp;IF(BJ14=BK14,BJ14&amp;" dalam "&amp;VLOOKUP(BL14,'KD-PA'!$I$21:$N$30,'KD-PA'!F9+1)&amp;" dan "&amp;VLOOKUP(BM14,'KD-PA'!$I$21:$N$30,'KD-PA'!F9+1),BJ14&amp;" dalam "&amp;VLOOKUP(BL14,'KD-PA'!$I$21:$N$30,'KD-PA'!F9+1)&amp;", "&amp;BK14&amp;" keterampilan dalam "&amp;VLOOKUP(BM14,'KD-PA'!$I$21:$N$30,'KD-PA'!F9+1)),""))</f>
        <v xml:space="preserve">Memiliki keterampilan sangat baik dalam Melaksanakan buah-buah Roh dalam surat Paulus di jemaat Galatia dan Menunjukkan hal-hal yang positif dan negatif manusia </v>
      </c>
      <c r="BO14" s="305"/>
    </row>
    <row r="15" spans="1:111" ht="33" customHeight="1">
      <c r="A15" s="67"/>
      <c r="B15" s="272">
        <f t="shared" ref="B15:B46" si="20">IF(D15="","",B14+1)</f>
        <v>2</v>
      </c>
      <c r="C15" s="273">
        <f>IF(Data!F6="","",Data!F6)</f>
        <v>0</v>
      </c>
      <c r="D15" s="274" t="str">
        <f>IF(Data!H6="","",Data!H6)&amp;""&amp;IF('KD-PA'!G10="","","("&amp;'KD-PA'!G10&amp;")")</f>
        <v>Aprianus Bira(Kristen)</v>
      </c>
      <c r="E15" s="275" t="str">
        <f>IF(Data!I6="","",Data!I6)</f>
        <v>L</v>
      </c>
      <c r="F15" s="1503">
        <v>90</v>
      </c>
      <c r="G15" s="1504">
        <v>90</v>
      </c>
      <c r="H15" s="1478"/>
      <c r="I15" s="1478"/>
      <c r="J15" s="1478"/>
      <c r="K15" s="277"/>
      <c r="L15" s="277"/>
      <c r="M15" s="280"/>
      <c r="N15" s="277"/>
      <c r="O15" s="278"/>
      <c r="P15" s="279">
        <f>IF(COUNT(U15:AD15)&lt;2,"",ROUND(AVERAGE(F15:O15),0))</f>
        <v>90</v>
      </c>
      <c r="Q15" s="1504">
        <v>90</v>
      </c>
      <c r="R15" s="1507">
        <v>90</v>
      </c>
      <c r="S15" s="281">
        <f>IFERROR(ROUND(((P15*$P$13)+(Q15*$Q$13)+(R15*$R$13))/$AF$12,0),"")</f>
        <v>90</v>
      </c>
      <c r="T15" s="295" t="str">
        <f>IF(S15="","",IF(S15&gt;$H$76,$Q$75,IF(S15&gt;$H$77,$Q$76,IF(S15&gt;$H$78,$Q$77,$Q$78))))</f>
        <v>B</v>
      </c>
      <c r="U15" s="1215">
        <f t="shared" si="6"/>
        <v>90.01</v>
      </c>
      <c r="V15" s="1216">
        <f t="shared" si="6"/>
        <v>90.02</v>
      </c>
      <c r="W15" s="1216" t="str">
        <f t="shared" si="6"/>
        <v/>
      </c>
      <c r="X15" s="1216" t="str">
        <f t="shared" si="6"/>
        <v/>
      </c>
      <c r="Y15" s="1216" t="str">
        <f t="shared" si="6"/>
        <v/>
      </c>
      <c r="Z15" s="1216" t="str">
        <f t="shared" si="6"/>
        <v/>
      </c>
      <c r="AA15" s="1216" t="str">
        <f t="shared" si="6"/>
        <v/>
      </c>
      <c r="AB15" s="1217" t="str">
        <f t="shared" si="6"/>
        <v/>
      </c>
      <c r="AC15" s="1216" t="str">
        <f t="shared" si="6"/>
        <v/>
      </c>
      <c r="AD15" s="1218" t="str">
        <f t="shared" si="6"/>
        <v/>
      </c>
      <c r="AE15" s="1219">
        <f>MAX(U15:AD15)</f>
        <v>90.02</v>
      </c>
      <c r="AF15" s="282">
        <f>MIN(U15:AD15)</f>
        <v>90.01</v>
      </c>
      <c r="AG15" s="282" t="str">
        <f t="shared" si="9"/>
        <v>baik</v>
      </c>
      <c r="AH15" s="282" t="str">
        <f t="shared" si="9"/>
        <v>baik</v>
      </c>
      <c r="AI15" s="282">
        <f>IFERROR(MATCH(AE15,U15:AD15,0),"")</f>
        <v>2</v>
      </c>
      <c r="AJ15" s="283">
        <f>IFERROR(MATCH(AF15,U15:AD15,0),"")</f>
        <v>1</v>
      </c>
      <c r="AK15" s="284" t="str">
        <f>IF(P15="","",IFERROR("Memiliki kemampuan "&amp;IF(AG15=AH15,AG15&amp;" dalam "&amp;VLOOKUP(AI15,'KD-PA'!$I$9:$N$18,'KD-PA'!F10+1)&amp;" dan "&amp;VLOOKUP(AJ15,'KD-PA'!$I$9:$N$18,'KD-PA'!F10+1),AG15&amp;" dalam "&amp;VLOOKUP(AI15,'KD-PA'!$I$9:$N$18,'KD-PA'!F10+1)&amp;", "&amp;AH15&amp;" kemampuan dalam "&amp;VLOOKUP(AJ15,'KD-PA'!$I$9:$N$18,'KD-PA'!F10+1)),""))</f>
        <v>Memiliki kemampuan baik dalam Memahami keberadaan Allah sebagai pembaharu kehidupan  dan Menjelaskan makna kebersamaan dengan orang lain</v>
      </c>
      <c r="AL15" s="1503">
        <v>90</v>
      </c>
      <c r="AM15" s="1504">
        <v>90</v>
      </c>
      <c r="AN15" s="277"/>
      <c r="AO15" s="277"/>
      <c r="AP15" s="277"/>
      <c r="AQ15" s="277"/>
      <c r="AR15" s="277"/>
      <c r="AS15" s="280"/>
      <c r="AT15" s="277"/>
      <c r="AU15" s="278"/>
      <c r="AV15" s="285">
        <f>IF(COUNT(AL15:AU15)&lt;2,"",ROUND(AVERAGE(AL15:AU15),0))</f>
        <v>90</v>
      </c>
      <c r="AW15" s="296" t="str">
        <f>IF(AV15="","",IF(AV15&gt;$AN$76,$AV$75,IF(AV15&gt;$AN$77,$AV$76,IF(AV15&gt;$AN$78,$AV$77,$AV$78))))</f>
        <v>B</v>
      </c>
      <c r="AX15" s="1220">
        <f t="shared" si="14"/>
        <v>90.01</v>
      </c>
      <c r="AY15" s="1221">
        <f t="shared" si="14"/>
        <v>90.02</v>
      </c>
      <c r="AZ15" s="1221" t="str">
        <f>IF(AN15="","",AN15+AZ$12)</f>
        <v/>
      </c>
      <c r="BA15" s="1221" t="str">
        <f t="shared" si="14"/>
        <v/>
      </c>
      <c r="BB15" s="1221" t="str">
        <f t="shared" si="14"/>
        <v/>
      </c>
      <c r="BC15" s="1221" t="str">
        <f t="shared" si="14"/>
        <v/>
      </c>
      <c r="BD15" s="1221" t="str">
        <f t="shared" si="14"/>
        <v/>
      </c>
      <c r="BE15" s="1222" t="str">
        <f t="shared" si="14"/>
        <v/>
      </c>
      <c r="BF15" s="1221" t="str">
        <f t="shared" si="14"/>
        <v/>
      </c>
      <c r="BG15" s="1223" t="str">
        <f t="shared" si="14"/>
        <v/>
      </c>
      <c r="BH15" s="286">
        <f>MAX(AX15:BG15)</f>
        <v>90.02</v>
      </c>
      <c r="BI15" s="286">
        <f>MIN(AX15:BG15)</f>
        <v>90.01</v>
      </c>
      <c r="BJ15" s="287" t="str">
        <f>IF(BH15&gt;$H$76,$AO$75,IF(BH15&gt;$H$77,$AO$76,IF(BH15&gt;$H$78,$AO$77,$AO$78)))</f>
        <v>baik</v>
      </c>
      <c r="BK15" s="287" t="str">
        <f>IF(BI15&gt;$H$76,$AO$75,IF(BI15&gt;$H$77,$AO$76,IF(BI15&gt;$H$78,$AO$77,$AO$78)))</f>
        <v>baik</v>
      </c>
      <c r="BL15" s="286">
        <f>MATCH(BH15,AX15:BG15,0)</f>
        <v>2</v>
      </c>
      <c r="BM15" s="288">
        <f>MATCH(BI15,AX15:BG15,0)</f>
        <v>1</v>
      </c>
      <c r="BN15" s="289" t="str">
        <f>IF(AV15="","",IFERROR("Memiliki keterampilan "&amp;IF(BJ15=BK15,BJ15&amp;" dalam "&amp;VLOOKUP(BL15,'KD-PA'!$I$21:$N$30,'KD-PA'!F10+1)&amp;" dan "&amp;VLOOKUP(BM15,'KD-PA'!$I$21:$N$30,'KD-PA'!F10+1),BJ15&amp;" dalam "&amp;VLOOKUP(BL15,'KD-PA'!$I$21:$N$30,'KD-PA'!F10+1)&amp;", "&amp;BK15&amp;" keterampilan dalam "&amp;VLOOKUP(BM15,'KD-PA'!$I$21:$N$30,'KD-PA'!F10+1)),""))</f>
        <v xml:space="preserve">Memiliki keterampilan baik dalam Melaksanakan buah-buah Roh dalam surat Paulus di jemaat Galatia dan Menunjukkan hal-hal yang positif dan negatif manusia </v>
      </c>
      <c r="BO15" s="305"/>
    </row>
    <row r="16" spans="1:111" ht="33" customHeight="1">
      <c r="A16" s="67"/>
      <c r="B16" s="272">
        <f t="shared" si="20"/>
        <v>3</v>
      </c>
      <c r="C16" s="273">
        <f>IF(Data!F7="","",Data!F7)</f>
        <v>0</v>
      </c>
      <c r="D16" s="274" t="str">
        <f>IF(Data!H7="","",Data!H7)&amp;""&amp;IF('KD-PA'!G11="","","("&amp;'KD-PA'!G11&amp;")")</f>
        <v>Asri Aldina Baksuni(Kristen)</v>
      </c>
      <c r="E16" s="275" t="str">
        <f>IF(Data!I7="","",Data!I7)</f>
        <v>P</v>
      </c>
      <c r="F16" s="1503">
        <v>95</v>
      </c>
      <c r="G16" s="1504">
        <v>95</v>
      </c>
      <c r="H16" s="1478"/>
      <c r="I16" s="1478"/>
      <c r="J16" s="1478"/>
      <c r="K16" s="277"/>
      <c r="L16" s="277"/>
      <c r="M16" s="280"/>
      <c r="N16" s="277"/>
      <c r="O16" s="278"/>
      <c r="P16" s="279">
        <f t="shared" ref="P16:P63" si="21">IF(COUNT(U16:AD16)&lt;2,"",ROUND(AVERAGE(F16:O16),0))</f>
        <v>95</v>
      </c>
      <c r="Q16" s="1504">
        <v>95</v>
      </c>
      <c r="R16" s="1507">
        <v>95</v>
      </c>
      <c r="S16" s="281">
        <f t="shared" ref="S16:S63" si="22">IFERROR(ROUND(((P16*$P$13)+(Q16*$Q$13)+(R16*$R$13))/$AF$12,0),"")</f>
        <v>95</v>
      </c>
      <c r="T16" s="295" t="str">
        <f t="shared" ref="T16:T63" si="23">IF(S16="","",IF(S16&gt;$H$76,$Q$75,IF(S16&gt;$H$77,$Q$76,IF(S16&gt;$H$78,$Q$77,$Q$78))))</f>
        <v>A</v>
      </c>
      <c r="U16" s="1215">
        <f t="shared" si="6"/>
        <v>95.01</v>
      </c>
      <c r="V16" s="1216">
        <f t="shared" si="6"/>
        <v>95.02</v>
      </c>
      <c r="W16" s="1216" t="str">
        <f t="shared" si="6"/>
        <v/>
      </c>
      <c r="X16" s="1216" t="str">
        <f t="shared" si="6"/>
        <v/>
      </c>
      <c r="Y16" s="1216" t="str">
        <f t="shared" si="6"/>
        <v/>
      </c>
      <c r="Z16" s="1216" t="str">
        <f t="shared" si="6"/>
        <v/>
      </c>
      <c r="AA16" s="1216" t="str">
        <f t="shared" si="6"/>
        <v/>
      </c>
      <c r="AB16" s="1217" t="str">
        <f t="shared" si="6"/>
        <v/>
      </c>
      <c r="AC16" s="1216" t="str">
        <f t="shared" si="6"/>
        <v/>
      </c>
      <c r="AD16" s="1218" t="str">
        <f t="shared" si="6"/>
        <v/>
      </c>
      <c r="AE16" s="1219">
        <f t="shared" ref="AE16:AE63" si="24">MAX(U16:AD16)</f>
        <v>95.02</v>
      </c>
      <c r="AF16" s="282">
        <f t="shared" ref="AF16:AF63" si="25">MIN(U16:AD16)</f>
        <v>95.01</v>
      </c>
      <c r="AG16" s="282" t="str">
        <f t="shared" si="9"/>
        <v>sangat baik</v>
      </c>
      <c r="AH16" s="282" t="str">
        <f t="shared" si="9"/>
        <v>sangat baik</v>
      </c>
      <c r="AI16" s="282">
        <f t="shared" ref="AI16:AI63" si="26">IFERROR(MATCH(AE16,U16:AD16,0),"")</f>
        <v>2</v>
      </c>
      <c r="AJ16" s="283">
        <f t="shared" ref="AJ16:AJ63" si="27">IFERROR(MATCH(AF16,U16:AD16,0),"")</f>
        <v>1</v>
      </c>
      <c r="AK16" s="284" t="str">
        <f>IF(P16="","",IFERROR("Memiliki kemampuan "&amp;IF(AG16=AH16,AG16&amp;" dalam "&amp;VLOOKUP(AI16,'KD-PA'!$I$9:$N$18,'KD-PA'!F11+1)&amp;" dan "&amp;VLOOKUP(AJ16,'KD-PA'!$I$9:$N$18,'KD-PA'!F11+1),AG16&amp;" dalam "&amp;VLOOKUP(AI16,'KD-PA'!$I$9:$N$18,'KD-PA'!F11+1)&amp;", "&amp;AH16&amp;" kemampuan dalam "&amp;VLOOKUP(AJ16,'KD-PA'!$I$9:$N$18,'KD-PA'!F11+1)),""))</f>
        <v>Memiliki kemampuan sangat baik dalam Memahami keberadaan Allah sebagai pembaharu kehidupan  dan Menjelaskan makna kebersamaan dengan orang lain</v>
      </c>
      <c r="AL16" s="1503">
        <v>95</v>
      </c>
      <c r="AM16" s="1504">
        <v>95</v>
      </c>
      <c r="AN16" s="277"/>
      <c r="AO16" s="277"/>
      <c r="AP16" s="277"/>
      <c r="AQ16" s="277"/>
      <c r="AR16" s="277"/>
      <c r="AS16" s="280"/>
      <c r="AT16" s="277"/>
      <c r="AU16" s="278"/>
      <c r="AV16" s="285">
        <f>IF(COUNT(AL16:AU16)&lt;2,"",ROUND(AVERAGE(AL16:AU16),0))</f>
        <v>95</v>
      </c>
      <c r="AW16" s="296" t="str">
        <f t="shared" ref="AW16:AW63" si="28">IF(AV16="","",IF(AV16&gt;$AN$76,$AV$75,IF(AV16&gt;$AN$77,$AV$76,IF(AV16&gt;$AN$78,$AV$77,$AV$78))))</f>
        <v>A</v>
      </c>
      <c r="AX16" s="1220">
        <f t="shared" si="14"/>
        <v>95.01</v>
      </c>
      <c r="AY16" s="1221">
        <f t="shared" si="14"/>
        <v>95.02</v>
      </c>
      <c r="AZ16" s="1221" t="str">
        <f t="shared" si="14"/>
        <v/>
      </c>
      <c r="BA16" s="1221" t="str">
        <f t="shared" si="14"/>
        <v/>
      </c>
      <c r="BB16" s="1221" t="str">
        <f t="shared" si="14"/>
        <v/>
      </c>
      <c r="BC16" s="1221" t="str">
        <f t="shared" si="14"/>
        <v/>
      </c>
      <c r="BD16" s="1221" t="str">
        <f t="shared" si="14"/>
        <v/>
      </c>
      <c r="BE16" s="1222" t="str">
        <f t="shared" si="14"/>
        <v/>
      </c>
      <c r="BF16" s="1221" t="str">
        <f t="shared" si="14"/>
        <v/>
      </c>
      <c r="BG16" s="1223" t="str">
        <f t="shared" si="14"/>
        <v/>
      </c>
      <c r="BH16" s="286">
        <f t="shared" ref="BH16:BH63" si="29">MAX(AX16:BG16)</f>
        <v>95.02</v>
      </c>
      <c r="BI16" s="286">
        <f>MIN(AX16:BG16)</f>
        <v>95.01</v>
      </c>
      <c r="BJ16" s="287" t="str">
        <f t="shared" ref="BJ16:BK63" si="30">IF(BH16&gt;$H$76,$AO$75,IF(BH16&gt;$H$77,$AO$76,IF(BH16&gt;$H$78,$AO$77,$AO$78)))</f>
        <v>sangat baik</v>
      </c>
      <c r="BK16" s="287" t="str">
        <f t="shared" si="30"/>
        <v>sangat baik</v>
      </c>
      <c r="BL16" s="286">
        <f>MATCH(BH16,AX16:BG16,0)</f>
        <v>2</v>
      </c>
      <c r="BM16" s="288">
        <f t="shared" ref="BM16:BM63" si="31">MATCH(BI16,AX16:BG16,0)</f>
        <v>1</v>
      </c>
      <c r="BN16" s="289" t="str">
        <f>IF(AV16="","",IFERROR("Memiliki keterampilan "&amp;IF(BJ16=BK16,BJ16&amp;" dalam "&amp;VLOOKUP(BL16,'KD-PA'!$I$21:$N$30,'KD-PA'!F11+1)&amp;" dan "&amp;VLOOKUP(BM16,'KD-PA'!$I$21:$N$30,'KD-PA'!F11+1),BJ16&amp;" dalam "&amp;VLOOKUP(BL16,'KD-PA'!$I$21:$N$30,'KD-PA'!F11+1)&amp;", "&amp;BK16&amp;" keterampilan dalam "&amp;VLOOKUP(BM16,'KD-PA'!$I$21:$N$30,'KD-PA'!F11+1)),""))</f>
        <v xml:space="preserve">Memiliki keterampilan sangat baik dalam Melaksanakan buah-buah Roh dalam surat Paulus di jemaat Galatia dan Menunjukkan hal-hal yang positif dan negatif manusia </v>
      </c>
      <c r="BO16" s="305"/>
    </row>
    <row r="17" spans="1:67" ht="33" customHeight="1">
      <c r="A17" s="67"/>
      <c r="B17" s="272">
        <f t="shared" si="20"/>
        <v>4</v>
      </c>
      <c r="C17" s="273">
        <f>IF(Data!F8="","",Data!F8)</f>
        <v>0</v>
      </c>
      <c r="D17" s="274" t="str">
        <f>IF(Data!H8="","",Data!H8)&amp;""&amp;IF('KD-PA'!G12="","","("&amp;'KD-PA'!G12&amp;")")</f>
        <v>Asti Welmince Welkis(Kristen)</v>
      </c>
      <c r="E17" s="275" t="str">
        <f>IF(Data!I8="","",Data!I8)</f>
        <v>P</v>
      </c>
      <c r="F17" s="1503">
        <v>90</v>
      </c>
      <c r="G17" s="1504">
        <v>90</v>
      </c>
      <c r="H17" s="1479"/>
      <c r="I17" s="1479"/>
      <c r="J17" s="1479"/>
      <c r="K17" s="277"/>
      <c r="L17" s="277"/>
      <c r="M17" s="280"/>
      <c r="N17" s="277"/>
      <c r="O17" s="278"/>
      <c r="P17" s="279">
        <f t="shared" si="21"/>
        <v>90</v>
      </c>
      <c r="Q17" s="1504">
        <v>90</v>
      </c>
      <c r="R17" s="1507">
        <v>90</v>
      </c>
      <c r="S17" s="281">
        <f t="shared" si="22"/>
        <v>90</v>
      </c>
      <c r="T17" s="295" t="str">
        <f t="shared" si="23"/>
        <v>B</v>
      </c>
      <c r="U17" s="1215">
        <f t="shared" si="6"/>
        <v>90.01</v>
      </c>
      <c r="V17" s="1216">
        <f t="shared" si="6"/>
        <v>90.02</v>
      </c>
      <c r="W17" s="1216" t="str">
        <f t="shared" si="6"/>
        <v/>
      </c>
      <c r="X17" s="1216" t="str">
        <f t="shared" si="6"/>
        <v/>
      </c>
      <c r="Y17" s="1216" t="str">
        <f t="shared" si="6"/>
        <v/>
      </c>
      <c r="Z17" s="1216" t="str">
        <f t="shared" si="6"/>
        <v/>
      </c>
      <c r="AA17" s="1216" t="str">
        <f t="shared" si="6"/>
        <v/>
      </c>
      <c r="AB17" s="1217" t="str">
        <f t="shared" si="6"/>
        <v/>
      </c>
      <c r="AC17" s="1216" t="str">
        <f t="shared" si="6"/>
        <v/>
      </c>
      <c r="AD17" s="1218" t="str">
        <f t="shared" si="6"/>
        <v/>
      </c>
      <c r="AE17" s="1219">
        <f t="shared" si="24"/>
        <v>90.02</v>
      </c>
      <c r="AF17" s="282">
        <f t="shared" si="25"/>
        <v>90.01</v>
      </c>
      <c r="AG17" s="282" t="str">
        <f t="shared" si="9"/>
        <v>baik</v>
      </c>
      <c r="AH17" s="282" t="str">
        <f t="shared" si="9"/>
        <v>baik</v>
      </c>
      <c r="AI17" s="282">
        <f t="shared" si="26"/>
        <v>2</v>
      </c>
      <c r="AJ17" s="283">
        <f t="shared" si="27"/>
        <v>1</v>
      </c>
      <c r="AK17" s="284" t="str">
        <f>IF(P17="","",IFERROR("Memiliki kemampuan "&amp;IF(AG17=AH17,AG17&amp;" dalam "&amp;VLOOKUP(AI17,'KD-PA'!$I$9:$N$18,'KD-PA'!F12+1)&amp;" dan "&amp;VLOOKUP(AJ17,'KD-PA'!$I$9:$N$18,'KD-PA'!F12+1),AG17&amp;" dalam "&amp;VLOOKUP(AI17,'KD-PA'!$I$9:$N$18,'KD-PA'!F12+1)&amp;", "&amp;AH17&amp;" kemampuan dalam "&amp;VLOOKUP(AJ17,'KD-PA'!$I$9:$N$18,'KD-PA'!F12+1)),""))</f>
        <v>Memiliki kemampuan baik dalam Memahami keberadaan Allah sebagai pembaharu kehidupan  dan Menjelaskan makna kebersamaan dengan orang lain</v>
      </c>
      <c r="AL17" s="1503">
        <v>90</v>
      </c>
      <c r="AM17" s="1504">
        <v>90</v>
      </c>
      <c r="AN17" s="277"/>
      <c r="AO17" s="277"/>
      <c r="AP17" s="277"/>
      <c r="AQ17" s="277"/>
      <c r="AR17" s="277"/>
      <c r="AS17" s="280"/>
      <c r="AT17" s="277"/>
      <c r="AU17" s="278"/>
      <c r="AV17" s="285">
        <f t="shared" ref="AV17:AV63" si="32">IF(COUNT(AL17:AU17)&lt;2,"",ROUND(AVERAGE(AL17:AU17),0))</f>
        <v>90</v>
      </c>
      <c r="AW17" s="296" t="str">
        <f t="shared" si="28"/>
        <v>B</v>
      </c>
      <c r="AX17" s="1220">
        <f t="shared" si="14"/>
        <v>90.01</v>
      </c>
      <c r="AY17" s="1221">
        <f t="shared" si="14"/>
        <v>90.02</v>
      </c>
      <c r="AZ17" s="1221" t="str">
        <f t="shared" si="14"/>
        <v/>
      </c>
      <c r="BA17" s="1221" t="str">
        <f t="shared" si="14"/>
        <v/>
      </c>
      <c r="BB17" s="1221" t="str">
        <f t="shared" si="14"/>
        <v/>
      </c>
      <c r="BC17" s="1221" t="str">
        <f t="shared" si="14"/>
        <v/>
      </c>
      <c r="BD17" s="1221" t="str">
        <f t="shared" si="14"/>
        <v/>
      </c>
      <c r="BE17" s="1222" t="str">
        <f t="shared" si="14"/>
        <v/>
      </c>
      <c r="BF17" s="1221" t="str">
        <f t="shared" si="14"/>
        <v/>
      </c>
      <c r="BG17" s="1223" t="str">
        <f t="shared" si="14"/>
        <v/>
      </c>
      <c r="BH17" s="286">
        <f t="shared" si="29"/>
        <v>90.02</v>
      </c>
      <c r="BI17" s="286">
        <f t="shared" ref="BI17:BI63" si="33">MIN(AX17:BG17)</f>
        <v>90.01</v>
      </c>
      <c r="BJ17" s="287" t="str">
        <f t="shared" si="30"/>
        <v>baik</v>
      </c>
      <c r="BK17" s="287" t="str">
        <f t="shared" si="30"/>
        <v>baik</v>
      </c>
      <c r="BL17" s="286">
        <f t="shared" ref="BL17:BL63" si="34">MATCH(BH17,AX17:BG17,0)</f>
        <v>2</v>
      </c>
      <c r="BM17" s="288">
        <f t="shared" si="31"/>
        <v>1</v>
      </c>
      <c r="BN17" s="289" t="str">
        <f>IF(AV17="","",IFERROR("Memiliki keterampilan "&amp;IF(BJ17=BK17,BJ17&amp;" dalam "&amp;VLOOKUP(BL17,'KD-PA'!$I$21:$N$30,'KD-PA'!F12+1)&amp;" dan "&amp;VLOOKUP(BM17,'KD-PA'!$I$21:$N$30,'KD-PA'!F12+1),BJ17&amp;" dalam "&amp;VLOOKUP(BL17,'KD-PA'!$I$21:$N$30,'KD-PA'!F12+1)&amp;", "&amp;BK17&amp;" keterampilan dalam "&amp;VLOOKUP(BM17,'KD-PA'!$I$21:$N$30,'KD-PA'!F12+1)),""))</f>
        <v xml:space="preserve">Memiliki keterampilan baik dalam Melaksanakan buah-buah Roh dalam surat Paulus di jemaat Galatia dan Menunjukkan hal-hal yang positif dan negatif manusia </v>
      </c>
      <c r="BO17" s="305"/>
    </row>
    <row r="18" spans="1:67" ht="33" customHeight="1">
      <c r="A18" s="67"/>
      <c r="B18" s="272">
        <f t="shared" si="20"/>
        <v>5</v>
      </c>
      <c r="C18" s="273">
        <f>IF(Data!F9="","",Data!F9)</f>
        <v>0</v>
      </c>
      <c r="D18" s="274" t="str">
        <f>IF(Data!H9="","",Data!H9)&amp;""&amp;IF('KD-PA'!G13="","","("&amp;'KD-PA'!G13&amp;")")</f>
        <v>Aulya Noviyanti Mbura(Kristen)</v>
      </c>
      <c r="E18" s="275" t="str">
        <f>IF(Data!I9="","",Data!I9)</f>
        <v>P</v>
      </c>
      <c r="F18" s="1503">
        <v>90</v>
      </c>
      <c r="G18" s="1504">
        <v>90</v>
      </c>
      <c r="H18" s="1479"/>
      <c r="I18" s="1479"/>
      <c r="J18" s="1479"/>
      <c r="K18" s="277"/>
      <c r="L18" s="277"/>
      <c r="M18" s="280"/>
      <c r="N18" s="277"/>
      <c r="O18" s="278"/>
      <c r="P18" s="279">
        <f t="shared" si="21"/>
        <v>90</v>
      </c>
      <c r="Q18" s="1504">
        <v>90</v>
      </c>
      <c r="R18" s="1507">
        <v>90</v>
      </c>
      <c r="S18" s="281">
        <f t="shared" si="22"/>
        <v>90</v>
      </c>
      <c r="T18" s="295" t="str">
        <f t="shared" si="23"/>
        <v>B</v>
      </c>
      <c r="U18" s="1215">
        <f t="shared" si="6"/>
        <v>90.01</v>
      </c>
      <c r="V18" s="1216">
        <f t="shared" si="6"/>
        <v>90.02</v>
      </c>
      <c r="W18" s="1216" t="str">
        <f t="shared" si="6"/>
        <v/>
      </c>
      <c r="X18" s="1216" t="str">
        <f t="shared" si="6"/>
        <v/>
      </c>
      <c r="Y18" s="1216" t="str">
        <f t="shared" si="6"/>
        <v/>
      </c>
      <c r="Z18" s="1216" t="str">
        <f t="shared" si="6"/>
        <v/>
      </c>
      <c r="AA18" s="1216" t="str">
        <f t="shared" si="6"/>
        <v/>
      </c>
      <c r="AB18" s="1217" t="str">
        <f t="shared" si="6"/>
        <v/>
      </c>
      <c r="AC18" s="1216" t="str">
        <f t="shared" si="6"/>
        <v/>
      </c>
      <c r="AD18" s="1218" t="str">
        <f t="shared" si="6"/>
        <v/>
      </c>
      <c r="AE18" s="1219">
        <f t="shared" si="24"/>
        <v>90.02</v>
      </c>
      <c r="AF18" s="282">
        <f t="shared" si="25"/>
        <v>90.01</v>
      </c>
      <c r="AG18" s="282" t="str">
        <f t="shared" si="9"/>
        <v>baik</v>
      </c>
      <c r="AH18" s="282" t="str">
        <f t="shared" si="9"/>
        <v>baik</v>
      </c>
      <c r="AI18" s="282">
        <f t="shared" si="26"/>
        <v>2</v>
      </c>
      <c r="AJ18" s="283">
        <f t="shared" si="27"/>
        <v>1</v>
      </c>
      <c r="AK18" s="284" t="str">
        <f>IF(P18="","",IFERROR("Memiliki kemampuan "&amp;IF(AG18=AH18,AG18&amp;" dalam "&amp;VLOOKUP(AI18,'KD-PA'!$I$9:$N$18,'KD-PA'!F13+1)&amp;" dan "&amp;VLOOKUP(AJ18,'KD-PA'!$I$9:$N$18,'KD-PA'!F13+1),AG18&amp;" dalam "&amp;VLOOKUP(AI18,'KD-PA'!$I$9:$N$18,'KD-PA'!F13+1)&amp;", "&amp;AH18&amp;" kemampuan dalam "&amp;VLOOKUP(AJ18,'KD-PA'!$I$9:$N$18,'KD-PA'!F13+1)),""))</f>
        <v>Memiliki kemampuan baik dalam Memahami keberadaan Allah sebagai pembaharu kehidupan  dan Menjelaskan makna kebersamaan dengan orang lain</v>
      </c>
      <c r="AL18" s="1503">
        <v>90</v>
      </c>
      <c r="AM18" s="1504">
        <v>90</v>
      </c>
      <c r="AN18" s="277"/>
      <c r="AO18" s="277"/>
      <c r="AP18" s="277"/>
      <c r="AQ18" s="277"/>
      <c r="AR18" s="277"/>
      <c r="AS18" s="280"/>
      <c r="AT18" s="277"/>
      <c r="AU18" s="278"/>
      <c r="AV18" s="285">
        <f t="shared" si="32"/>
        <v>90</v>
      </c>
      <c r="AW18" s="296" t="str">
        <f t="shared" si="28"/>
        <v>B</v>
      </c>
      <c r="AX18" s="1220">
        <f t="shared" si="14"/>
        <v>90.01</v>
      </c>
      <c r="AY18" s="1221">
        <f t="shared" si="14"/>
        <v>90.02</v>
      </c>
      <c r="AZ18" s="1221" t="str">
        <f t="shared" si="14"/>
        <v/>
      </c>
      <c r="BA18" s="1221" t="str">
        <f t="shared" si="14"/>
        <v/>
      </c>
      <c r="BB18" s="1221" t="str">
        <f t="shared" si="14"/>
        <v/>
      </c>
      <c r="BC18" s="1221" t="str">
        <f t="shared" si="14"/>
        <v/>
      </c>
      <c r="BD18" s="1221" t="str">
        <f t="shared" si="14"/>
        <v/>
      </c>
      <c r="BE18" s="1222" t="str">
        <f t="shared" si="14"/>
        <v/>
      </c>
      <c r="BF18" s="1221" t="str">
        <f t="shared" si="14"/>
        <v/>
      </c>
      <c r="BG18" s="1223" t="str">
        <f t="shared" si="14"/>
        <v/>
      </c>
      <c r="BH18" s="286">
        <f t="shared" si="29"/>
        <v>90.02</v>
      </c>
      <c r="BI18" s="286">
        <f t="shared" si="33"/>
        <v>90.01</v>
      </c>
      <c r="BJ18" s="287" t="str">
        <f t="shared" si="30"/>
        <v>baik</v>
      </c>
      <c r="BK18" s="287" t="str">
        <f t="shared" si="30"/>
        <v>baik</v>
      </c>
      <c r="BL18" s="286">
        <f t="shared" si="34"/>
        <v>2</v>
      </c>
      <c r="BM18" s="288">
        <f t="shared" si="31"/>
        <v>1</v>
      </c>
      <c r="BN18" s="289" t="str">
        <f>IF(AV18="","",IFERROR("Memiliki keterampilan "&amp;IF(BJ18=BK18,BJ18&amp;" dalam "&amp;VLOOKUP(BL18,'KD-PA'!$I$21:$N$30,'KD-PA'!F13+1)&amp;" dan "&amp;VLOOKUP(BM18,'KD-PA'!$I$21:$N$30,'KD-PA'!F13+1),BJ18&amp;" dalam "&amp;VLOOKUP(BL18,'KD-PA'!$I$21:$N$30,'KD-PA'!F13+1)&amp;", "&amp;BK18&amp;" keterampilan dalam "&amp;VLOOKUP(BM18,'KD-PA'!$I$21:$N$30,'KD-PA'!F13+1)),""))</f>
        <v xml:space="preserve">Memiliki keterampilan baik dalam Melaksanakan buah-buah Roh dalam surat Paulus di jemaat Galatia dan Menunjukkan hal-hal yang positif dan negatif manusia </v>
      </c>
      <c r="BO18" s="305"/>
    </row>
    <row r="19" spans="1:67" ht="33" customHeight="1">
      <c r="A19" s="67"/>
      <c r="B19" s="272">
        <f t="shared" si="20"/>
        <v>6</v>
      </c>
      <c r="C19" s="273">
        <f>IF(Data!F10="","",Data!F10)</f>
        <v>0</v>
      </c>
      <c r="D19" s="274" t="str">
        <f>IF(Data!H10="","",Data!H10)&amp;""&amp;IF('KD-PA'!G14="","","("&amp;'KD-PA'!G14&amp;")")</f>
        <v>Ayu Oliberta Ranboki(Kristen)</v>
      </c>
      <c r="E19" s="275" t="str">
        <f>IF(Data!I10="","",Data!I10)</f>
        <v>P</v>
      </c>
      <c r="F19" s="1503">
        <v>95</v>
      </c>
      <c r="G19" s="1504">
        <v>95</v>
      </c>
      <c r="H19" s="1478"/>
      <c r="I19" s="1478"/>
      <c r="J19" s="1478"/>
      <c r="K19" s="277"/>
      <c r="L19" s="277"/>
      <c r="M19" s="280"/>
      <c r="N19" s="277"/>
      <c r="O19" s="278"/>
      <c r="P19" s="279">
        <f t="shared" si="21"/>
        <v>95</v>
      </c>
      <c r="Q19" s="1504">
        <v>95</v>
      </c>
      <c r="R19" s="1507">
        <v>95</v>
      </c>
      <c r="S19" s="281">
        <f t="shared" si="22"/>
        <v>95</v>
      </c>
      <c r="T19" s="295" t="str">
        <f t="shared" si="23"/>
        <v>A</v>
      </c>
      <c r="U19" s="1215">
        <f t="shared" si="6"/>
        <v>95.01</v>
      </c>
      <c r="V19" s="1216">
        <f t="shared" si="6"/>
        <v>95.02</v>
      </c>
      <c r="W19" s="1216" t="str">
        <f t="shared" si="6"/>
        <v/>
      </c>
      <c r="X19" s="1216" t="str">
        <f t="shared" si="6"/>
        <v/>
      </c>
      <c r="Y19" s="1216" t="str">
        <f t="shared" si="6"/>
        <v/>
      </c>
      <c r="Z19" s="1216" t="str">
        <f t="shared" si="6"/>
        <v/>
      </c>
      <c r="AA19" s="1216" t="str">
        <f t="shared" si="6"/>
        <v/>
      </c>
      <c r="AB19" s="1217" t="str">
        <f t="shared" si="6"/>
        <v/>
      </c>
      <c r="AC19" s="1216" t="str">
        <f t="shared" si="6"/>
        <v/>
      </c>
      <c r="AD19" s="1218" t="str">
        <f t="shared" si="6"/>
        <v/>
      </c>
      <c r="AE19" s="1219">
        <f t="shared" si="24"/>
        <v>95.02</v>
      </c>
      <c r="AF19" s="282">
        <f t="shared" si="25"/>
        <v>95.01</v>
      </c>
      <c r="AG19" s="282" t="str">
        <f t="shared" si="9"/>
        <v>sangat baik</v>
      </c>
      <c r="AH19" s="282" t="str">
        <f t="shared" si="9"/>
        <v>sangat baik</v>
      </c>
      <c r="AI19" s="282">
        <f t="shared" si="26"/>
        <v>2</v>
      </c>
      <c r="AJ19" s="283">
        <f t="shared" si="27"/>
        <v>1</v>
      </c>
      <c r="AK19" s="284" t="str">
        <f>IF(P19="","",IFERROR("Memiliki kemampuan "&amp;IF(AG19=AH19,AG19&amp;" dalam "&amp;VLOOKUP(AI19,'KD-PA'!$I$9:$N$18,'KD-PA'!F14+1)&amp;" dan "&amp;VLOOKUP(AJ19,'KD-PA'!$I$9:$N$18,'KD-PA'!F14+1),AG19&amp;" dalam "&amp;VLOOKUP(AI19,'KD-PA'!$I$9:$N$18,'KD-PA'!F14+1)&amp;", "&amp;AH19&amp;" kemampuan dalam "&amp;VLOOKUP(AJ19,'KD-PA'!$I$9:$N$18,'KD-PA'!F14+1)),""))</f>
        <v>Memiliki kemampuan sangat baik dalam Memahami keberadaan Allah sebagai pembaharu kehidupan  dan Menjelaskan makna kebersamaan dengan orang lain</v>
      </c>
      <c r="AL19" s="1503">
        <v>95</v>
      </c>
      <c r="AM19" s="1504">
        <v>95</v>
      </c>
      <c r="AN19" s="277"/>
      <c r="AO19" s="277"/>
      <c r="AP19" s="277"/>
      <c r="AQ19" s="277"/>
      <c r="AR19" s="277"/>
      <c r="AS19" s="280"/>
      <c r="AT19" s="277"/>
      <c r="AU19" s="278"/>
      <c r="AV19" s="285">
        <f t="shared" si="32"/>
        <v>95</v>
      </c>
      <c r="AW19" s="296" t="str">
        <f t="shared" si="28"/>
        <v>A</v>
      </c>
      <c r="AX19" s="1220">
        <f t="shared" si="14"/>
        <v>95.01</v>
      </c>
      <c r="AY19" s="1221">
        <f t="shared" si="14"/>
        <v>95.02</v>
      </c>
      <c r="AZ19" s="1221" t="str">
        <f t="shared" si="14"/>
        <v/>
      </c>
      <c r="BA19" s="1221" t="str">
        <f t="shared" si="14"/>
        <v/>
      </c>
      <c r="BB19" s="1221" t="str">
        <f t="shared" si="14"/>
        <v/>
      </c>
      <c r="BC19" s="1221" t="str">
        <f t="shared" si="14"/>
        <v/>
      </c>
      <c r="BD19" s="1221" t="str">
        <f t="shared" si="14"/>
        <v/>
      </c>
      <c r="BE19" s="1222" t="str">
        <f t="shared" si="14"/>
        <v/>
      </c>
      <c r="BF19" s="1221" t="str">
        <f t="shared" si="14"/>
        <v/>
      </c>
      <c r="BG19" s="1223" t="str">
        <f t="shared" si="14"/>
        <v/>
      </c>
      <c r="BH19" s="286">
        <f t="shared" si="29"/>
        <v>95.02</v>
      </c>
      <c r="BI19" s="286">
        <f t="shared" si="33"/>
        <v>95.01</v>
      </c>
      <c r="BJ19" s="287" t="str">
        <f t="shared" si="30"/>
        <v>sangat baik</v>
      </c>
      <c r="BK19" s="287" t="str">
        <f t="shared" si="30"/>
        <v>sangat baik</v>
      </c>
      <c r="BL19" s="286">
        <f t="shared" si="34"/>
        <v>2</v>
      </c>
      <c r="BM19" s="288">
        <f t="shared" si="31"/>
        <v>1</v>
      </c>
      <c r="BN19" s="289" t="str">
        <f>IF(AV19="","",IFERROR("Memiliki keterampilan "&amp;IF(BJ19=BK19,BJ19&amp;" dalam "&amp;VLOOKUP(BL19,'KD-PA'!$I$21:$N$30,'KD-PA'!F14+1)&amp;" dan "&amp;VLOOKUP(BM19,'KD-PA'!$I$21:$N$30,'KD-PA'!F14+1),BJ19&amp;" dalam "&amp;VLOOKUP(BL19,'KD-PA'!$I$21:$N$30,'KD-PA'!F14+1)&amp;", "&amp;BK19&amp;" keterampilan dalam "&amp;VLOOKUP(BM19,'KD-PA'!$I$21:$N$30,'KD-PA'!F14+1)),""))</f>
        <v xml:space="preserve">Memiliki keterampilan sangat baik dalam Melaksanakan buah-buah Roh dalam surat Paulus di jemaat Galatia dan Menunjukkan hal-hal yang positif dan negatif manusia </v>
      </c>
      <c r="BO19" s="305"/>
    </row>
    <row r="20" spans="1:67" ht="33" customHeight="1">
      <c r="A20" s="67"/>
      <c r="B20" s="272">
        <f t="shared" si="20"/>
        <v>7</v>
      </c>
      <c r="C20" s="273">
        <f>IF(Data!F11="","",Data!F11)</f>
        <v>0</v>
      </c>
      <c r="D20" s="274" t="str">
        <f>IF(Data!H11="","",Data!H11)&amp;""&amp;IF('KD-PA'!G15="","","("&amp;'KD-PA'!G15&amp;")")</f>
        <v>Benediktus Faot(Kristen)</v>
      </c>
      <c r="E20" s="275" t="str">
        <f>IF(Data!I11="","",Data!I11)</f>
        <v>L</v>
      </c>
      <c r="F20" s="1503">
        <v>90</v>
      </c>
      <c r="G20" s="1504">
        <v>90</v>
      </c>
      <c r="H20" s="1478"/>
      <c r="I20" s="1478"/>
      <c r="J20" s="1478"/>
      <c r="K20" s="277"/>
      <c r="L20" s="277"/>
      <c r="M20" s="280"/>
      <c r="N20" s="277"/>
      <c r="O20" s="278"/>
      <c r="P20" s="279">
        <f t="shared" si="21"/>
        <v>90</v>
      </c>
      <c r="Q20" s="1504">
        <v>90</v>
      </c>
      <c r="R20" s="1507">
        <v>90</v>
      </c>
      <c r="S20" s="281">
        <f t="shared" si="22"/>
        <v>90</v>
      </c>
      <c r="T20" s="295" t="str">
        <f t="shared" si="23"/>
        <v>B</v>
      </c>
      <c r="U20" s="1215">
        <f t="shared" si="6"/>
        <v>90.01</v>
      </c>
      <c r="V20" s="1216">
        <f t="shared" si="6"/>
        <v>90.02</v>
      </c>
      <c r="W20" s="1216" t="str">
        <f t="shared" si="6"/>
        <v/>
      </c>
      <c r="X20" s="1216" t="str">
        <f t="shared" si="6"/>
        <v/>
      </c>
      <c r="Y20" s="1216" t="str">
        <f t="shared" si="6"/>
        <v/>
      </c>
      <c r="Z20" s="1216" t="str">
        <f t="shared" si="6"/>
        <v/>
      </c>
      <c r="AA20" s="1216" t="str">
        <f t="shared" si="6"/>
        <v/>
      </c>
      <c r="AB20" s="1217" t="str">
        <f t="shared" si="6"/>
        <v/>
      </c>
      <c r="AC20" s="1216" t="str">
        <f t="shared" si="6"/>
        <v/>
      </c>
      <c r="AD20" s="1218" t="str">
        <f t="shared" si="6"/>
        <v/>
      </c>
      <c r="AE20" s="1219">
        <f t="shared" si="24"/>
        <v>90.02</v>
      </c>
      <c r="AF20" s="282">
        <f t="shared" si="25"/>
        <v>90.01</v>
      </c>
      <c r="AG20" s="282" t="str">
        <f t="shared" si="9"/>
        <v>baik</v>
      </c>
      <c r="AH20" s="282" t="str">
        <f t="shared" si="9"/>
        <v>baik</v>
      </c>
      <c r="AI20" s="282">
        <f t="shared" si="26"/>
        <v>2</v>
      </c>
      <c r="AJ20" s="283">
        <f t="shared" si="27"/>
        <v>1</v>
      </c>
      <c r="AK20" s="284" t="str">
        <f>IF(P20="","",IFERROR("Memiliki kemampuan "&amp;IF(AG20=AH20,AG20&amp;" dalam "&amp;VLOOKUP(AI20,'KD-PA'!$I$9:$N$18,'KD-PA'!F15+1)&amp;" dan "&amp;VLOOKUP(AJ20,'KD-PA'!$I$9:$N$18,'KD-PA'!F15+1),AG20&amp;" dalam "&amp;VLOOKUP(AI20,'KD-PA'!$I$9:$N$18,'KD-PA'!F15+1)&amp;", "&amp;AH20&amp;" kemampuan dalam "&amp;VLOOKUP(AJ20,'KD-PA'!$I$9:$N$18,'KD-PA'!F15+1)),""))</f>
        <v>Memiliki kemampuan baik dalam Memahami keberadaan Allah sebagai pembaharu kehidupan  dan Menjelaskan makna kebersamaan dengan orang lain</v>
      </c>
      <c r="AL20" s="1503">
        <v>90</v>
      </c>
      <c r="AM20" s="1504">
        <v>90</v>
      </c>
      <c r="AN20" s="277"/>
      <c r="AO20" s="277"/>
      <c r="AP20" s="277"/>
      <c r="AQ20" s="277"/>
      <c r="AR20" s="277"/>
      <c r="AS20" s="280"/>
      <c r="AT20" s="277"/>
      <c r="AU20" s="278"/>
      <c r="AV20" s="285">
        <f t="shared" si="32"/>
        <v>90</v>
      </c>
      <c r="AW20" s="296" t="str">
        <f t="shared" si="28"/>
        <v>B</v>
      </c>
      <c r="AX20" s="1220">
        <f t="shared" si="14"/>
        <v>90.01</v>
      </c>
      <c r="AY20" s="1221">
        <f t="shared" si="14"/>
        <v>90.02</v>
      </c>
      <c r="AZ20" s="1221" t="str">
        <f t="shared" si="14"/>
        <v/>
      </c>
      <c r="BA20" s="1221" t="str">
        <f t="shared" si="14"/>
        <v/>
      </c>
      <c r="BB20" s="1221" t="str">
        <f t="shared" si="14"/>
        <v/>
      </c>
      <c r="BC20" s="1221" t="str">
        <f t="shared" si="14"/>
        <v/>
      </c>
      <c r="BD20" s="1221" t="str">
        <f t="shared" si="14"/>
        <v/>
      </c>
      <c r="BE20" s="1222" t="str">
        <f t="shared" si="14"/>
        <v/>
      </c>
      <c r="BF20" s="1221" t="str">
        <f t="shared" si="14"/>
        <v/>
      </c>
      <c r="BG20" s="1223" t="str">
        <f t="shared" si="14"/>
        <v/>
      </c>
      <c r="BH20" s="286">
        <f t="shared" si="29"/>
        <v>90.02</v>
      </c>
      <c r="BI20" s="286">
        <f t="shared" si="33"/>
        <v>90.01</v>
      </c>
      <c r="BJ20" s="287" t="str">
        <f t="shared" si="30"/>
        <v>baik</v>
      </c>
      <c r="BK20" s="287" t="str">
        <f t="shared" si="30"/>
        <v>baik</v>
      </c>
      <c r="BL20" s="286">
        <f t="shared" si="34"/>
        <v>2</v>
      </c>
      <c r="BM20" s="288">
        <f t="shared" si="31"/>
        <v>1</v>
      </c>
      <c r="BN20" s="289" t="str">
        <f>IF(AV20="","",IFERROR("Memiliki keterampilan "&amp;IF(BJ20=BK20,BJ20&amp;" dalam "&amp;VLOOKUP(BL20,'KD-PA'!$I$21:$N$30,'KD-PA'!F15+1)&amp;" dan "&amp;VLOOKUP(BM20,'KD-PA'!$I$21:$N$30,'KD-PA'!F15+1),BJ20&amp;" dalam "&amp;VLOOKUP(BL20,'KD-PA'!$I$21:$N$30,'KD-PA'!F15+1)&amp;", "&amp;BK20&amp;" keterampilan dalam "&amp;VLOOKUP(BM20,'KD-PA'!$I$21:$N$30,'KD-PA'!F15+1)),""))</f>
        <v xml:space="preserve">Memiliki keterampilan baik dalam Melaksanakan buah-buah Roh dalam surat Paulus di jemaat Galatia dan Menunjukkan hal-hal yang positif dan negatif manusia </v>
      </c>
      <c r="BO20" s="305"/>
    </row>
    <row r="21" spans="1:67" ht="33" customHeight="1">
      <c r="A21" s="67"/>
      <c r="B21" s="272">
        <f t="shared" si="20"/>
        <v>8</v>
      </c>
      <c r="C21" s="273">
        <f>IF(Data!F12="","",Data!F12)</f>
        <v>0</v>
      </c>
      <c r="D21" s="274" t="str">
        <f>IF(Data!H12="","",Data!H12)&amp;""&amp;IF('KD-PA'!G16="","","("&amp;'KD-PA'!G16&amp;")")</f>
        <v>Betron Imanuel Kuni(Kristen)</v>
      </c>
      <c r="E21" s="275" t="str">
        <f>IF(Data!I12="","",Data!I12)</f>
        <v>L</v>
      </c>
      <c r="F21" s="1503">
        <v>76</v>
      </c>
      <c r="G21" s="1504">
        <v>76</v>
      </c>
      <c r="H21" s="1478"/>
      <c r="I21" s="1478"/>
      <c r="J21" s="1478"/>
      <c r="K21" s="277"/>
      <c r="L21" s="277"/>
      <c r="M21" s="280"/>
      <c r="N21" s="277"/>
      <c r="O21" s="278"/>
      <c r="P21" s="279">
        <f t="shared" si="21"/>
        <v>76</v>
      </c>
      <c r="Q21" s="1504">
        <v>76</v>
      </c>
      <c r="R21" s="1507">
        <v>76</v>
      </c>
      <c r="S21" s="281">
        <f t="shared" si="22"/>
        <v>76</v>
      </c>
      <c r="T21" s="295" t="str">
        <f t="shared" si="23"/>
        <v>C</v>
      </c>
      <c r="U21" s="1215">
        <f t="shared" si="6"/>
        <v>76.010000000000005</v>
      </c>
      <c r="V21" s="1216">
        <f t="shared" si="6"/>
        <v>76.02</v>
      </c>
      <c r="W21" s="1216" t="str">
        <f t="shared" si="6"/>
        <v/>
      </c>
      <c r="X21" s="1216" t="str">
        <f t="shared" si="6"/>
        <v/>
      </c>
      <c r="Y21" s="1216" t="str">
        <f t="shared" si="6"/>
        <v/>
      </c>
      <c r="Z21" s="1216" t="str">
        <f t="shared" si="6"/>
        <v/>
      </c>
      <c r="AA21" s="1216" t="str">
        <f t="shared" si="6"/>
        <v/>
      </c>
      <c r="AB21" s="1217" t="str">
        <f t="shared" si="6"/>
        <v/>
      </c>
      <c r="AC21" s="1216" t="str">
        <f t="shared" si="6"/>
        <v/>
      </c>
      <c r="AD21" s="1218" t="str">
        <f t="shared" si="6"/>
        <v/>
      </c>
      <c r="AE21" s="1219">
        <f t="shared" si="24"/>
        <v>76.02</v>
      </c>
      <c r="AF21" s="282">
        <f t="shared" si="25"/>
        <v>76.010000000000005</v>
      </c>
      <c r="AG21" s="282" t="str">
        <f t="shared" si="9"/>
        <v>cukup</v>
      </c>
      <c r="AH21" s="282" t="str">
        <f t="shared" si="9"/>
        <v>cukup</v>
      </c>
      <c r="AI21" s="282">
        <f t="shared" si="26"/>
        <v>2</v>
      </c>
      <c r="AJ21" s="283">
        <f t="shared" si="27"/>
        <v>1</v>
      </c>
      <c r="AK21" s="284" t="str">
        <f>IF(P21="","",IFERROR("Memiliki kemampuan "&amp;IF(AG21=AH21,AG21&amp;" dalam "&amp;VLOOKUP(AI21,'KD-PA'!$I$9:$N$18,'KD-PA'!F16+1)&amp;" dan "&amp;VLOOKUP(AJ21,'KD-PA'!$I$9:$N$18,'KD-PA'!F16+1),AG21&amp;" dalam "&amp;VLOOKUP(AI21,'KD-PA'!$I$9:$N$18,'KD-PA'!F16+1)&amp;", "&amp;AH21&amp;" kemampuan dalam "&amp;VLOOKUP(AJ21,'KD-PA'!$I$9:$N$18,'KD-PA'!F16+1)),""))</f>
        <v>Memiliki kemampuan cukup dalam Memahami keberadaan Allah sebagai pembaharu kehidupan  dan Menjelaskan makna kebersamaan dengan orang lain</v>
      </c>
      <c r="AL21" s="1503">
        <v>80</v>
      </c>
      <c r="AM21" s="1504">
        <v>80</v>
      </c>
      <c r="AN21" s="277"/>
      <c r="AO21" s="277"/>
      <c r="AP21" s="277"/>
      <c r="AQ21" s="277"/>
      <c r="AR21" s="277"/>
      <c r="AS21" s="280"/>
      <c r="AT21" s="277"/>
      <c r="AU21" s="278"/>
      <c r="AV21" s="285">
        <f t="shared" si="32"/>
        <v>80</v>
      </c>
      <c r="AW21" s="296" t="str">
        <f t="shared" si="28"/>
        <v>C</v>
      </c>
      <c r="AX21" s="1220">
        <f t="shared" si="14"/>
        <v>80.010000000000005</v>
      </c>
      <c r="AY21" s="1221">
        <f t="shared" si="14"/>
        <v>80.02</v>
      </c>
      <c r="AZ21" s="1221" t="str">
        <f t="shared" si="14"/>
        <v/>
      </c>
      <c r="BA21" s="1221" t="str">
        <f t="shared" si="14"/>
        <v/>
      </c>
      <c r="BB21" s="1221" t="str">
        <f t="shared" si="14"/>
        <v/>
      </c>
      <c r="BC21" s="1221" t="str">
        <f t="shared" si="14"/>
        <v/>
      </c>
      <c r="BD21" s="1221" t="str">
        <f t="shared" si="14"/>
        <v/>
      </c>
      <c r="BE21" s="1222" t="str">
        <f t="shared" si="14"/>
        <v/>
      </c>
      <c r="BF21" s="1221" t="str">
        <f t="shared" si="14"/>
        <v/>
      </c>
      <c r="BG21" s="1223" t="str">
        <f t="shared" si="14"/>
        <v/>
      </c>
      <c r="BH21" s="286">
        <f t="shared" si="29"/>
        <v>80.02</v>
      </c>
      <c r="BI21" s="286">
        <f t="shared" si="33"/>
        <v>80.010000000000005</v>
      </c>
      <c r="BJ21" s="287" t="str">
        <f t="shared" si="30"/>
        <v>cukup</v>
      </c>
      <c r="BK21" s="287" t="str">
        <f t="shared" si="30"/>
        <v>cukup</v>
      </c>
      <c r="BL21" s="286">
        <f t="shared" si="34"/>
        <v>2</v>
      </c>
      <c r="BM21" s="288">
        <f t="shared" si="31"/>
        <v>1</v>
      </c>
      <c r="BN21" s="289" t="str">
        <f>IF(AV21="","",IFERROR("Memiliki keterampilan "&amp;IF(BJ21=BK21,BJ21&amp;" dalam "&amp;VLOOKUP(BL21,'KD-PA'!$I$21:$N$30,'KD-PA'!F16+1)&amp;" dan "&amp;VLOOKUP(BM21,'KD-PA'!$I$21:$N$30,'KD-PA'!F16+1),BJ21&amp;" dalam "&amp;VLOOKUP(BL21,'KD-PA'!$I$21:$N$30,'KD-PA'!F16+1)&amp;", "&amp;BK21&amp;" keterampilan dalam "&amp;VLOOKUP(BM21,'KD-PA'!$I$21:$N$30,'KD-PA'!F16+1)),""))</f>
        <v xml:space="preserve">Memiliki keterampilan cukup dalam Melaksanakan buah-buah Roh dalam surat Paulus di jemaat Galatia dan Menunjukkan hal-hal yang positif dan negatif manusia </v>
      </c>
      <c r="BO21" s="305"/>
    </row>
    <row r="22" spans="1:67" ht="33" customHeight="1">
      <c r="A22" s="67"/>
      <c r="B22" s="272">
        <f t="shared" si="20"/>
        <v>9</v>
      </c>
      <c r="C22" s="273">
        <f>IF(Data!F13="","",Data!F13)</f>
        <v>0</v>
      </c>
      <c r="D22" s="274" t="str">
        <f>IF(Data!H13="","",Data!H13)&amp;""&amp;IF('KD-PA'!G17="","","("&amp;'KD-PA'!G17&amp;")")</f>
        <v>Demrianus Ton(Kristen)</v>
      </c>
      <c r="E22" s="275" t="str">
        <f>IF(Data!I13="","",Data!I13)</f>
        <v>L</v>
      </c>
      <c r="F22" s="1503">
        <v>76</v>
      </c>
      <c r="G22" s="1504">
        <v>76</v>
      </c>
      <c r="H22" s="1478"/>
      <c r="I22" s="1478"/>
      <c r="J22" s="1478"/>
      <c r="K22" s="277"/>
      <c r="L22" s="277"/>
      <c r="M22" s="280"/>
      <c r="N22" s="277"/>
      <c r="O22" s="278"/>
      <c r="P22" s="279">
        <f t="shared" si="21"/>
        <v>76</v>
      </c>
      <c r="Q22" s="1504">
        <v>76</v>
      </c>
      <c r="R22" s="1507">
        <v>76</v>
      </c>
      <c r="S22" s="281">
        <f t="shared" si="22"/>
        <v>76</v>
      </c>
      <c r="T22" s="295" t="str">
        <f t="shared" si="23"/>
        <v>C</v>
      </c>
      <c r="U22" s="1215">
        <f t="shared" si="6"/>
        <v>76.010000000000005</v>
      </c>
      <c r="V22" s="1216">
        <f t="shared" si="6"/>
        <v>76.02</v>
      </c>
      <c r="W22" s="1216" t="str">
        <f t="shared" si="6"/>
        <v/>
      </c>
      <c r="X22" s="1216" t="str">
        <f t="shared" si="6"/>
        <v/>
      </c>
      <c r="Y22" s="1216" t="str">
        <f t="shared" si="6"/>
        <v/>
      </c>
      <c r="Z22" s="1216" t="str">
        <f t="shared" si="6"/>
        <v/>
      </c>
      <c r="AA22" s="1216" t="str">
        <f t="shared" si="6"/>
        <v/>
      </c>
      <c r="AB22" s="1217" t="str">
        <f t="shared" si="6"/>
        <v/>
      </c>
      <c r="AC22" s="1216" t="str">
        <f t="shared" si="6"/>
        <v/>
      </c>
      <c r="AD22" s="1218" t="str">
        <f t="shared" si="6"/>
        <v/>
      </c>
      <c r="AE22" s="1219">
        <f t="shared" si="24"/>
        <v>76.02</v>
      </c>
      <c r="AF22" s="282">
        <f t="shared" si="25"/>
        <v>76.010000000000005</v>
      </c>
      <c r="AG22" s="282" t="str">
        <f t="shared" si="9"/>
        <v>cukup</v>
      </c>
      <c r="AH22" s="282" t="str">
        <f t="shared" si="9"/>
        <v>cukup</v>
      </c>
      <c r="AI22" s="282">
        <f t="shared" si="26"/>
        <v>2</v>
      </c>
      <c r="AJ22" s="283">
        <f t="shared" si="27"/>
        <v>1</v>
      </c>
      <c r="AK22" s="284" t="str">
        <f>IF(P22="","",IFERROR("Memiliki kemampuan "&amp;IF(AG22=AH22,AG22&amp;" dalam "&amp;VLOOKUP(AI22,'KD-PA'!$I$9:$N$18,'KD-PA'!F17+1)&amp;" dan "&amp;VLOOKUP(AJ22,'KD-PA'!$I$9:$N$18,'KD-PA'!F17+1),AG22&amp;" dalam "&amp;VLOOKUP(AI22,'KD-PA'!$I$9:$N$18,'KD-PA'!F17+1)&amp;", "&amp;AH22&amp;" kemampuan dalam "&amp;VLOOKUP(AJ22,'KD-PA'!$I$9:$N$18,'KD-PA'!F17+1)),""))</f>
        <v>Memiliki kemampuan cukup dalam Memahami keberadaan Allah sebagai pembaharu kehidupan  dan Menjelaskan makna kebersamaan dengan orang lain</v>
      </c>
      <c r="AL22" s="1503">
        <v>78</v>
      </c>
      <c r="AM22" s="1504">
        <v>78</v>
      </c>
      <c r="AN22" s="277"/>
      <c r="AO22" s="277"/>
      <c r="AP22" s="277"/>
      <c r="AQ22" s="277"/>
      <c r="AR22" s="277"/>
      <c r="AS22" s="280"/>
      <c r="AT22" s="277"/>
      <c r="AU22" s="278"/>
      <c r="AV22" s="285">
        <f t="shared" si="32"/>
        <v>78</v>
      </c>
      <c r="AW22" s="296" t="str">
        <f t="shared" si="28"/>
        <v>C</v>
      </c>
      <c r="AX22" s="1220">
        <f t="shared" si="14"/>
        <v>78.010000000000005</v>
      </c>
      <c r="AY22" s="1221">
        <f t="shared" si="14"/>
        <v>78.02</v>
      </c>
      <c r="AZ22" s="1221" t="str">
        <f t="shared" si="14"/>
        <v/>
      </c>
      <c r="BA22" s="1221" t="str">
        <f t="shared" si="14"/>
        <v/>
      </c>
      <c r="BB22" s="1221" t="str">
        <f t="shared" si="14"/>
        <v/>
      </c>
      <c r="BC22" s="1221" t="str">
        <f t="shared" si="14"/>
        <v/>
      </c>
      <c r="BD22" s="1221" t="str">
        <f t="shared" si="14"/>
        <v/>
      </c>
      <c r="BE22" s="1222" t="str">
        <f t="shared" si="14"/>
        <v/>
      </c>
      <c r="BF22" s="1221" t="str">
        <f t="shared" si="14"/>
        <v/>
      </c>
      <c r="BG22" s="1223" t="str">
        <f t="shared" si="14"/>
        <v/>
      </c>
      <c r="BH22" s="286">
        <f t="shared" si="29"/>
        <v>78.02</v>
      </c>
      <c r="BI22" s="286">
        <f t="shared" si="33"/>
        <v>78.010000000000005</v>
      </c>
      <c r="BJ22" s="287" t="str">
        <f t="shared" si="30"/>
        <v>cukup</v>
      </c>
      <c r="BK22" s="287" t="str">
        <f t="shared" si="30"/>
        <v>cukup</v>
      </c>
      <c r="BL22" s="286">
        <f t="shared" si="34"/>
        <v>2</v>
      </c>
      <c r="BM22" s="288">
        <f t="shared" si="31"/>
        <v>1</v>
      </c>
      <c r="BN22" s="289" t="str">
        <f>IF(AV22="","",IFERROR("Memiliki keterampilan "&amp;IF(BJ22=BK22,BJ22&amp;" dalam "&amp;VLOOKUP(BL22,'KD-PA'!$I$21:$N$30,'KD-PA'!F17+1)&amp;" dan "&amp;VLOOKUP(BM22,'KD-PA'!$I$21:$N$30,'KD-PA'!F17+1),BJ22&amp;" dalam "&amp;VLOOKUP(BL22,'KD-PA'!$I$21:$N$30,'KD-PA'!F17+1)&amp;", "&amp;BK22&amp;" keterampilan dalam "&amp;VLOOKUP(BM22,'KD-PA'!$I$21:$N$30,'KD-PA'!F17+1)),""))</f>
        <v xml:space="preserve">Memiliki keterampilan cukup dalam Melaksanakan buah-buah Roh dalam surat Paulus di jemaat Galatia dan Menunjukkan hal-hal yang positif dan negatif manusia </v>
      </c>
      <c r="BO22" s="305"/>
    </row>
    <row r="23" spans="1:67" ht="33" customHeight="1">
      <c r="A23" s="67"/>
      <c r="B23" s="272">
        <f t="shared" si="20"/>
        <v>10</v>
      </c>
      <c r="C23" s="273">
        <f>IF(Data!F14="","",Data!F14)</f>
        <v>0</v>
      </c>
      <c r="D23" s="274" t="str">
        <f>IF(Data!H14="","",Data!H14)&amp;""&amp;IF('KD-PA'!G18="","","("&amp;'KD-PA'!G18&amp;")")</f>
        <v>Desti Manggoa(Kristen)</v>
      </c>
      <c r="E23" s="275" t="str">
        <f>IF(Data!I14="","",Data!I14)</f>
        <v>P</v>
      </c>
      <c r="F23" s="1503">
        <v>85</v>
      </c>
      <c r="G23" s="1504">
        <v>85</v>
      </c>
      <c r="H23" s="1478"/>
      <c r="I23" s="1478"/>
      <c r="J23" s="1478"/>
      <c r="K23" s="277"/>
      <c r="L23" s="277"/>
      <c r="M23" s="280"/>
      <c r="N23" s="277"/>
      <c r="O23" s="278"/>
      <c r="P23" s="279">
        <f t="shared" si="21"/>
        <v>85</v>
      </c>
      <c r="Q23" s="1504">
        <v>82</v>
      </c>
      <c r="R23" s="1507">
        <v>85</v>
      </c>
      <c r="S23" s="281">
        <f t="shared" si="22"/>
        <v>84</v>
      </c>
      <c r="T23" s="295" t="str">
        <f t="shared" si="23"/>
        <v>C</v>
      </c>
      <c r="U23" s="1215">
        <f t="shared" si="6"/>
        <v>85.01</v>
      </c>
      <c r="V23" s="1216">
        <f t="shared" si="6"/>
        <v>85.02</v>
      </c>
      <c r="W23" s="1216" t="str">
        <f t="shared" si="6"/>
        <v/>
      </c>
      <c r="X23" s="1216" t="str">
        <f t="shared" si="6"/>
        <v/>
      </c>
      <c r="Y23" s="1216" t="str">
        <f t="shared" si="6"/>
        <v/>
      </c>
      <c r="Z23" s="1216" t="str">
        <f t="shared" si="6"/>
        <v/>
      </c>
      <c r="AA23" s="1216" t="str">
        <f t="shared" si="6"/>
        <v/>
      </c>
      <c r="AB23" s="1217" t="str">
        <f t="shared" si="6"/>
        <v/>
      </c>
      <c r="AC23" s="1216" t="str">
        <f t="shared" si="6"/>
        <v/>
      </c>
      <c r="AD23" s="1218" t="str">
        <f t="shared" si="6"/>
        <v/>
      </c>
      <c r="AE23" s="1219">
        <f t="shared" si="24"/>
        <v>85.02</v>
      </c>
      <c r="AF23" s="282">
        <f t="shared" si="25"/>
        <v>85.01</v>
      </c>
      <c r="AG23" s="282" t="str">
        <f t="shared" si="9"/>
        <v>baik</v>
      </c>
      <c r="AH23" s="282" t="str">
        <f t="shared" si="9"/>
        <v>baik</v>
      </c>
      <c r="AI23" s="282">
        <f t="shared" si="26"/>
        <v>2</v>
      </c>
      <c r="AJ23" s="283">
        <f t="shared" si="27"/>
        <v>1</v>
      </c>
      <c r="AK23" s="284" t="str">
        <f>IF(P23="","",IFERROR("Memiliki kemampuan "&amp;IF(AG23=AH23,AG23&amp;" dalam "&amp;VLOOKUP(AI23,'KD-PA'!$I$9:$N$18,'KD-PA'!F18+1)&amp;" dan "&amp;VLOOKUP(AJ23,'KD-PA'!$I$9:$N$18,'KD-PA'!F18+1),AG23&amp;" dalam "&amp;VLOOKUP(AI23,'KD-PA'!$I$9:$N$18,'KD-PA'!F18+1)&amp;", "&amp;AH23&amp;" kemampuan dalam "&amp;VLOOKUP(AJ23,'KD-PA'!$I$9:$N$18,'KD-PA'!F18+1)),""))</f>
        <v>Memiliki kemampuan baik dalam Memahami keberadaan Allah sebagai pembaharu kehidupan  dan Menjelaskan makna kebersamaan dengan orang lain</v>
      </c>
      <c r="AL23" s="1503">
        <v>85</v>
      </c>
      <c r="AM23" s="1504">
        <v>85</v>
      </c>
      <c r="AN23" s="277"/>
      <c r="AO23" s="277"/>
      <c r="AP23" s="277"/>
      <c r="AQ23" s="277"/>
      <c r="AR23" s="277"/>
      <c r="AS23" s="280"/>
      <c r="AT23" s="277"/>
      <c r="AU23" s="278"/>
      <c r="AV23" s="285">
        <f t="shared" si="32"/>
        <v>85</v>
      </c>
      <c r="AW23" s="296" t="str">
        <f t="shared" si="28"/>
        <v>B</v>
      </c>
      <c r="AX23" s="1220">
        <f t="shared" si="14"/>
        <v>85.01</v>
      </c>
      <c r="AY23" s="1221">
        <f t="shared" si="14"/>
        <v>85.02</v>
      </c>
      <c r="AZ23" s="1221" t="str">
        <f t="shared" si="14"/>
        <v/>
      </c>
      <c r="BA23" s="1221" t="str">
        <f t="shared" si="14"/>
        <v/>
      </c>
      <c r="BB23" s="1221" t="str">
        <f t="shared" si="14"/>
        <v/>
      </c>
      <c r="BC23" s="1221" t="str">
        <f t="shared" si="14"/>
        <v/>
      </c>
      <c r="BD23" s="1221" t="str">
        <f t="shared" si="14"/>
        <v/>
      </c>
      <c r="BE23" s="1222" t="str">
        <f t="shared" si="14"/>
        <v/>
      </c>
      <c r="BF23" s="1221" t="str">
        <f t="shared" si="14"/>
        <v/>
      </c>
      <c r="BG23" s="1223" t="str">
        <f t="shared" si="14"/>
        <v/>
      </c>
      <c r="BH23" s="286">
        <f t="shared" si="29"/>
        <v>85.02</v>
      </c>
      <c r="BI23" s="286">
        <f t="shared" si="33"/>
        <v>85.01</v>
      </c>
      <c r="BJ23" s="287" t="str">
        <f t="shared" si="30"/>
        <v>baik</v>
      </c>
      <c r="BK23" s="287" t="str">
        <f t="shared" si="30"/>
        <v>baik</v>
      </c>
      <c r="BL23" s="286">
        <f t="shared" si="34"/>
        <v>2</v>
      </c>
      <c r="BM23" s="288">
        <f t="shared" si="31"/>
        <v>1</v>
      </c>
      <c r="BN23" s="289" t="str">
        <f>IF(AV23="","",IFERROR("Memiliki keterampilan "&amp;IF(BJ23=BK23,BJ23&amp;" dalam "&amp;VLOOKUP(BL23,'KD-PA'!$I$21:$N$30,'KD-PA'!F18+1)&amp;" dan "&amp;VLOOKUP(BM23,'KD-PA'!$I$21:$N$30,'KD-PA'!F18+1),BJ23&amp;" dalam "&amp;VLOOKUP(BL23,'KD-PA'!$I$21:$N$30,'KD-PA'!F18+1)&amp;", "&amp;BK23&amp;" keterampilan dalam "&amp;VLOOKUP(BM23,'KD-PA'!$I$21:$N$30,'KD-PA'!F18+1)),""))</f>
        <v xml:space="preserve">Memiliki keterampilan baik dalam Melaksanakan buah-buah Roh dalam surat Paulus di jemaat Galatia dan Menunjukkan hal-hal yang positif dan negatif manusia </v>
      </c>
      <c r="BO23" s="305"/>
    </row>
    <row r="24" spans="1:67" ht="33" customHeight="1">
      <c r="A24" s="67"/>
      <c r="B24" s="272">
        <f t="shared" si="20"/>
        <v>11</v>
      </c>
      <c r="C24" s="273">
        <f>IF(Data!F15="","",Data!F15)</f>
        <v>0</v>
      </c>
      <c r="D24" s="274" t="str">
        <f>IF(Data!H15="","",Data!H15)&amp;""&amp;IF('KD-PA'!G19="","","("&amp;'KD-PA'!G19&amp;")")</f>
        <v>Dorkas Meliana Talita Kesnay(Kristen)</v>
      </c>
      <c r="E24" s="275" t="str">
        <f>IF(Data!I15="","",Data!I15)</f>
        <v>P</v>
      </c>
      <c r="F24" s="1503">
        <v>90</v>
      </c>
      <c r="G24" s="1504">
        <v>90</v>
      </c>
      <c r="H24" s="1478"/>
      <c r="I24" s="1478"/>
      <c r="J24" s="1478"/>
      <c r="K24" s="277"/>
      <c r="L24" s="277"/>
      <c r="M24" s="280"/>
      <c r="N24" s="277"/>
      <c r="O24" s="278"/>
      <c r="P24" s="279">
        <f t="shared" si="21"/>
        <v>90</v>
      </c>
      <c r="Q24" s="1504">
        <v>90</v>
      </c>
      <c r="R24" s="1507">
        <v>90</v>
      </c>
      <c r="S24" s="281">
        <f t="shared" si="22"/>
        <v>90</v>
      </c>
      <c r="T24" s="295" t="str">
        <f t="shared" si="23"/>
        <v>B</v>
      </c>
      <c r="U24" s="1215">
        <f t="shared" si="6"/>
        <v>90.01</v>
      </c>
      <c r="V24" s="1216">
        <f t="shared" si="6"/>
        <v>90.02</v>
      </c>
      <c r="W24" s="1216" t="str">
        <f t="shared" si="6"/>
        <v/>
      </c>
      <c r="X24" s="1216" t="str">
        <f t="shared" si="6"/>
        <v/>
      </c>
      <c r="Y24" s="1216" t="str">
        <f t="shared" si="6"/>
        <v/>
      </c>
      <c r="Z24" s="1216" t="str">
        <f t="shared" si="6"/>
        <v/>
      </c>
      <c r="AA24" s="1216" t="str">
        <f t="shared" si="6"/>
        <v/>
      </c>
      <c r="AB24" s="1217" t="str">
        <f t="shared" si="6"/>
        <v/>
      </c>
      <c r="AC24" s="1216" t="str">
        <f t="shared" si="6"/>
        <v/>
      </c>
      <c r="AD24" s="1218" t="str">
        <f t="shared" si="6"/>
        <v/>
      </c>
      <c r="AE24" s="1219">
        <f t="shared" si="24"/>
        <v>90.02</v>
      </c>
      <c r="AF24" s="282">
        <f t="shared" si="25"/>
        <v>90.01</v>
      </c>
      <c r="AG24" s="282" t="str">
        <f t="shared" si="9"/>
        <v>baik</v>
      </c>
      <c r="AH24" s="282" t="str">
        <f t="shared" si="9"/>
        <v>baik</v>
      </c>
      <c r="AI24" s="282">
        <f t="shared" si="26"/>
        <v>2</v>
      </c>
      <c r="AJ24" s="283">
        <f t="shared" si="27"/>
        <v>1</v>
      </c>
      <c r="AK24" s="284" t="str">
        <f>IF(P24="","",IFERROR("Memiliki kemampuan "&amp;IF(AG24=AH24,AG24&amp;" dalam "&amp;VLOOKUP(AI24,'KD-PA'!$I$9:$N$18,'KD-PA'!F19+1)&amp;" dan "&amp;VLOOKUP(AJ24,'KD-PA'!$I$9:$N$18,'KD-PA'!F19+1),AG24&amp;" dalam "&amp;VLOOKUP(AI24,'KD-PA'!$I$9:$N$18,'KD-PA'!F19+1)&amp;", "&amp;AH24&amp;" kemampuan dalam "&amp;VLOOKUP(AJ24,'KD-PA'!$I$9:$N$18,'KD-PA'!F19+1)),""))</f>
        <v>Memiliki kemampuan baik dalam Memahami keberadaan Allah sebagai pembaharu kehidupan  dan Menjelaskan makna kebersamaan dengan orang lain</v>
      </c>
      <c r="AL24" s="1503">
        <v>90</v>
      </c>
      <c r="AM24" s="1504">
        <v>90</v>
      </c>
      <c r="AN24" s="277"/>
      <c r="AO24" s="277"/>
      <c r="AP24" s="277"/>
      <c r="AQ24" s="277"/>
      <c r="AR24" s="277"/>
      <c r="AS24" s="280"/>
      <c r="AT24" s="277"/>
      <c r="AU24" s="278"/>
      <c r="AV24" s="285">
        <f t="shared" si="32"/>
        <v>90</v>
      </c>
      <c r="AW24" s="296" t="str">
        <f t="shared" si="28"/>
        <v>B</v>
      </c>
      <c r="AX24" s="1220">
        <f t="shared" si="14"/>
        <v>90.01</v>
      </c>
      <c r="AY24" s="1221">
        <f t="shared" si="14"/>
        <v>90.02</v>
      </c>
      <c r="AZ24" s="1221" t="str">
        <f t="shared" si="14"/>
        <v/>
      </c>
      <c r="BA24" s="1221" t="str">
        <f t="shared" si="14"/>
        <v/>
      </c>
      <c r="BB24" s="1221" t="str">
        <f t="shared" si="14"/>
        <v/>
      </c>
      <c r="BC24" s="1221" t="str">
        <f t="shared" si="14"/>
        <v/>
      </c>
      <c r="BD24" s="1221" t="str">
        <f t="shared" si="14"/>
        <v/>
      </c>
      <c r="BE24" s="1222" t="str">
        <f t="shared" si="14"/>
        <v/>
      </c>
      <c r="BF24" s="1221" t="str">
        <f t="shared" si="14"/>
        <v/>
      </c>
      <c r="BG24" s="1223" t="str">
        <f t="shared" si="14"/>
        <v/>
      </c>
      <c r="BH24" s="286">
        <f t="shared" si="29"/>
        <v>90.02</v>
      </c>
      <c r="BI24" s="286">
        <f t="shared" si="33"/>
        <v>90.01</v>
      </c>
      <c r="BJ24" s="287" t="str">
        <f t="shared" si="30"/>
        <v>baik</v>
      </c>
      <c r="BK24" s="287" t="str">
        <f t="shared" si="30"/>
        <v>baik</v>
      </c>
      <c r="BL24" s="286">
        <f t="shared" si="34"/>
        <v>2</v>
      </c>
      <c r="BM24" s="288">
        <f t="shared" si="31"/>
        <v>1</v>
      </c>
      <c r="BN24" s="289" t="str">
        <f>IF(AV24="","",IFERROR("Memiliki keterampilan "&amp;IF(BJ24=BK24,BJ24&amp;" dalam "&amp;VLOOKUP(BL24,'KD-PA'!$I$21:$N$30,'KD-PA'!F19+1)&amp;" dan "&amp;VLOOKUP(BM24,'KD-PA'!$I$21:$N$30,'KD-PA'!F19+1),BJ24&amp;" dalam "&amp;VLOOKUP(BL24,'KD-PA'!$I$21:$N$30,'KD-PA'!F19+1)&amp;", "&amp;BK24&amp;" keterampilan dalam "&amp;VLOOKUP(BM24,'KD-PA'!$I$21:$N$30,'KD-PA'!F19+1)),""))</f>
        <v xml:space="preserve">Memiliki keterampilan baik dalam Melaksanakan buah-buah Roh dalam surat Paulus di jemaat Galatia dan Menunjukkan hal-hal yang positif dan negatif manusia </v>
      </c>
      <c r="BO24" s="305"/>
    </row>
    <row r="25" spans="1:67" ht="33" customHeight="1">
      <c r="A25" s="67"/>
      <c r="B25" s="272">
        <f t="shared" si="20"/>
        <v>12</v>
      </c>
      <c r="C25" s="273">
        <f>IF(Data!F16="","",Data!F16)</f>
        <v>0</v>
      </c>
      <c r="D25" s="274" t="str">
        <f>IF(Data!H16="","",Data!H16)&amp;""&amp;IF('KD-PA'!G20="","","("&amp;'KD-PA'!G20&amp;")")</f>
        <v>Erto Seprianto Leukune(Kristen)</v>
      </c>
      <c r="E25" s="275" t="str">
        <f>IF(Data!I16="","",Data!I16)</f>
        <v>L</v>
      </c>
      <c r="F25" s="1503">
        <v>80</v>
      </c>
      <c r="G25" s="1504">
        <v>80</v>
      </c>
      <c r="H25" s="1478"/>
      <c r="I25" s="1478"/>
      <c r="J25" s="1478"/>
      <c r="K25" s="277"/>
      <c r="L25" s="277"/>
      <c r="M25" s="280"/>
      <c r="N25" s="277"/>
      <c r="O25" s="278"/>
      <c r="P25" s="279">
        <f t="shared" si="21"/>
        <v>80</v>
      </c>
      <c r="Q25" s="1504">
        <v>80</v>
      </c>
      <c r="R25" s="1507">
        <v>80</v>
      </c>
      <c r="S25" s="281">
        <f t="shared" si="22"/>
        <v>80</v>
      </c>
      <c r="T25" s="295" t="str">
        <f t="shared" si="23"/>
        <v>C</v>
      </c>
      <c r="U25" s="1215">
        <f t="shared" si="6"/>
        <v>80.010000000000005</v>
      </c>
      <c r="V25" s="1216">
        <f t="shared" si="6"/>
        <v>80.02</v>
      </c>
      <c r="W25" s="1216" t="str">
        <f t="shared" si="6"/>
        <v/>
      </c>
      <c r="X25" s="1216" t="str">
        <f t="shared" si="6"/>
        <v/>
      </c>
      <c r="Y25" s="1216" t="str">
        <f t="shared" si="6"/>
        <v/>
      </c>
      <c r="Z25" s="1216" t="str">
        <f t="shared" si="6"/>
        <v/>
      </c>
      <c r="AA25" s="1216" t="str">
        <f t="shared" si="6"/>
        <v/>
      </c>
      <c r="AB25" s="1217" t="str">
        <f t="shared" si="6"/>
        <v/>
      </c>
      <c r="AC25" s="1216" t="str">
        <f t="shared" si="6"/>
        <v/>
      </c>
      <c r="AD25" s="1218" t="str">
        <f t="shared" si="6"/>
        <v/>
      </c>
      <c r="AE25" s="1219">
        <f t="shared" si="24"/>
        <v>80.02</v>
      </c>
      <c r="AF25" s="282">
        <f t="shared" si="25"/>
        <v>80.010000000000005</v>
      </c>
      <c r="AG25" s="282" t="str">
        <f t="shared" si="9"/>
        <v>cukup</v>
      </c>
      <c r="AH25" s="282" t="str">
        <f t="shared" si="9"/>
        <v>cukup</v>
      </c>
      <c r="AI25" s="282">
        <f t="shared" si="26"/>
        <v>2</v>
      </c>
      <c r="AJ25" s="283">
        <f t="shared" si="27"/>
        <v>1</v>
      </c>
      <c r="AK25" s="284" t="str">
        <f>IF(P25="","",IFERROR("Memiliki kemampuan "&amp;IF(AG25=AH25,AG25&amp;" dalam "&amp;VLOOKUP(AI25,'KD-PA'!$I$9:$N$18,'KD-PA'!F20+1)&amp;" dan "&amp;VLOOKUP(AJ25,'KD-PA'!$I$9:$N$18,'KD-PA'!F20+1),AG25&amp;" dalam "&amp;VLOOKUP(AI25,'KD-PA'!$I$9:$N$18,'KD-PA'!F20+1)&amp;", "&amp;AH25&amp;" kemampuan dalam "&amp;VLOOKUP(AJ25,'KD-PA'!$I$9:$N$18,'KD-PA'!F20+1)),""))</f>
        <v>Memiliki kemampuan cukup dalam Memahami keberadaan Allah sebagai pembaharu kehidupan  dan Menjelaskan makna kebersamaan dengan orang lain</v>
      </c>
      <c r="AL25" s="1503">
        <v>80</v>
      </c>
      <c r="AM25" s="1504">
        <v>80</v>
      </c>
      <c r="AN25" s="277"/>
      <c r="AO25" s="277"/>
      <c r="AP25" s="277"/>
      <c r="AQ25" s="277"/>
      <c r="AR25" s="277"/>
      <c r="AS25" s="280"/>
      <c r="AT25" s="277"/>
      <c r="AU25" s="278"/>
      <c r="AV25" s="285">
        <f t="shared" si="32"/>
        <v>80</v>
      </c>
      <c r="AW25" s="296" t="str">
        <f t="shared" si="28"/>
        <v>C</v>
      </c>
      <c r="AX25" s="1220">
        <f t="shared" si="14"/>
        <v>80.010000000000005</v>
      </c>
      <c r="AY25" s="1221">
        <f t="shared" si="14"/>
        <v>80.02</v>
      </c>
      <c r="AZ25" s="1221" t="str">
        <f t="shared" si="14"/>
        <v/>
      </c>
      <c r="BA25" s="1221" t="str">
        <f t="shared" si="14"/>
        <v/>
      </c>
      <c r="BB25" s="1221" t="str">
        <f t="shared" si="14"/>
        <v/>
      </c>
      <c r="BC25" s="1221" t="str">
        <f t="shared" si="14"/>
        <v/>
      </c>
      <c r="BD25" s="1221" t="str">
        <f t="shared" si="14"/>
        <v/>
      </c>
      <c r="BE25" s="1222" t="str">
        <f t="shared" si="14"/>
        <v/>
      </c>
      <c r="BF25" s="1221" t="str">
        <f t="shared" si="14"/>
        <v/>
      </c>
      <c r="BG25" s="1223" t="str">
        <f t="shared" si="14"/>
        <v/>
      </c>
      <c r="BH25" s="286">
        <f t="shared" si="29"/>
        <v>80.02</v>
      </c>
      <c r="BI25" s="286">
        <f t="shared" si="33"/>
        <v>80.010000000000005</v>
      </c>
      <c r="BJ25" s="287" t="str">
        <f t="shared" si="30"/>
        <v>cukup</v>
      </c>
      <c r="BK25" s="287" t="str">
        <f t="shared" si="30"/>
        <v>cukup</v>
      </c>
      <c r="BL25" s="286">
        <f t="shared" si="34"/>
        <v>2</v>
      </c>
      <c r="BM25" s="288">
        <f t="shared" si="31"/>
        <v>1</v>
      </c>
      <c r="BN25" s="289" t="str">
        <f>IF(AV25="","",IFERROR("Memiliki keterampilan "&amp;IF(BJ25=BK25,BJ25&amp;" dalam "&amp;VLOOKUP(BL25,'KD-PA'!$I$21:$N$30,'KD-PA'!F20+1)&amp;" dan "&amp;VLOOKUP(BM25,'KD-PA'!$I$21:$N$30,'KD-PA'!F20+1),BJ25&amp;" dalam "&amp;VLOOKUP(BL25,'KD-PA'!$I$21:$N$30,'KD-PA'!F20+1)&amp;", "&amp;BK25&amp;" keterampilan dalam "&amp;VLOOKUP(BM25,'KD-PA'!$I$21:$N$30,'KD-PA'!F20+1)),""))</f>
        <v xml:space="preserve">Memiliki keterampilan cukup dalam Melaksanakan buah-buah Roh dalam surat Paulus di jemaat Galatia dan Menunjukkan hal-hal yang positif dan negatif manusia </v>
      </c>
      <c r="BO25" s="305"/>
    </row>
    <row r="26" spans="1:67" ht="33" customHeight="1" thickBot="1">
      <c r="A26" s="67"/>
      <c r="B26" s="272">
        <f t="shared" si="20"/>
        <v>13</v>
      </c>
      <c r="C26" s="273">
        <f>IF(Data!F17="","",Data!F17)</f>
        <v>0</v>
      </c>
      <c r="D26" s="274" t="str">
        <f>IF(Data!H17="","",Data!H17)&amp;""&amp;IF('KD-PA'!G21="","","("&amp;'KD-PA'!G21&amp;")")</f>
        <v>Feli Tipnoni(Kristen)</v>
      </c>
      <c r="E26" s="275" t="str">
        <f>IF(Data!I17="","",Data!I17)</f>
        <v>P</v>
      </c>
      <c r="F26" s="1503">
        <v>85</v>
      </c>
      <c r="G26" s="1504">
        <v>85</v>
      </c>
      <c r="H26" s="1478"/>
      <c r="I26" s="1478"/>
      <c r="J26" s="1478"/>
      <c r="K26" s="277"/>
      <c r="L26" s="277"/>
      <c r="M26" s="280"/>
      <c r="N26" s="277"/>
      <c r="O26" s="278"/>
      <c r="P26" s="279">
        <f t="shared" si="21"/>
        <v>85</v>
      </c>
      <c r="Q26" s="1504">
        <v>85</v>
      </c>
      <c r="R26" s="1507">
        <v>85</v>
      </c>
      <c r="S26" s="281">
        <f t="shared" si="22"/>
        <v>85</v>
      </c>
      <c r="T26" s="295" t="str">
        <f t="shared" si="23"/>
        <v>B</v>
      </c>
      <c r="U26" s="1215">
        <f t="shared" si="6"/>
        <v>85.01</v>
      </c>
      <c r="V26" s="1216">
        <f t="shared" si="6"/>
        <v>85.02</v>
      </c>
      <c r="W26" s="1216" t="str">
        <f t="shared" si="6"/>
        <v/>
      </c>
      <c r="X26" s="1216" t="str">
        <f t="shared" si="6"/>
        <v/>
      </c>
      <c r="Y26" s="1216" t="str">
        <f t="shared" si="6"/>
        <v/>
      </c>
      <c r="Z26" s="1216" t="str">
        <f t="shared" si="6"/>
        <v/>
      </c>
      <c r="AA26" s="1216" t="str">
        <f t="shared" si="6"/>
        <v/>
      </c>
      <c r="AB26" s="1217" t="str">
        <f t="shared" si="6"/>
        <v/>
      </c>
      <c r="AC26" s="1216" t="str">
        <f t="shared" si="6"/>
        <v/>
      </c>
      <c r="AD26" s="1218" t="str">
        <f t="shared" si="6"/>
        <v/>
      </c>
      <c r="AE26" s="1219">
        <f t="shared" si="24"/>
        <v>85.02</v>
      </c>
      <c r="AF26" s="282">
        <f t="shared" si="25"/>
        <v>85.01</v>
      </c>
      <c r="AG26" s="282" t="str">
        <f t="shared" si="9"/>
        <v>baik</v>
      </c>
      <c r="AH26" s="282" t="str">
        <f t="shared" si="9"/>
        <v>baik</v>
      </c>
      <c r="AI26" s="282">
        <f t="shared" si="26"/>
        <v>2</v>
      </c>
      <c r="AJ26" s="283">
        <f t="shared" si="27"/>
        <v>1</v>
      </c>
      <c r="AK26" s="284" t="str">
        <f>IF(P26="","",IFERROR("Memiliki kemampuan "&amp;IF(AG26=AH26,AG26&amp;" dalam "&amp;VLOOKUP(AI26,'KD-PA'!$I$9:$N$18,'KD-PA'!F21+1)&amp;" dan "&amp;VLOOKUP(AJ26,'KD-PA'!$I$9:$N$18,'KD-PA'!F21+1),AG26&amp;" dalam "&amp;VLOOKUP(AI26,'KD-PA'!$I$9:$N$18,'KD-PA'!F21+1)&amp;", "&amp;AH26&amp;" kemampuan dalam "&amp;VLOOKUP(AJ26,'KD-PA'!$I$9:$N$18,'KD-PA'!F21+1)),""))</f>
        <v>Memiliki kemampuan baik dalam Memahami keberadaan Allah sebagai pembaharu kehidupan  dan Menjelaskan makna kebersamaan dengan orang lain</v>
      </c>
      <c r="AL26" s="1503">
        <v>85</v>
      </c>
      <c r="AM26" s="1504">
        <v>85</v>
      </c>
      <c r="AN26" s="277"/>
      <c r="AO26" s="277"/>
      <c r="AP26" s="277"/>
      <c r="AQ26" s="277"/>
      <c r="AR26" s="277"/>
      <c r="AS26" s="280"/>
      <c r="AT26" s="277"/>
      <c r="AU26" s="278"/>
      <c r="AV26" s="285">
        <f t="shared" si="32"/>
        <v>85</v>
      </c>
      <c r="AW26" s="296" t="str">
        <f t="shared" si="28"/>
        <v>B</v>
      </c>
      <c r="AX26" s="1220">
        <f t="shared" si="14"/>
        <v>85.01</v>
      </c>
      <c r="AY26" s="1221">
        <f t="shared" si="14"/>
        <v>85.02</v>
      </c>
      <c r="AZ26" s="1221" t="str">
        <f t="shared" si="14"/>
        <v/>
      </c>
      <c r="BA26" s="1221" t="str">
        <f t="shared" si="14"/>
        <v/>
      </c>
      <c r="BB26" s="1221" t="str">
        <f t="shared" si="14"/>
        <v/>
      </c>
      <c r="BC26" s="1221" t="str">
        <f t="shared" si="14"/>
        <v/>
      </c>
      <c r="BD26" s="1221" t="str">
        <f t="shared" si="14"/>
        <v/>
      </c>
      <c r="BE26" s="1222" t="str">
        <f t="shared" si="14"/>
        <v/>
      </c>
      <c r="BF26" s="1221" t="str">
        <f t="shared" si="14"/>
        <v/>
      </c>
      <c r="BG26" s="1223" t="str">
        <f t="shared" si="14"/>
        <v/>
      </c>
      <c r="BH26" s="286">
        <f t="shared" si="29"/>
        <v>85.02</v>
      </c>
      <c r="BI26" s="286">
        <f t="shared" si="33"/>
        <v>85.01</v>
      </c>
      <c r="BJ26" s="287" t="str">
        <f t="shared" si="30"/>
        <v>baik</v>
      </c>
      <c r="BK26" s="287" t="str">
        <f t="shared" si="30"/>
        <v>baik</v>
      </c>
      <c r="BL26" s="286">
        <f t="shared" si="34"/>
        <v>2</v>
      </c>
      <c r="BM26" s="288">
        <f t="shared" si="31"/>
        <v>1</v>
      </c>
      <c r="BN26" s="289" t="str">
        <f>IF(AV26="","",IFERROR("Memiliki keterampilan "&amp;IF(BJ26=BK26,BJ26&amp;" dalam "&amp;VLOOKUP(BL26,'KD-PA'!$I$21:$N$30,'KD-PA'!F21+1)&amp;" dan "&amp;VLOOKUP(BM26,'KD-PA'!$I$21:$N$30,'KD-PA'!F21+1),BJ26&amp;" dalam "&amp;VLOOKUP(BL26,'KD-PA'!$I$21:$N$30,'KD-PA'!F21+1)&amp;", "&amp;BK26&amp;" keterampilan dalam "&amp;VLOOKUP(BM26,'KD-PA'!$I$21:$N$30,'KD-PA'!F21+1)),""))</f>
        <v xml:space="preserve">Memiliki keterampilan baik dalam Melaksanakan buah-buah Roh dalam surat Paulus di jemaat Galatia dan Menunjukkan hal-hal yang positif dan negatif manusia </v>
      </c>
      <c r="BO26" s="305"/>
    </row>
    <row r="27" spans="1:67" ht="33" customHeight="1">
      <c r="A27" s="67"/>
      <c r="B27" s="272">
        <f t="shared" si="20"/>
        <v>14</v>
      </c>
      <c r="C27" s="273">
        <f>IF(Data!F18="","",Data!F18)</f>
        <v>0</v>
      </c>
      <c r="D27" s="274" t="str">
        <f>IF(Data!H18="","",Data!H18)&amp;""&amp;IF('KD-PA'!G22="","","("&amp;'KD-PA'!G22&amp;")")</f>
        <v>Ferdinandes Sakbana (Katholik)</v>
      </c>
      <c r="E27" s="275" t="str">
        <f>IF(Data!I18="","",Data!I18)</f>
        <v>L</v>
      </c>
      <c r="F27" s="276">
        <v>90</v>
      </c>
      <c r="G27" s="277">
        <v>85</v>
      </c>
      <c r="H27" s="277">
        <v>80</v>
      </c>
      <c r="I27" s="277">
        <v>90</v>
      </c>
      <c r="J27" s="1478"/>
      <c r="K27" s="277"/>
      <c r="L27" s="277"/>
      <c r="M27" s="280"/>
      <c r="N27" s="277"/>
      <c r="O27" s="278"/>
      <c r="P27" s="279">
        <f t="shared" si="21"/>
        <v>86</v>
      </c>
      <c r="Q27" s="1480">
        <v>85</v>
      </c>
      <c r="R27" s="1481">
        <v>86</v>
      </c>
      <c r="S27" s="281">
        <f t="shared" si="22"/>
        <v>86</v>
      </c>
      <c r="T27" s="295" t="str">
        <f t="shared" si="23"/>
        <v>B</v>
      </c>
      <c r="U27" s="1215">
        <f t="shared" si="6"/>
        <v>90.01</v>
      </c>
      <c r="V27" s="1216">
        <f t="shared" si="6"/>
        <v>85.02</v>
      </c>
      <c r="W27" s="1216">
        <f t="shared" si="6"/>
        <v>80.03</v>
      </c>
      <c r="X27" s="1216">
        <f t="shared" si="6"/>
        <v>90.04</v>
      </c>
      <c r="Y27" s="1216" t="str">
        <f t="shared" si="6"/>
        <v/>
      </c>
      <c r="Z27" s="1216" t="str">
        <f t="shared" si="6"/>
        <v/>
      </c>
      <c r="AA27" s="1216" t="str">
        <f t="shared" si="6"/>
        <v/>
      </c>
      <c r="AB27" s="1217" t="str">
        <f t="shared" si="6"/>
        <v/>
      </c>
      <c r="AC27" s="1216" t="str">
        <f t="shared" si="6"/>
        <v/>
      </c>
      <c r="AD27" s="1218" t="str">
        <f t="shared" si="6"/>
        <v/>
      </c>
      <c r="AE27" s="1219">
        <f t="shared" si="24"/>
        <v>90.04</v>
      </c>
      <c r="AF27" s="282">
        <f t="shared" si="25"/>
        <v>80.03</v>
      </c>
      <c r="AG27" s="282" t="str">
        <f t="shared" si="9"/>
        <v>baik</v>
      </c>
      <c r="AH27" s="282" t="str">
        <f t="shared" si="9"/>
        <v>cukup</v>
      </c>
      <c r="AI27" s="282">
        <f t="shared" si="26"/>
        <v>4</v>
      </c>
      <c r="AJ27" s="283">
        <f t="shared" si="27"/>
        <v>3</v>
      </c>
      <c r="AK27" s="284" t="str">
        <f>IF(P27="","",IFERROR("Memiliki kemampuan "&amp;IF(AG27=AH27,AG27&amp;" dalam "&amp;VLOOKUP(AI27,'KD-PA'!$I$9:$N$18,'KD-PA'!F22+1)&amp;" dan "&amp;VLOOKUP(AJ27,'KD-PA'!$I$9:$N$18,'KD-PA'!F22+1),AG27&amp;" dalam "&amp;VLOOKUP(AI27,'KD-PA'!$I$9:$N$18,'KD-PA'!F22+1)&amp;", "&amp;AH27&amp;" kemampuan dalam "&amp;VLOOKUP(AJ27,'KD-PA'!$I$9:$N$18,'KD-PA'!F22+1)),""))</f>
        <v xml:space="preserve">Memiliki kemampuan baik dalam Memahami pribadi yesus kristus yang rela menderita, cukup kemampuan dalam Memahami makna kedatangan yesus kristus </v>
      </c>
      <c r="AL27" s="276">
        <v>85</v>
      </c>
      <c r="AM27" s="277">
        <v>85</v>
      </c>
      <c r="AN27" s="277">
        <v>85</v>
      </c>
      <c r="AO27" s="277"/>
      <c r="AP27" s="277"/>
      <c r="AQ27" s="277"/>
      <c r="AR27" s="277"/>
      <c r="AS27" s="280"/>
      <c r="AT27" s="277"/>
      <c r="AU27" s="278"/>
      <c r="AV27" s="285">
        <f t="shared" si="32"/>
        <v>85</v>
      </c>
      <c r="AW27" s="296" t="str">
        <f t="shared" si="28"/>
        <v>B</v>
      </c>
      <c r="AX27" s="1220">
        <f t="shared" si="14"/>
        <v>85.01</v>
      </c>
      <c r="AY27" s="1221">
        <f t="shared" si="14"/>
        <v>85.02</v>
      </c>
      <c r="AZ27" s="1221">
        <f t="shared" si="14"/>
        <v>85.03</v>
      </c>
      <c r="BA27" s="1221" t="str">
        <f t="shared" si="14"/>
        <v/>
      </c>
      <c r="BB27" s="1221" t="str">
        <f t="shared" si="14"/>
        <v/>
      </c>
      <c r="BC27" s="1221" t="str">
        <f t="shared" si="14"/>
        <v/>
      </c>
      <c r="BD27" s="1221" t="str">
        <f t="shared" si="14"/>
        <v/>
      </c>
      <c r="BE27" s="1222" t="str">
        <f t="shared" si="14"/>
        <v/>
      </c>
      <c r="BF27" s="1221" t="str">
        <f t="shared" si="14"/>
        <v/>
      </c>
      <c r="BG27" s="1223" t="str">
        <f t="shared" si="14"/>
        <v/>
      </c>
      <c r="BH27" s="286">
        <f t="shared" si="29"/>
        <v>85.03</v>
      </c>
      <c r="BI27" s="286">
        <f t="shared" si="33"/>
        <v>85.01</v>
      </c>
      <c r="BJ27" s="287" t="str">
        <f t="shared" si="30"/>
        <v>baik</v>
      </c>
      <c r="BK27" s="287" t="str">
        <f t="shared" si="30"/>
        <v>baik</v>
      </c>
      <c r="BL27" s="286">
        <f t="shared" si="34"/>
        <v>3</v>
      </c>
      <c r="BM27" s="288">
        <f t="shared" si="31"/>
        <v>1</v>
      </c>
      <c r="BN27" s="289" t="str">
        <f>IF(AV27="","",IFERROR("Memiliki keterampilan "&amp;IF(BJ27=BK27,BJ27&amp;" dalam "&amp;VLOOKUP(BL27,'KD-PA'!$I$21:$N$30,'KD-PA'!F22+1)&amp;" dan "&amp;VLOOKUP(BM27,'KD-PA'!$I$21:$N$30,'KD-PA'!F22+1),BJ27&amp;" dalam "&amp;VLOOKUP(BL27,'KD-PA'!$I$21:$N$30,'KD-PA'!F22+1)&amp;", "&amp;BK27&amp;" keterampilan dalam "&amp;VLOOKUP(BM27,'KD-PA'!$I$21:$N$30,'KD-PA'!F22+1)),""))</f>
        <v>Memiliki keterampilan baik dalam Bersaksi tentang yesus kristus yang datang mewartakan  dan Bersifat kritis dan bertanggung jawab terhadap mass media</v>
      </c>
      <c r="BO27" s="305"/>
    </row>
    <row r="28" spans="1:67" ht="33" customHeight="1">
      <c r="A28" s="67"/>
      <c r="B28" s="272">
        <f t="shared" si="20"/>
        <v>15</v>
      </c>
      <c r="C28" s="273">
        <f>IF(Data!F19="","",Data!F19)</f>
        <v>0</v>
      </c>
      <c r="D28" s="274" t="str">
        <f>IF(Data!H19="","",Data!H19)&amp;""&amp;IF('KD-PA'!G23="","","("&amp;'KD-PA'!G23&amp;")")</f>
        <v>Fitri Novani Nitbani(Kristen)</v>
      </c>
      <c r="E28" s="275" t="str">
        <f>IF(Data!I19="","",Data!I19)</f>
        <v>P</v>
      </c>
      <c r="F28" s="1503">
        <v>90</v>
      </c>
      <c r="G28" s="1504">
        <v>90</v>
      </c>
      <c r="H28" s="1478"/>
      <c r="I28" s="1478"/>
      <c r="J28" s="1478"/>
      <c r="K28" s="277"/>
      <c r="L28" s="277"/>
      <c r="M28" s="280"/>
      <c r="N28" s="277"/>
      <c r="O28" s="278"/>
      <c r="P28" s="279">
        <f t="shared" si="21"/>
        <v>90</v>
      </c>
      <c r="Q28" s="1504">
        <v>90</v>
      </c>
      <c r="R28" s="1507">
        <v>90</v>
      </c>
      <c r="S28" s="281">
        <f t="shared" si="22"/>
        <v>90</v>
      </c>
      <c r="T28" s="295" t="str">
        <f t="shared" si="23"/>
        <v>B</v>
      </c>
      <c r="U28" s="1215">
        <f t="shared" si="6"/>
        <v>90.01</v>
      </c>
      <c r="V28" s="1216">
        <f t="shared" si="6"/>
        <v>90.02</v>
      </c>
      <c r="W28" s="1216" t="str">
        <f t="shared" si="6"/>
        <v/>
      </c>
      <c r="X28" s="1216" t="str">
        <f t="shared" si="6"/>
        <v/>
      </c>
      <c r="Y28" s="1216" t="str">
        <f t="shared" si="6"/>
        <v/>
      </c>
      <c r="Z28" s="1216" t="str">
        <f t="shared" si="6"/>
        <v/>
      </c>
      <c r="AA28" s="1216" t="str">
        <f t="shared" si="6"/>
        <v/>
      </c>
      <c r="AB28" s="1217" t="str">
        <f t="shared" si="6"/>
        <v/>
      </c>
      <c r="AC28" s="1216" t="str">
        <f t="shared" si="6"/>
        <v/>
      </c>
      <c r="AD28" s="1218" t="str">
        <f t="shared" si="6"/>
        <v/>
      </c>
      <c r="AE28" s="1219">
        <f t="shared" si="24"/>
        <v>90.02</v>
      </c>
      <c r="AF28" s="282">
        <f t="shared" si="25"/>
        <v>90.01</v>
      </c>
      <c r="AG28" s="282" t="str">
        <f t="shared" si="9"/>
        <v>baik</v>
      </c>
      <c r="AH28" s="282" t="str">
        <f t="shared" si="9"/>
        <v>baik</v>
      </c>
      <c r="AI28" s="282">
        <f t="shared" si="26"/>
        <v>2</v>
      </c>
      <c r="AJ28" s="283">
        <f t="shared" si="27"/>
        <v>1</v>
      </c>
      <c r="AK28" s="284" t="str">
        <f>IF(P28="","",IFERROR("Memiliki kemampuan "&amp;IF(AG28=AH28,AG28&amp;" dalam "&amp;VLOOKUP(AI28,'KD-PA'!$I$9:$N$18,'KD-PA'!F23+1)&amp;" dan "&amp;VLOOKUP(AJ28,'KD-PA'!$I$9:$N$18,'KD-PA'!F23+1),AG28&amp;" dalam "&amp;VLOOKUP(AI28,'KD-PA'!$I$9:$N$18,'KD-PA'!F23+1)&amp;", "&amp;AH28&amp;" kemampuan dalam "&amp;VLOOKUP(AJ28,'KD-PA'!$I$9:$N$18,'KD-PA'!F23+1)),""))</f>
        <v>Memiliki kemampuan baik dalam Memahami keberadaan Allah sebagai pembaharu kehidupan  dan Menjelaskan makna kebersamaan dengan orang lain</v>
      </c>
      <c r="AL28" s="1503">
        <v>90</v>
      </c>
      <c r="AM28" s="1504">
        <v>90</v>
      </c>
      <c r="AN28" s="277"/>
      <c r="AO28" s="277"/>
      <c r="AP28" s="277"/>
      <c r="AQ28" s="277"/>
      <c r="AR28" s="277"/>
      <c r="AS28" s="280"/>
      <c r="AT28" s="277"/>
      <c r="AU28" s="278"/>
      <c r="AV28" s="285">
        <f t="shared" si="32"/>
        <v>90</v>
      </c>
      <c r="AW28" s="296" t="str">
        <f t="shared" si="28"/>
        <v>B</v>
      </c>
      <c r="AX28" s="1220">
        <f t="shared" si="14"/>
        <v>90.01</v>
      </c>
      <c r="AY28" s="1221">
        <f t="shared" si="14"/>
        <v>90.02</v>
      </c>
      <c r="AZ28" s="1221" t="str">
        <f t="shared" si="14"/>
        <v/>
      </c>
      <c r="BA28" s="1221" t="str">
        <f t="shared" si="14"/>
        <v/>
      </c>
      <c r="BB28" s="1221" t="str">
        <f t="shared" si="14"/>
        <v/>
      </c>
      <c r="BC28" s="1221" t="str">
        <f t="shared" si="14"/>
        <v/>
      </c>
      <c r="BD28" s="1221" t="str">
        <f t="shared" si="14"/>
        <v/>
      </c>
      <c r="BE28" s="1222" t="str">
        <f t="shared" si="14"/>
        <v/>
      </c>
      <c r="BF28" s="1221" t="str">
        <f t="shared" si="14"/>
        <v/>
      </c>
      <c r="BG28" s="1223" t="str">
        <f t="shared" si="14"/>
        <v/>
      </c>
      <c r="BH28" s="286">
        <f t="shared" si="29"/>
        <v>90.02</v>
      </c>
      <c r="BI28" s="286">
        <f t="shared" si="33"/>
        <v>90.01</v>
      </c>
      <c r="BJ28" s="287" t="str">
        <f t="shared" si="30"/>
        <v>baik</v>
      </c>
      <c r="BK28" s="287" t="str">
        <f t="shared" si="30"/>
        <v>baik</v>
      </c>
      <c r="BL28" s="286">
        <f t="shared" si="34"/>
        <v>2</v>
      </c>
      <c r="BM28" s="288">
        <f t="shared" si="31"/>
        <v>1</v>
      </c>
      <c r="BN28" s="289" t="str">
        <f>IF(AV28="","",IFERROR("Memiliki keterampilan "&amp;IF(BJ28=BK28,BJ28&amp;" dalam "&amp;VLOOKUP(BL28,'KD-PA'!$I$21:$N$30,'KD-PA'!F23+1)&amp;" dan "&amp;VLOOKUP(BM28,'KD-PA'!$I$21:$N$30,'KD-PA'!F23+1),BJ28&amp;" dalam "&amp;VLOOKUP(BL28,'KD-PA'!$I$21:$N$30,'KD-PA'!F23+1)&amp;", "&amp;BK28&amp;" keterampilan dalam "&amp;VLOOKUP(BM28,'KD-PA'!$I$21:$N$30,'KD-PA'!F23+1)),""))</f>
        <v xml:space="preserve">Memiliki keterampilan baik dalam Melaksanakan buah-buah Roh dalam surat Paulus di jemaat Galatia dan Menunjukkan hal-hal yang positif dan negatif manusia </v>
      </c>
      <c r="BO28" s="305"/>
    </row>
    <row r="29" spans="1:67" ht="33" customHeight="1">
      <c r="A29" s="67"/>
      <c r="B29" s="272">
        <f t="shared" si="20"/>
        <v>16</v>
      </c>
      <c r="C29" s="273">
        <f>IF(Data!F20="","",Data!F20)</f>
        <v>0</v>
      </c>
      <c r="D29" s="274" t="str">
        <f>IF(Data!H20="","",Data!H20)&amp;""&amp;IF('KD-PA'!G24="","","("&amp;'KD-PA'!G24&amp;")")</f>
        <v>Helsina Benu(Kristen)</v>
      </c>
      <c r="E29" s="275" t="str">
        <f>IF(Data!I20="","",Data!I20)</f>
        <v>P</v>
      </c>
      <c r="F29" s="1503">
        <v>95</v>
      </c>
      <c r="G29" s="1504">
        <v>95</v>
      </c>
      <c r="H29" s="1478"/>
      <c r="I29" s="1478"/>
      <c r="J29" s="1478"/>
      <c r="K29" s="277"/>
      <c r="L29" s="277"/>
      <c r="M29" s="280"/>
      <c r="N29" s="277"/>
      <c r="O29" s="278"/>
      <c r="P29" s="279">
        <f t="shared" si="21"/>
        <v>95</v>
      </c>
      <c r="Q29" s="1504">
        <v>95</v>
      </c>
      <c r="R29" s="1507">
        <v>95</v>
      </c>
      <c r="S29" s="281">
        <f t="shared" si="22"/>
        <v>95</v>
      </c>
      <c r="T29" s="295" t="str">
        <f t="shared" si="23"/>
        <v>A</v>
      </c>
      <c r="U29" s="1215">
        <f t="shared" si="6"/>
        <v>95.01</v>
      </c>
      <c r="V29" s="1216">
        <f t="shared" si="6"/>
        <v>95.02</v>
      </c>
      <c r="W29" s="1216" t="str">
        <f t="shared" si="6"/>
        <v/>
      </c>
      <c r="X29" s="1216" t="str">
        <f t="shared" si="6"/>
        <v/>
      </c>
      <c r="Y29" s="1216" t="str">
        <f t="shared" si="6"/>
        <v/>
      </c>
      <c r="Z29" s="1216" t="str">
        <f t="shared" si="6"/>
        <v/>
      </c>
      <c r="AA29" s="1216" t="str">
        <f t="shared" si="6"/>
        <v/>
      </c>
      <c r="AB29" s="1217" t="str">
        <f t="shared" si="6"/>
        <v/>
      </c>
      <c r="AC29" s="1216" t="str">
        <f t="shared" si="6"/>
        <v/>
      </c>
      <c r="AD29" s="1218" t="str">
        <f t="shared" si="6"/>
        <v/>
      </c>
      <c r="AE29" s="1219">
        <f t="shared" si="24"/>
        <v>95.02</v>
      </c>
      <c r="AF29" s="282">
        <f t="shared" si="25"/>
        <v>95.01</v>
      </c>
      <c r="AG29" s="282" t="str">
        <f t="shared" si="9"/>
        <v>sangat baik</v>
      </c>
      <c r="AH29" s="282" t="str">
        <f t="shared" si="9"/>
        <v>sangat baik</v>
      </c>
      <c r="AI29" s="282">
        <f t="shared" si="26"/>
        <v>2</v>
      </c>
      <c r="AJ29" s="283">
        <f t="shared" si="27"/>
        <v>1</v>
      </c>
      <c r="AK29" s="284" t="str">
        <f>IF(P29="","",IFERROR("Memiliki kemampuan "&amp;IF(AG29=AH29,AG29&amp;" dalam "&amp;VLOOKUP(AI29,'KD-PA'!$I$9:$N$18,'KD-PA'!F24+1)&amp;" dan "&amp;VLOOKUP(AJ29,'KD-PA'!$I$9:$N$18,'KD-PA'!F24+1),AG29&amp;" dalam "&amp;VLOOKUP(AI29,'KD-PA'!$I$9:$N$18,'KD-PA'!F24+1)&amp;", "&amp;AH29&amp;" kemampuan dalam "&amp;VLOOKUP(AJ29,'KD-PA'!$I$9:$N$18,'KD-PA'!F24+1)),""))</f>
        <v>Memiliki kemampuan sangat baik dalam Memahami keberadaan Allah sebagai pembaharu kehidupan  dan Menjelaskan makna kebersamaan dengan orang lain</v>
      </c>
      <c r="AL29" s="1503">
        <v>95</v>
      </c>
      <c r="AM29" s="1504">
        <v>95</v>
      </c>
      <c r="AN29" s="277"/>
      <c r="AO29" s="277"/>
      <c r="AP29" s="277"/>
      <c r="AQ29" s="277"/>
      <c r="AR29" s="277"/>
      <c r="AS29" s="280"/>
      <c r="AT29" s="277"/>
      <c r="AU29" s="278"/>
      <c r="AV29" s="285">
        <f t="shared" si="32"/>
        <v>95</v>
      </c>
      <c r="AW29" s="296" t="str">
        <f t="shared" si="28"/>
        <v>A</v>
      </c>
      <c r="AX29" s="1220">
        <f t="shared" si="14"/>
        <v>95.01</v>
      </c>
      <c r="AY29" s="1221">
        <f t="shared" si="14"/>
        <v>95.02</v>
      </c>
      <c r="AZ29" s="1221" t="str">
        <f t="shared" si="14"/>
        <v/>
      </c>
      <c r="BA29" s="1221" t="str">
        <f t="shared" si="14"/>
        <v/>
      </c>
      <c r="BB29" s="1221" t="str">
        <f t="shared" si="14"/>
        <v/>
      </c>
      <c r="BC29" s="1221" t="str">
        <f t="shared" si="14"/>
        <v/>
      </c>
      <c r="BD29" s="1221" t="str">
        <f t="shared" si="14"/>
        <v/>
      </c>
      <c r="BE29" s="1222" t="str">
        <f t="shared" si="14"/>
        <v/>
      </c>
      <c r="BF29" s="1221" t="str">
        <f t="shared" si="14"/>
        <v/>
      </c>
      <c r="BG29" s="1223" t="str">
        <f t="shared" si="14"/>
        <v/>
      </c>
      <c r="BH29" s="286">
        <f t="shared" si="29"/>
        <v>95.02</v>
      </c>
      <c r="BI29" s="286">
        <f t="shared" si="33"/>
        <v>95.01</v>
      </c>
      <c r="BJ29" s="287" t="str">
        <f t="shared" si="30"/>
        <v>sangat baik</v>
      </c>
      <c r="BK29" s="287" t="str">
        <f t="shared" si="30"/>
        <v>sangat baik</v>
      </c>
      <c r="BL29" s="286">
        <f t="shared" si="34"/>
        <v>2</v>
      </c>
      <c r="BM29" s="288">
        <f t="shared" si="31"/>
        <v>1</v>
      </c>
      <c r="BN29" s="289" t="str">
        <f>IF(AV29="","",IFERROR("Memiliki keterampilan "&amp;IF(BJ29=BK29,BJ29&amp;" dalam "&amp;VLOOKUP(BL29,'KD-PA'!$I$21:$N$30,'KD-PA'!F24+1)&amp;" dan "&amp;VLOOKUP(BM29,'KD-PA'!$I$21:$N$30,'KD-PA'!F24+1),BJ29&amp;" dalam "&amp;VLOOKUP(BL29,'KD-PA'!$I$21:$N$30,'KD-PA'!F24+1)&amp;", "&amp;BK29&amp;" keterampilan dalam "&amp;VLOOKUP(BM29,'KD-PA'!$I$21:$N$30,'KD-PA'!F24+1)),""))</f>
        <v xml:space="preserve">Memiliki keterampilan sangat baik dalam Melaksanakan buah-buah Roh dalam surat Paulus di jemaat Galatia dan Menunjukkan hal-hal yang positif dan negatif manusia </v>
      </c>
      <c r="BO29" s="305"/>
    </row>
    <row r="30" spans="1:67" ht="33" customHeight="1">
      <c r="A30" s="67"/>
      <c r="B30" s="272">
        <f t="shared" si="20"/>
        <v>17</v>
      </c>
      <c r="C30" s="273">
        <f>IF(Data!F21="","",Data!F21)</f>
        <v>0</v>
      </c>
      <c r="D30" s="274" t="str">
        <f>IF(Data!H21="","",Data!H21)&amp;""&amp;IF('KD-PA'!G25="","","("&amp;'KD-PA'!G25&amp;")")</f>
        <v>Hezron Nubatonis (Kristen)</v>
      </c>
      <c r="E30" s="275" t="str">
        <f>IF(Data!I21="","",Data!I21)</f>
        <v>L</v>
      </c>
      <c r="F30" s="1503">
        <v>70</v>
      </c>
      <c r="G30" s="1504">
        <v>70</v>
      </c>
      <c r="H30" s="1478"/>
      <c r="I30" s="1478"/>
      <c r="J30" s="1478"/>
      <c r="K30" s="277"/>
      <c r="L30" s="277"/>
      <c r="M30" s="280"/>
      <c r="N30" s="277"/>
      <c r="O30" s="278"/>
      <c r="P30" s="279">
        <f t="shared" si="21"/>
        <v>70</v>
      </c>
      <c r="Q30" s="1504">
        <v>70</v>
      </c>
      <c r="R30" s="1507">
        <v>70</v>
      </c>
      <c r="S30" s="281">
        <f t="shared" si="22"/>
        <v>70</v>
      </c>
      <c r="T30" s="295" t="str">
        <f t="shared" si="23"/>
        <v>D</v>
      </c>
      <c r="U30" s="1215">
        <f t="shared" si="6"/>
        <v>70.010000000000005</v>
      </c>
      <c r="V30" s="1216">
        <f t="shared" si="6"/>
        <v>70.02</v>
      </c>
      <c r="W30" s="1216" t="str">
        <f t="shared" si="6"/>
        <v/>
      </c>
      <c r="X30" s="1216" t="str">
        <f t="shared" si="6"/>
        <v/>
      </c>
      <c r="Y30" s="1216" t="str">
        <f t="shared" si="6"/>
        <v/>
      </c>
      <c r="Z30" s="1216" t="str">
        <f t="shared" si="6"/>
        <v/>
      </c>
      <c r="AA30" s="1216" t="str">
        <f t="shared" si="6"/>
        <v/>
      </c>
      <c r="AB30" s="1217" t="str">
        <f t="shared" si="6"/>
        <v/>
      </c>
      <c r="AC30" s="1216" t="str">
        <f t="shared" si="6"/>
        <v/>
      </c>
      <c r="AD30" s="1218" t="str">
        <f t="shared" si="6"/>
        <v/>
      </c>
      <c r="AE30" s="1219">
        <f t="shared" si="24"/>
        <v>70.02</v>
      </c>
      <c r="AF30" s="282">
        <f t="shared" si="25"/>
        <v>70.010000000000005</v>
      </c>
      <c r="AG30" s="282" t="str">
        <f t="shared" ref="AG30:AH63" si="35">IF(AE30&gt;$H$76,$I$75,IF(AE30&gt;$H$77,$I$76,IF(AE30&gt;$H$78,$I$77,$I$78)))</f>
        <v>perlu dimaksimalkan</v>
      </c>
      <c r="AH30" s="282" t="str">
        <f t="shared" si="35"/>
        <v>perlu dimaksimalkan</v>
      </c>
      <c r="AI30" s="282">
        <f t="shared" si="26"/>
        <v>2</v>
      </c>
      <c r="AJ30" s="283">
        <f t="shared" si="27"/>
        <v>1</v>
      </c>
      <c r="AK30" s="284" t="str">
        <f>IF(P30="","",IFERROR("Memiliki kemampuan "&amp;IF(AG30=AH30,AG30&amp;" dalam "&amp;VLOOKUP(AI30,'KD-PA'!$I$9:$N$18,'KD-PA'!F25+1)&amp;" dan "&amp;VLOOKUP(AJ30,'KD-PA'!$I$9:$N$18,'KD-PA'!F25+1),AG30&amp;" dalam "&amp;VLOOKUP(AI30,'KD-PA'!$I$9:$N$18,'KD-PA'!F25+1)&amp;", "&amp;AH30&amp;" kemampuan dalam "&amp;VLOOKUP(AJ30,'KD-PA'!$I$9:$N$18,'KD-PA'!F25+1)),""))</f>
        <v>Memiliki kemampuan perlu dimaksimalkan dalam Memahami keberadaan Allah sebagai pembaharu kehidupan  dan Menjelaskan makna kebersamaan dengan orang lain</v>
      </c>
      <c r="AL30" s="1503">
        <v>70</v>
      </c>
      <c r="AM30" s="1504">
        <v>70</v>
      </c>
      <c r="AN30" s="277"/>
      <c r="AO30" s="277"/>
      <c r="AP30" s="277"/>
      <c r="AQ30" s="277"/>
      <c r="AR30" s="277"/>
      <c r="AS30" s="280"/>
      <c r="AT30" s="277"/>
      <c r="AU30" s="278"/>
      <c r="AV30" s="285">
        <f t="shared" si="32"/>
        <v>70</v>
      </c>
      <c r="AW30" s="296" t="str">
        <f t="shared" si="28"/>
        <v>D</v>
      </c>
      <c r="AX30" s="1220">
        <f t="shared" ref="AX30:BG55" si="36">IF(AL30="","",AL30+AX$12)</f>
        <v>70.010000000000005</v>
      </c>
      <c r="AY30" s="1221">
        <f t="shared" si="36"/>
        <v>70.02</v>
      </c>
      <c r="AZ30" s="1221" t="str">
        <f t="shared" si="36"/>
        <v/>
      </c>
      <c r="BA30" s="1221" t="str">
        <f t="shared" si="36"/>
        <v/>
      </c>
      <c r="BB30" s="1221" t="str">
        <f t="shared" si="36"/>
        <v/>
      </c>
      <c r="BC30" s="1221" t="str">
        <f t="shared" si="36"/>
        <v/>
      </c>
      <c r="BD30" s="1221" t="str">
        <f t="shared" si="36"/>
        <v/>
      </c>
      <c r="BE30" s="1222" t="str">
        <f t="shared" si="36"/>
        <v/>
      </c>
      <c r="BF30" s="1221" t="str">
        <f t="shared" si="36"/>
        <v/>
      </c>
      <c r="BG30" s="1223" t="str">
        <f t="shared" si="36"/>
        <v/>
      </c>
      <c r="BH30" s="286">
        <f t="shared" si="29"/>
        <v>70.02</v>
      </c>
      <c r="BI30" s="286">
        <f t="shared" si="33"/>
        <v>70.010000000000005</v>
      </c>
      <c r="BJ30" s="287" t="str">
        <f t="shared" si="30"/>
        <v>perlu dimaksimalkan</v>
      </c>
      <c r="BK30" s="287" t="str">
        <f t="shared" si="30"/>
        <v>perlu dimaksimalkan</v>
      </c>
      <c r="BL30" s="286">
        <f t="shared" si="34"/>
        <v>2</v>
      </c>
      <c r="BM30" s="288">
        <f t="shared" si="31"/>
        <v>1</v>
      </c>
      <c r="BN30" s="289" t="str">
        <f>IF(AV30="","",IFERROR("Memiliki keterampilan "&amp;IF(BJ30=BK30,BJ30&amp;" dalam "&amp;VLOOKUP(BL30,'KD-PA'!$I$21:$N$30,'KD-PA'!F25+1)&amp;" dan "&amp;VLOOKUP(BM30,'KD-PA'!$I$21:$N$30,'KD-PA'!F25+1),BJ30&amp;" dalam "&amp;VLOOKUP(BL30,'KD-PA'!$I$21:$N$30,'KD-PA'!F25+1)&amp;", "&amp;BK30&amp;" keterampilan dalam "&amp;VLOOKUP(BM30,'KD-PA'!$I$21:$N$30,'KD-PA'!F25+1)),""))</f>
        <v xml:space="preserve">Memiliki keterampilan perlu dimaksimalkan dalam Melaksanakan buah-buah Roh dalam surat Paulus di jemaat Galatia dan Menunjukkan hal-hal yang positif dan negatif manusia </v>
      </c>
      <c r="BO30" s="305"/>
    </row>
    <row r="31" spans="1:67" ht="33" customHeight="1">
      <c r="A31" s="67"/>
      <c r="B31" s="272">
        <f t="shared" si="20"/>
        <v>18</v>
      </c>
      <c r="C31" s="273">
        <f>IF(Data!F22="","",Data!F22)</f>
        <v>0</v>
      </c>
      <c r="D31" s="274" t="str">
        <f>IF(Data!H22="","",Data!H22)&amp;""&amp;IF('KD-PA'!G26="","","("&amp;'KD-PA'!G26&amp;")")</f>
        <v>Jelita Anita Boimau(Kristen)</v>
      </c>
      <c r="E31" s="275" t="str">
        <f>IF(Data!I22="","",Data!I22)</f>
        <v>P</v>
      </c>
      <c r="F31" s="1503">
        <v>95</v>
      </c>
      <c r="G31" s="1504">
        <v>95</v>
      </c>
      <c r="H31" s="1478"/>
      <c r="I31" s="1478"/>
      <c r="J31" s="1478"/>
      <c r="K31" s="277"/>
      <c r="L31" s="277"/>
      <c r="M31" s="280"/>
      <c r="N31" s="277"/>
      <c r="O31" s="278"/>
      <c r="P31" s="279">
        <f t="shared" si="21"/>
        <v>95</v>
      </c>
      <c r="Q31" s="1504">
        <v>95</v>
      </c>
      <c r="R31" s="1507">
        <v>95</v>
      </c>
      <c r="S31" s="281">
        <f t="shared" si="22"/>
        <v>95</v>
      </c>
      <c r="T31" s="295" t="str">
        <f t="shared" si="23"/>
        <v>A</v>
      </c>
      <c r="U31" s="1215">
        <f t="shared" si="6"/>
        <v>95.01</v>
      </c>
      <c r="V31" s="1216">
        <f t="shared" si="6"/>
        <v>95.02</v>
      </c>
      <c r="W31" s="1216" t="str">
        <f t="shared" si="6"/>
        <v/>
      </c>
      <c r="X31" s="1216" t="str">
        <f t="shared" si="6"/>
        <v/>
      </c>
      <c r="Y31" s="1216" t="str">
        <f t="shared" si="6"/>
        <v/>
      </c>
      <c r="Z31" s="1216" t="str">
        <f t="shared" si="6"/>
        <v/>
      </c>
      <c r="AA31" s="1216" t="str">
        <f t="shared" si="6"/>
        <v/>
      </c>
      <c r="AB31" s="1217" t="str">
        <f t="shared" si="6"/>
        <v/>
      </c>
      <c r="AC31" s="1216" t="str">
        <f t="shared" si="6"/>
        <v/>
      </c>
      <c r="AD31" s="1218" t="str">
        <f t="shared" si="6"/>
        <v/>
      </c>
      <c r="AE31" s="1219">
        <f t="shared" si="24"/>
        <v>95.02</v>
      </c>
      <c r="AF31" s="282">
        <f t="shared" si="25"/>
        <v>95.01</v>
      </c>
      <c r="AG31" s="282" t="str">
        <f t="shared" si="35"/>
        <v>sangat baik</v>
      </c>
      <c r="AH31" s="282" t="str">
        <f t="shared" si="35"/>
        <v>sangat baik</v>
      </c>
      <c r="AI31" s="282">
        <f t="shared" si="26"/>
        <v>2</v>
      </c>
      <c r="AJ31" s="283">
        <f t="shared" si="27"/>
        <v>1</v>
      </c>
      <c r="AK31" s="284" t="str">
        <f>IF(P31="","",IFERROR("Memiliki kemampuan "&amp;IF(AG31=AH31,AG31&amp;" dalam "&amp;VLOOKUP(AI31,'KD-PA'!$I$9:$N$18,'KD-PA'!F26+1)&amp;" dan "&amp;VLOOKUP(AJ31,'KD-PA'!$I$9:$N$18,'KD-PA'!F26+1),AG31&amp;" dalam "&amp;VLOOKUP(AI31,'KD-PA'!$I$9:$N$18,'KD-PA'!F26+1)&amp;", "&amp;AH31&amp;" kemampuan dalam "&amp;VLOOKUP(AJ31,'KD-PA'!$I$9:$N$18,'KD-PA'!F26+1)),""))</f>
        <v>Memiliki kemampuan sangat baik dalam Memahami keberadaan Allah sebagai pembaharu kehidupan  dan Menjelaskan makna kebersamaan dengan orang lain</v>
      </c>
      <c r="AL31" s="1503">
        <v>95</v>
      </c>
      <c r="AM31" s="1504">
        <v>95</v>
      </c>
      <c r="AN31" s="277"/>
      <c r="AO31" s="277"/>
      <c r="AP31" s="277"/>
      <c r="AQ31" s="277"/>
      <c r="AR31" s="277"/>
      <c r="AS31" s="280"/>
      <c r="AT31" s="277"/>
      <c r="AU31" s="278"/>
      <c r="AV31" s="285">
        <f t="shared" si="32"/>
        <v>95</v>
      </c>
      <c r="AW31" s="296" t="str">
        <f t="shared" si="28"/>
        <v>A</v>
      </c>
      <c r="AX31" s="1220">
        <f t="shared" si="36"/>
        <v>95.01</v>
      </c>
      <c r="AY31" s="1221">
        <f t="shared" si="36"/>
        <v>95.02</v>
      </c>
      <c r="AZ31" s="1221" t="str">
        <f t="shared" si="36"/>
        <v/>
      </c>
      <c r="BA31" s="1221" t="str">
        <f t="shared" si="36"/>
        <v/>
      </c>
      <c r="BB31" s="1221" t="str">
        <f t="shared" si="36"/>
        <v/>
      </c>
      <c r="BC31" s="1221" t="str">
        <f t="shared" si="36"/>
        <v/>
      </c>
      <c r="BD31" s="1221" t="str">
        <f t="shared" si="36"/>
        <v/>
      </c>
      <c r="BE31" s="1222" t="str">
        <f t="shared" si="36"/>
        <v/>
      </c>
      <c r="BF31" s="1221" t="str">
        <f t="shared" si="36"/>
        <v/>
      </c>
      <c r="BG31" s="1223" t="str">
        <f t="shared" si="36"/>
        <v/>
      </c>
      <c r="BH31" s="286">
        <f t="shared" si="29"/>
        <v>95.02</v>
      </c>
      <c r="BI31" s="286">
        <f t="shared" si="33"/>
        <v>95.01</v>
      </c>
      <c r="BJ31" s="287" t="str">
        <f t="shared" si="30"/>
        <v>sangat baik</v>
      </c>
      <c r="BK31" s="287" t="str">
        <f t="shared" si="30"/>
        <v>sangat baik</v>
      </c>
      <c r="BL31" s="286">
        <f t="shared" si="34"/>
        <v>2</v>
      </c>
      <c r="BM31" s="288">
        <f t="shared" si="31"/>
        <v>1</v>
      </c>
      <c r="BN31" s="289" t="str">
        <f>IF(AV31="","",IFERROR("Memiliki keterampilan "&amp;IF(BJ31=BK31,BJ31&amp;" dalam "&amp;VLOOKUP(BL31,'KD-PA'!$I$21:$N$30,'KD-PA'!F26+1)&amp;" dan "&amp;VLOOKUP(BM31,'KD-PA'!$I$21:$N$30,'KD-PA'!F26+1),BJ31&amp;" dalam "&amp;VLOOKUP(BL31,'KD-PA'!$I$21:$N$30,'KD-PA'!F26+1)&amp;", "&amp;BK31&amp;" keterampilan dalam "&amp;VLOOKUP(BM31,'KD-PA'!$I$21:$N$30,'KD-PA'!F26+1)),""))</f>
        <v xml:space="preserve">Memiliki keterampilan sangat baik dalam Melaksanakan buah-buah Roh dalam surat Paulus di jemaat Galatia dan Menunjukkan hal-hal yang positif dan negatif manusia </v>
      </c>
      <c r="BO31" s="305"/>
    </row>
    <row r="32" spans="1:67" ht="33" customHeight="1">
      <c r="A32" s="67"/>
      <c r="B32" s="272">
        <f t="shared" si="20"/>
        <v>19</v>
      </c>
      <c r="C32" s="273">
        <f>IF(Data!F23="","",Data!F23)</f>
        <v>0</v>
      </c>
      <c r="D32" s="274" t="str">
        <f>IF(Data!H23="","",Data!H23)&amp;""&amp;IF('KD-PA'!G27="","","("&amp;'KD-PA'!G27&amp;")")</f>
        <v>Jidon Nubatonis(Kristen)</v>
      </c>
      <c r="E32" s="275" t="str">
        <f>IF(Data!I23="","",Data!I23)</f>
        <v>L</v>
      </c>
      <c r="F32" s="1503">
        <v>85</v>
      </c>
      <c r="G32" s="1504">
        <v>85</v>
      </c>
      <c r="H32" s="1478"/>
      <c r="I32" s="1478"/>
      <c r="J32" s="1478"/>
      <c r="K32" s="277"/>
      <c r="L32" s="277"/>
      <c r="M32" s="280"/>
      <c r="N32" s="277"/>
      <c r="O32" s="278"/>
      <c r="P32" s="279">
        <f t="shared" si="21"/>
        <v>85</v>
      </c>
      <c r="Q32" s="1504">
        <v>85</v>
      </c>
      <c r="R32" s="1507">
        <v>85</v>
      </c>
      <c r="S32" s="281">
        <f t="shared" si="22"/>
        <v>85</v>
      </c>
      <c r="T32" s="295" t="str">
        <f t="shared" si="23"/>
        <v>B</v>
      </c>
      <c r="U32" s="1215">
        <f t="shared" si="6"/>
        <v>85.01</v>
      </c>
      <c r="V32" s="1216">
        <f t="shared" si="6"/>
        <v>85.02</v>
      </c>
      <c r="W32" s="1216" t="str">
        <f t="shared" si="6"/>
        <v/>
      </c>
      <c r="X32" s="1216" t="str">
        <f t="shared" si="6"/>
        <v/>
      </c>
      <c r="Y32" s="1216" t="str">
        <f t="shared" si="6"/>
        <v/>
      </c>
      <c r="Z32" s="1216" t="str">
        <f t="shared" si="6"/>
        <v/>
      </c>
      <c r="AA32" s="1216" t="str">
        <f t="shared" si="6"/>
        <v/>
      </c>
      <c r="AB32" s="1217" t="str">
        <f t="shared" si="6"/>
        <v/>
      </c>
      <c r="AC32" s="1216" t="str">
        <f t="shared" si="6"/>
        <v/>
      </c>
      <c r="AD32" s="1218" t="str">
        <f t="shared" si="6"/>
        <v/>
      </c>
      <c r="AE32" s="1219">
        <f t="shared" si="24"/>
        <v>85.02</v>
      </c>
      <c r="AF32" s="282">
        <f t="shared" si="25"/>
        <v>85.01</v>
      </c>
      <c r="AG32" s="282" t="str">
        <f t="shared" si="35"/>
        <v>baik</v>
      </c>
      <c r="AH32" s="282" t="str">
        <f t="shared" si="35"/>
        <v>baik</v>
      </c>
      <c r="AI32" s="282">
        <f t="shared" si="26"/>
        <v>2</v>
      </c>
      <c r="AJ32" s="283">
        <f t="shared" si="27"/>
        <v>1</v>
      </c>
      <c r="AK32" s="284" t="str">
        <f>IF(P32="","",IFERROR("Memiliki kemampuan "&amp;IF(AG32=AH32,AG32&amp;" dalam "&amp;VLOOKUP(AI32,'KD-PA'!$I$9:$N$18,'KD-PA'!F27+1)&amp;" dan "&amp;VLOOKUP(AJ32,'KD-PA'!$I$9:$N$18,'KD-PA'!F27+1),AG32&amp;" dalam "&amp;VLOOKUP(AI32,'KD-PA'!$I$9:$N$18,'KD-PA'!F27+1)&amp;", "&amp;AH32&amp;" kemampuan dalam "&amp;VLOOKUP(AJ32,'KD-PA'!$I$9:$N$18,'KD-PA'!F27+1)),""))</f>
        <v>Memiliki kemampuan baik dalam Memahami keberadaan Allah sebagai pembaharu kehidupan  dan Menjelaskan makna kebersamaan dengan orang lain</v>
      </c>
      <c r="AL32" s="1503">
        <v>80</v>
      </c>
      <c r="AM32" s="1504">
        <v>80</v>
      </c>
      <c r="AN32" s="277"/>
      <c r="AO32" s="277"/>
      <c r="AP32" s="277"/>
      <c r="AQ32" s="277"/>
      <c r="AR32" s="277"/>
      <c r="AS32" s="280"/>
      <c r="AT32" s="277"/>
      <c r="AU32" s="278"/>
      <c r="AV32" s="285">
        <f t="shared" si="32"/>
        <v>80</v>
      </c>
      <c r="AW32" s="296" t="str">
        <f t="shared" si="28"/>
        <v>C</v>
      </c>
      <c r="AX32" s="1220">
        <f t="shared" si="36"/>
        <v>80.010000000000005</v>
      </c>
      <c r="AY32" s="1221">
        <f t="shared" si="36"/>
        <v>80.02</v>
      </c>
      <c r="AZ32" s="1221" t="str">
        <f t="shared" si="36"/>
        <v/>
      </c>
      <c r="BA32" s="1221" t="str">
        <f t="shared" si="36"/>
        <v/>
      </c>
      <c r="BB32" s="1221" t="str">
        <f t="shared" si="36"/>
        <v/>
      </c>
      <c r="BC32" s="1221" t="str">
        <f t="shared" si="36"/>
        <v/>
      </c>
      <c r="BD32" s="1221" t="str">
        <f t="shared" si="36"/>
        <v/>
      </c>
      <c r="BE32" s="1222" t="str">
        <f t="shared" si="36"/>
        <v/>
      </c>
      <c r="BF32" s="1221" t="str">
        <f t="shared" si="36"/>
        <v/>
      </c>
      <c r="BG32" s="1223" t="str">
        <f t="shared" si="36"/>
        <v/>
      </c>
      <c r="BH32" s="286">
        <f t="shared" si="29"/>
        <v>80.02</v>
      </c>
      <c r="BI32" s="286">
        <f t="shared" si="33"/>
        <v>80.010000000000005</v>
      </c>
      <c r="BJ32" s="287" t="str">
        <f t="shared" si="30"/>
        <v>cukup</v>
      </c>
      <c r="BK32" s="287" t="str">
        <f t="shared" si="30"/>
        <v>cukup</v>
      </c>
      <c r="BL32" s="286">
        <f t="shared" si="34"/>
        <v>2</v>
      </c>
      <c r="BM32" s="288">
        <f t="shared" si="31"/>
        <v>1</v>
      </c>
      <c r="BN32" s="289" t="str">
        <f>IF(AV32="","",IFERROR("Memiliki keterampilan "&amp;IF(BJ32=BK32,BJ32&amp;" dalam "&amp;VLOOKUP(BL32,'KD-PA'!$I$21:$N$30,'KD-PA'!F27+1)&amp;" dan "&amp;VLOOKUP(BM32,'KD-PA'!$I$21:$N$30,'KD-PA'!F27+1),BJ32&amp;" dalam "&amp;VLOOKUP(BL32,'KD-PA'!$I$21:$N$30,'KD-PA'!F27+1)&amp;", "&amp;BK32&amp;" keterampilan dalam "&amp;VLOOKUP(BM32,'KD-PA'!$I$21:$N$30,'KD-PA'!F27+1)),""))</f>
        <v xml:space="preserve">Memiliki keterampilan cukup dalam Melaksanakan buah-buah Roh dalam surat Paulus di jemaat Galatia dan Menunjukkan hal-hal yang positif dan negatif manusia </v>
      </c>
      <c r="BO32" s="305"/>
    </row>
    <row r="33" spans="1:67" ht="33" customHeight="1">
      <c r="A33" s="67"/>
      <c r="B33" s="272">
        <f t="shared" si="20"/>
        <v>20</v>
      </c>
      <c r="C33" s="273">
        <f>IF(Data!F24="","",Data!F24)</f>
        <v>0</v>
      </c>
      <c r="D33" s="274" t="str">
        <f>IF(Data!H24="","",Data!H24)&amp;""&amp;IF('KD-PA'!G28="","","("&amp;'KD-PA'!G28&amp;")")</f>
        <v>Jitro Andro Baran(Kristen)</v>
      </c>
      <c r="E33" s="275" t="str">
        <f>IF(Data!I24="","",Data!I24)</f>
        <v>L</v>
      </c>
      <c r="F33" s="1503">
        <v>80</v>
      </c>
      <c r="G33" s="1504">
        <v>80</v>
      </c>
      <c r="H33" s="1478"/>
      <c r="I33" s="1478"/>
      <c r="J33" s="1478"/>
      <c r="K33" s="277"/>
      <c r="L33" s="277"/>
      <c r="M33" s="280"/>
      <c r="N33" s="277"/>
      <c r="O33" s="278"/>
      <c r="P33" s="279">
        <f t="shared" si="21"/>
        <v>80</v>
      </c>
      <c r="Q33" s="1504">
        <v>80</v>
      </c>
      <c r="R33" s="1507">
        <v>80</v>
      </c>
      <c r="S33" s="281">
        <f t="shared" si="22"/>
        <v>80</v>
      </c>
      <c r="T33" s="295" t="str">
        <f t="shared" si="23"/>
        <v>C</v>
      </c>
      <c r="U33" s="1215">
        <f t="shared" si="6"/>
        <v>80.010000000000005</v>
      </c>
      <c r="V33" s="1216">
        <f t="shared" si="6"/>
        <v>80.02</v>
      </c>
      <c r="W33" s="1216" t="str">
        <f t="shared" si="6"/>
        <v/>
      </c>
      <c r="X33" s="1216" t="str">
        <f t="shared" si="6"/>
        <v/>
      </c>
      <c r="Y33" s="1216" t="str">
        <f t="shared" si="6"/>
        <v/>
      </c>
      <c r="Z33" s="1216" t="str">
        <f t="shared" si="6"/>
        <v/>
      </c>
      <c r="AA33" s="1216" t="str">
        <f t="shared" si="6"/>
        <v/>
      </c>
      <c r="AB33" s="1217" t="str">
        <f t="shared" si="6"/>
        <v/>
      </c>
      <c r="AC33" s="1216" t="str">
        <f t="shared" si="6"/>
        <v/>
      </c>
      <c r="AD33" s="1218" t="str">
        <f t="shared" si="6"/>
        <v/>
      </c>
      <c r="AE33" s="1219">
        <f t="shared" si="24"/>
        <v>80.02</v>
      </c>
      <c r="AF33" s="282">
        <f t="shared" si="25"/>
        <v>80.010000000000005</v>
      </c>
      <c r="AG33" s="282" t="str">
        <f t="shared" si="35"/>
        <v>cukup</v>
      </c>
      <c r="AH33" s="282" t="str">
        <f t="shared" si="35"/>
        <v>cukup</v>
      </c>
      <c r="AI33" s="282">
        <f t="shared" si="26"/>
        <v>2</v>
      </c>
      <c r="AJ33" s="283">
        <f t="shared" si="27"/>
        <v>1</v>
      </c>
      <c r="AK33" s="284" t="str">
        <f>IF(P33="","",IFERROR("Memiliki kemampuan "&amp;IF(AG33=AH33,AG33&amp;" dalam "&amp;VLOOKUP(AI33,'KD-PA'!$I$9:$N$18,'KD-PA'!F28+1)&amp;" dan "&amp;VLOOKUP(AJ33,'KD-PA'!$I$9:$N$18,'KD-PA'!F28+1),AG33&amp;" dalam "&amp;VLOOKUP(AI33,'KD-PA'!$I$9:$N$18,'KD-PA'!F28+1)&amp;", "&amp;AH33&amp;" kemampuan dalam "&amp;VLOOKUP(AJ33,'KD-PA'!$I$9:$N$18,'KD-PA'!F28+1)),""))</f>
        <v>Memiliki kemampuan cukup dalam Memahami keberadaan Allah sebagai pembaharu kehidupan  dan Menjelaskan makna kebersamaan dengan orang lain</v>
      </c>
      <c r="AL33" s="1503">
        <v>85</v>
      </c>
      <c r="AM33" s="1504">
        <v>85</v>
      </c>
      <c r="AN33" s="277"/>
      <c r="AO33" s="277"/>
      <c r="AP33" s="277"/>
      <c r="AQ33" s="277"/>
      <c r="AR33" s="277"/>
      <c r="AS33" s="280"/>
      <c r="AT33" s="277"/>
      <c r="AU33" s="278"/>
      <c r="AV33" s="285">
        <f t="shared" si="32"/>
        <v>85</v>
      </c>
      <c r="AW33" s="296" t="str">
        <f t="shared" si="28"/>
        <v>B</v>
      </c>
      <c r="AX33" s="1220">
        <f t="shared" si="36"/>
        <v>85.01</v>
      </c>
      <c r="AY33" s="1221">
        <f t="shared" si="36"/>
        <v>85.02</v>
      </c>
      <c r="AZ33" s="1221" t="str">
        <f t="shared" si="36"/>
        <v/>
      </c>
      <c r="BA33" s="1221" t="str">
        <f t="shared" si="36"/>
        <v/>
      </c>
      <c r="BB33" s="1221" t="str">
        <f t="shared" si="36"/>
        <v/>
      </c>
      <c r="BC33" s="1221" t="str">
        <f t="shared" si="36"/>
        <v/>
      </c>
      <c r="BD33" s="1221" t="str">
        <f t="shared" si="36"/>
        <v/>
      </c>
      <c r="BE33" s="1222" t="str">
        <f t="shared" si="36"/>
        <v/>
      </c>
      <c r="BF33" s="1221" t="str">
        <f t="shared" si="36"/>
        <v/>
      </c>
      <c r="BG33" s="1223" t="str">
        <f t="shared" si="36"/>
        <v/>
      </c>
      <c r="BH33" s="286">
        <f t="shared" si="29"/>
        <v>85.02</v>
      </c>
      <c r="BI33" s="286">
        <f t="shared" si="33"/>
        <v>85.01</v>
      </c>
      <c r="BJ33" s="287" t="str">
        <f t="shared" si="30"/>
        <v>baik</v>
      </c>
      <c r="BK33" s="287" t="str">
        <f t="shared" si="30"/>
        <v>baik</v>
      </c>
      <c r="BL33" s="286">
        <f t="shared" si="34"/>
        <v>2</v>
      </c>
      <c r="BM33" s="288">
        <f t="shared" si="31"/>
        <v>1</v>
      </c>
      <c r="BN33" s="289" t="str">
        <f>IF(AV33="","",IFERROR("Memiliki keterampilan "&amp;IF(BJ33=BK33,BJ33&amp;" dalam "&amp;VLOOKUP(BL33,'KD-PA'!$I$21:$N$30,'KD-PA'!F28+1)&amp;" dan "&amp;VLOOKUP(BM33,'KD-PA'!$I$21:$N$30,'KD-PA'!F28+1),BJ33&amp;" dalam "&amp;VLOOKUP(BL33,'KD-PA'!$I$21:$N$30,'KD-PA'!F28+1)&amp;", "&amp;BK33&amp;" keterampilan dalam "&amp;VLOOKUP(BM33,'KD-PA'!$I$21:$N$30,'KD-PA'!F28+1)),""))</f>
        <v xml:space="preserve">Memiliki keterampilan baik dalam Melaksanakan buah-buah Roh dalam surat Paulus di jemaat Galatia dan Menunjukkan hal-hal yang positif dan negatif manusia </v>
      </c>
      <c r="BO33" s="305"/>
    </row>
    <row r="34" spans="1:67" ht="33" customHeight="1">
      <c r="A34" s="67"/>
      <c r="B34" s="272">
        <f t="shared" si="20"/>
        <v>21</v>
      </c>
      <c r="C34" s="273">
        <f>IF(Data!F25="","",Data!F25)</f>
        <v>0</v>
      </c>
      <c r="D34" s="274" t="str">
        <f>IF(Data!H25="","",Data!H25)&amp;""&amp;IF('KD-PA'!G29="","","("&amp;'KD-PA'!G29&amp;")")</f>
        <v>Juan Manuel Boys(Kristen)</v>
      </c>
      <c r="E34" s="275" t="str">
        <f>IF(Data!I25="","",Data!I25)</f>
        <v>L</v>
      </c>
      <c r="F34" s="1503">
        <v>80</v>
      </c>
      <c r="G34" s="1504">
        <v>80</v>
      </c>
      <c r="H34" s="1478"/>
      <c r="I34" s="1478"/>
      <c r="J34" s="1478"/>
      <c r="K34" s="277"/>
      <c r="L34" s="277"/>
      <c r="M34" s="280"/>
      <c r="N34" s="277"/>
      <c r="O34" s="278"/>
      <c r="P34" s="279">
        <f t="shared" si="21"/>
        <v>80</v>
      </c>
      <c r="Q34" s="1504">
        <v>80</v>
      </c>
      <c r="R34" s="1507">
        <v>80</v>
      </c>
      <c r="S34" s="281">
        <f t="shared" si="22"/>
        <v>80</v>
      </c>
      <c r="T34" s="295" t="str">
        <f t="shared" si="23"/>
        <v>C</v>
      </c>
      <c r="U34" s="1215">
        <f t="shared" si="6"/>
        <v>80.010000000000005</v>
      </c>
      <c r="V34" s="1216">
        <f t="shared" si="6"/>
        <v>80.02</v>
      </c>
      <c r="W34" s="1216" t="str">
        <f t="shared" si="6"/>
        <v/>
      </c>
      <c r="X34" s="1216" t="str">
        <f t="shared" si="6"/>
        <v/>
      </c>
      <c r="Y34" s="1216" t="str">
        <f t="shared" si="6"/>
        <v/>
      </c>
      <c r="Z34" s="1216" t="str">
        <f t="shared" si="6"/>
        <v/>
      </c>
      <c r="AA34" s="1216" t="str">
        <f t="shared" si="6"/>
        <v/>
      </c>
      <c r="AB34" s="1217" t="str">
        <f t="shared" si="6"/>
        <v/>
      </c>
      <c r="AC34" s="1216" t="str">
        <f t="shared" si="6"/>
        <v/>
      </c>
      <c r="AD34" s="1218" t="str">
        <f t="shared" si="6"/>
        <v/>
      </c>
      <c r="AE34" s="1219">
        <f t="shared" si="24"/>
        <v>80.02</v>
      </c>
      <c r="AF34" s="282">
        <f t="shared" si="25"/>
        <v>80.010000000000005</v>
      </c>
      <c r="AG34" s="282" t="str">
        <f t="shared" si="35"/>
        <v>cukup</v>
      </c>
      <c r="AH34" s="282" t="str">
        <f t="shared" si="35"/>
        <v>cukup</v>
      </c>
      <c r="AI34" s="282">
        <f t="shared" si="26"/>
        <v>2</v>
      </c>
      <c r="AJ34" s="283">
        <f t="shared" si="27"/>
        <v>1</v>
      </c>
      <c r="AK34" s="284" t="str">
        <f>IF(P34="","",IFERROR("Memiliki kemampuan "&amp;IF(AG34=AH34,AG34&amp;" dalam "&amp;VLOOKUP(AI34,'KD-PA'!$I$9:$N$18,'KD-PA'!F29+1)&amp;" dan "&amp;VLOOKUP(AJ34,'KD-PA'!$I$9:$N$18,'KD-PA'!F29+1),AG34&amp;" dalam "&amp;VLOOKUP(AI34,'KD-PA'!$I$9:$N$18,'KD-PA'!F29+1)&amp;", "&amp;AH34&amp;" kemampuan dalam "&amp;VLOOKUP(AJ34,'KD-PA'!$I$9:$N$18,'KD-PA'!F29+1)),""))</f>
        <v>Memiliki kemampuan cukup dalam Memahami keberadaan Allah sebagai pembaharu kehidupan  dan Menjelaskan makna kebersamaan dengan orang lain</v>
      </c>
      <c r="AL34" s="1503">
        <v>85</v>
      </c>
      <c r="AM34" s="1504">
        <v>85</v>
      </c>
      <c r="AN34" s="277"/>
      <c r="AO34" s="277"/>
      <c r="AP34" s="277"/>
      <c r="AQ34" s="277"/>
      <c r="AR34" s="277"/>
      <c r="AS34" s="280"/>
      <c r="AT34" s="277"/>
      <c r="AU34" s="278"/>
      <c r="AV34" s="285">
        <f t="shared" si="32"/>
        <v>85</v>
      </c>
      <c r="AW34" s="296" t="str">
        <f t="shared" si="28"/>
        <v>B</v>
      </c>
      <c r="AX34" s="1220">
        <f t="shared" si="36"/>
        <v>85.01</v>
      </c>
      <c r="AY34" s="1221">
        <f t="shared" si="36"/>
        <v>85.02</v>
      </c>
      <c r="AZ34" s="1221" t="str">
        <f t="shared" si="36"/>
        <v/>
      </c>
      <c r="BA34" s="1221" t="str">
        <f t="shared" si="36"/>
        <v/>
      </c>
      <c r="BB34" s="1221" t="str">
        <f t="shared" si="36"/>
        <v/>
      </c>
      <c r="BC34" s="1221" t="str">
        <f t="shared" si="36"/>
        <v/>
      </c>
      <c r="BD34" s="1221" t="str">
        <f t="shared" si="36"/>
        <v/>
      </c>
      <c r="BE34" s="1222" t="str">
        <f t="shared" si="36"/>
        <v/>
      </c>
      <c r="BF34" s="1221" t="str">
        <f t="shared" si="36"/>
        <v/>
      </c>
      <c r="BG34" s="1223" t="str">
        <f t="shared" si="36"/>
        <v/>
      </c>
      <c r="BH34" s="286">
        <f t="shared" si="29"/>
        <v>85.02</v>
      </c>
      <c r="BI34" s="286">
        <f t="shared" si="33"/>
        <v>85.01</v>
      </c>
      <c r="BJ34" s="287" t="str">
        <f t="shared" si="30"/>
        <v>baik</v>
      </c>
      <c r="BK34" s="287" t="str">
        <f t="shared" si="30"/>
        <v>baik</v>
      </c>
      <c r="BL34" s="286">
        <f t="shared" si="34"/>
        <v>2</v>
      </c>
      <c r="BM34" s="288">
        <f t="shared" si="31"/>
        <v>1</v>
      </c>
      <c r="BN34" s="289" t="str">
        <f>IF(AV34="","",IFERROR("Memiliki keterampilan "&amp;IF(BJ34=BK34,BJ34&amp;" dalam "&amp;VLOOKUP(BL34,'KD-PA'!$I$21:$N$30,'KD-PA'!F29+1)&amp;" dan "&amp;VLOOKUP(BM34,'KD-PA'!$I$21:$N$30,'KD-PA'!F29+1),BJ34&amp;" dalam "&amp;VLOOKUP(BL34,'KD-PA'!$I$21:$N$30,'KD-PA'!F29+1)&amp;", "&amp;BK34&amp;" keterampilan dalam "&amp;VLOOKUP(BM34,'KD-PA'!$I$21:$N$30,'KD-PA'!F29+1)),""))</f>
        <v xml:space="preserve">Memiliki keterampilan baik dalam Melaksanakan buah-buah Roh dalam surat Paulus di jemaat Galatia dan Menunjukkan hal-hal yang positif dan negatif manusia </v>
      </c>
      <c r="BO34" s="305"/>
    </row>
    <row r="35" spans="1:67" ht="33" customHeight="1">
      <c r="A35" s="67"/>
      <c r="B35" s="272">
        <f t="shared" si="20"/>
        <v>22</v>
      </c>
      <c r="C35" s="273">
        <f>IF(Data!F26="","",Data!F26)</f>
        <v>0</v>
      </c>
      <c r="D35" s="274" t="str">
        <f>IF(Data!H26="","",Data!H26)&amp;""&amp;IF('KD-PA'!G30="","","("&amp;'KD-PA'!G30&amp;")")</f>
        <v>Krisyanti Ernela Kesnay(Kristen)</v>
      </c>
      <c r="E35" s="275" t="str">
        <f>IF(Data!I26="","",Data!I26)</f>
        <v>P</v>
      </c>
      <c r="F35" s="1503">
        <v>95</v>
      </c>
      <c r="G35" s="1504">
        <v>95</v>
      </c>
      <c r="H35" s="1478"/>
      <c r="I35" s="1478"/>
      <c r="J35" s="1478"/>
      <c r="K35" s="277"/>
      <c r="L35" s="277"/>
      <c r="M35" s="280"/>
      <c r="N35" s="277"/>
      <c r="O35" s="278"/>
      <c r="P35" s="279">
        <f t="shared" si="21"/>
        <v>95</v>
      </c>
      <c r="Q35" s="1504">
        <v>95</v>
      </c>
      <c r="R35" s="1507">
        <v>95</v>
      </c>
      <c r="S35" s="281">
        <f t="shared" si="22"/>
        <v>95</v>
      </c>
      <c r="T35" s="295" t="str">
        <f t="shared" si="23"/>
        <v>A</v>
      </c>
      <c r="U35" s="1215">
        <f t="shared" si="6"/>
        <v>95.01</v>
      </c>
      <c r="V35" s="1216">
        <f t="shared" si="6"/>
        <v>95.02</v>
      </c>
      <c r="W35" s="1216" t="str">
        <f t="shared" si="6"/>
        <v/>
      </c>
      <c r="X35" s="1216" t="str">
        <f t="shared" si="6"/>
        <v/>
      </c>
      <c r="Y35" s="1216" t="str">
        <f t="shared" si="6"/>
        <v/>
      </c>
      <c r="Z35" s="1216" t="str">
        <f t="shared" si="6"/>
        <v/>
      </c>
      <c r="AA35" s="1216" t="str">
        <f t="shared" si="6"/>
        <v/>
      </c>
      <c r="AB35" s="1217" t="str">
        <f t="shared" si="6"/>
        <v/>
      </c>
      <c r="AC35" s="1216" t="str">
        <f t="shared" si="6"/>
        <v/>
      </c>
      <c r="AD35" s="1218" t="str">
        <f t="shared" si="6"/>
        <v/>
      </c>
      <c r="AE35" s="1219">
        <f t="shared" si="24"/>
        <v>95.02</v>
      </c>
      <c r="AF35" s="282">
        <f t="shared" si="25"/>
        <v>95.01</v>
      </c>
      <c r="AG35" s="282" t="str">
        <f t="shared" si="35"/>
        <v>sangat baik</v>
      </c>
      <c r="AH35" s="282" t="str">
        <f t="shared" si="35"/>
        <v>sangat baik</v>
      </c>
      <c r="AI35" s="282">
        <f t="shared" si="26"/>
        <v>2</v>
      </c>
      <c r="AJ35" s="283">
        <f t="shared" si="27"/>
        <v>1</v>
      </c>
      <c r="AK35" s="284" t="str">
        <f>IF(P35="","",IFERROR("Memiliki kemampuan "&amp;IF(AG35=AH35,AG35&amp;" dalam "&amp;VLOOKUP(AI35,'KD-PA'!$I$9:$N$18,'KD-PA'!F30+1)&amp;" dan "&amp;VLOOKUP(AJ35,'KD-PA'!$I$9:$N$18,'KD-PA'!F30+1),AG35&amp;" dalam "&amp;VLOOKUP(AI35,'KD-PA'!$I$9:$N$18,'KD-PA'!F30+1)&amp;", "&amp;AH35&amp;" kemampuan dalam "&amp;VLOOKUP(AJ35,'KD-PA'!$I$9:$N$18,'KD-PA'!F30+1)),""))</f>
        <v>Memiliki kemampuan sangat baik dalam Memahami keberadaan Allah sebagai pembaharu kehidupan  dan Menjelaskan makna kebersamaan dengan orang lain</v>
      </c>
      <c r="AL35" s="1503">
        <v>95</v>
      </c>
      <c r="AM35" s="1504">
        <v>95</v>
      </c>
      <c r="AN35" s="277"/>
      <c r="AO35" s="277"/>
      <c r="AP35" s="277"/>
      <c r="AQ35" s="277"/>
      <c r="AR35" s="277"/>
      <c r="AS35" s="280"/>
      <c r="AT35" s="277"/>
      <c r="AU35" s="278"/>
      <c r="AV35" s="285">
        <f t="shared" si="32"/>
        <v>95</v>
      </c>
      <c r="AW35" s="296" t="str">
        <f t="shared" si="28"/>
        <v>A</v>
      </c>
      <c r="AX35" s="1220">
        <f t="shared" si="36"/>
        <v>95.01</v>
      </c>
      <c r="AY35" s="1221">
        <f t="shared" si="36"/>
        <v>95.02</v>
      </c>
      <c r="AZ35" s="1221" t="str">
        <f t="shared" si="36"/>
        <v/>
      </c>
      <c r="BA35" s="1221" t="str">
        <f t="shared" si="36"/>
        <v/>
      </c>
      <c r="BB35" s="1221" t="str">
        <f t="shared" si="36"/>
        <v/>
      </c>
      <c r="BC35" s="1221" t="str">
        <f t="shared" si="36"/>
        <v/>
      </c>
      <c r="BD35" s="1221" t="str">
        <f t="shared" si="36"/>
        <v/>
      </c>
      <c r="BE35" s="1222" t="str">
        <f t="shared" si="36"/>
        <v/>
      </c>
      <c r="BF35" s="1221" t="str">
        <f t="shared" si="36"/>
        <v/>
      </c>
      <c r="BG35" s="1223" t="str">
        <f t="shared" si="36"/>
        <v/>
      </c>
      <c r="BH35" s="286">
        <f t="shared" si="29"/>
        <v>95.02</v>
      </c>
      <c r="BI35" s="286">
        <f t="shared" si="33"/>
        <v>95.01</v>
      </c>
      <c r="BJ35" s="287" t="str">
        <f t="shared" si="30"/>
        <v>sangat baik</v>
      </c>
      <c r="BK35" s="287" t="str">
        <f t="shared" si="30"/>
        <v>sangat baik</v>
      </c>
      <c r="BL35" s="286">
        <f t="shared" si="34"/>
        <v>2</v>
      </c>
      <c r="BM35" s="288">
        <f t="shared" si="31"/>
        <v>1</v>
      </c>
      <c r="BN35" s="289" t="str">
        <f>IF(AV35="","",IFERROR("Memiliki keterampilan "&amp;IF(BJ35=BK35,BJ35&amp;" dalam "&amp;VLOOKUP(BL35,'KD-PA'!$I$21:$N$30,'KD-PA'!F30+1)&amp;" dan "&amp;VLOOKUP(BM35,'KD-PA'!$I$21:$N$30,'KD-PA'!F30+1),BJ35&amp;" dalam "&amp;VLOOKUP(BL35,'KD-PA'!$I$21:$N$30,'KD-PA'!F30+1)&amp;", "&amp;BK35&amp;" keterampilan dalam "&amp;VLOOKUP(BM35,'KD-PA'!$I$21:$N$30,'KD-PA'!F30+1)),""))</f>
        <v xml:space="preserve">Memiliki keterampilan sangat baik dalam Melaksanakan buah-buah Roh dalam surat Paulus di jemaat Galatia dan Menunjukkan hal-hal yang positif dan negatif manusia </v>
      </c>
      <c r="BO35" s="305"/>
    </row>
    <row r="36" spans="1:67" ht="33" customHeight="1">
      <c r="A36" s="67"/>
      <c r="B36" s="272">
        <f t="shared" si="20"/>
        <v>23</v>
      </c>
      <c r="C36" s="273">
        <f>IF(Data!F27="","",Data!F27)</f>
        <v>0</v>
      </c>
      <c r="D36" s="274" t="str">
        <f>IF(Data!H27="","",Data!H27)&amp;""&amp;IF('KD-PA'!G31="","","("&amp;'KD-PA'!G31&amp;")")</f>
        <v>Leni Aknesia Knoan(Kristen)</v>
      </c>
      <c r="E36" s="275" t="str">
        <f>IF(Data!I27="","",Data!I27)</f>
        <v>P</v>
      </c>
      <c r="F36" s="1503">
        <v>80</v>
      </c>
      <c r="G36" s="1504">
        <v>80</v>
      </c>
      <c r="H36" s="1478"/>
      <c r="I36" s="1478"/>
      <c r="J36" s="1478"/>
      <c r="K36" s="277"/>
      <c r="L36" s="277"/>
      <c r="M36" s="280"/>
      <c r="N36" s="277"/>
      <c r="O36" s="278"/>
      <c r="P36" s="279">
        <f t="shared" si="21"/>
        <v>80</v>
      </c>
      <c r="Q36" s="1504">
        <v>75</v>
      </c>
      <c r="R36" s="1507">
        <v>0</v>
      </c>
      <c r="S36" s="281">
        <f t="shared" si="22"/>
        <v>59</v>
      </c>
      <c r="T36" s="295" t="str">
        <f t="shared" si="23"/>
        <v>D</v>
      </c>
      <c r="U36" s="1215">
        <f t="shared" si="6"/>
        <v>80.010000000000005</v>
      </c>
      <c r="V36" s="1216">
        <f t="shared" si="6"/>
        <v>80.02</v>
      </c>
      <c r="W36" s="1216" t="str">
        <f t="shared" si="6"/>
        <v/>
      </c>
      <c r="X36" s="1216" t="str">
        <f t="shared" si="6"/>
        <v/>
      </c>
      <c r="Y36" s="1216" t="str">
        <f t="shared" si="6"/>
        <v/>
      </c>
      <c r="Z36" s="1216" t="str">
        <f t="shared" si="6"/>
        <v/>
      </c>
      <c r="AA36" s="1216" t="str">
        <f t="shared" si="6"/>
        <v/>
      </c>
      <c r="AB36" s="1217" t="str">
        <f t="shared" si="6"/>
        <v/>
      </c>
      <c r="AC36" s="1216" t="str">
        <f t="shared" si="6"/>
        <v/>
      </c>
      <c r="AD36" s="1218" t="str">
        <f t="shared" si="6"/>
        <v/>
      </c>
      <c r="AE36" s="1219">
        <f t="shared" si="24"/>
        <v>80.02</v>
      </c>
      <c r="AF36" s="282">
        <f t="shared" si="25"/>
        <v>80.010000000000005</v>
      </c>
      <c r="AG36" s="282" t="str">
        <f t="shared" si="35"/>
        <v>cukup</v>
      </c>
      <c r="AH36" s="282" t="str">
        <f t="shared" si="35"/>
        <v>cukup</v>
      </c>
      <c r="AI36" s="282">
        <f t="shared" si="26"/>
        <v>2</v>
      </c>
      <c r="AJ36" s="283">
        <f t="shared" si="27"/>
        <v>1</v>
      </c>
      <c r="AK36" s="284" t="str">
        <f>IF(P36="","",IFERROR("Memiliki kemampuan "&amp;IF(AG36=AH36,AG36&amp;" dalam "&amp;VLOOKUP(AI36,'KD-PA'!$I$9:$N$18,'KD-PA'!F31+1)&amp;" dan "&amp;VLOOKUP(AJ36,'KD-PA'!$I$9:$N$18,'KD-PA'!F31+1),AG36&amp;" dalam "&amp;VLOOKUP(AI36,'KD-PA'!$I$9:$N$18,'KD-PA'!F31+1)&amp;", "&amp;AH36&amp;" kemampuan dalam "&amp;VLOOKUP(AJ36,'KD-PA'!$I$9:$N$18,'KD-PA'!F31+1)),""))</f>
        <v>Memiliki kemampuan cukup dalam Memahami keberadaan Allah sebagai pembaharu kehidupan  dan Menjelaskan makna kebersamaan dengan orang lain</v>
      </c>
      <c r="AL36" s="1503">
        <v>0</v>
      </c>
      <c r="AM36" s="1504">
        <v>0</v>
      </c>
      <c r="AN36" s="277"/>
      <c r="AO36" s="277"/>
      <c r="AP36" s="277"/>
      <c r="AQ36" s="277"/>
      <c r="AR36" s="277"/>
      <c r="AS36" s="280"/>
      <c r="AT36" s="277"/>
      <c r="AU36" s="278"/>
      <c r="AV36" s="285">
        <f t="shared" si="32"/>
        <v>0</v>
      </c>
      <c r="AW36" s="296" t="str">
        <f t="shared" si="28"/>
        <v>D</v>
      </c>
      <c r="AX36" s="1220">
        <f t="shared" si="36"/>
        <v>0.01</v>
      </c>
      <c r="AY36" s="1221">
        <f t="shared" si="36"/>
        <v>0.02</v>
      </c>
      <c r="AZ36" s="1221" t="str">
        <f t="shared" si="36"/>
        <v/>
      </c>
      <c r="BA36" s="1221" t="str">
        <f t="shared" si="36"/>
        <v/>
      </c>
      <c r="BB36" s="1221" t="str">
        <f t="shared" si="36"/>
        <v/>
      </c>
      <c r="BC36" s="1221" t="str">
        <f t="shared" si="36"/>
        <v/>
      </c>
      <c r="BD36" s="1221" t="str">
        <f t="shared" si="36"/>
        <v/>
      </c>
      <c r="BE36" s="1222" t="str">
        <f t="shared" si="36"/>
        <v/>
      </c>
      <c r="BF36" s="1221" t="str">
        <f t="shared" si="36"/>
        <v/>
      </c>
      <c r="BG36" s="1223" t="str">
        <f t="shared" si="36"/>
        <v/>
      </c>
      <c r="BH36" s="286">
        <f t="shared" si="29"/>
        <v>0.02</v>
      </c>
      <c r="BI36" s="286">
        <f t="shared" si="33"/>
        <v>0.01</v>
      </c>
      <c r="BJ36" s="287" t="str">
        <f t="shared" si="30"/>
        <v>perlu dimaksimalkan</v>
      </c>
      <c r="BK36" s="287" t="str">
        <f t="shared" si="30"/>
        <v>perlu dimaksimalkan</v>
      </c>
      <c r="BL36" s="286">
        <f t="shared" si="34"/>
        <v>2</v>
      </c>
      <c r="BM36" s="288">
        <f t="shared" si="31"/>
        <v>1</v>
      </c>
      <c r="BN36" s="289" t="str">
        <f>IF(AV36="","",IFERROR("Memiliki keterampilan "&amp;IF(BJ36=BK36,BJ36&amp;" dalam "&amp;VLOOKUP(BL36,'KD-PA'!$I$21:$N$30,'KD-PA'!F31+1)&amp;" dan "&amp;VLOOKUP(BM36,'KD-PA'!$I$21:$N$30,'KD-PA'!F31+1),BJ36&amp;" dalam "&amp;VLOOKUP(BL36,'KD-PA'!$I$21:$N$30,'KD-PA'!F31+1)&amp;", "&amp;BK36&amp;" keterampilan dalam "&amp;VLOOKUP(BM36,'KD-PA'!$I$21:$N$30,'KD-PA'!F31+1)),""))</f>
        <v xml:space="preserve">Memiliki keterampilan perlu dimaksimalkan dalam Melaksanakan buah-buah Roh dalam surat Paulus di jemaat Galatia dan Menunjukkan hal-hal yang positif dan negatif manusia </v>
      </c>
      <c r="BO36" s="305"/>
    </row>
    <row r="37" spans="1:67" ht="33" customHeight="1">
      <c r="A37" s="67"/>
      <c r="B37" s="272">
        <f t="shared" si="20"/>
        <v>24</v>
      </c>
      <c r="C37" s="273">
        <f>IF(Data!F28="","",Data!F28)</f>
        <v>0</v>
      </c>
      <c r="D37" s="274" t="str">
        <f>IF(Data!H28="","",Data!H28)&amp;""&amp;IF('KD-PA'!G32="","","("&amp;'KD-PA'!G32&amp;")")</f>
        <v>Marlon Dioninsius Lalus(Kristen)</v>
      </c>
      <c r="E37" s="275" t="str">
        <f>IF(Data!I28="","",Data!I28)</f>
        <v>L</v>
      </c>
      <c r="F37" s="1503">
        <v>90</v>
      </c>
      <c r="G37" s="1504">
        <v>90</v>
      </c>
      <c r="H37" s="1478"/>
      <c r="I37" s="1478"/>
      <c r="J37" s="1478"/>
      <c r="K37" s="277"/>
      <c r="L37" s="277"/>
      <c r="M37" s="280"/>
      <c r="N37" s="277"/>
      <c r="O37" s="278"/>
      <c r="P37" s="279">
        <f t="shared" si="21"/>
        <v>90</v>
      </c>
      <c r="Q37" s="1504">
        <v>90</v>
      </c>
      <c r="R37" s="1507">
        <v>90</v>
      </c>
      <c r="S37" s="281">
        <f t="shared" si="22"/>
        <v>90</v>
      </c>
      <c r="T37" s="295" t="str">
        <f t="shared" si="23"/>
        <v>B</v>
      </c>
      <c r="U37" s="1215">
        <f t="shared" si="6"/>
        <v>90.01</v>
      </c>
      <c r="V37" s="1216">
        <f t="shared" si="6"/>
        <v>90.02</v>
      </c>
      <c r="W37" s="1216" t="str">
        <f t="shared" si="6"/>
        <v/>
      </c>
      <c r="X37" s="1216" t="str">
        <f t="shared" si="6"/>
        <v/>
      </c>
      <c r="Y37" s="1216" t="str">
        <f t="shared" si="6"/>
        <v/>
      </c>
      <c r="Z37" s="1216" t="str">
        <f t="shared" si="6"/>
        <v/>
      </c>
      <c r="AA37" s="1216" t="str">
        <f t="shared" si="6"/>
        <v/>
      </c>
      <c r="AB37" s="1217" t="str">
        <f t="shared" si="6"/>
        <v/>
      </c>
      <c r="AC37" s="1216" t="str">
        <f t="shared" si="6"/>
        <v/>
      </c>
      <c r="AD37" s="1218" t="str">
        <f t="shared" si="6"/>
        <v/>
      </c>
      <c r="AE37" s="1219">
        <f t="shared" si="24"/>
        <v>90.02</v>
      </c>
      <c r="AF37" s="282">
        <f t="shared" si="25"/>
        <v>90.01</v>
      </c>
      <c r="AG37" s="282" t="str">
        <f t="shared" si="35"/>
        <v>baik</v>
      </c>
      <c r="AH37" s="282" t="str">
        <f t="shared" si="35"/>
        <v>baik</v>
      </c>
      <c r="AI37" s="282">
        <f t="shared" si="26"/>
        <v>2</v>
      </c>
      <c r="AJ37" s="283">
        <f t="shared" si="27"/>
        <v>1</v>
      </c>
      <c r="AK37" s="284" t="str">
        <f>IF(P37="","",IFERROR("Memiliki kemampuan "&amp;IF(AG37=AH37,AG37&amp;" dalam "&amp;VLOOKUP(AI37,'KD-PA'!$I$9:$N$18,'KD-PA'!F32+1)&amp;" dan "&amp;VLOOKUP(AJ37,'KD-PA'!$I$9:$N$18,'KD-PA'!F32+1),AG37&amp;" dalam "&amp;VLOOKUP(AI37,'KD-PA'!$I$9:$N$18,'KD-PA'!F32+1)&amp;", "&amp;AH37&amp;" kemampuan dalam "&amp;VLOOKUP(AJ37,'KD-PA'!$I$9:$N$18,'KD-PA'!F32+1)),""))</f>
        <v>Memiliki kemampuan baik dalam Memahami keberadaan Allah sebagai pembaharu kehidupan  dan Menjelaskan makna kebersamaan dengan orang lain</v>
      </c>
      <c r="AL37" s="1503">
        <v>85</v>
      </c>
      <c r="AM37" s="1504">
        <v>85</v>
      </c>
      <c r="AN37" s="277"/>
      <c r="AO37" s="277"/>
      <c r="AP37" s="277"/>
      <c r="AQ37" s="277"/>
      <c r="AR37" s="277"/>
      <c r="AS37" s="280"/>
      <c r="AT37" s="277"/>
      <c r="AU37" s="278"/>
      <c r="AV37" s="285">
        <f t="shared" si="32"/>
        <v>85</v>
      </c>
      <c r="AW37" s="296" t="str">
        <f t="shared" si="28"/>
        <v>B</v>
      </c>
      <c r="AX37" s="1220">
        <f t="shared" si="36"/>
        <v>85.01</v>
      </c>
      <c r="AY37" s="1221">
        <f t="shared" si="36"/>
        <v>85.02</v>
      </c>
      <c r="AZ37" s="1221" t="str">
        <f t="shared" si="36"/>
        <v/>
      </c>
      <c r="BA37" s="1221" t="str">
        <f t="shared" si="36"/>
        <v/>
      </c>
      <c r="BB37" s="1221" t="str">
        <f t="shared" si="36"/>
        <v/>
      </c>
      <c r="BC37" s="1221" t="str">
        <f t="shared" si="36"/>
        <v/>
      </c>
      <c r="BD37" s="1221" t="str">
        <f t="shared" si="36"/>
        <v/>
      </c>
      <c r="BE37" s="1222" t="str">
        <f t="shared" si="36"/>
        <v/>
      </c>
      <c r="BF37" s="1221" t="str">
        <f t="shared" si="36"/>
        <v/>
      </c>
      <c r="BG37" s="1223" t="str">
        <f t="shared" si="36"/>
        <v/>
      </c>
      <c r="BH37" s="286">
        <f t="shared" si="29"/>
        <v>85.02</v>
      </c>
      <c r="BI37" s="286">
        <f t="shared" si="33"/>
        <v>85.01</v>
      </c>
      <c r="BJ37" s="287" t="str">
        <f t="shared" si="30"/>
        <v>baik</v>
      </c>
      <c r="BK37" s="287" t="str">
        <f t="shared" si="30"/>
        <v>baik</v>
      </c>
      <c r="BL37" s="286">
        <f t="shared" si="34"/>
        <v>2</v>
      </c>
      <c r="BM37" s="288">
        <f t="shared" si="31"/>
        <v>1</v>
      </c>
      <c r="BN37" s="289" t="str">
        <f>IF(AV37="","",IFERROR("Memiliki keterampilan "&amp;IF(BJ37=BK37,BJ37&amp;" dalam "&amp;VLOOKUP(BL37,'KD-PA'!$I$21:$N$30,'KD-PA'!F32+1)&amp;" dan "&amp;VLOOKUP(BM37,'KD-PA'!$I$21:$N$30,'KD-PA'!F32+1),BJ37&amp;" dalam "&amp;VLOOKUP(BL37,'KD-PA'!$I$21:$N$30,'KD-PA'!F32+1)&amp;", "&amp;BK37&amp;" keterampilan dalam "&amp;VLOOKUP(BM37,'KD-PA'!$I$21:$N$30,'KD-PA'!F32+1)),""))</f>
        <v xml:space="preserve">Memiliki keterampilan baik dalam Melaksanakan buah-buah Roh dalam surat Paulus di jemaat Galatia dan Menunjukkan hal-hal yang positif dan negatif manusia </v>
      </c>
      <c r="BO37" s="305"/>
    </row>
    <row r="38" spans="1:67" ht="33" customHeight="1">
      <c r="A38" s="67"/>
      <c r="B38" s="272">
        <f t="shared" si="20"/>
        <v>25</v>
      </c>
      <c r="C38" s="273">
        <f>IF(Data!F29="","",Data!F29)</f>
        <v>0</v>
      </c>
      <c r="D38" s="274" t="str">
        <f>IF(Data!H29="","",Data!H29)&amp;""&amp;IF('KD-PA'!G33="","","("&amp;'KD-PA'!G33&amp;")")</f>
        <v>Maya Trifena Niobe(Kristen)</v>
      </c>
      <c r="E38" s="275" t="str">
        <f>IF(Data!I29="","",Data!I29)</f>
        <v>P</v>
      </c>
      <c r="F38" s="1503">
        <v>80</v>
      </c>
      <c r="G38" s="1504">
        <v>80</v>
      </c>
      <c r="H38" s="1478"/>
      <c r="I38" s="1478"/>
      <c r="J38" s="1478"/>
      <c r="K38" s="277"/>
      <c r="L38" s="277"/>
      <c r="M38" s="280"/>
      <c r="N38" s="277"/>
      <c r="O38" s="278"/>
      <c r="P38" s="279">
        <f t="shared" si="21"/>
        <v>80</v>
      </c>
      <c r="Q38" s="1504">
        <v>88</v>
      </c>
      <c r="R38" s="1507">
        <v>88</v>
      </c>
      <c r="S38" s="281">
        <f t="shared" si="22"/>
        <v>84</v>
      </c>
      <c r="T38" s="295" t="str">
        <f t="shared" si="23"/>
        <v>C</v>
      </c>
      <c r="U38" s="1215">
        <f t="shared" si="6"/>
        <v>80.010000000000005</v>
      </c>
      <c r="V38" s="1216">
        <f t="shared" si="6"/>
        <v>80.02</v>
      </c>
      <c r="W38" s="1216" t="str">
        <f t="shared" si="6"/>
        <v/>
      </c>
      <c r="X38" s="1216" t="str">
        <f t="shared" si="6"/>
        <v/>
      </c>
      <c r="Y38" s="1216" t="str">
        <f t="shared" si="6"/>
        <v/>
      </c>
      <c r="Z38" s="1216" t="str">
        <f t="shared" si="6"/>
        <v/>
      </c>
      <c r="AA38" s="1216" t="str">
        <f t="shared" si="6"/>
        <v/>
      </c>
      <c r="AB38" s="1217" t="str">
        <f t="shared" si="6"/>
        <v/>
      </c>
      <c r="AC38" s="1216" t="str">
        <f t="shared" si="6"/>
        <v/>
      </c>
      <c r="AD38" s="1218" t="str">
        <f t="shared" si="6"/>
        <v/>
      </c>
      <c r="AE38" s="1219">
        <f t="shared" si="24"/>
        <v>80.02</v>
      </c>
      <c r="AF38" s="282">
        <f t="shared" si="25"/>
        <v>80.010000000000005</v>
      </c>
      <c r="AG38" s="282" t="str">
        <f t="shared" si="35"/>
        <v>cukup</v>
      </c>
      <c r="AH38" s="282" t="str">
        <f t="shared" si="35"/>
        <v>cukup</v>
      </c>
      <c r="AI38" s="282">
        <f t="shared" si="26"/>
        <v>2</v>
      </c>
      <c r="AJ38" s="283">
        <f t="shared" si="27"/>
        <v>1</v>
      </c>
      <c r="AK38" s="284" t="str">
        <f>IF(P38="","",IFERROR("Memiliki kemampuan "&amp;IF(AG38=AH38,AG38&amp;" dalam "&amp;VLOOKUP(AI38,'KD-PA'!$I$9:$N$18,'KD-PA'!F33+1)&amp;" dan "&amp;VLOOKUP(AJ38,'KD-PA'!$I$9:$N$18,'KD-PA'!F33+1),AG38&amp;" dalam "&amp;VLOOKUP(AI38,'KD-PA'!$I$9:$N$18,'KD-PA'!F33+1)&amp;", "&amp;AH38&amp;" kemampuan dalam "&amp;VLOOKUP(AJ38,'KD-PA'!$I$9:$N$18,'KD-PA'!F33+1)),""))</f>
        <v>Memiliki kemampuan cukup dalam Memahami keberadaan Allah sebagai pembaharu kehidupan  dan Menjelaskan makna kebersamaan dengan orang lain</v>
      </c>
      <c r="AL38" s="1503">
        <v>80</v>
      </c>
      <c r="AM38" s="1504">
        <v>80</v>
      </c>
      <c r="AN38" s="277"/>
      <c r="AO38" s="277"/>
      <c r="AP38" s="277"/>
      <c r="AQ38" s="277"/>
      <c r="AR38" s="277"/>
      <c r="AS38" s="280"/>
      <c r="AT38" s="277"/>
      <c r="AU38" s="278"/>
      <c r="AV38" s="285">
        <f t="shared" si="32"/>
        <v>80</v>
      </c>
      <c r="AW38" s="296" t="str">
        <f t="shared" si="28"/>
        <v>C</v>
      </c>
      <c r="AX38" s="1220">
        <f t="shared" si="36"/>
        <v>80.010000000000005</v>
      </c>
      <c r="AY38" s="1221">
        <f t="shared" si="36"/>
        <v>80.02</v>
      </c>
      <c r="AZ38" s="1221" t="str">
        <f t="shared" si="36"/>
        <v/>
      </c>
      <c r="BA38" s="1221" t="str">
        <f t="shared" si="36"/>
        <v/>
      </c>
      <c r="BB38" s="1221" t="str">
        <f t="shared" si="36"/>
        <v/>
      </c>
      <c r="BC38" s="1221" t="str">
        <f t="shared" si="36"/>
        <v/>
      </c>
      <c r="BD38" s="1221" t="str">
        <f t="shared" si="36"/>
        <v/>
      </c>
      <c r="BE38" s="1222" t="str">
        <f t="shared" si="36"/>
        <v/>
      </c>
      <c r="BF38" s="1221" t="str">
        <f t="shared" si="36"/>
        <v/>
      </c>
      <c r="BG38" s="1223" t="str">
        <f t="shared" si="36"/>
        <v/>
      </c>
      <c r="BH38" s="286">
        <f t="shared" si="29"/>
        <v>80.02</v>
      </c>
      <c r="BI38" s="286">
        <f t="shared" si="33"/>
        <v>80.010000000000005</v>
      </c>
      <c r="BJ38" s="287" t="str">
        <f t="shared" si="30"/>
        <v>cukup</v>
      </c>
      <c r="BK38" s="287" t="str">
        <f t="shared" si="30"/>
        <v>cukup</v>
      </c>
      <c r="BL38" s="286">
        <f t="shared" si="34"/>
        <v>2</v>
      </c>
      <c r="BM38" s="288">
        <f t="shared" si="31"/>
        <v>1</v>
      </c>
      <c r="BN38" s="289" t="str">
        <f>IF(AV38="","",IFERROR("Memiliki keterampilan "&amp;IF(BJ38=BK38,BJ38&amp;" dalam "&amp;VLOOKUP(BL38,'KD-PA'!$I$21:$N$30,'KD-PA'!F33+1)&amp;" dan "&amp;VLOOKUP(BM38,'KD-PA'!$I$21:$N$30,'KD-PA'!F33+1),BJ38&amp;" dalam "&amp;VLOOKUP(BL38,'KD-PA'!$I$21:$N$30,'KD-PA'!F33+1)&amp;", "&amp;BK38&amp;" keterampilan dalam "&amp;VLOOKUP(BM38,'KD-PA'!$I$21:$N$30,'KD-PA'!F33+1)),""))</f>
        <v xml:space="preserve">Memiliki keterampilan cukup dalam Melaksanakan buah-buah Roh dalam surat Paulus di jemaat Galatia dan Menunjukkan hal-hal yang positif dan negatif manusia </v>
      </c>
      <c r="BO38" s="305"/>
    </row>
    <row r="39" spans="1:67" ht="33" customHeight="1">
      <c r="A39" s="67"/>
      <c r="B39" s="272">
        <f t="shared" si="20"/>
        <v>26</v>
      </c>
      <c r="C39" s="273">
        <f>IF(Data!F30="","",Data!F30)</f>
        <v>0</v>
      </c>
      <c r="D39" s="274" t="str">
        <f>IF(Data!H30="","",Data!H30)&amp;""&amp;IF('KD-PA'!G34="","","("&amp;'KD-PA'!G34&amp;")")</f>
        <v>Misel Miranda Sora(Kristen)</v>
      </c>
      <c r="E39" s="275" t="str">
        <f>IF(Data!I30="","",Data!I30)</f>
        <v>P</v>
      </c>
      <c r="F39" s="1503">
        <v>95</v>
      </c>
      <c r="G39" s="1504">
        <v>95</v>
      </c>
      <c r="H39" s="1478"/>
      <c r="I39" s="1478"/>
      <c r="J39" s="1478"/>
      <c r="K39" s="277"/>
      <c r="L39" s="277"/>
      <c r="M39" s="280"/>
      <c r="N39" s="277"/>
      <c r="O39" s="278"/>
      <c r="P39" s="279">
        <f t="shared" si="21"/>
        <v>95</v>
      </c>
      <c r="Q39" s="1504">
        <v>95</v>
      </c>
      <c r="R39" s="1507">
        <v>95</v>
      </c>
      <c r="S39" s="281">
        <f t="shared" si="22"/>
        <v>95</v>
      </c>
      <c r="T39" s="295" t="str">
        <f t="shared" si="23"/>
        <v>A</v>
      </c>
      <c r="U39" s="1215">
        <f t="shared" si="6"/>
        <v>95.01</v>
      </c>
      <c r="V39" s="1216">
        <f t="shared" si="6"/>
        <v>95.02</v>
      </c>
      <c r="W39" s="1216" t="str">
        <f t="shared" si="6"/>
        <v/>
      </c>
      <c r="X39" s="1216" t="str">
        <f t="shared" si="6"/>
        <v/>
      </c>
      <c r="Y39" s="1216" t="str">
        <f t="shared" si="6"/>
        <v/>
      </c>
      <c r="Z39" s="1216" t="str">
        <f t="shared" ref="Z39:AD63" si="37">IF(K39="","",K39+Z$13)</f>
        <v/>
      </c>
      <c r="AA39" s="1216" t="str">
        <f t="shared" si="37"/>
        <v/>
      </c>
      <c r="AB39" s="1217" t="str">
        <f t="shared" si="37"/>
        <v/>
      </c>
      <c r="AC39" s="1216" t="str">
        <f t="shared" si="37"/>
        <v/>
      </c>
      <c r="AD39" s="1218" t="str">
        <f t="shared" si="37"/>
        <v/>
      </c>
      <c r="AE39" s="1219">
        <f t="shared" si="24"/>
        <v>95.02</v>
      </c>
      <c r="AF39" s="282">
        <f t="shared" si="25"/>
        <v>95.01</v>
      </c>
      <c r="AG39" s="282" t="str">
        <f t="shared" si="35"/>
        <v>sangat baik</v>
      </c>
      <c r="AH39" s="282" t="str">
        <f t="shared" si="35"/>
        <v>sangat baik</v>
      </c>
      <c r="AI39" s="282">
        <f t="shared" si="26"/>
        <v>2</v>
      </c>
      <c r="AJ39" s="283">
        <f t="shared" si="27"/>
        <v>1</v>
      </c>
      <c r="AK39" s="284" t="str">
        <f>IF(P39="","",IFERROR("Memiliki kemampuan "&amp;IF(AG39=AH39,AG39&amp;" dalam "&amp;VLOOKUP(AI39,'KD-PA'!$I$9:$N$18,'KD-PA'!F34+1)&amp;" dan "&amp;VLOOKUP(AJ39,'KD-PA'!$I$9:$N$18,'KD-PA'!F34+1),AG39&amp;" dalam "&amp;VLOOKUP(AI39,'KD-PA'!$I$9:$N$18,'KD-PA'!F34+1)&amp;", "&amp;AH39&amp;" kemampuan dalam "&amp;VLOOKUP(AJ39,'KD-PA'!$I$9:$N$18,'KD-PA'!F34+1)),""))</f>
        <v>Memiliki kemampuan sangat baik dalam Memahami keberadaan Allah sebagai pembaharu kehidupan  dan Menjelaskan makna kebersamaan dengan orang lain</v>
      </c>
      <c r="AL39" s="1503">
        <v>95</v>
      </c>
      <c r="AM39" s="1504">
        <v>95</v>
      </c>
      <c r="AN39" s="277"/>
      <c r="AO39" s="277"/>
      <c r="AP39" s="277"/>
      <c r="AQ39" s="277"/>
      <c r="AR39" s="277"/>
      <c r="AS39" s="280"/>
      <c r="AT39" s="277"/>
      <c r="AU39" s="278"/>
      <c r="AV39" s="285">
        <f t="shared" si="32"/>
        <v>95</v>
      </c>
      <c r="AW39" s="296" t="str">
        <f t="shared" si="28"/>
        <v>A</v>
      </c>
      <c r="AX39" s="1220">
        <f t="shared" si="36"/>
        <v>95.01</v>
      </c>
      <c r="AY39" s="1221">
        <f t="shared" si="36"/>
        <v>95.02</v>
      </c>
      <c r="AZ39" s="1221" t="str">
        <f t="shared" si="36"/>
        <v/>
      </c>
      <c r="BA39" s="1221" t="str">
        <f t="shared" si="36"/>
        <v/>
      </c>
      <c r="BB39" s="1221" t="str">
        <f t="shared" si="36"/>
        <v/>
      </c>
      <c r="BC39" s="1221" t="str">
        <f t="shared" si="36"/>
        <v/>
      </c>
      <c r="BD39" s="1221" t="str">
        <f t="shared" si="36"/>
        <v/>
      </c>
      <c r="BE39" s="1222" t="str">
        <f t="shared" si="36"/>
        <v/>
      </c>
      <c r="BF39" s="1221" t="str">
        <f t="shared" si="36"/>
        <v/>
      </c>
      <c r="BG39" s="1223" t="str">
        <f t="shared" si="36"/>
        <v/>
      </c>
      <c r="BH39" s="286">
        <f t="shared" si="29"/>
        <v>95.02</v>
      </c>
      <c r="BI39" s="286">
        <f t="shared" si="33"/>
        <v>95.01</v>
      </c>
      <c r="BJ39" s="287" t="str">
        <f t="shared" si="30"/>
        <v>sangat baik</v>
      </c>
      <c r="BK39" s="287" t="str">
        <f t="shared" si="30"/>
        <v>sangat baik</v>
      </c>
      <c r="BL39" s="286">
        <f t="shared" si="34"/>
        <v>2</v>
      </c>
      <c r="BM39" s="288">
        <f t="shared" si="31"/>
        <v>1</v>
      </c>
      <c r="BN39" s="289" t="str">
        <f>IF(AV39="","",IFERROR("Memiliki keterampilan "&amp;IF(BJ39=BK39,BJ39&amp;" dalam "&amp;VLOOKUP(BL39,'KD-PA'!$I$21:$N$30,'KD-PA'!F34+1)&amp;" dan "&amp;VLOOKUP(BM39,'KD-PA'!$I$21:$N$30,'KD-PA'!F34+1),BJ39&amp;" dalam "&amp;VLOOKUP(BL39,'KD-PA'!$I$21:$N$30,'KD-PA'!F34+1)&amp;", "&amp;BK39&amp;" keterampilan dalam "&amp;VLOOKUP(BM39,'KD-PA'!$I$21:$N$30,'KD-PA'!F34+1)),""))</f>
        <v xml:space="preserve">Memiliki keterampilan sangat baik dalam Melaksanakan buah-buah Roh dalam surat Paulus di jemaat Galatia dan Menunjukkan hal-hal yang positif dan negatif manusia </v>
      </c>
      <c r="BO39" s="305"/>
    </row>
    <row r="40" spans="1:67" ht="33" customHeight="1">
      <c r="A40" s="67"/>
      <c r="B40" s="272">
        <f t="shared" si="20"/>
        <v>27</v>
      </c>
      <c r="C40" s="273">
        <f>IF(Data!F31="","",Data!F31)</f>
        <v>0</v>
      </c>
      <c r="D40" s="274" t="str">
        <f>IF(Data!H31="","",Data!H31)&amp;""&amp;IF('KD-PA'!G35="","","("&amp;'KD-PA'!G35&amp;")")</f>
        <v>Nofianti Tainmeta(Kristen)</v>
      </c>
      <c r="E40" s="275" t="str">
        <f>IF(Data!I31="","",Data!I31)</f>
        <v>P</v>
      </c>
      <c r="F40" s="1503">
        <v>90</v>
      </c>
      <c r="G40" s="1504">
        <v>90</v>
      </c>
      <c r="H40" s="1478"/>
      <c r="I40" s="1478"/>
      <c r="J40" s="1478"/>
      <c r="K40" s="277"/>
      <c r="L40" s="277"/>
      <c r="M40" s="280"/>
      <c r="N40" s="277"/>
      <c r="O40" s="278"/>
      <c r="P40" s="279">
        <f t="shared" si="21"/>
        <v>90</v>
      </c>
      <c r="Q40" s="1504">
        <v>90</v>
      </c>
      <c r="R40" s="1507">
        <v>90</v>
      </c>
      <c r="S40" s="281">
        <f t="shared" si="22"/>
        <v>90</v>
      </c>
      <c r="T40" s="295" t="str">
        <f t="shared" si="23"/>
        <v>B</v>
      </c>
      <c r="U40" s="1215">
        <f t="shared" ref="U40:Y63" si="38">IF(F40="","",F40+U$13)</f>
        <v>90.01</v>
      </c>
      <c r="V40" s="1216">
        <f t="shared" si="38"/>
        <v>90.02</v>
      </c>
      <c r="W40" s="1216" t="str">
        <f t="shared" si="38"/>
        <v/>
      </c>
      <c r="X40" s="1216" t="str">
        <f t="shared" si="38"/>
        <v/>
      </c>
      <c r="Y40" s="1216" t="str">
        <f t="shared" si="38"/>
        <v/>
      </c>
      <c r="Z40" s="1216" t="str">
        <f t="shared" si="37"/>
        <v/>
      </c>
      <c r="AA40" s="1216" t="str">
        <f t="shared" si="37"/>
        <v/>
      </c>
      <c r="AB40" s="1217" t="str">
        <f t="shared" si="37"/>
        <v/>
      </c>
      <c r="AC40" s="1216" t="str">
        <f t="shared" si="37"/>
        <v/>
      </c>
      <c r="AD40" s="1218" t="str">
        <f t="shared" si="37"/>
        <v/>
      </c>
      <c r="AE40" s="1219">
        <f t="shared" si="24"/>
        <v>90.02</v>
      </c>
      <c r="AF40" s="282">
        <f t="shared" si="25"/>
        <v>90.01</v>
      </c>
      <c r="AG40" s="282" t="str">
        <f t="shared" si="35"/>
        <v>baik</v>
      </c>
      <c r="AH40" s="282" t="str">
        <f t="shared" si="35"/>
        <v>baik</v>
      </c>
      <c r="AI40" s="282">
        <f t="shared" si="26"/>
        <v>2</v>
      </c>
      <c r="AJ40" s="283">
        <f t="shared" si="27"/>
        <v>1</v>
      </c>
      <c r="AK40" s="284" t="str">
        <f>IF(P40="","",IFERROR("Memiliki kemampuan "&amp;IF(AG40=AH40,AG40&amp;" dalam "&amp;VLOOKUP(AI40,'KD-PA'!$I$9:$N$18,'KD-PA'!F35+1)&amp;" dan "&amp;VLOOKUP(AJ40,'KD-PA'!$I$9:$N$18,'KD-PA'!F35+1),AG40&amp;" dalam "&amp;VLOOKUP(AI40,'KD-PA'!$I$9:$N$18,'KD-PA'!F35+1)&amp;", "&amp;AH40&amp;" kemampuan dalam "&amp;VLOOKUP(AJ40,'KD-PA'!$I$9:$N$18,'KD-PA'!F35+1)),""))</f>
        <v>Memiliki kemampuan baik dalam Memahami keberadaan Allah sebagai pembaharu kehidupan  dan Menjelaskan makna kebersamaan dengan orang lain</v>
      </c>
      <c r="AL40" s="1503">
        <v>90</v>
      </c>
      <c r="AM40" s="1504">
        <v>90</v>
      </c>
      <c r="AN40" s="277"/>
      <c r="AO40" s="277"/>
      <c r="AP40" s="277"/>
      <c r="AQ40" s="277"/>
      <c r="AR40" s="277"/>
      <c r="AS40" s="280"/>
      <c r="AT40" s="277"/>
      <c r="AU40" s="278"/>
      <c r="AV40" s="285">
        <f t="shared" si="32"/>
        <v>90</v>
      </c>
      <c r="AW40" s="296" t="str">
        <f t="shared" si="28"/>
        <v>B</v>
      </c>
      <c r="AX40" s="1220">
        <f t="shared" si="36"/>
        <v>90.01</v>
      </c>
      <c r="AY40" s="1221">
        <f t="shared" si="36"/>
        <v>90.02</v>
      </c>
      <c r="AZ40" s="1221" t="str">
        <f t="shared" si="36"/>
        <v/>
      </c>
      <c r="BA40" s="1221" t="str">
        <f t="shared" si="36"/>
        <v/>
      </c>
      <c r="BB40" s="1221" t="str">
        <f t="shared" si="36"/>
        <v/>
      </c>
      <c r="BC40" s="1221" t="str">
        <f t="shared" si="36"/>
        <v/>
      </c>
      <c r="BD40" s="1221" t="str">
        <f t="shared" si="36"/>
        <v/>
      </c>
      <c r="BE40" s="1222" t="str">
        <f t="shared" si="36"/>
        <v/>
      </c>
      <c r="BF40" s="1221" t="str">
        <f t="shared" si="36"/>
        <v/>
      </c>
      <c r="BG40" s="1223" t="str">
        <f t="shared" si="36"/>
        <v/>
      </c>
      <c r="BH40" s="286">
        <f t="shared" si="29"/>
        <v>90.02</v>
      </c>
      <c r="BI40" s="286">
        <f t="shared" si="33"/>
        <v>90.01</v>
      </c>
      <c r="BJ40" s="287" t="str">
        <f t="shared" si="30"/>
        <v>baik</v>
      </c>
      <c r="BK40" s="287" t="str">
        <f t="shared" si="30"/>
        <v>baik</v>
      </c>
      <c r="BL40" s="286">
        <f t="shared" si="34"/>
        <v>2</v>
      </c>
      <c r="BM40" s="288">
        <f t="shared" si="31"/>
        <v>1</v>
      </c>
      <c r="BN40" s="289" t="str">
        <f>IF(AV40="","",IFERROR("Memiliki keterampilan "&amp;IF(BJ40=BK40,BJ40&amp;" dalam "&amp;VLOOKUP(BL40,'KD-PA'!$I$21:$N$30,'KD-PA'!F35+1)&amp;" dan "&amp;VLOOKUP(BM40,'KD-PA'!$I$21:$N$30,'KD-PA'!F35+1),BJ40&amp;" dalam "&amp;VLOOKUP(BL40,'KD-PA'!$I$21:$N$30,'KD-PA'!F35+1)&amp;", "&amp;BK40&amp;" keterampilan dalam "&amp;VLOOKUP(BM40,'KD-PA'!$I$21:$N$30,'KD-PA'!F35+1)),""))</f>
        <v xml:space="preserve">Memiliki keterampilan baik dalam Melaksanakan buah-buah Roh dalam surat Paulus di jemaat Galatia dan Menunjukkan hal-hal yang positif dan negatif manusia </v>
      </c>
      <c r="BO40" s="305"/>
    </row>
    <row r="41" spans="1:67" ht="33" customHeight="1">
      <c r="A41" s="67"/>
      <c r="B41" s="272">
        <f t="shared" si="20"/>
        <v>28</v>
      </c>
      <c r="C41" s="273">
        <f>IF(Data!F32="","",Data!F32)</f>
        <v>0</v>
      </c>
      <c r="D41" s="274" t="str">
        <f>IF(Data!H32="","",Data!H32)&amp;""&amp;IF('KD-PA'!G36="","","("&amp;'KD-PA'!G36&amp;")")</f>
        <v>Ofni Antrikus Banun(Kristen)</v>
      </c>
      <c r="E41" s="275" t="str">
        <f>IF(Data!I32="","",Data!I32)</f>
        <v>L</v>
      </c>
      <c r="F41" s="1503">
        <v>70</v>
      </c>
      <c r="G41" s="1504">
        <v>70</v>
      </c>
      <c r="H41" s="1478"/>
      <c r="I41" s="1478"/>
      <c r="J41" s="1478"/>
      <c r="K41" s="277"/>
      <c r="L41" s="277"/>
      <c r="M41" s="280"/>
      <c r="N41" s="277"/>
      <c r="O41" s="278"/>
      <c r="P41" s="279">
        <f t="shared" si="21"/>
        <v>70</v>
      </c>
      <c r="Q41" s="1504">
        <v>70</v>
      </c>
      <c r="R41" s="1507">
        <v>70</v>
      </c>
      <c r="S41" s="281">
        <f t="shared" si="22"/>
        <v>70</v>
      </c>
      <c r="T41" s="295" t="str">
        <f t="shared" si="23"/>
        <v>D</v>
      </c>
      <c r="U41" s="1215">
        <f t="shared" si="38"/>
        <v>70.010000000000005</v>
      </c>
      <c r="V41" s="1216">
        <f t="shared" si="38"/>
        <v>70.02</v>
      </c>
      <c r="W41" s="1216" t="str">
        <f t="shared" si="38"/>
        <v/>
      </c>
      <c r="X41" s="1216" t="str">
        <f t="shared" si="38"/>
        <v/>
      </c>
      <c r="Y41" s="1216" t="str">
        <f t="shared" si="38"/>
        <v/>
      </c>
      <c r="Z41" s="1216" t="str">
        <f t="shared" si="37"/>
        <v/>
      </c>
      <c r="AA41" s="1216" t="str">
        <f t="shared" si="37"/>
        <v/>
      </c>
      <c r="AB41" s="1217" t="str">
        <f t="shared" si="37"/>
        <v/>
      </c>
      <c r="AC41" s="1216" t="str">
        <f t="shared" si="37"/>
        <v/>
      </c>
      <c r="AD41" s="1218" t="str">
        <f t="shared" si="37"/>
        <v/>
      </c>
      <c r="AE41" s="1219">
        <f t="shared" si="24"/>
        <v>70.02</v>
      </c>
      <c r="AF41" s="282">
        <f t="shared" si="25"/>
        <v>70.010000000000005</v>
      </c>
      <c r="AG41" s="282" t="str">
        <f t="shared" si="35"/>
        <v>perlu dimaksimalkan</v>
      </c>
      <c r="AH41" s="282" t="str">
        <f t="shared" si="35"/>
        <v>perlu dimaksimalkan</v>
      </c>
      <c r="AI41" s="282">
        <f t="shared" si="26"/>
        <v>2</v>
      </c>
      <c r="AJ41" s="283">
        <f t="shared" si="27"/>
        <v>1</v>
      </c>
      <c r="AK41" s="284" t="str">
        <f>IF(P41="","",IFERROR("Memiliki kemampuan "&amp;IF(AG41=AH41,AG41&amp;" dalam "&amp;VLOOKUP(AI41,'KD-PA'!$I$9:$N$18,'KD-PA'!F36+1)&amp;" dan "&amp;VLOOKUP(AJ41,'KD-PA'!$I$9:$N$18,'KD-PA'!F36+1),AG41&amp;" dalam "&amp;VLOOKUP(AI41,'KD-PA'!$I$9:$N$18,'KD-PA'!F36+1)&amp;", "&amp;AH41&amp;" kemampuan dalam "&amp;VLOOKUP(AJ41,'KD-PA'!$I$9:$N$18,'KD-PA'!F36+1)),""))</f>
        <v>Memiliki kemampuan perlu dimaksimalkan dalam Memahami keberadaan Allah sebagai pembaharu kehidupan  dan Menjelaskan makna kebersamaan dengan orang lain</v>
      </c>
      <c r="AL41" s="1503">
        <v>70</v>
      </c>
      <c r="AM41" s="1504">
        <v>70</v>
      </c>
      <c r="AN41" s="277"/>
      <c r="AO41" s="277"/>
      <c r="AP41" s="277"/>
      <c r="AQ41" s="277"/>
      <c r="AR41" s="277"/>
      <c r="AS41" s="280"/>
      <c r="AT41" s="277"/>
      <c r="AU41" s="278"/>
      <c r="AV41" s="285">
        <f t="shared" si="32"/>
        <v>70</v>
      </c>
      <c r="AW41" s="296" t="str">
        <f t="shared" si="28"/>
        <v>D</v>
      </c>
      <c r="AX41" s="1220">
        <f t="shared" si="36"/>
        <v>70.010000000000005</v>
      </c>
      <c r="AY41" s="1221">
        <f t="shared" si="36"/>
        <v>70.02</v>
      </c>
      <c r="AZ41" s="1221" t="str">
        <f t="shared" si="36"/>
        <v/>
      </c>
      <c r="BA41" s="1221" t="str">
        <f t="shared" si="36"/>
        <v/>
      </c>
      <c r="BB41" s="1221" t="str">
        <f t="shared" si="36"/>
        <v/>
      </c>
      <c r="BC41" s="1221" t="str">
        <f t="shared" si="36"/>
        <v/>
      </c>
      <c r="BD41" s="1221" t="str">
        <f t="shared" si="36"/>
        <v/>
      </c>
      <c r="BE41" s="1222" t="str">
        <f t="shared" si="36"/>
        <v/>
      </c>
      <c r="BF41" s="1221" t="str">
        <f t="shared" si="36"/>
        <v/>
      </c>
      <c r="BG41" s="1223" t="str">
        <f t="shared" si="36"/>
        <v/>
      </c>
      <c r="BH41" s="286">
        <f t="shared" si="29"/>
        <v>70.02</v>
      </c>
      <c r="BI41" s="286">
        <f t="shared" si="33"/>
        <v>70.010000000000005</v>
      </c>
      <c r="BJ41" s="287" t="str">
        <f t="shared" si="30"/>
        <v>perlu dimaksimalkan</v>
      </c>
      <c r="BK41" s="287" t="str">
        <f t="shared" si="30"/>
        <v>perlu dimaksimalkan</v>
      </c>
      <c r="BL41" s="286">
        <f t="shared" si="34"/>
        <v>2</v>
      </c>
      <c r="BM41" s="288">
        <f t="shared" si="31"/>
        <v>1</v>
      </c>
      <c r="BN41" s="289" t="str">
        <f>IF(AV41="","",IFERROR("Memiliki keterampilan "&amp;IF(BJ41=BK41,BJ41&amp;" dalam "&amp;VLOOKUP(BL41,'KD-PA'!$I$21:$N$30,'KD-PA'!F36+1)&amp;" dan "&amp;VLOOKUP(BM41,'KD-PA'!$I$21:$N$30,'KD-PA'!F36+1),BJ41&amp;" dalam "&amp;VLOOKUP(BL41,'KD-PA'!$I$21:$N$30,'KD-PA'!F36+1)&amp;", "&amp;BK41&amp;" keterampilan dalam "&amp;VLOOKUP(BM41,'KD-PA'!$I$21:$N$30,'KD-PA'!F36+1)),""))</f>
        <v xml:space="preserve">Memiliki keterampilan perlu dimaksimalkan dalam Melaksanakan buah-buah Roh dalam surat Paulus di jemaat Galatia dan Menunjukkan hal-hal yang positif dan negatif manusia </v>
      </c>
      <c r="BO41" s="305"/>
    </row>
    <row r="42" spans="1:67" ht="33" customHeight="1">
      <c r="A42" s="67"/>
      <c r="B42" s="272">
        <f t="shared" si="20"/>
        <v>29</v>
      </c>
      <c r="C42" s="273">
        <f>IF(Data!F33="","",Data!F33)</f>
        <v>0</v>
      </c>
      <c r="D42" s="274" t="str">
        <f>IF(Data!H33="","",Data!H33)&amp;""&amp;IF('KD-PA'!G37="","","("&amp;'KD-PA'!G37&amp;")")</f>
        <v>Roiyandi Saebesi(Kristen)</v>
      </c>
      <c r="E42" s="275" t="str">
        <f>IF(Data!I33="","",Data!I33)</f>
        <v>L</v>
      </c>
      <c r="F42" s="1503">
        <v>90</v>
      </c>
      <c r="G42" s="1504">
        <v>90</v>
      </c>
      <c r="H42" s="1478"/>
      <c r="I42" s="1478"/>
      <c r="J42" s="1478"/>
      <c r="K42" s="277"/>
      <c r="L42" s="277"/>
      <c r="M42" s="280"/>
      <c r="N42" s="277"/>
      <c r="O42" s="278"/>
      <c r="P42" s="279">
        <f t="shared" si="21"/>
        <v>90</v>
      </c>
      <c r="Q42" s="1504">
        <v>90</v>
      </c>
      <c r="R42" s="1507">
        <v>90</v>
      </c>
      <c r="S42" s="281">
        <f t="shared" si="22"/>
        <v>90</v>
      </c>
      <c r="T42" s="295" t="str">
        <f t="shared" si="23"/>
        <v>B</v>
      </c>
      <c r="U42" s="1215">
        <f t="shared" si="38"/>
        <v>90.01</v>
      </c>
      <c r="V42" s="1216">
        <f t="shared" si="38"/>
        <v>90.02</v>
      </c>
      <c r="W42" s="1216" t="str">
        <f t="shared" si="38"/>
        <v/>
      </c>
      <c r="X42" s="1216" t="str">
        <f t="shared" si="38"/>
        <v/>
      </c>
      <c r="Y42" s="1216" t="str">
        <f t="shared" si="38"/>
        <v/>
      </c>
      <c r="Z42" s="1216" t="str">
        <f t="shared" si="37"/>
        <v/>
      </c>
      <c r="AA42" s="1216" t="str">
        <f t="shared" si="37"/>
        <v/>
      </c>
      <c r="AB42" s="1217" t="str">
        <f t="shared" si="37"/>
        <v/>
      </c>
      <c r="AC42" s="1216" t="str">
        <f t="shared" si="37"/>
        <v/>
      </c>
      <c r="AD42" s="1218" t="str">
        <f t="shared" si="37"/>
        <v/>
      </c>
      <c r="AE42" s="1219">
        <f t="shared" si="24"/>
        <v>90.02</v>
      </c>
      <c r="AF42" s="282">
        <f t="shared" si="25"/>
        <v>90.01</v>
      </c>
      <c r="AG42" s="282" t="str">
        <f t="shared" si="35"/>
        <v>baik</v>
      </c>
      <c r="AH42" s="282" t="str">
        <f t="shared" si="35"/>
        <v>baik</v>
      </c>
      <c r="AI42" s="282">
        <f t="shared" si="26"/>
        <v>2</v>
      </c>
      <c r="AJ42" s="283">
        <f t="shared" si="27"/>
        <v>1</v>
      </c>
      <c r="AK42" s="284" t="str">
        <f>IF(P42="","",IFERROR("Memiliki kemampuan "&amp;IF(AG42=AH42,AG42&amp;" dalam "&amp;VLOOKUP(AI42,'KD-PA'!$I$9:$N$18,'KD-PA'!F37+1)&amp;" dan "&amp;VLOOKUP(AJ42,'KD-PA'!$I$9:$N$18,'KD-PA'!F37+1),AG42&amp;" dalam "&amp;VLOOKUP(AI42,'KD-PA'!$I$9:$N$18,'KD-PA'!F37+1)&amp;", "&amp;AH42&amp;" kemampuan dalam "&amp;VLOOKUP(AJ42,'KD-PA'!$I$9:$N$18,'KD-PA'!F37+1)),""))</f>
        <v>Memiliki kemampuan baik dalam Memahami keberadaan Allah sebagai pembaharu kehidupan  dan Menjelaskan makna kebersamaan dengan orang lain</v>
      </c>
      <c r="AL42" s="1503">
        <v>90</v>
      </c>
      <c r="AM42" s="1504">
        <v>90</v>
      </c>
      <c r="AN42" s="277"/>
      <c r="AO42" s="277"/>
      <c r="AP42" s="277"/>
      <c r="AQ42" s="277"/>
      <c r="AR42" s="277"/>
      <c r="AS42" s="280"/>
      <c r="AT42" s="277"/>
      <c r="AU42" s="278"/>
      <c r="AV42" s="285">
        <f t="shared" si="32"/>
        <v>90</v>
      </c>
      <c r="AW42" s="296" t="str">
        <f t="shared" si="28"/>
        <v>B</v>
      </c>
      <c r="AX42" s="1220">
        <f t="shared" si="36"/>
        <v>90.01</v>
      </c>
      <c r="AY42" s="1221">
        <f t="shared" si="36"/>
        <v>90.02</v>
      </c>
      <c r="AZ42" s="1221" t="str">
        <f t="shared" si="36"/>
        <v/>
      </c>
      <c r="BA42" s="1221" t="str">
        <f t="shared" si="36"/>
        <v/>
      </c>
      <c r="BB42" s="1221" t="str">
        <f t="shared" si="36"/>
        <v/>
      </c>
      <c r="BC42" s="1221" t="str">
        <f t="shared" si="36"/>
        <v/>
      </c>
      <c r="BD42" s="1221" t="str">
        <f t="shared" si="36"/>
        <v/>
      </c>
      <c r="BE42" s="1222" t="str">
        <f t="shared" si="36"/>
        <v/>
      </c>
      <c r="BF42" s="1221" t="str">
        <f t="shared" si="36"/>
        <v/>
      </c>
      <c r="BG42" s="1223" t="str">
        <f t="shared" si="36"/>
        <v/>
      </c>
      <c r="BH42" s="286">
        <f t="shared" si="29"/>
        <v>90.02</v>
      </c>
      <c r="BI42" s="286">
        <f t="shared" si="33"/>
        <v>90.01</v>
      </c>
      <c r="BJ42" s="287" t="str">
        <f t="shared" si="30"/>
        <v>baik</v>
      </c>
      <c r="BK42" s="287" t="str">
        <f t="shared" si="30"/>
        <v>baik</v>
      </c>
      <c r="BL42" s="286">
        <f t="shared" si="34"/>
        <v>2</v>
      </c>
      <c r="BM42" s="288">
        <f t="shared" si="31"/>
        <v>1</v>
      </c>
      <c r="BN42" s="289" t="str">
        <f>IF(AV42="","",IFERROR("Memiliki keterampilan "&amp;IF(BJ42=BK42,BJ42&amp;" dalam "&amp;VLOOKUP(BL42,'KD-PA'!$I$21:$N$30,'KD-PA'!F37+1)&amp;" dan "&amp;VLOOKUP(BM42,'KD-PA'!$I$21:$N$30,'KD-PA'!F37+1),BJ42&amp;" dalam "&amp;VLOOKUP(BL42,'KD-PA'!$I$21:$N$30,'KD-PA'!F37+1)&amp;", "&amp;BK42&amp;" keterampilan dalam "&amp;VLOOKUP(BM42,'KD-PA'!$I$21:$N$30,'KD-PA'!F37+1)),""))</f>
        <v xml:space="preserve">Memiliki keterampilan baik dalam Melaksanakan buah-buah Roh dalam surat Paulus di jemaat Galatia dan Menunjukkan hal-hal yang positif dan negatif manusia </v>
      </c>
      <c r="BO42" s="305"/>
    </row>
    <row r="43" spans="1:67" ht="33" customHeight="1">
      <c r="A43" s="67"/>
      <c r="B43" s="272">
        <f t="shared" si="20"/>
        <v>30</v>
      </c>
      <c r="C43" s="273">
        <f>IF(Data!F34="","",Data!F34)</f>
        <v>0</v>
      </c>
      <c r="D43" s="274" t="str">
        <f>IF(Data!H34="","",Data!H34)&amp;""&amp;IF('KD-PA'!G38="","","("&amp;'KD-PA'!G38&amp;")")</f>
        <v>Roni Yohanis Bira(Kristen)</v>
      </c>
      <c r="E43" s="275" t="str">
        <f>IF(Data!I34="","",Data!I34)</f>
        <v>L</v>
      </c>
      <c r="F43" s="1503">
        <v>95</v>
      </c>
      <c r="G43" s="1504">
        <v>95</v>
      </c>
      <c r="H43" s="1478"/>
      <c r="I43" s="1478"/>
      <c r="J43" s="1478"/>
      <c r="K43" s="277"/>
      <c r="L43" s="277"/>
      <c r="M43" s="280"/>
      <c r="N43" s="277"/>
      <c r="O43" s="278"/>
      <c r="P43" s="279">
        <f t="shared" si="21"/>
        <v>95</v>
      </c>
      <c r="Q43" s="1504">
        <v>92</v>
      </c>
      <c r="R43" s="1507">
        <v>95</v>
      </c>
      <c r="S43" s="281">
        <f t="shared" si="22"/>
        <v>94</v>
      </c>
      <c r="T43" s="295" t="str">
        <f t="shared" si="23"/>
        <v>A</v>
      </c>
      <c r="U43" s="1215">
        <f t="shared" si="38"/>
        <v>95.01</v>
      </c>
      <c r="V43" s="1216">
        <f t="shared" si="38"/>
        <v>95.02</v>
      </c>
      <c r="W43" s="1216" t="str">
        <f t="shared" si="38"/>
        <v/>
      </c>
      <c r="X43" s="1216" t="str">
        <f t="shared" si="38"/>
        <v/>
      </c>
      <c r="Y43" s="1216" t="str">
        <f t="shared" si="38"/>
        <v/>
      </c>
      <c r="Z43" s="1216" t="str">
        <f t="shared" si="37"/>
        <v/>
      </c>
      <c r="AA43" s="1216" t="str">
        <f t="shared" si="37"/>
        <v/>
      </c>
      <c r="AB43" s="1217" t="str">
        <f t="shared" si="37"/>
        <v/>
      </c>
      <c r="AC43" s="1216" t="str">
        <f t="shared" si="37"/>
        <v/>
      </c>
      <c r="AD43" s="1218" t="str">
        <f t="shared" si="37"/>
        <v/>
      </c>
      <c r="AE43" s="1219">
        <f t="shared" si="24"/>
        <v>95.02</v>
      </c>
      <c r="AF43" s="282">
        <f t="shared" si="25"/>
        <v>95.01</v>
      </c>
      <c r="AG43" s="282" t="str">
        <f t="shared" si="35"/>
        <v>sangat baik</v>
      </c>
      <c r="AH43" s="282" t="str">
        <f t="shared" si="35"/>
        <v>sangat baik</v>
      </c>
      <c r="AI43" s="282">
        <f t="shared" si="26"/>
        <v>2</v>
      </c>
      <c r="AJ43" s="283">
        <f t="shared" si="27"/>
        <v>1</v>
      </c>
      <c r="AK43" s="284" t="str">
        <f>IF(P43="","",IFERROR("Memiliki kemampuan "&amp;IF(AG43=AH43,AG43&amp;" dalam "&amp;VLOOKUP(AI43,'KD-PA'!$I$9:$N$18,'KD-PA'!F38+1)&amp;" dan "&amp;VLOOKUP(AJ43,'KD-PA'!$I$9:$N$18,'KD-PA'!F38+1),AG43&amp;" dalam "&amp;VLOOKUP(AI43,'KD-PA'!$I$9:$N$18,'KD-PA'!F38+1)&amp;", "&amp;AH43&amp;" kemampuan dalam "&amp;VLOOKUP(AJ43,'KD-PA'!$I$9:$N$18,'KD-PA'!F38+1)),""))</f>
        <v>Memiliki kemampuan sangat baik dalam Memahami keberadaan Allah sebagai pembaharu kehidupan  dan Menjelaskan makna kebersamaan dengan orang lain</v>
      </c>
      <c r="AL43" s="1503">
        <v>95</v>
      </c>
      <c r="AM43" s="1504">
        <v>95</v>
      </c>
      <c r="AN43" s="277"/>
      <c r="AO43" s="277"/>
      <c r="AP43" s="277"/>
      <c r="AQ43" s="277"/>
      <c r="AR43" s="277"/>
      <c r="AS43" s="280"/>
      <c r="AT43" s="277"/>
      <c r="AU43" s="278"/>
      <c r="AV43" s="285">
        <f t="shared" si="32"/>
        <v>95</v>
      </c>
      <c r="AW43" s="296" t="str">
        <f t="shared" si="28"/>
        <v>A</v>
      </c>
      <c r="AX43" s="1220">
        <f t="shared" si="36"/>
        <v>95.01</v>
      </c>
      <c r="AY43" s="1221">
        <f t="shared" si="36"/>
        <v>95.02</v>
      </c>
      <c r="AZ43" s="1221" t="str">
        <f t="shared" si="36"/>
        <v/>
      </c>
      <c r="BA43" s="1221" t="str">
        <f t="shared" si="36"/>
        <v/>
      </c>
      <c r="BB43" s="1221" t="str">
        <f t="shared" si="36"/>
        <v/>
      </c>
      <c r="BC43" s="1221" t="str">
        <f t="shared" si="36"/>
        <v/>
      </c>
      <c r="BD43" s="1221" t="str">
        <f t="shared" si="36"/>
        <v/>
      </c>
      <c r="BE43" s="1222" t="str">
        <f t="shared" si="36"/>
        <v/>
      </c>
      <c r="BF43" s="1221" t="str">
        <f t="shared" si="36"/>
        <v/>
      </c>
      <c r="BG43" s="1223" t="str">
        <f t="shared" si="36"/>
        <v/>
      </c>
      <c r="BH43" s="286">
        <f t="shared" si="29"/>
        <v>95.02</v>
      </c>
      <c r="BI43" s="286">
        <f t="shared" si="33"/>
        <v>95.01</v>
      </c>
      <c r="BJ43" s="287" t="str">
        <f t="shared" si="30"/>
        <v>sangat baik</v>
      </c>
      <c r="BK43" s="287" t="str">
        <f t="shared" si="30"/>
        <v>sangat baik</v>
      </c>
      <c r="BL43" s="286">
        <f t="shared" si="34"/>
        <v>2</v>
      </c>
      <c r="BM43" s="288">
        <f t="shared" si="31"/>
        <v>1</v>
      </c>
      <c r="BN43" s="289" t="str">
        <f>IF(AV43="","",IFERROR("Memiliki keterampilan "&amp;IF(BJ43=BK43,BJ43&amp;" dalam "&amp;VLOOKUP(BL43,'KD-PA'!$I$21:$N$30,'KD-PA'!F38+1)&amp;" dan "&amp;VLOOKUP(BM43,'KD-PA'!$I$21:$N$30,'KD-PA'!F38+1),BJ43&amp;" dalam "&amp;VLOOKUP(BL43,'KD-PA'!$I$21:$N$30,'KD-PA'!F38+1)&amp;", "&amp;BK43&amp;" keterampilan dalam "&amp;VLOOKUP(BM43,'KD-PA'!$I$21:$N$30,'KD-PA'!F38+1)),""))</f>
        <v xml:space="preserve">Memiliki keterampilan sangat baik dalam Melaksanakan buah-buah Roh dalam surat Paulus di jemaat Galatia dan Menunjukkan hal-hal yang positif dan negatif manusia </v>
      </c>
      <c r="BO43" s="305"/>
    </row>
    <row r="44" spans="1:67" ht="33" customHeight="1">
      <c r="A44" s="67"/>
      <c r="B44" s="272">
        <f t="shared" si="20"/>
        <v>31</v>
      </c>
      <c r="C44" s="273">
        <f>IF(Data!F35="","",Data!F35)</f>
        <v>0</v>
      </c>
      <c r="D44" s="274" t="str">
        <f>IF(Data!H35="","",Data!H35)&amp;""&amp;IF('KD-PA'!G39="","","("&amp;'KD-PA'!G39&amp;")")</f>
        <v>Sinta Norliana Funan(Kristen)</v>
      </c>
      <c r="E44" s="275" t="str">
        <f>IF(Data!I35="","",Data!I35)</f>
        <v>P</v>
      </c>
      <c r="F44" s="1503">
        <v>95</v>
      </c>
      <c r="G44" s="1504">
        <v>95</v>
      </c>
      <c r="H44" s="1478"/>
      <c r="I44" s="1478"/>
      <c r="J44" s="1478"/>
      <c r="K44" s="277"/>
      <c r="L44" s="277"/>
      <c r="M44" s="280"/>
      <c r="N44" s="277"/>
      <c r="O44" s="278"/>
      <c r="P44" s="279">
        <f t="shared" si="21"/>
        <v>95</v>
      </c>
      <c r="Q44" s="1504">
        <v>95</v>
      </c>
      <c r="R44" s="1507">
        <v>95</v>
      </c>
      <c r="S44" s="281">
        <f t="shared" si="22"/>
        <v>95</v>
      </c>
      <c r="T44" s="295" t="str">
        <f t="shared" si="23"/>
        <v>A</v>
      </c>
      <c r="U44" s="1215">
        <f t="shared" si="38"/>
        <v>95.01</v>
      </c>
      <c r="V44" s="1216">
        <f t="shared" si="38"/>
        <v>95.02</v>
      </c>
      <c r="W44" s="1216" t="str">
        <f t="shared" si="38"/>
        <v/>
      </c>
      <c r="X44" s="1216" t="str">
        <f t="shared" si="38"/>
        <v/>
      </c>
      <c r="Y44" s="1216" t="str">
        <f t="shared" si="38"/>
        <v/>
      </c>
      <c r="Z44" s="1216" t="str">
        <f t="shared" si="37"/>
        <v/>
      </c>
      <c r="AA44" s="1216" t="str">
        <f t="shared" si="37"/>
        <v/>
      </c>
      <c r="AB44" s="1217" t="str">
        <f t="shared" si="37"/>
        <v/>
      </c>
      <c r="AC44" s="1216" t="str">
        <f t="shared" si="37"/>
        <v/>
      </c>
      <c r="AD44" s="1218" t="str">
        <f t="shared" si="37"/>
        <v/>
      </c>
      <c r="AE44" s="1219">
        <f t="shared" si="24"/>
        <v>95.02</v>
      </c>
      <c r="AF44" s="282">
        <f t="shared" si="25"/>
        <v>95.01</v>
      </c>
      <c r="AG44" s="282" t="str">
        <f t="shared" si="35"/>
        <v>sangat baik</v>
      </c>
      <c r="AH44" s="282" t="str">
        <f t="shared" si="35"/>
        <v>sangat baik</v>
      </c>
      <c r="AI44" s="282">
        <f t="shared" si="26"/>
        <v>2</v>
      </c>
      <c r="AJ44" s="283">
        <f t="shared" si="27"/>
        <v>1</v>
      </c>
      <c r="AK44" s="284" t="str">
        <f>IF(P44="","",IFERROR("Memiliki kemampuan "&amp;IF(AG44=AH44,AG44&amp;" dalam "&amp;VLOOKUP(AI44,'KD-PA'!$I$9:$N$18,'KD-PA'!F39+1)&amp;" dan "&amp;VLOOKUP(AJ44,'KD-PA'!$I$9:$N$18,'KD-PA'!F39+1),AG44&amp;" dalam "&amp;VLOOKUP(AI44,'KD-PA'!$I$9:$N$18,'KD-PA'!F39+1)&amp;", "&amp;AH44&amp;" kemampuan dalam "&amp;VLOOKUP(AJ44,'KD-PA'!$I$9:$N$18,'KD-PA'!F39+1)),""))</f>
        <v>Memiliki kemampuan sangat baik dalam Memahami keberadaan Allah sebagai pembaharu kehidupan  dan Menjelaskan makna kebersamaan dengan orang lain</v>
      </c>
      <c r="AL44" s="1503">
        <v>95</v>
      </c>
      <c r="AM44" s="1504">
        <v>95</v>
      </c>
      <c r="AN44" s="277"/>
      <c r="AO44" s="277"/>
      <c r="AP44" s="277"/>
      <c r="AQ44" s="277"/>
      <c r="AR44" s="277"/>
      <c r="AS44" s="280"/>
      <c r="AT44" s="277"/>
      <c r="AU44" s="278"/>
      <c r="AV44" s="285">
        <f t="shared" si="32"/>
        <v>95</v>
      </c>
      <c r="AW44" s="296" t="str">
        <f t="shared" si="28"/>
        <v>A</v>
      </c>
      <c r="AX44" s="1220">
        <f t="shared" si="36"/>
        <v>95.01</v>
      </c>
      <c r="AY44" s="1221">
        <f t="shared" si="36"/>
        <v>95.02</v>
      </c>
      <c r="AZ44" s="1221" t="str">
        <f t="shared" si="36"/>
        <v/>
      </c>
      <c r="BA44" s="1221" t="str">
        <f t="shared" si="36"/>
        <v/>
      </c>
      <c r="BB44" s="1221" t="str">
        <f t="shared" si="36"/>
        <v/>
      </c>
      <c r="BC44" s="1221" t="str">
        <f t="shared" si="36"/>
        <v/>
      </c>
      <c r="BD44" s="1221" t="str">
        <f t="shared" si="36"/>
        <v/>
      </c>
      <c r="BE44" s="1222" t="str">
        <f t="shared" si="36"/>
        <v/>
      </c>
      <c r="BF44" s="1221" t="str">
        <f t="shared" si="36"/>
        <v/>
      </c>
      <c r="BG44" s="1223" t="str">
        <f t="shared" si="36"/>
        <v/>
      </c>
      <c r="BH44" s="286">
        <f t="shared" si="29"/>
        <v>95.02</v>
      </c>
      <c r="BI44" s="286">
        <f t="shared" si="33"/>
        <v>95.01</v>
      </c>
      <c r="BJ44" s="287" t="str">
        <f t="shared" si="30"/>
        <v>sangat baik</v>
      </c>
      <c r="BK44" s="287" t="str">
        <f t="shared" si="30"/>
        <v>sangat baik</v>
      </c>
      <c r="BL44" s="286">
        <f t="shared" si="34"/>
        <v>2</v>
      </c>
      <c r="BM44" s="288">
        <f t="shared" si="31"/>
        <v>1</v>
      </c>
      <c r="BN44" s="289" t="str">
        <f>IF(AV44="","",IFERROR("Memiliki keterampilan "&amp;IF(BJ44=BK44,BJ44&amp;" dalam "&amp;VLOOKUP(BL44,'KD-PA'!$I$21:$N$30,'KD-PA'!F39+1)&amp;" dan "&amp;VLOOKUP(BM44,'KD-PA'!$I$21:$N$30,'KD-PA'!F39+1),BJ44&amp;" dalam "&amp;VLOOKUP(BL44,'KD-PA'!$I$21:$N$30,'KD-PA'!F39+1)&amp;", "&amp;BK44&amp;" keterampilan dalam "&amp;VLOOKUP(BM44,'KD-PA'!$I$21:$N$30,'KD-PA'!F39+1)),""))</f>
        <v xml:space="preserve">Memiliki keterampilan sangat baik dalam Melaksanakan buah-buah Roh dalam surat Paulus di jemaat Galatia dan Menunjukkan hal-hal yang positif dan negatif manusia </v>
      </c>
      <c r="BO44" s="305"/>
    </row>
    <row r="45" spans="1:67" ht="33" customHeight="1">
      <c r="A45" s="67"/>
      <c r="B45" s="272">
        <f t="shared" si="20"/>
        <v>32</v>
      </c>
      <c r="C45" s="273">
        <f>IF(Data!F36="","",Data!F36)</f>
        <v>0</v>
      </c>
      <c r="D45" s="274" t="str">
        <f>IF(Data!H36="","",Data!H36)&amp;""&amp;IF('KD-PA'!G40="","","("&amp;'KD-PA'!G40&amp;")")</f>
        <v>Stevi Otnial Loemnanu(Kristen)</v>
      </c>
      <c r="E45" s="275" t="str">
        <f>IF(Data!I36="","",Data!I36)</f>
        <v>L</v>
      </c>
      <c r="F45" s="1503">
        <v>90</v>
      </c>
      <c r="G45" s="1504">
        <v>90</v>
      </c>
      <c r="H45" s="1478"/>
      <c r="I45" s="1478"/>
      <c r="J45" s="1478"/>
      <c r="K45" s="277"/>
      <c r="L45" s="277"/>
      <c r="M45" s="280"/>
      <c r="N45" s="277"/>
      <c r="O45" s="278"/>
      <c r="P45" s="279">
        <f t="shared" si="21"/>
        <v>90</v>
      </c>
      <c r="Q45" s="1504">
        <v>90</v>
      </c>
      <c r="R45" s="1507">
        <v>90</v>
      </c>
      <c r="S45" s="281">
        <f t="shared" si="22"/>
        <v>90</v>
      </c>
      <c r="T45" s="295" t="str">
        <f t="shared" si="23"/>
        <v>B</v>
      </c>
      <c r="U45" s="1215">
        <f t="shared" si="38"/>
        <v>90.01</v>
      </c>
      <c r="V45" s="1216">
        <f t="shared" si="38"/>
        <v>90.02</v>
      </c>
      <c r="W45" s="1216" t="str">
        <f t="shared" si="38"/>
        <v/>
      </c>
      <c r="X45" s="1216" t="str">
        <f t="shared" si="38"/>
        <v/>
      </c>
      <c r="Y45" s="1216" t="str">
        <f t="shared" si="38"/>
        <v/>
      </c>
      <c r="Z45" s="1216" t="str">
        <f t="shared" si="37"/>
        <v/>
      </c>
      <c r="AA45" s="1216" t="str">
        <f t="shared" si="37"/>
        <v/>
      </c>
      <c r="AB45" s="1217" t="str">
        <f t="shared" si="37"/>
        <v/>
      </c>
      <c r="AC45" s="1216" t="str">
        <f t="shared" si="37"/>
        <v/>
      </c>
      <c r="AD45" s="1218" t="str">
        <f t="shared" si="37"/>
        <v/>
      </c>
      <c r="AE45" s="1219">
        <f t="shared" si="24"/>
        <v>90.02</v>
      </c>
      <c r="AF45" s="282">
        <f t="shared" si="25"/>
        <v>90.01</v>
      </c>
      <c r="AG45" s="282" t="str">
        <f t="shared" si="35"/>
        <v>baik</v>
      </c>
      <c r="AH45" s="282" t="str">
        <f t="shared" si="35"/>
        <v>baik</v>
      </c>
      <c r="AI45" s="282">
        <f t="shared" si="26"/>
        <v>2</v>
      </c>
      <c r="AJ45" s="283">
        <f t="shared" si="27"/>
        <v>1</v>
      </c>
      <c r="AK45" s="284" t="str">
        <f>IF(P45="","",IFERROR("Memiliki kemampuan "&amp;IF(AG45=AH45,AG45&amp;" dalam "&amp;VLOOKUP(AI45,'KD-PA'!$I$9:$N$18,'KD-PA'!F40+1)&amp;" dan "&amp;VLOOKUP(AJ45,'KD-PA'!$I$9:$N$18,'KD-PA'!F40+1),AG45&amp;" dalam "&amp;VLOOKUP(AI45,'KD-PA'!$I$9:$N$18,'KD-PA'!F40+1)&amp;", "&amp;AH45&amp;" kemampuan dalam "&amp;VLOOKUP(AJ45,'KD-PA'!$I$9:$N$18,'KD-PA'!F40+1)),""))</f>
        <v>Memiliki kemampuan baik dalam Memahami keberadaan Allah sebagai pembaharu kehidupan  dan Menjelaskan makna kebersamaan dengan orang lain</v>
      </c>
      <c r="AL45" s="1503">
        <v>95</v>
      </c>
      <c r="AM45" s="1504">
        <v>95</v>
      </c>
      <c r="AN45" s="277"/>
      <c r="AO45" s="277"/>
      <c r="AP45" s="277"/>
      <c r="AQ45" s="277"/>
      <c r="AR45" s="277"/>
      <c r="AS45" s="280"/>
      <c r="AT45" s="277"/>
      <c r="AU45" s="278"/>
      <c r="AV45" s="285">
        <f t="shared" si="32"/>
        <v>95</v>
      </c>
      <c r="AW45" s="296" t="str">
        <f t="shared" si="28"/>
        <v>A</v>
      </c>
      <c r="AX45" s="1220">
        <f t="shared" si="36"/>
        <v>95.01</v>
      </c>
      <c r="AY45" s="1221">
        <f t="shared" si="36"/>
        <v>95.02</v>
      </c>
      <c r="AZ45" s="1221" t="str">
        <f t="shared" si="36"/>
        <v/>
      </c>
      <c r="BA45" s="1221" t="str">
        <f t="shared" si="36"/>
        <v/>
      </c>
      <c r="BB45" s="1221" t="str">
        <f t="shared" si="36"/>
        <v/>
      </c>
      <c r="BC45" s="1221" t="str">
        <f t="shared" si="36"/>
        <v/>
      </c>
      <c r="BD45" s="1221" t="str">
        <f t="shared" si="36"/>
        <v/>
      </c>
      <c r="BE45" s="1222" t="str">
        <f t="shared" si="36"/>
        <v/>
      </c>
      <c r="BF45" s="1221" t="str">
        <f t="shared" si="36"/>
        <v/>
      </c>
      <c r="BG45" s="1223" t="str">
        <f t="shared" si="36"/>
        <v/>
      </c>
      <c r="BH45" s="286">
        <f t="shared" si="29"/>
        <v>95.02</v>
      </c>
      <c r="BI45" s="286">
        <f t="shared" si="33"/>
        <v>95.01</v>
      </c>
      <c r="BJ45" s="287" t="str">
        <f t="shared" si="30"/>
        <v>sangat baik</v>
      </c>
      <c r="BK45" s="287" t="str">
        <f t="shared" si="30"/>
        <v>sangat baik</v>
      </c>
      <c r="BL45" s="286">
        <f t="shared" si="34"/>
        <v>2</v>
      </c>
      <c r="BM45" s="288">
        <f t="shared" si="31"/>
        <v>1</v>
      </c>
      <c r="BN45" s="289" t="str">
        <f>IF(AV45="","",IFERROR("Memiliki keterampilan "&amp;IF(BJ45=BK45,BJ45&amp;" dalam "&amp;VLOOKUP(BL45,'KD-PA'!$I$21:$N$30,'KD-PA'!F40+1)&amp;" dan "&amp;VLOOKUP(BM45,'KD-PA'!$I$21:$N$30,'KD-PA'!F40+1),BJ45&amp;" dalam "&amp;VLOOKUP(BL45,'KD-PA'!$I$21:$N$30,'KD-PA'!F40+1)&amp;", "&amp;BK45&amp;" keterampilan dalam "&amp;VLOOKUP(BM45,'KD-PA'!$I$21:$N$30,'KD-PA'!F40+1)),""))</f>
        <v xml:space="preserve">Memiliki keterampilan sangat baik dalam Melaksanakan buah-buah Roh dalam surat Paulus di jemaat Galatia dan Menunjukkan hal-hal yang positif dan negatif manusia </v>
      </c>
      <c r="BO45" s="305"/>
    </row>
    <row r="46" spans="1:67" ht="33" customHeight="1">
      <c r="A46" s="67"/>
      <c r="B46" s="272">
        <f t="shared" si="20"/>
        <v>33</v>
      </c>
      <c r="C46" s="273">
        <f>IF(Data!F37="","",Data!F37)</f>
        <v>0</v>
      </c>
      <c r="D46" s="274" t="str">
        <f>IF(Data!H37="","",Data!H37)&amp;""&amp;IF('KD-PA'!G41="","","("&amp;'KD-PA'!G41&amp;")")</f>
        <v>Venciani Sefrianti Sufnera(Kristen)</v>
      </c>
      <c r="E46" s="275" t="str">
        <f>IF(Data!I37="","",Data!I37)</f>
        <v>P</v>
      </c>
      <c r="F46" s="1503">
        <v>95</v>
      </c>
      <c r="G46" s="1504">
        <v>95</v>
      </c>
      <c r="H46" s="1478"/>
      <c r="I46" s="1478"/>
      <c r="J46" s="1478"/>
      <c r="K46" s="277"/>
      <c r="L46" s="277"/>
      <c r="M46" s="280"/>
      <c r="N46" s="277"/>
      <c r="O46" s="278"/>
      <c r="P46" s="279">
        <f t="shared" si="21"/>
        <v>95</v>
      </c>
      <c r="Q46" s="1504">
        <v>95</v>
      </c>
      <c r="R46" s="1507">
        <v>95</v>
      </c>
      <c r="S46" s="281">
        <f t="shared" si="22"/>
        <v>95</v>
      </c>
      <c r="T46" s="295" t="str">
        <f t="shared" si="23"/>
        <v>A</v>
      </c>
      <c r="U46" s="1215">
        <f t="shared" si="38"/>
        <v>95.01</v>
      </c>
      <c r="V46" s="1216">
        <f t="shared" si="38"/>
        <v>95.02</v>
      </c>
      <c r="W46" s="1216" t="str">
        <f t="shared" si="38"/>
        <v/>
      </c>
      <c r="X46" s="1216" t="str">
        <f t="shared" si="38"/>
        <v/>
      </c>
      <c r="Y46" s="1216" t="str">
        <f t="shared" si="38"/>
        <v/>
      </c>
      <c r="Z46" s="1216" t="str">
        <f t="shared" si="37"/>
        <v/>
      </c>
      <c r="AA46" s="1216" t="str">
        <f t="shared" si="37"/>
        <v/>
      </c>
      <c r="AB46" s="1217" t="str">
        <f t="shared" si="37"/>
        <v/>
      </c>
      <c r="AC46" s="1216" t="str">
        <f t="shared" si="37"/>
        <v/>
      </c>
      <c r="AD46" s="1218" t="str">
        <f t="shared" si="37"/>
        <v/>
      </c>
      <c r="AE46" s="1219">
        <f t="shared" si="24"/>
        <v>95.02</v>
      </c>
      <c r="AF46" s="282">
        <f t="shared" si="25"/>
        <v>95.01</v>
      </c>
      <c r="AG46" s="282" t="str">
        <f t="shared" si="35"/>
        <v>sangat baik</v>
      </c>
      <c r="AH46" s="282" t="str">
        <f t="shared" si="35"/>
        <v>sangat baik</v>
      </c>
      <c r="AI46" s="282">
        <f t="shared" si="26"/>
        <v>2</v>
      </c>
      <c r="AJ46" s="283">
        <f t="shared" si="27"/>
        <v>1</v>
      </c>
      <c r="AK46" s="284" t="str">
        <f>IF(P46="","",IFERROR("Memiliki kemampuan "&amp;IF(AG46=AH46,AG46&amp;" dalam "&amp;VLOOKUP(AI46,'KD-PA'!$I$9:$N$18,'KD-PA'!F41+1)&amp;" dan "&amp;VLOOKUP(AJ46,'KD-PA'!$I$9:$N$18,'KD-PA'!F41+1),AG46&amp;" dalam "&amp;VLOOKUP(AI46,'KD-PA'!$I$9:$N$18,'KD-PA'!F41+1)&amp;", "&amp;AH46&amp;" kemampuan dalam "&amp;VLOOKUP(AJ46,'KD-PA'!$I$9:$N$18,'KD-PA'!F41+1)),""))</f>
        <v>Memiliki kemampuan sangat baik dalam Memahami keberadaan Allah sebagai pembaharu kehidupan  dan Menjelaskan makna kebersamaan dengan orang lain</v>
      </c>
      <c r="AL46" s="1503">
        <v>95</v>
      </c>
      <c r="AM46" s="1504">
        <v>95</v>
      </c>
      <c r="AN46" s="277"/>
      <c r="AO46" s="277"/>
      <c r="AP46" s="277"/>
      <c r="AQ46" s="277"/>
      <c r="AR46" s="277"/>
      <c r="AS46" s="280"/>
      <c r="AT46" s="277"/>
      <c r="AU46" s="278"/>
      <c r="AV46" s="285">
        <f t="shared" si="32"/>
        <v>95</v>
      </c>
      <c r="AW46" s="296" t="str">
        <f t="shared" si="28"/>
        <v>A</v>
      </c>
      <c r="AX46" s="1220">
        <f t="shared" si="36"/>
        <v>95.01</v>
      </c>
      <c r="AY46" s="1221">
        <f t="shared" si="36"/>
        <v>95.02</v>
      </c>
      <c r="AZ46" s="1221" t="str">
        <f t="shared" si="36"/>
        <v/>
      </c>
      <c r="BA46" s="1221" t="str">
        <f t="shared" si="36"/>
        <v/>
      </c>
      <c r="BB46" s="1221" t="str">
        <f t="shared" si="36"/>
        <v/>
      </c>
      <c r="BC46" s="1221" t="str">
        <f t="shared" si="36"/>
        <v/>
      </c>
      <c r="BD46" s="1221" t="str">
        <f t="shared" si="36"/>
        <v/>
      </c>
      <c r="BE46" s="1222" t="str">
        <f t="shared" si="36"/>
        <v/>
      </c>
      <c r="BF46" s="1221" t="str">
        <f t="shared" si="36"/>
        <v/>
      </c>
      <c r="BG46" s="1223" t="str">
        <f t="shared" si="36"/>
        <v/>
      </c>
      <c r="BH46" s="286">
        <f t="shared" si="29"/>
        <v>95.02</v>
      </c>
      <c r="BI46" s="286">
        <f t="shared" si="33"/>
        <v>95.01</v>
      </c>
      <c r="BJ46" s="287" t="str">
        <f t="shared" si="30"/>
        <v>sangat baik</v>
      </c>
      <c r="BK46" s="287" t="str">
        <f t="shared" si="30"/>
        <v>sangat baik</v>
      </c>
      <c r="BL46" s="286">
        <f t="shared" si="34"/>
        <v>2</v>
      </c>
      <c r="BM46" s="288">
        <f t="shared" si="31"/>
        <v>1</v>
      </c>
      <c r="BN46" s="289" t="str">
        <f>IF(AV46="","",IFERROR("Memiliki keterampilan "&amp;IF(BJ46=BK46,BJ46&amp;" dalam "&amp;VLOOKUP(BL46,'KD-PA'!$I$21:$N$30,'KD-PA'!F41+1)&amp;" dan "&amp;VLOOKUP(BM46,'KD-PA'!$I$21:$N$30,'KD-PA'!F41+1),BJ46&amp;" dalam "&amp;VLOOKUP(BL46,'KD-PA'!$I$21:$N$30,'KD-PA'!F41+1)&amp;", "&amp;BK46&amp;" keterampilan dalam "&amp;VLOOKUP(BM46,'KD-PA'!$I$21:$N$30,'KD-PA'!F41+1)),""))</f>
        <v xml:space="preserve">Memiliki keterampilan sangat baik dalam Melaksanakan buah-buah Roh dalam surat Paulus di jemaat Galatia dan Menunjukkan hal-hal yang positif dan negatif manusia </v>
      </c>
      <c r="BO46" s="305"/>
    </row>
    <row r="47" spans="1:67" ht="33" customHeight="1">
      <c r="A47" s="67"/>
      <c r="B47" s="272">
        <f t="shared" ref="B47:B63" si="39">IF(D47="","",B46+1)</f>
        <v>34</v>
      </c>
      <c r="C47" s="273">
        <f>IF(Data!F38="","",Data!F38)</f>
        <v>0</v>
      </c>
      <c r="D47" s="274" t="str">
        <f>IF(Data!H38="","",Data!H38)&amp;""&amp;IF('KD-PA'!G42="","","("&amp;'KD-PA'!G42&amp;")")</f>
        <v>Yangres Nitti(Kristen)</v>
      </c>
      <c r="E47" s="275" t="str">
        <f>IF(Data!I38="","",Data!I38)</f>
        <v>L</v>
      </c>
      <c r="F47" s="1503">
        <v>95</v>
      </c>
      <c r="G47" s="1504">
        <v>95</v>
      </c>
      <c r="H47" s="1478"/>
      <c r="I47" s="1478"/>
      <c r="J47" s="1478"/>
      <c r="K47" s="277"/>
      <c r="L47" s="277"/>
      <c r="M47" s="280"/>
      <c r="N47" s="277"/>
      <c r="O47" s="278"/>
      <c r="P47" s="279">
        <f t="shared" si="21"/>
        <v>95</v>
      </c>
      <c r="Q47" s="1504">
        <v>95</v>
      </c>
      <c r="R47" s="1507">
        <v>95</v>
      </c>
      <c r="S47" s="281">
        <f t="shared" si="22"/>
        <v>95</v>
      </c>
      <c r="T47" s="295" t="str">
        <f t="shared" si="23"/>
        <v>A</v>
      </c>
      <c r="U47" s="1215">
        <f t="shared" si="38"/>
        <v>95.01</v>
      </c>
      <c r="V47" s="1216">
        <f t="shared" si="38"/>
        <v>95.02</v>
      </c>
      <c r="W47" s="1216" t="str">
        <f t="shared" si="38"/>
        <v/>
      </c>
      <c r="X47" s="1216" t="str">
        <f t="shared" si="38"/>
        <v/>
      </c>
      <c r="Y47" s="1216" t="str">
        <f t="shared" si="38"/>
        <v/>
      </c>
      <c r="Z47" s="1216" t="str">
        <f t="shared" si="37"/>
        <v/>
      </c>
      <c r="AA47" s="1216" t="str">
        <f t="shared" si="37"/>
        <v/>
      </c>
      <c r="AB47" s="1217" t="str">
        <f t="shared" si="37"/>
        <v/>
      </c>
      <c r="AC47" s="1216" t="str">
        <f t="shared" si="37"/>
        <v/>
      </c>
      <c r="AD47" s="1218" t="str">
        <f t="shared" si="37"/>
        <v/>
      </c>
      <c r="AE47" s="1219">
        <f t="shared" si="24"/>
        <v>95.02</v>
      </c>
      <c r="AF47" s="282">
        <f t="shared" si="25"/>
        <v>95.01</v>
      </c>
      <c r="AG47" s="282" t="str">
        <f t="shared" si="35"/>
        <v>sangat baik</v>
      </c>
      <c r="AH47" s="282" t="str">
        <f t="shared" si="35"/>
        <v>sangat baik</v>
      </c>
      <c r="AI47" s="282">
        <f t="shared" si="26"/>
        <v>2</v>
      </c>
      <c r="AJ47" s="283">
        <f t="shared" si="27"/>
        <v>1</v>
      </c>
      <c r="AK47" s="284" t="str">
        <f>IF(P47="","",IFERROR("Memiliki kemampuan "&amp;IF(AG47=AH47,AG47&amp;" dalam "&amp;VLOOKUP(AI47,'KD-PA'!$I$9:$N$18,'KD-PA'!F42+1)&amp;" dan "&amp;VLOOKUP(AJ47,'KD-PA'!$I$9:$N$18,'KD-PA'!F42+1),AG47&amp;" dalam "&amp;VLOOKUP(AI47,'KD-PA'!$I$9:$N$18,'KD-PA'!F42+1)&amp;", "&amp;AH47&amp;" kemampuan dalam "&amp;VLOOKUP(AJ47,'KD-PA'!$I$9:$N$18,'KD-PA'!F42+1)),""))</f>
        <v>Memiliki kemampuan sangat baik dalam Memahami keberadaan Allah sebagai pembaharu kehidupan  dan Menjelaskan makna kebersamaan dengan orang lain</v>
      </c>
      <c r="AL47" s="1503">
        <v>95</v>
      </c>
      <c r="AM47" s="1504">
        <v>95</v>
      </c>
      <c r="AN47" s="277"/>
      <c r="AO47" s="277"/>
      <c r="AP47" s="277"/>
      <c r="AQ47" s="277"/>
      <c r="AR47" s="277"/>
      <c r="AS47" s="280"/>
      <c r="AT47" s="277"/>
      <c r="AU47" s="278"/>
      <c r="AV47" s="285">
        <f t="shared" si="32"/>
        <v>95</v>
      </c>
      <c r="AW47" s="296" t="str">
        <f t="shared" si="28"/>
        <v>A</v>
      </c>
      <c r="AX47" s="1220">
        <f t="shared" si="36"/>
        <v>95.01</v>
      </c>
      <c r="AY47" s="1221">
        <f t="shared" si="36"/>
        <v>95.02</v>
      </c>
      <c r="AZ47" s="1221" t="str">
        <f t="shared" si="36"/>
        <v/>
      </c>
      <c r="BA47" s="1221" t="str">
        <f t="shared" si="36"/>
        <v/>
      </c>
      <c r="BB47" s="1221" t="str">
        <f t="shared" si="36"/>
        <v/>
      </c>
      <c r="BC47" s="1221" t="str">
        <f t="shared" si="36"/>
        <v/>
      </c>
      <c r="BD47" s="1221" t="str">
        <f t="shared" si="36"/>
        <v/>
      </c>
      <c r="BE47" s="1222" t="str">
        <f t="shared" si="36"/>
        <v/>
      </c>
      <c r="BF47" s="1221" t="str">
        <f t="shared" si="36"/>
        <v/>
      </c>
      <c r="BG47" s="1223" t="str">
        <f t="shared" si="36"/>
        <v/>
      </c>
      <c r="BH47" s="286">
        <f t="shared" si="29"/>
        <v>95.02</v>
      </c>
      <c r="BI47" s="286">
        <f t="shared" si="33"/>
        <v>95.01</v>
      </c>
      <c r="BJ47" s="287" t="str">
        <f t="shared" si="30"/>
        <v>sangat baik</v>
      </c>
      <c r="BK47" s="287" t="str">
        <f t="shared" si="30"/>
        <v>sangat baik</v>
      </c>
      <c r="BL47" s="286">
        <f t="shared" si="34"/>
        <v>2</v>
      </c>
      <c r="BM47" s="288">
        <f t="shared" si="31"/>
        <v>1</v>
      </c>
      <c r="BN47" s="289" t="str">
        <f>IF(AV47="","",IFERROR("Memiliki keterampilan "&amp;IF(BJ47=BK47,BJ47&amp;" dalam "&amp;VLOOKUP(BL47,'KD-PA'!$I$21:$N$30,'KD-PA'!F42+1)&amp;" dan "&amp;VLOOKUP(BM47,'KD-PA'!$I$21:$N$30,'KD-PA'!F42+1),BJ47&amp;" dalam "&amp;VLOOKUP(BL47,'KD-PA'!$I$21:$N$30,'KD-PA'!F42+1)&amp;", "&amp;BK47&amp;" keterampilan dalam "&amp;VLOOKUP(BM47,'KD-PA'!$I$21:$N$30,'KD-PA'!F42+1)),""))</f>
        <v xml:space="preserve">Memiliki keterampilan sangat baik dalam Melaksanakan buah-buah Roh dalam surat Paulus di jemaat Galatia dan Menunjukkan hal-hal yang positif dan negatif manusia </v>
      </c>
      <c r="BO47" s="305"/>
    </row>
    <row r="48" spans="1:67" ht="33" customHeight="1">
      <c r="A48" s="67"/>
      <c r="B48" s="272">
        <f t="shared" si="39"/>
        <v>35</v>
      </c>
      <c r="C48" s="273">
        <f>IF(Data!F39="","",Data!F39)</f>
        <v>0</v>
      </c>
      <c r="D48" s="274" t="str">
        <f>IF(Data!H39="","",Data!H39)&amp;""&amp;IF('KD-PA'!G43="","","("&amp;'KD-PA'!G43&amp;")")</f>
        <v>Yefta Trianus Mau(Kristen)</v>
      </c>
      <c r="E48" s="275" t="str">
        <f>IF(Data!I39="","",Data!I39)</f>
        <v>L</v>
      </c>
      <c r="F48" s="1503">
        <v>95</v>
      </c>
      <c r="G48" s="1504">
        <v>95</v>
      </c>
      <c r="H48" s="1478"/>
      <c r="I48" s="1478"/>
      <c r="J48" s="1478"/>
      <c r="K48" s="277"/>
      <c r="L48" s="277"/>
      <c r="M48" s="280"/>
      <c r="N48" s="277"/>
      <c r="O48" s="278"/>
      <c r="P48" s="279">
        <f t="shared" si="21"/>
        <v>95</v>
      </c>
      <c r="Q48" s="1504">
        <v>95</v>
      </c>
      <c r="R48" s="1507">
        <v>95</v>
      </c>
      <c r="S48" s="281">
        <f t="shared" si="22"/>
        <v>95</v>
      </c>
      <c r="T48" s="295" t="str">
        <f t="shared" si="23"/>
        <v>A</v>
      </c>
      <c r="U48" s="1215">
        <f t="shared" si="38"/>
        <v>95.01</v>
      </c>
      <c r="V48" s="1216">
        <f t="shared" si="38"/>
        <v>95.02</v>
      </c>
      <c r="W48" s="1216" t="str">
        <f t="shared" si="38"/>
        <v/>
      </c>
      <c r="X48" s="1216" t="str">
        <f t="shared" si="38"/>
        <v/>
      </c>
      <c r="Y48" s="1216" t="str">
        <f t="shared" si="38"/>
        <v/>
      </c>
      <c r="Z48" s="1216" t="str">
        <f t="shared" si="37"/>
        <v/>
      </c>
      <c r="AA48" s="1216" t="str">
        <f t="shared" si="37"/>
        <v/>
      </c>
      <c r="AB48" s="1217" t="str">
        <f t="shared" si="37"/>
        <v/>
      </c>
      <c r="AC48" s="1216" t="str">
        <f t="shared" si="37"/>
        <v/>
      </c>
      <c r="AD48" s="1218" t="str">
        <f t="shared" si="37"/>
        <v/>
      </c>
      <c r="AE48" s="1219">
        <f t="shared" si="24"/>
        <v>95.02</v>
      </c>
      <c r="AF48" s="282">
        <f t="shared" si="25"/>
        <v>95.01</v>
      </c>
      <c r="AG48" s="282" t="str">
        <f t="shared" si="35"/>
        <v>sangat baik</v>
      </c>
      <c r="AH48" s="282" t="str">
        <f t="shared" si="35"/>
        <v>sangat baik</v>
      </c>
      <c r="AI48" s="282">
        <f t="shared" si="26"/>
        <v>2</v>
      </c>
      <c r="AJ48" s="283">
        <f t="shared" si="27"/>
        <v>1</v>
      </c>
      <c r="AK48" s="284" t="str">
        <f>IF(P48="","",IFERROR("Memiliki kemampuan "&amp;IF(AG48=AH48,AG48&amp;" dalam "&amp;VLOOKUP(AI48,'KD-PA'!$I$9:$N$18,'KD-PA'!F43+1)&amp;" dan "&amp;VLOOKUP(AJ48,'KD-PA'!$I$9:$N$18,'KD-PA'!F43+1),AG48&amp;" dalam "&amp;VLOOKUP(AI48,'KD-PA'!$I$9:$N$18,'KD-PA'!F43+1)&amp;", "&amp;AH48&amp;" kemampuan dalam "&amp;VLOOKUP(AJ48,'KD-PA'!$I$9:$N$18,'KD-PA'!F43+1)),""))</f>
        <v>Memiliki kemampuan sangat baik dalam Memahami keberadaan Allah sebagai pembaharu kehidupan  dan Menjelaskan makna kebersamaan dengan orang lain</v>
      </c>
      <c r="AL48" s="1503">
        <v>95</v>
      </c>
      <c r="AM48" s="1504">
        <v>95</v>
      </c>
      <c r="AN48" s="277"/>
      <c r="AO48" s="277"/>
      <c r="AP48" s="277"/>
      <c r="AQ48" s="277"/>
      <c r="AR48" s="277"/>
      <c r="AS48" s="280"/>
      <c r="AT48" s="277"/>
      <c r="AU48" s="278"/>
      <c r="AV48" s="285">
        <f t="shared" si="32"/>
        <v>95</v>
      </c>
      <c r="AW48" s="296" t="str">
        <f t="shared" si="28"/>
        <v>A</v>
      </c>
      <c r="AX48" s="1220">
        <f t="shared" si="36"/>
        <v>95.01</v>
      </c>
      <c r="AY48" s="1221">
        <f t="shared" si="36"/>
        <v>95.02</v>
      </c>
      <c r="AZ48" s="1221" t="str">
        <f t="shared" si="36"/>
        <v/>
      </c>
      <c r="BA48" s="1221" t="str">
        <f t="shared" si="36"/>
        <v/>
      </c>
      <c r="BB48" s="1221" t="str">
        <f t="shared" si="36"/>
        <v/>
      </c>
      <c r="BC48" s="1221" t="str">
        <f t="shared" si="36"/>
        <v/>
      </c>
      <c r="BD48" s="1221" t="str">
        <f t="shared" si="36"/>
        <v/>
      </c>
      <c r="BE48" s="1222" t="str">
        <f t="shared" si="36"/>
        <v/>
      </c>
      <c r="BF48" s="1221" t="str">
        <f t="shared" si="36"/>
        <v/>
      </c>
      <c r="BG48" s="1223" t="str">
        <f t="shared" si="36"/>
        <v/>
      </c>
      <c r="BH48" s="286">
        <f t="shared" si="29"/>
        <v>95.02</v>
      </c>
      <c r="BI48" s="286">
        <f t="shared" si="33"/>
        <v>95.01</v>
      </c>
      <c r="BJ48" s="287" t="str">
        <f t="shared" si="30"/>
        <v>sangat baik</v>
      </c>
      <c r="BK48" s="287" t="str">
        <f t="shared" si="30"/>
        <v>sangat baik</v>
      </c>
      <c r="BL48" s="286">
        <f t="shared" si="34"/>
        <v>2</v>
      </c>
      <c r="BM48" s="288">
        <f t="shared" si="31"/>
        <v>1</v>
      </c>
      <c r="BN48" s="289" t="str">
        <f>IF(AV48="","",IFERROR("Memiliki keterampilan "&amp;IF(BJ48=BK48,BJ48&amp;" dalam "&amp;VLOOKUP(BL48,'KD-PA'!$I$21:$N$30,'KD-PA'!F43+1)&amp;" dan "&amp;VLOOKUP(BM48,'KD-PA'!$I$21:$N$30,'KD-PA'!F43+1),BJ48&amp;" dalam "&amp;VLOOKUP(BL48,'KD-PA'!$I$21:$N$30,'KD-PA'!F43+1)&amp;", "&amp;BK48&amp;" keterampilan dalam "&amp;VLOOKUP(BM48,'KD-PA'!$I$21:$N$30,'KD-PA'!F43+1)),""))</f>
        <v xml:space="preserve">Memiliki keterampilan sangat baik dalam Melaksanakan buah-buah Roh dalam surat Paulus di jemaat Galatia dan Menunjukkan hal-hal yang positif dan negatif manusia </v>
      </c>
      <c r="BO48" s="305"/>
    </row>
    <row r="49" spans="1:67" ht="33" customHeight="1">
      <c r="A49" s="67"/>
      <c r="B49" s="272">
        <f t="shared" si="39"/>
        <v>36</v>
      </c>
      <c r="C49" s="273">
        <f>IF(Data!F40="","",Data!F40)</f>
        <v>0</v>
      </c>
      <c r="D49" s="274" t="str">
        <f>IF(Data!H40="","",Data!H40)&amp;""&amp;IF('KD-PA'!G44="","","("&amp;'KD-PA'!G44&amp;")")</f>
        <v>Yuliana Febriyanti Nggeon(Kristen)</v>
      </c>
      <c r="E49" s="275" t="str">
        <f>IF(Data!I40="","",Data!I40)</f>
        <v>P</v>
      </c>
      <c r="F49" s="1503">
        <v>90</v>
      </c>
      <c r="G49" s="1504">
        <v>90</v>
      </c>
      <c r="H49" s="1478"/>
      <c r="I49" s="1478"/>
      <c r="J49" s="1478"/>
      <c r="K49" s="277"/>
      <c r="L49" s="277"/>
      <c r="M49" s="280"/>
      <c r="N49" s="277"/>
      <c r="O49" s="278"/>
      <c r="P49" s="279">
        <f t="shared" si="21"/>
        <v>90</v>
      </c>
      <c r="Q49" s="1504">
        <v>90</v>
      </c>
      <c r="R49" s="1507">
        <v>90</v>
      </c>
      <c r="S49" s="281">
        <f t="shared" si="22"/>
        <v>90</v>
      </c>
      <c r="T49" s="295" t="str">
        <f t="shared" si="23"/>
        <v>B</v>
      </c>
      <c r="U49" s="1215">
        <f t="shared" si="38"/>
        <v>90.01</v>
      </c>
      <c r="V49" s="1216">
        <f t="shared" si="38"/>
        <v>90.02</v>
      </c>
      <c r="W49" s="1216" t="str">
        <f t="shared" si="38"/>
        <v/>
      </c>
      <c r="X49" s="1216" t="str">
        <f t="shared" si="38"/>
        <v/>
      </c>
      <c r="Y49" s="1216" t="str">
        <f t="shared" si="38"/>
        <v/>
      </c>
      <c r="Z49" s="1216" t="str">
        <f t="shared" si="37"/>
        <v/>
      </c>
      <c r="AA49" s="1216" t="str">
        <f t="shared" si="37"/>
        <v/>
      </c>
      <c r="AB49" s="1217" t="str">
        <f t="shared" si="37"/>
        <v/>
      </c>
      <c r="AC49" s="1216" t="str">
        <f t="shared" si="37"/>
        <v/>
      </c>
      <c r="AD49" s="1218" t="str">
        <f t="shared" si="37"/>
        <v/>
      </c>
      <c r="AE49" s="1219">
        <f t="shared" si="24"/>
        <v>90.02</v>
      </c>
      <c r="AF49" s="282">
        <f t="shared" si="25"/>
        <v>90.01</v>
      </c>
      <c r="AG49" s="282" t="str">
        <f t="shared" si="35"/>
        <v>baik</v>
      </c>
      <c r="AH49" s="282" t="str">
        <f t="shared" si="35"/>
        <v>baik</v>
      </c>
      <c r="AI49" s="282">
        <f t="shared" si="26"/>
        <v>2</v>
      </c>
      <c r="AJ49" s="283">
        <f t="shared" si="27"/>
        <v>1</v>
      </c>
      <c r="AK49" s="284" t="str">
        <f>IF(P49="","",IFERROR("Memiliki kemampuan "&amp;IF(AG49=AH49,AG49&amp;" dalam "&amp;VLOOKUP(AI49,'KD-PA'!$I$9:$N$18,'KD-PA'!F44+1)&amp;" dan "&amp;VLOOKUP(AJ49,'KD-PA'!$I$9:$N$18,'KD-PA'!F44+1),AG49&amp;" dalam "&amp;VLOOKUP(AI49,'KD-PA'!$I$9:$N$18,'KD-PA'!F44+1)&amp;", "&amp;AH49&amp;" kemampuan dalam "&amp;VLOOKUP(AJ49,'KD-PA'!$I$9:$N$18,'KD-PA'!F44+1)),""))</f>
        <v>Memiliki kemampuan baik dalam Memahami keberadaan Allah sebagai pembaharu kehidupan  dan Menjelaskan makna kebersamaan dengan orang lain</v>
      </c>
      <c r="AL49" s="1503">
        <v>90</v>
      </c>
      <c r="AM49" s="1504">
        <v>90</v>
      </c>
      <c r="AN49" s="277"/>
      <c r="AO49" s="277"/>
      <c r="AP49" s="277"/>
      <c r="AQ49" s="277"/>
      <c r="AR49" s="277"/>
      <c r="AS49" s="280"/>
      <c r="AT49" s="277"/>
      <c r="AU49" s="278"/>
      <c r="AV49" s="285">
        <f t="shared" si="32"/>
        <v>90</v>
      </c>
      <c r="AW49" s="296" t="str">
        <f t="shared" si="28"/>
        <v>B</v>
      </c>
      <c r="AX49" s="1220">
        <f t="shared" si="36"/>
        <v>90.01</v>
      </c>
      <c r="AY49" s="1221">
        <f t="shared" si="36"/>
        <v>90.02</v>
      </c>
      <c r="AZ49" s="1221" t="str">
        <f t="shared" si="36"/>
        <v/>
      </c>
      <c r="BA49" s="1221" t="str">
        <f t="shared" si="36"/>
        <v/>
      </c>
      <c r="BB49" s="1221" t="str">
        <f t="shared" si="36"/>
        <v/>
      </c>
      <c r="BC49" s="1221" t="str">
        <f t="shared" si="36"/>
        <v/>
      </c>
      <c r="BD49" s="1221" t="str">
        <f t="shared" si="36"/>
        <v/>
      </c>
      <c r="BE49" s="1222" t="str">
        <f t="shared" si="36"/>
        <v/>
      </c>
      <c r="BF49" s="1221" t="str">
        <f t="shared" si="36"/>
        <v/>
      </c>
      <c r="BG49" s="1223" t="str">
        <f t="shared" si="36"/>
        <v/>
      </c>
      <c r="BH49" s="286">
        <f t="shared" si="29"/>
        <v>90.02</v>
      </c>
      <c r="BI49" s="286">
        <f t="shared" si="33"/>
        <v>90.01</v>
      </c>
      <c r="BJ49" s="287" t="str">
        <f t="shared" si="30"/>
        <v>baik</v>
      </c>
      <c r="BK49" s="287" t="str">
        <f t="shared" si="30"/>
        <v>baik</v>
      </c>
      <c r="BL49" s="286">
        <f t="shared" si="34"/>
        <v>2</v>
      </c>
      <c r="BM49" s="288">
        <f t="shared" si="31"/>
        <v>1</v>
      </c>
      <c r="BN49" s="289" t="str">
        <f>IF(AV49="","",IFERROR("Memiliki keterampilan "&amp;IF(BJ49=BK49,BJ49&amp;" dalam "&amp;VLOOKUP(BL49,'KD-PA'!$I$21:$N$30,'KD-PA'!F44+1)&amp;" dan "&amp;VLOOKUP(BM49,'KD-PA'!$I$21:$N$30,'KD-PA'!F44+1),BJ49&amp;" dalam "&amp;VLOOKUP(BL49,'KD-PA'!$I$21:$N$30,'KD-PA'!F44+1)&amp;", "&amp;BK49&amp;" keterampilan dalam "&amp;VLOOKUP(BM49,'KD-PA'!$I$21:$N$30,'KD-PA'!F44+1)),""))</f>
        <v xml:space="preserve">Memiliki keterampilan baik dalam Melaksanakan buah-buah Roh dalam surat Paulus di jemaat Galatia dan Menunjukkan hal-hal yang positif dan negatif manusia </v>
      </c>
      <c r="BO49" s="305"/>
    </row>
    <row r="50" spans="1:67" ht="33" customHeight="1">
      <c r="A50" s="67"/>
      <c r="B50" s="272">
        <f t="shared" si="39"/>
        <v>37</v>
      </c>
      <c r="C50" s="273">
        <f>IF(Data!F41="","",Data!F41)</f>
        <v>0</v>
      </c>
      <c r="D50" s="274" t="str">
        <f>IF(Data!H41="","",Data!H41)&amp;""&amp;IF('KD-PA'!G45="","","("&amp;'KD-PA'!G45&amp;")")</f>
        <v>Yuninda Pono(Kristen)</v>
      </c>
      <c r="E50" s="275" t="str">
        <f>IF(Data!I41="","",Data!I41)</f>
        <v>P</v>
      </c>
      <c r="F50" s="1503">
        <v>95</v>
      </c>
      <c r="G50" s="1504">
        <v>95</v>
      </c>
      <c r="H50" s="1478"/>
      <c r="I50" s="1478"/>
      <c r="J50" s="1478"/>
      <c r="K50" s="277"/>
      <c r="L50" s="277"/>
      <c r="M50" s="280"/>
      <c r="N50" s="277"/>
      <c r="O50" s="278"/>
      <c r="P50" s="279">
        <f t="shared" si="21"/>
        <v>95</v>
      </c>
      <c r="Q50" s="1504">
        <v>95</v>
      </c>
      <c r="R50" s="1507">
        <v>95</v>
      </c>
      <c r="S50" s="281">
        <f t="shared" si="22"/>
        <v>95</v>
      </c>
      <c r="T50" s="295" t="str">
        <f t="shared" si="23"/>
        <v>A</v>
      </c>
      <c r="U50" s="1215">
        <f t="shared" si="38"/>
        <v>95.01</v>
      </c>
      <c r="V50" s="1216">
        <f t="shared" si="38"/>
        <v>95.02</v>
      </c>
      <c r="W50" s="1216" t="str">
        <f t="shared" si="38"/>
        <v/>
      </c>
      <c r="X50" s="1216" t="str">
        <f t="shared" si="38"/>
        <v/>
      </c>
      <c r="Y50" s="1216" t="str">
        <f t="shared" si="38"/>
        <v/>
      </c>
      <c r="Z50" s="1216" t="str">
        <f t="shared" si="37"/>
        <v/>
      </c>
      <c r="AA50" s="1216" t="str">
        <f t="shared" si="37"/>
        <v/>
      </c>
      <c r="AB50" s="1217" t="str">
        <f t="shared" si="37"/>
        <v/>
      </c>
      <c r="AC50" s="1216" t="str">
        <f t="shared" si="37"/>
        <v/>
      </c>
      <c r="AD50" s="1218" t="str">
        <f t="shared" si="37"/>
        <v/>
      </c>
      <c r="AE50" s="1219">
        <f t="shared" si="24"/>
        <v>95.02</v>
      </c>
      <c r="AF50" s="282">
        <f t="shared" si="25"/>
        <v>95.01</v>
      </c>
      <c r="AG50" s="282" t="str">
        <f t="shared" si="35"/>
        <v>sangat baik</v>
      </c>
      <c r="AH50" s="282" t="str">
        <f t="shared" si="35"/>
        <v>sangat baik</v>
      </c>
      <c r="AI50" s="282">
        <f t="shared" si="26"/>
        <v>2</v>
      </c>
      <c r="AJ50" s="283">
        <f t="shared" si="27"/>
        <v>1</v>
      </c>
      <c r="AK50" s="284" t="str">
        <f>IF(P50="","",IFERROR("Memiliki kemampuan "&amp;IF(AG50=AH50,AG50&amp;" dalam "&amp;VLOOKUP(AI50,'KD-PA'!$I$9:$N$18,'KD-PA'!F45+1)&amp;" dan "&amp;VLOOKUP(AJ50,'KD-PA'!$I$9:$N$18,'KD-PA'!F45+1),AG50&amp;" dalam "&amp;VLOOKUP(AI50,'KD-PA'!$I$9:$N$18,'KD-PA'!F45+1)&amp;", "&amp;AH50&amp;" kemampuan dalam "&amp;VLOOKUP(AJ50,'KD-PA'!$I$9:$N$18,'KD-PA'!F45+1)),""))</f>
        <v>Memiliki kemampuan sangat baik dalam Memahami keberadaan Allah sebagai pembaharu kehidupan  dan Menjelaskan makna kebersamaan dengan orang lain</v>
      </c>
      <c r="AL50" s="1503">
        <v>85</v>
      </c>
      <c r="AM50" s="1504">
        <v>85</v>
      </c>
      <c r="AN50" s="277"/>
      <c r="AO50" s="277"/>
      <c r="AP50" s="277"/>
      <c r="AQ50" s="277"/>
      <c r="AR50" s="277"/>
      <c r="AS50" s="280"/>
      <c r="AT50" s="277"/>
      <c r="AU50" s="278"/>
      <c r="AV50" s="285">
        <f t="shared" si="32"/>
        <v>85</v>
      </c>
      <c r="AW50" s="296" t="str">
        <f t="shared" si="28"/>
        <v>B</v>
      </c>
      <c r="AX50" s="1220">
        <f t="shared" si="36"/>
        <v>85.01</v>
      </c>
      <c r="AY50" s="1221">
        <f t="shared" si="36"/>
        <v>85.02</v>
      </c>
      <c r="AZ50" s="1221" t="str">
        <f t="shared" si="36"/>
        <v/>
      </c>
      <c r="BA50" s="1221" t="str">
        <f t="shared" si="36"/>
        <v/>
      </c>
      <c r="BB50" s="1221" t="str">
        <f t="shared" si="36"/>
        <v/>
      </c>
      <c r="BC50" s="1221" t="str">
        <f t="shared" si="36"/>
        <v/>
      </c>
      <c r="BD50" s="1221" t="str">
        <f t="shared" si="36"/>
        <v/>
      </c>
      <c r="BE50" s="1222" t="str">
        <f t="shared" si="36"/>
        <v/>
      </c>
      <c r="BF50" s="1221" t="str">
        <f t="shared" si="36"/>
        <v/>
      </c>
      <c r="BG50" s="1223" t="str">
        <f t="shared" si="36"/>
        <v/>
      </c>
      <c r="BH50" s="286">
        <f t="shared" si="29"/>
        <v>85.02</v>
      </c>
      <c r="BI50" s="286">
        <f t="shared" si="33"/>
        <v>85.01</v>
      </c>
      <c r="BJ50" s="287" t="str">
        <f t="shared" si="30"/>
        <v>baik</v>
      </c>
      <c r="BK50" s="287" t="str">
        <f t="shared" si="30"/>
        <v>baik</v>
      </c>
      <c r="BL50" s="286">
        <f t="shared" si="34"/>
        <v>2</v>
      </c>
      <c r="BM50" s="288">
        <f t="shared" si="31"/>
        <v>1</v>
      </c>
      <c r="BN50" s="289" t="str">
        <f>IF(AV50="","",IFERROR("Memiliki keterampilan "&amp;IF(BJ50=BK50,BJ50&amp;" dalam "&amp;VLOOKUP(BL50,'KD-PA'!$I$21:$N$30,'KD-PA'!F45+1)&amp;" dan "&amp;VLOOKUP(BM50,'KD-PA'!$I$21:$N$30,'KD-PA'!F45+1),BJ50&amp;" dalam "&amp;VLOOKUP(BL50,'KD-PA'!$I$21:$N$30,'KD-PA'!F45+1)&amp;", "&amp;BK50&amp;" keterampilan dalam "&amp;VLOOKUP(BM50,'KD-PA'!$I$21:$N$30,'KD-PA'!F45+1)),""))</f>
        <v xml:space="preserve">Memiliki keterampilan baik dalam Melaksanakan buah-buah Roh dalam surat Paulus di jemaat Galatia dan Menunjukkan hal-hal yang positif dan negatif manusia </v>
      </c>
      <c r="BO50" s="305"/>
    </row>
    <row r="51" spans="1:67" ht="33" customHeight="1">
      <c r="A51" s="67"/>
      <c r="B51" s="272" t="str">
        <f t="shared" si="39"/>
        <v/>
      </c>
      <c r="C51" s="273" t="str">
        <f>IF(Data!F42="","",Data!F42)</f>
        <v/>
      </c>
      <c r="D51" s="274" t="str">
        <f>IF(Data!H42="","",Data!H42)&amp;""&amp;IF('KD-PA'!G46="","","("&amp;'KD-PA'!G46&amp;")")</f>
        <v/>
      </c>
      <c r="E51" s="275" t="str">
        <f>IF(Data!I42="","",Data!I42)</f>
        <v/>
      </c>
      <c r="F51" s="276"/>
      <c r="G51" s="277"/>
      <c r="H51" s="277"/>
      <c r="I51" s="277"/>
      <c r="J51" s="277"/>
      <c r="K51" s="277"/>
      <c r="L51" s="277"/>
      <c r="M51" s="280"/>
      <c r="N51" s="277"/>
      <c r="O51" s="278"/>
      <c r="P51" s="279" t="str">
        <f t="shared" si="21"/>
        <v/>
      </c>
      <c r="Q51" s="277"/>
      <c r="R51" s="280"/>
      <c r="S51" s="281" t="str">
        <f t="shared" si="22"/>
        <v/>
      </c>
      <c r="T51" s="295" t="str">
        <f t="shared" si="23"/>
        <v/>
      </c>
      <c r="U51" s="1215" t="str">
        <f t="shared" si="38"/>
        <v/>
      </c>
      <c r="V51" s="1216" t="str">
        <f t="shared" si="38"/>
        <v/>
      </c>
      <c r="W51" s="1216" t="str">
        <f t="shared" si="38"/>
        <v/>
      </c>
      <c r="X51" s="1216" t="str">
        <f t="shared" si="38"/>
        <v/>
      </c>
      <c r="Y51" s="1216" t="str">
        <f t="shared" si="38"/>
        <v/>
      </c>
      <c r="Z51" s="1216" t="str">
        <f t="shared" si="37"/>
        <v/>
      </c>
      <c r="AA51" s="1216" t="str">
        <f t="shared" si="37"/>
        <v/>
      </c>
      <c r="AB51" s="1217" t="str">
        <f t="shared" si="37"/>
        <v/>
      </c>
      <c r="AC51" s="1216" t="str">
        <f t="shared" si="37"/>
        <v/>
      </c>
      <c r="AD51" s="1218" t="str">
        <f t="shared" si="37"/>
        <v/>
      </c>
      <c r="AE51" s="1219">
        <f t="shared" si="24"/>
        <v>0</v>
      </c>
      <c r="AF51" s="282">
        <f t="shared" si="25"/>
        <v>0</v>
      </c>
      <c r="AG51" s="282" t="str">
        <f t="shared" si="35"/>
        <v>perlu dimaksimalkan</v>
      </c>
      <c r="AH51" s="282" t="str">
        <f t="shared" si="35"/>
        <v>perlu dimaksimalkan</v>
      </c>
      <c r="AI51" s="282" t="str">
        <f t="shared" si="26"/>
        <v/>
      </c>
      <c r="AJ51" s="283" t="str">
        <f t="shared" si="27"/>
        <v/>
      </c>
      <c r="AK51" s="284" t="str">
        <f>IF(P51="","",IFERROR("Memiliki kemampuan "&amp;IF(AG51=AH51,AG51&amp;" dalam "&amp;VLOOKUP(AI51,'KD-PA'!$I$9:$N$18,'KD-PA'!F46+1)&amp;" dan "&amp;VLOOKUP(AJ51,'KD-PA'!$I$9:$N$18,'KD-PA'!F46+1),AG51&amp;" dalam "&amp;VLOOKUP(AI51,'KD-PA'!$I$9:$N$18,'KD-PA'!F46+1)&amp;", "&amp;AH51&amp;" kemampuan dalam "&amp;VLOOKUP(AJ51,'KD-PA'!$I$9:$N$18,'KD-PA'!F46+1)),""))</f>
        <v/>
      </c>
      <c r="AL51" s="276"/>
      <c r="AM51" s="277"/>
      <c r="AN51" s="277"/>
      <c r="AO51" s="277"/>
      <c r="AP51" s="277"/>
      <c r="AQ51" s="277"/>
      <c r="AR51" s="277"/>
      <c r="AS51" s="280"/>
      <c r="AT51" s="277"/>
      <c r="AU51" s="278"/>
      <c r="AV51" s="285" t="str">
        <f t="shared" si="32"/>
        <v/>
      </c>
      <c r="AW51" s="296" t="str">
        <f t="shared" si="28"/>
        <v/>
      </c>
      <c r="AX51" s="1220" t="str">
        <f t="shared" si="36"/>
        <v/>
      </c>
      <c r="AY51" s="1221" t="str">
        <f t="shared" si="36"/>
        <v/>
      </c>
      <c r="AZ51" s="1221" t="str">
        <f t="shared" si="36"/>
        <v/>
      </c>
      <c r="BA51" s="1221" t="str">
        <f t="shared" si="36"/>
        <v/>
      </c>
      <c r="BB51" s="1221" t="str">
        <f t="shared" si="36"/>
        <v/>
      </c>
      <c r="BC51" s="1221" t="str">
        <f t="shared" si="36"/>
        <v/>
      </c>
      <c r="BD51" s="1221" t="str">
        <f t="shared" si="36"/>
        <v/>
      </c>
      <c r="BE51" s="1222" t="str">
        <f t="shared" si="36"/>
        <v/>
      </c>
      <c r="BF51" s="1221" t="str">
        <f t="shared" si="36"/>
        <v/>
      </c>
      <c r="BG51" s="1223" t="str">
        <f t="shared" si="36"/>
        <v/>
      </c>
      <c r="BH51" s="286">
        <f t="shared" si="29"/>
        <v>0</v>
      </c>
      <c r="BI51" s="286">
        <f t="shared" si="33"/>
        <v>0</v>
      </c>
      <c r="BJ51" s="287" t="str">
        <f t="shared" si="30"/>
        <v>perlu dimaksimalkan</v>
      </c>
      <c r="BK51" s="287" t="str">
        <f t="shared" si="30"/>
        <v>perlu dimaksimalkan</v>
      </c>
      <c r="BL51" s="286" t="e">
        <f t="shared" si="34"/>
        <v>#N/A</v>
      </c>
      <c r="BM51" s="288" t="e">
        <f t="shared" si="31"/>
        <v>#N/A</v>
      </c>
      <c r="BN51" s="289" t="str">
        <f>IF(AV51="","",IFERROR("Memiliki keterampilan "&amp;IF(BJ51=BK51,BJ51&amp;" dalam "&amp;VLOOKUP(BL51,'KD-PA'!$I$21:$N$30,'KD-PA'!F46+1)&amp;" dan "&amp;VLOOKUP(BM51,'KD-PA'!$I$21:$N$30,'KD-PA'!F46+1),BJ51&amp;" dalam "&amp;VLOOKUP(BL51,'KD-PA'!$I$21:$N$30,'KD-PA'!F46+1)&amp;", "&amp;BK51&amp;" keterampilan dalam "&amp;VLOOKUP(BM51,'KD-PA'!$I$21:$N$30,'KD-PA'!F46+1)),""))</f>
        <v/>
      </c>
      <c r="BO51" s="305"/>
    </row>
    <row r="52" spans="1:67" ht="33" customHeight="1">
      <c r="A52" s="67"/>
      <c r="B52" s="272" t="str">
        <f t="shared" si="39"/>
        <v/>
      </c>
      <c r="C52" s="273" t="str">
        <f>IF(Data!F43="","",Data!F43)</f>
        <v/>
      </c>
      <c r="D52" s="274" t="str">
        <f>IF(Data!H43="","",Data!H43)&amp;""&amp;IF('KD-PA'!G47="","","("&amp;'KD-PA'!G47&amp;")")</f>
        <v/>
      </c>
      <c r="E52" s="275" t="str">
        <f>IF(Data!I43="","",Data!I43)</f>
        <v/>
      </c>
      <c r="F52" s="276"/>
      <c r="G52" s="277"/>
      <c r="H52" s="277"/>
      <c r="I52" s="277"/>
      <c r="J52" s="277"/>
      <c r="K52" s="277"/>
      <c r="L52" s="277"/>
      <c r="M52" s="280"/>
      <c r="N52" s="277"/>
      <c r="O52" s="278"/>
      <c r="P52" s="279" t="str">
        <f t="shared" si="21"/>
        <v/>
      </c>
      <c r="Q52" s="277"/>
      <c r="R52" s="280"/>
      <c r="S52" s="281" t="str">
        <f t="shared" si="22"/>
        <v/>
      </c>
      <c r="T52" s="295" t="str">
        <f t="shared" si="23"/>
        <v/>
      </c>
      <c r="U52" s="1215" t="str">
        <f t="shared" si="38"/>
        <v/>
      </c>
      <c r="V52" s="1216" t="str">
        <f t="shared" si="38"/>
        <v/>
      </c>
      <c r="W52" s="1216" t="str">
        <f t="shared" si="38"/>
        <v/>
      </c>
      <c r="X52" s="1216" t="str">
        <f t="shared" si="38"/>
        <v/>
      </c>
      <c r="Y52" s="1216" t="str">
        <f t="shared" si="38"/>
        <v/>
      </c>
      <c r="Z52" s="1216" t="str">
        <f t="shared" si="37"/>
        <v/>
      </c>
      <c r="AA52" s="1216" t="str">
        <f t="shared" si="37"/>
        <v/>
      </c>
      <c r="AB52" s="1217" t="str">
        <f t="shared" si="37"/>
        <v/>
      </c>
      <c r="AC52" s="1216" t="str">
        <f t="shared" si="37"/>
        <v/>
      </c>
      <c r="AD52" s="1218" t="str">
        <f t="shared" si="37"/>
        <v/>
      </c>
      <c r="AE52" s="1219">
        <f t="shared" si="24"/>
        <v>0</v>
      </c>
      <c r="AF52" s="282">
        <f t="shared" si="25"/>
        <v>0</v>
      </c>
      <c r="AG52" s="282" t="str">
        <f t="shared" si="35"/>
        <v>perlu dimaksimalkan</v>
      </c>
      <c r="AH52" s="282" t="str">
        <f t="shared" si="35"/>
        <v>perlu dimaksimalkan</v>
      </c>
      <c r="AI52" s="282" t="str">
        <f t="shared" si="26"/>
        <v/>
      </c>
      <c r="AJ52" s="283" t="str">
        <f t="shared" si="27"/>
        <v/>
      </c>
      <c r="AK52" s="284" t="str">
        <f>IF(P52="","",IFERROR("Memiliki kemampuan "&amp;IF(AG52=AH52,AG52&amp;" dalam "&amp;VLOOKUP(AI52,'KD-PA'!$I$9:$N$18,'KD-PA'!F47+1)&amp;" dan "&amp;VLOOKUP(AJ52,'KD-PA'!$I$9:$N$18,'KD-PA'!F47+1),AG52&amp;" dalam "&amp;VLOOKUP(AI52,'KD-PA'!$I$9:$N$18,'KD-PA'!F47+1)&amp;", "&amp;AH52&amp;" kemampuan dalam "&amp;VLOOKUP(AJ52,'KD-PA'!$I$9:$N$18,'KD-PA'!F47+1)),""))</f>
        <v/>
      </c>
      <c r="AL52" s="276"/>
      <c r="AM52" s="277"/>
      <c r="AN52" s="277"/>
      <c r="AO52" s="277"/>
      <c r="AP52" s="277"/>
      <c r="AQ52" s="277"/>
      <c r="AR52" s="277"/>
      <c r="AS52" s="280"/>
      <c r="AT52" s="277"/>
      <c r="AU52" s="278"/>
      <c r="AV52" s="285" t="str">
        <f t="shared" si="32"/>
        <v/>
      </c>
      <c r="AW52" s="296" t="str">
        <f t="shared" si="28"/>
        <v/>
      </c>
      <c r="AX52" s="1220" t="str">
        <f t="shared" si="36"/>
        <v/>
      </c>
      <c r="AY52" s="1221" t="str">
        <f t="shared" si="36"/>
        <v/>
      </c>
      <c r="AZ52" s="1221" t="str">
        <f t="shared" si="36"/>
        <v/>
      </c>
      <c r="BA52" s="1221" t="str">
        <f t="shared" si="36"/>
        <v/>
      </c>
      <c r="BB52" s="1221" t="str">
        <f t="shared" si="36"/>
        <v/>
      </c>
      <c r="BC52" s="1221" t="str">
        <f t="shared" si="36"/>
        <v/>
      </c>
      <c r="BD52" s="1221" t="str">
        <f t="shared" si="36"/>
        <v/>
      </c>
      <c r="BE52" s="1222" t="str">
        <f t="shared" si="36"/>
        <v/>
      </c>
      <c r="BF52" s="1221" t="str">
        <f t="shared" si="36"/>
        <v/>
      </c>
      <c r="BG52" s="1223" t="str">
        <f t="shared" si="36"/>
        <v/>
      </c>
      <c r="BH52" s="286">
        <f t="shared" si="29"/>
        <v>0</v>
      </c>
      <c r="BI52" s="286">
        <f t="shared" si="33"/>
        <v>0</v>
      </c>
      <c r="BJ52" s="287" t="str">
        <f t="shared" si="30"/>
        <v>perlu dimaksimalkan</v>
      </c>
      <c r="BK52" s="287" t="str">
        <f t="shared" si="30"/>
        <v>perlu dimaksimalkan</v>
      </c>
      <c r="BL52" s="286" t="e">
        <f t="shared" si="34"/>
        <v>#N/A</v>
      </c>
      <c r="BM52" s="288" t="e">
        <f t="shared" si="31"/>
        <v>#N/A</v>
      </c>
      <c r="BN52" s="289" t="str">
        <f>IF(AV52="","",IFERROR("Memiliki keterampilan "&amp;IF(BJ52=BK52,BJ52&amp;" dalam "&amp;VLOOKUP(BL52,'KD-PA'!$I$21:$N$30,'KD-PA'!F47+1)&amp;" dan "&amp;VLOOKUP(BM52,'KD-PA'!$I$21:$N$30,'KD-PA'!F47+1),BJ52&amp;" dalam "&amp;VLOOKUP(BL52,'KD-PA'!$I$21:$N$30,'KD-PA'!F47+1)&amp;", "&amp;BK52&amp;" keterampilan dalam "&amp;VLOOKUP(BM52,'KD-PA'!$I$21:$N$30,'KD-PA'!F47+1)),""))</f>
        <v/>
      </c>
      <c r="BO52" s="305"/>
    </row>
    <row r="53" spans="1:67" ht="33" customHeight="1">
      <c r="A53" s="67"/>
      <c r="B53" s="272" t="str">
        <f t="shared" si="39"/>
        <v/>
      </c>
      <c r="C53" s="273" t="str">
        <f>IF(Data!F44="","",Data!F44)</f>
        <v/>
      </c>
      <c r="D53" s="274" t="str">
        <f>IF(Data!H44="","",Data!H44)&amp;""&amp;IF('KD-PA'!G48="","","("&amp;'KD-PA'!G48&amp;")")</f>
        <v/>
      </c>
      <c r="E53" s="275" t="str">
        <f>IF(Data!I44="","",Data!I44)</f>
        <v/>
      </c>
      <c r="F53" s="276"/>
      <c r="G53" s="277"/>
      <c r="H53" s="277"/>
      <c r="I53" s="277"/>
      <c r="J53" s="277"/>
      <c r="K53" s="277"/>
      <c r="L53" s="277"/>
      <c r="M53" s="280"/>
      <c r="N53" s="277"/>
      <c r="O53" s="278"/>
      <c r="P53" s="279" t="str">
        <f t="shared" si="21"/>
        <v/>
      </c>
      <c r="Q53" s="277"/>
      <c r="R53" s="280"/>
      <c r="S53" s="281" t="str">
        <f t="shared" si="22"/>
        <v/>
      </c>
      <c r="T53" s="295" t="str">
        <f t="shared" si="23"/>
        <v/>
      </c>
      <c r="U53" s="1215" t="str">
        <f t="shared" si="38"/>
        <v/>
      </c>
      <c r="V53" s="1216" t="str">
        <f t="shared" si="38"/>
        <v/>
      </c>
      <c r="W53" s="1216" t="str">
        <f t="shared" si="38"/>
        <v/>
      </c>
      <c r="X53" s="1216" t="str">
        <f t="shared" si="38"/>
        <v/>
      </c>
      <c r="Y53" s="1216" t="str">
        <f t="shared" si="38"/>
        <v/>
      </c>
      <c r="Z53" s="1216" t="str">
        <f t="shared" si="37"/>
        <v/>
      </c>
      <c r="AA53" s="1216" t="str">
        <f t="shared" si="37"/>
        <v/>
      </c>
      <c r="AB53" s="1217" t="str">
        <f t="shared" si="37"/>
        <v/>
      </c>
      <c r="AC53" s="1216" t="str">
        <f t="shared" si="37"/>
        <v/>
      </c>
      <c r="AD53" s="1218" t="str">
        <f t="shared" si="37"/>
        <v/>
      </c>
      <c r="AE53" s="1219">
        <f t="shared" si="24"/>
        <v>0</v>
      </c>
      <c r="AF53" s="282">
        <f t="shared" si="25"/>
        <v>0</v>
      </c>
      <c r="AG53" s="282" t="str">
        <f t="shared" si="35"/>
        <v>perlu dimaksimalkan</v>
      </c>
      <c r="AH53" s="282" t="str">
        <f t="shared" si="35"/>
        <v>perlu dimaksimalkan</v>
      </c>
      <c r="AI53" s="282" t="str">
        <f t="shared" si="26"/>
        <v/>
      </c>
      <c r="AJ53" s="283" t="str">
        <f t="shared" si="27"/>
        <v/>
      </c>
      <c r="AK53" s="284" t="str">
        <f>IF(P53="","",IFERROR("Memiliki kemampuan "&amp;IF(AG53=AH53,AG53&amp;" dalam "&amp;VLOOKUP(AI53,'KD-PA'!$I$9:$N$18,'KD-PA'!F48+1)&amp;" dan "&amp;VLOOKUP(AJ53,'KD-PA'!$I$9:$N$18,'KD-PA'!F48+1),AG53&amp;" dalam "&amp;VLOOKUP(AI53,'KD-PA'!$I$9:$N$18,'KD-PA'!F48+1)&amp;", "&amp;AH53&amp;" kemampuan dalam "&amp;VLOOKUP(AJ53,'KD-PA'!$I$9:$N$18,'KD-PA'!F48+1)),""))</f>
        <v/>
      </c>
      <c r="AL53" s="276"/>
      <c r="AM53" s="277"/>
      <c r="AN53" s="277"/>
      <c r="AO53" s="277"/>
      <c r="AP53" s="277"/>
      <c r="AQ53" s="277"/>
      <c r="AR53" s="277"/>
      <c r="AS53" s="280"/>
      <c r="AT53" s="277"/>
      <c r="AU53" s="278"/>
      <c r="AV53" s="285" t="str">
        <f t="shared" si="32"/>
        <v/>
      </c>
      <c r="AW53" s="296" t="str">
        <f t="shared" si="28"/>
        <v/>
      </c>
      <c r="AX53" s="1220" t="str">
        <f t="shared" si="36"/>
        <v/>
      </c>
      <c r="AY53" s="1221" t="str">
        <f t="shared" si="36"/>
        <v/>
      </c>
      <c r="AZ53" s="1221" t="str">
        <f t="shared" si="36"/>
        <v/>
      </c>
      <c r="BA53" s="1221" t="str">
        <f t="shared" si="36"/>
        <v/>
      </c>
      <c r="BB53" s="1221" t="str">
        <f t="shared" si="36"/>
        <v/>
      </c>
      <c r="BC53" s="1221" t="str">
        <f t="shared" si="36"/>
        <v/>
      </c>
      <c r="BD53" s="1221" t="str">
        <f t="shared" si="36"/>
        <v/>
      </c>
      <c r="BE53" s="1222" t="str">
        <f t="shared" si="36"/>
        <v/>
      </c>
      <c r="BF53" s="1221" t="str">
        <f t="shared" si="36"/>
        <v/>
      </c>
      <c r="BG53" s="1223" t="str">
        <f t="shared" si="36"/>
        <v/>
      </c>
      <c r="BH53" s="286">
        <f t="shared" si="29"/>
        <v>0</v>
      </c>
      <c r="BI53" s="286">
        <f t="shared" si="33"/>
        <v>0</v>
      </c>
      <c r="BJ53" s="287" t="str">
        <f t="shared" si="30"/>
        <v>perlu dimaksimalkan</v>
      </c>
      <c r="BK53" s="287" t="str">
        <f t="shared" si="30"/>
        <v>perlu dimaksimalkan</v>
      </c>
      <c r="BL53" s="286" t="e">
        <f t="shared" si="34"/>
        <v>#N/A</v>
      </c>
      <c r="BM53" s="288" t="e">
        <f t="shared" si="31"/>
        <v>#N/A</v>
      </c>
      <c r="BN53" s="289" t="str">
        <f>IF(AV53="","",IFERROR("Memiliki keterampilan "&amp;IF(BJ53=BK53,BJ53&amp;" dalam "&amp;VLOOKUP(BL53,'KD-PA'!$I$21:$N$30,'KD-PA'!F48+1)&amp;" dan "&amp;VLOOKUP(BM53,'KD-PA'!$I$21:$N$30,'KD-PA'!F48+1),BJ53&amp;" dalam "&amp;VLOOKUP(BL53,'KD-PA'!$I$21:$N$30,'KD-PA'!F48+1)&amp;", "&amp;BK53&amp;" keterampilan dalam "&amp;VLOOKUP(BM53,'KD-PA'!$I$21:$N$30,'KD-PA'!F48+1)),""))</f>
        <v/>
      </c>
      <c r="BO53" s="305"/>
    </row>
    <row r="54" spans="1:67" ht="33" customHeight="1">
      <c r="A54" s="67"/>
      <c r="B54" s="272" t="str">
        <f t="shared" si="39"/>
        <v/>
      </c>
      <c r="C54" s="273" t="str">
        <f>IF(Data!F45="","",Data!F45)</f>
        <v/>
      </c>
      <c r="D54" s="274" t="str">
        <f>IF(Data!H45="","",Data!H45)&amp;""&amp;IF('KD-PA'!G49="","","("&amp;'KD-PA'!G49&amp;")")</f>
        <v/>
      </c>
      <c r="E54" s="275" t="str">
        <f>IF(Data!I45="","",Data!I45)</f>
        <v/>
      </c>
      <c r="F54" s="276"/>
      <c r="G54" s="277"/>
      <c r="H54" s="277"/>
      <c r="I54" s="277"/>
      <c r="J54" s="277"/>
      <c r="K54" s="277"/>
      <c r="L54" s="277"/>
      <c r="M54" s="280"/>
      <c r="N54" s="277"/>
      <c r="O54" s="278"/>
      <c r="P54" s="279" t="str">
        <f t="shared" si="21"/>
        <v/>
      </c>
      <c r="Q54" s="277"/>
      <c r="R54" s="280"/>
      <c r="S54" s="281" t="str">
        <f t="shared" si="22"/>
        <v/>
      </c>
      <c r="T54" s="295" t="str">
        <f t="shared" si="23"/>
        <v/>
      </c>
      <c r="U54" s="1215" t="str">
        <f t="shared" si="38"/>
        <v/>
      </c>
      <c r="V54" s="1216" t="str">
        <f t="shared" si="38"/>
        <v/>
      </c>
      <c r="W54" s="1216" t="str">
        <f t="shared" si="38"/>
        <v/>
      </c>
      <c r="X54" s="1216" t="str">
        <f t="shared" si="38"/>
        <v/>
      </c>
      <c r="Y54" s="1216" t="str">
        <f t="shared" si="38"/>
        <v/>
      </c>
      <c r="Z54" s="1216" t="str">
        <f t="shared" si="37"/>
        <v/>
      </c>
      <c r="AA54" s="1216" t="str">
        <f t="shared" si="37"/>
        <v/>
      </c>
      <c r="AB54" s="1217" t="str">
        <f t="shared" si="37"/>
        <v/>
      </c>
      <c r="AC54" s="1216" t="str">
        <f t="shared" si="37"/>
        <v/>
      </c>
      <c r="AD54" s="1218" t="str">
        <f t="shared" si="37"/>
        <v/>
      </c>
      <c r="AE54" s="1219">
        <f t="shared" si="24"/>
        <v>0</v>
      </c>
      <c r="AF54" s="282">
        <f t="shared" si="25"/>
        <v>0</v>
      </c>
      <c r="AG54" s="282" t="str">
        <f t="shared" si="35"/>
        <v>perlu dimaksimalkan</v>
      </c>
      <c r="AH54" s="282" t="str">
        <f t="shared" si="35"/>
        <v>perlu dimaksimalkan</v>
      </c>
      <c r="AI54" s="282" t="str">
        <f t="shared" si="26"/>
        <v/>
      </c>
      <c r="AJ54" s="283" t="str">
        <f t="shared" si="27"/>
        <v/>
      </c>
      <c r="AK54" s="284" t="str">
        <f>IF(P54="","",IFERROR("Memiliki kemampuan "&amp;IF(AG54=AH54,AG54&amp;" dalam "&amp;VLOOKUP(AI54,'KD-PA'!$I$9:$N$18,'KD-PA'!F49+1)&amp;" dan "&amp;VLOOKUP(AJ54,'KD-PA'!$I$9:$N$18,'KD-PA'!F49+1),AG54&amp;" dalam "&amp;VLOOKUP(AI54,'KD-PA'!$I$9:$N$18,'KD-PA'!F49+1)&amp;", "&amp;AH54&amp;" kemampuan dalam "&amp;VLOOKUP(AJ54,'KD-PA'!$I$9:$N$18,'KD-PA'!F49+1)),""))</f>
        <v/>
      </c>
      <c r="AL54" s="276"/>
      <c r="AM54" s="277"/>
      <c r="AN54" s="277"/>
      <c r="AO54" s="277"/>
      <c r="AP54" s="277"/>
      <c r="AQ54" s="277"/>
      <c r="AR54" s="277"/>
      <c r="AS54" s="280"/>
      <c r="AT54" s="277"/>
      <c r="AU54" s="278"/>
      <c r="AV54" s="285" t="str">
        <f t="shared" si="32"/>
        <v/>
      </c>
      <c r="AW54" s="296" t="str">
        <f t="shared" si="28"/>
        <v/>
      </c>
      <c r="AX54" s="1220" t="str">
        <f t="shared" si="36"/>
        <v/>
      </c>
      <c r="AY54" s="1221" t="str">
        <f t="shared" si="36"/>
        <v/>
      </c>
      <c r="AZ54" s="1221" t="str">
        <f t="shared" si="36"/>
        <v/>
      </c>
      <c r="BA54" s="1221" t="str">
        <f t="shared" si="36"/>
        <v/>
      </c>
      <c r="BB54" s="1221" t="str">
        <f t="shared" si="36"/>
        <v/>
      </c>
      <c r="BC54" s="1221" t="str">
        <f t="shared" si="36"/>
        <v/>
      </c>
      <c r="BD54" s="1221" t="str">
        <f t="shared" si="36"/>
        <v/>
      </c>
      <c r="BE54" s="1222" t="str">
        <f t="shared" si="36"/>
        <v/>
      </c>
      <c r="BF54" s="1221" t="str">
        <f t="shared" si="36"/>
        <v/>
      </c>
      <c r="BG54" s="1223" t="str">
        <f t="shared" si="36"/>
        <v/>
      </c>
      <c r="BH54" s="286">
        <f t="shared" si="29"/>
        <v>0</v>
      </c>
      <c r="BI54" s="286">
        <f t="shared" si="33"/>
        <v>0</v>
      </c>
      <c r="BJ54" s="287" t="str">
        <f t="shared" si="30"/>
        <v>perlu dimaksimalkan</v>
      </c>
      <c r="BK54" s="287" t="str">
        <f t="shared" si="30"/>
        <v>perlu dimaksimalkan</v>
      </c>
      <c r="BL54" s="286" t="e">
        <f t="shared" si="34"/>
        <v>#N/A</v>
      </c>
      <c r="BM54" s="288" t="e">
        <f t="shared" si="31"/>
        <v>#N/A</v>
      </c>
      <c r="BN54" s="289" t="str">
        <f>IF(AV54="","",IFERROR("Memiliki keterampilan "&amp;IF(BJ54=BK54,BJ54&amp;" dalam "&amp;VLOOKUP(BL54,'KD-PA'!$I$21:$N$30,'KD-PA'!F49+1)&amp;" dan "&amp;VLOOKUP(BM54,'KD-PA'!$I$21:$N$30,'KD-PA'!F49+1),BJ54&amp;" dalam "&amp;VLOOKUP(BL54,'KD-PA'!$I$21:$N$30,'KD-PA'!F49+1)&amp;", "&amp;BK54&amp;" keterampilan dalam "&amp;VLOOKUP(BM54,'KD-PA'!$I$21:$N$30,'KD-PA'!F49+1)),""))</f>
        <v/>
      </c>
      <c r="BO54" s="305"/>
    </row>
    <row r="55" spans="1:67" ht="33" customHeight="1">
      <c r="A55" s="67"/>
      <c r="B55" s="272" t="str">
        <f t="shared" si="39"/>
        <v/>
      </c>
      <c r="C55" s="273" t="str">
        <f>IF(Data!F46="","",Data!F46)</f>
        <v/>
      </c>
      <c r="D55" s="274" t="str">
        <f>IF(Data!H46="","",Data!H46)&amp;""&amp;IF('KD-PA'!G50="","","("&amp;'KD-PA'!G50&amp;")")</f>
        <v/>
      </c>
      <c r="E55" s="275" t="str">
        <f>IF(Data!I46="","",Data!I46)</f>
        <v/>
      </c>
      <c r="F55" s="276"/>
      <c r="G55" s="277"/>
      <c r="H55" s="277"/>
      <c r="I55" s="277"/>
      <c r="J55" s="277"/>
      <c r="K55" s="277"/>
      <c r="L55" s="277"/>
      <c r="M55" s="280"/>
      <c r="N55" s="277"/>
      <c r="O55" s="278"/>
      <c r="P55" s="279" t="str">
        <f t="shared" si="21"/>
        <v/>
      </c>
      <c r="Q55" s="277"/>
      <c r="R55" s="280"/>
      <c r="S55" s="281" t="str">
        <f t="shared" si="22"/>
        <v/>
      </c>
      <c r="T55" s="295" t="str">
        <f t="shared" si="23"/>
        <v/>
      </c>
      <c r="U55" s="1215" t="str">
        <f t="shared" si="38"/>
        <v/>
      </c>
      <c r="V55" s="1216" t="str">
        <f t="shared" si="38"/>
        <v/>
      </c>
      <c r="W55" s="1216" t="str">
        <f t="shared" si="38"/>
        <v/>
      </c>
      <c r="X55" s="1216" t="str">
        <f t="shared" si="38"/>
        <v/>
      </c>
      <c r="Y55" s="1216" t="str">
        <f t="shared" si="38"/>
        <v/>
      </c>
      <c r="Z55" s="1216" t="str">
        <f t="shared" si="37"/>
        <v/>
      </c>
      <c r="AA55" s="1216" t="str">
        <f t="shared" si="37"/>
        <v/>
      </c>
      <c r="AB55" s="1217" t="str">
        <f t="shared" si="37"/>
        <v/>
      </c>
      <c r="AC55" s="1216" t="str">
        <f t="shared" si="37"/>
        <v/>
      </c>
      <c r="AD55" s="1218" t="str">
        <f t="shared" si="37"/>
        <v/>
      </c>
      <c r="AE55" s="1219">
        <f t="shared" si="24"/>
        <v>0</v>
      </c>
      <c r="AF55" s="282">
        <f t="shared" si="25"/>
        <v>0</v>
      </c>
      <c r="AG55" s="282" t="str">
        <f t="shared" si="35"/>
        <v>perlu dimaksimalkan</v>
      </c>
      <c r="AH55" s="282" t="str">
        <f t="shared" si="35"/>
        <v>perlu dimaksimalkan</v>
      </c>
      <c r="AI55" s="282" t="str">
        <f t="shared" si="26"/>
        <v/>
      </c>
      <c r="AJ55" s="283" t="str">
        <f t="shared" si="27"/>
        <v/>
      </c>
      <c r="AK55" s="284" t="str">
        <f>IF(P55="","",IFERROR("Memiliki kemampuan "&amp;IF(AG55=AH55,AG55&amp;" dalam "&amp;VLOOKUP(AI55,'KD-PA'!$I$9:$N$18,'KD-PA'!F50+1)&amp;" dan "&amp;VLOOKUP(AJ55,'KD-PA'!$I$9:$N$18,'KD-PA'!F50+1),AG55&amp;" dalam "&amp;VLOOKUP(AI55,'KD-PA'!$I$9:$N$18,'KD-PA'!F50+1)&amp;", "&amp;AH55&amp;" kemampuan dalam "&amp;VLOOKUP(AJ55,'KD-PA'!$I$9:$N$18,'KD-PA'!F50+1)),""))</f>
        <v/>
      </c>
      <c r="AL55" s="276"/>
      <c r="AM55" s="277"/>
      <c r="AN55" s="277"/>
      <c r="AO55" s="277"/>
      <c r="AP55" s="277"/>
      <c r="AQ55" s="277"/>
      <c r="AR55" s="277"/>
      <c r="AS55" s="280"/>
      <c r="AT55" s="277"/>
      <c r="AU55" s="278"/>
      <c r="AV55" s="285" t="str">
        <f t="shared" si="32"/>
        <v/>
      </c>
      <c r="AW55" s="296" t="str">
        <f t="shared" si="28"/>
        <v/>
      </c>
      <c r="AX55" s="1220" t="str">
        <f t="shared" si="36"/>
        <v/>
      </c>
      <c r="AY55" s="1221" t="str">
        <f t="shared" si="36"/>
        <v/>
      </c>
      <c r="AZ55" s="1221" t="str">
        <f t="shared" si="36"/>
        <v/>
      </c>
      <c r="BA55" s="1221" t="str">
        <f t="shared" si="36"/>
        <v/>
      </c>
      <c r="BB55" s="1221" t="str">
        <f t="shared" si="36"/>
        <v/>
      </c>
      <c r="BC55" s="1221" t="str">
        <f t="shared" ref="BC55:BG63" si="40">IF(AQ55="","",AQ55+BC$12)</f>
        <v/>
      </c>
      <c r="BD55" s="1221" t="str">
        <f t="shared" si="40"/>
        <v/>
      </c>
      <c r="BE55" s="1222" t="str">
        <f t="shared" si="40"/>
        <v/>
      </c>
      <c r="BF55" s="1221" t="str">
        <f t="shared" si="40"/>
        <v/>
      </c>
      <c r="BG55" s="1223" t="str">
        <f t="shared" si="40"/>
        <v/>
      </c>
      <c r="BH55" s="286">
        <f t="shared" si="29"/>
        <v>0</v>
      </c>
      <c r="BI55" s="286">
        <f t="shared" si="33"/>
        <v>0</v>
      </c>
      <c r="BJ55" s="287" t="str">
        <f t="shared" si="30"/>
        <v>perlu dimaksimalkan</v>
      </c>
      <c r="BK55" s="287" t="str">
        <f t="shared" si="30"/>
        <v>perlu dimaksimalkan</v>
      </c>
      <c r="BL55" s="286" t="e">
        <f t="shared" si="34"/>
        <v>#N/A</v>
      </c>
      <c r="BM55" s="288" t="e">
        <f t="shared" si="31"/>
        <v>#N/A</v>
      </c>
      <c r="BN55" s="289" t="str">
        <f>IF(AV55="","",IFERROR("Memiliki keterampilan "&amp;IF(BJ55=BK55,BJ55&amp;" dalam "&amp;VLOOKUP(BL55,'KD-PA'!$I$21:$N$30,'KD-PA'!F50+1)&amp;" dan "&amp;VLOOKUP(BM55,'KD-PA'!$I$21:$N$30,'KD-PA'!F50+1),BJ55&amp;" dalam "&amp;VLOOKUP(BL55,'KD-PA'!$I$21:$N$30,'KD-PA'!F50+1)&amp;", "&amp;BK55&amp;" keterampilan dalam "&amp;VLOOKUP(BM55,'KD-PA'!$I$21:$N$30,'KD-PA'!F50+1)),""))</f>
        <v/>
      </c>
      <c r="BO55" s="305"/>
    </row>
    <row r="56" spans="1:67" ht="33" customHeight="1">
      <c r="A56" s="67"/>
      <c r="B56" s="272" t="str">
        <f t="shared" si="39"/>
        <v/>
      </c>
      <c r="C56" s="273" t="str">
        <f>IF(Data!F47="","",Data!F47)</f>
        <v/>
      </c>
      <c r="D56" s="274" t="str">
        <f>IF(Data!H47="","",Data!H47)&amp;""&amp;IF('KD-PA'!G51="","","("&amp;'KD-PA'!G51&amp;")")</f>
        <v/>
      </c>
      <c r="E56" s="275" t="str">
        <f>IF(Data!I47="","",Data!I47)</f>
        <v/>
      </c>
      <c r="F56" s="276"/>
      <c r="G56" s="277"/>
      <c r="H56" s="277"/>
      <c r="I56" s="277"/>
      <c r="J56" s="277"/>
      <c r="K56" s="277"/>
      <c r="L56" s="277"/>
      <c r="M56" s="280"/>
      <c r="N56" s="277"/>
      <c r="O56" s="278"/>
      <c r="P56" s="279" t="str">
        <f t="shared" si="21"/>
        <v/>
      </c>
      <c r="Q56" s="277"/>
      <c r="R56" s="280"/>
      <c r="S56" s="281" t="str">
        <f t="shared" si="22"/>
        <v/>
      </c>
      <c r="T56" s="295" t="str">
        <f t="shared" si="23"/>
        <v/>
      </c>
      <c r="U56" s="1215" t="str">
        <f t="shared" si="38"/>
        <v/>
      </c>
      <c r="V56" s="1216" t="str">
        <f t="shared" si="38"/>
        <v/>
      </c>
      <c r="W56" s="1216" t="str">
        <f t="shared" si="38"/>
        <v/>
      </c>
      <c r="X56" s="1216" t="str">
        <f t="shared" si="38"/>
        <v/>
      </c>
      <c r="Y56" s="1216" t="str">
        <f t="shared" si="38"/>
        <v/>
      </c>
      <c r="Z56" s="1216" t="str">
        <f t="shared" si="37"/>
        <v/>
      </c>
      <c r="AA56" s="1216" t="str">
        <f t="shared" si="37"/>
        <v/>
      </c>
      <c r="AB56" s="1217" t="str">
        <f t="shared" si="37"/>
        <v/>
      </c>
      <c r="AC56" s="1216" t="str">
        <f t="shared" si="37"/>
        <v/>
      </c>
      <c r="AD56" s="1218" t="str">
        <f t="shared" si="37"/>
        <v/>
      </c>
      <c r="AE56" s="1219">
        <f t="shared" si="24"/>
        <v>0</v>
      </c>
      <c r="AF56" s="282">
        <f t="shared" si="25"/>
        <v>0</v>
      </c>
      <c r="AG56" s="282" t="str">
        <f t="shared" si="35"/>
        <v>perlu dimaksimalkan</v>
      </c>
      <c r="AH56" s="282" t="str">
        <f t="shared" si="35"/>
        <v>perlu dimaksimalkan</v>
      </c>
      <c r="AI56" s="282" t="str">
        <f t="shared" si="26"/>
        <v/>
      </c>
      <c r="AJ56" s="283" t="str">
        <f t="shared" si="27"/>
        <v/>
      </c>
      <c r="AK56" s="284" t="str">
        <f>IF(P56="","",IFERROR("Memiliki kemampuan "&amp;IF(AG56=AH56,AG56&amp;" dalam "&amp;VLOOKUP(AI56,'KD-PA'!$I$9:$N$18,'KD-PA'!F51+1)&amp;" dan "&amp;VLOOKUP(AJ56,'KD-PA'!$I$9:$N$18,'KD-PA'!F51+1),AG56&amp;" dalam "&amp;VLOOKUP(AI56,'KD-PA'!$I$9:$N$18,'KD-PA'!F51+1)&amp;", "&amp;AH56&amp;" kemampuan dalam "&amp;VLOOKUP(AJ56,'KD-PA'!$I$9:$N$18,'KD-PA'!F51+1)),""))</f>
        <v/>
      </c>
      <c r="AL56" s="276"/>
      <c r="AM56" s="277"/>
      <c r="AN56" s="277"/>
      <c r="AO56" s="277"/>
      <c r="AP56" s="277"/>
      <c r="AQ56" s="277"/>
      <c r="AR56" s="277"/>
      <c r="AS56" s="280"/>
      <c r="AT56" s="277"/>
      <c r="AU56" s="278"/>
      <c r="AV56" s="285" t="str">
        <f t="shared" si="32"/>
        <v/>
      </c>
      <c r="AW56" s="296" t="str">
        <f t="shared" si="28"/>
        <v/>
      </c>
      <c r="AX56" s="1220" t="str">
        <f t="shared" ref="AX56:BB63" si="41">IF(AL56="","",AL56+AX$12)</f>
        <v/>
      </c>
      <c r="AY56" s="1221" t="str">
        <f t="shared" si="41"/>
        <v/>
      </c>
      <c r="AZ56" s="1221" t="str">
        <f t="shared" si="41"/>
        <v/>
      </c>
      <c r="BA56" s="1221" t="str">
        <f t="shared" si="41"/>
        <v/>
      </c>
      <c r="BB56" s="1221" t="str">
        <f t="shared" si="41"/>
        <v/>
      </c>
      <c r="BC56" s="1221" t="str">
        <f t="shared" si="40"/>
        <v/>
      </c>
      <c r="BD56" s="1221" t="str">
        <f t="shared" si="40"/>
        <v/>
      </c>
      <c r="BE56" s="1222" t="str">
        <f t="shared" si="40"/>
        <v/>
      </c>
      <c r="BF56" s="1221" t="str">
        <f t="shared" si="40"/>
        <v/>
      </c>
      <c r="BG56" s="1223" t="str">
        <f t="shared" si="40"/>
        <v/>
      </c>
      <c r="BH56" s="286">
        <f t="shared" si="29"/>
        <v>0</v>
      </c>
      <c r="BI56" s="286">
        <f t="shared" si="33"/>
        <v>0</v>
      </c>
      <c r="BJ56" s="287" t="str">
        <f t="shared" si="30"/>
        <v>perlu dimaksimalkan</v>
      </c>
      <c r="BK56" s="287" t="str">
        <f t="shared" si="30"/>
        <v>perlu dimaksimalkan</v>
      </c>
      <c r="BL56" s="286" t="e">
        <f t="shared" si="34"/>
        <v>#N/A</v>
      </c>
      <c r="BM56" s="288" t="e">
        <f t="shared" si="31"/>
        <v>#N/A</v>
      </c>
      <c r="BN56" s="289" t="str">
        <f>IF(AV56="","",IFERROR("Memiliki keterampilan "&amp;IF(BJ56=BK56,BJ56&amp;" dalam "&amp;VLOOKUP(BL56,'KD-PA'!$I$21:$N$30,'KD-PA'!F51+1)&amp;" dan "&amp;VLOOKUP(BM56,'KD-PA'!$I$21:$N$30,'KD-PA'!F51+1),BJ56&amp;" dalam "&amp;VLOOKUP(BL56,'KD-PA'!$I$21:$N$30,'KD-PA'!F51+1)&amp;", "&amp;BK56&amp;" keterampilan dalam "&amp;VLOOKUP(BM56,'KD-PA'!$I$21:$N$30,'KD-PA'!F51+1)),""))</f>
        <v/>
      </c>
      <c r="BO56" s="305"/>
    </row>
    <row r="57" spans="1:67" ht="33" customHeight="1">
      <c r="A57" s="67"/>
      <c r="B57" s="272" t="str">
        <f t="shared" si="39"/>
        <v/>
      </c>
      <c r="C57" s="273" t="str">
        <f>IF(Data!F48="","",Data!F48)</f>
        <v/>
      </c>
      <c r="D57" s="274" t="str">
        <f>IF(Data!H48="","",Data!H48)&amp;""&amp;IF('KD-PA'!G52="","","("&amp;'KD-PA'!G52&amp;")")</f>
        <v/>
      </c>
      <c r="E57" s="275" t="str">
        <f>IF(Data!I48="","",Data!I48)</f>
        <v/>
      </c>
      <c r="F57" s="276"/>
      <c r="G57" s="277"/>
      <c r="H57" s="277"/>
      <c r="I57" s="277"/>
      <c r="J57" s="277"/>
      <c r="K57" s="277"/>
      <c r="L57" s="277"/>
      <c r="M57" s="280"/>
      <c r="N57" s="277"/>
      <c r="O57" s="278"/>
      <c r="P57" s="279" t="str">
        <f t="shared" si="21"/>
        <v/>
      </c>
      <c r="Q57" s="277"/>
      <c r="R57" s="280"/>
      <c r="S57" s="281" t="str">
        <f t="shared" si="22"/>
        <v/>
      </c>
      <c r="T57" s="295" t="str">
        <f t="shared" si="23"/>
        <v/>
      </c>
      <c r="U57" s="1215" t="str">
        <f t="shared" si="38"/>
        <v/>
      </c>
      <c r="V57" s="1216" t="str">
        <f t="shared" si="38"/>
        <v/>
      </c>
      <c r="W57" s="1216" t="str">
        <f t="shared" si="38"/>
        <v/>
      </c>
      <c r="X57" s="1216" t="str">
        <f t="shared" si="38"/>
        <v/>
      </c>
      <c r="Y57" s="1216" t="str">
        <f t="shared" si="38"/>
        <v/>
      </c>
      <c r="Z57" s="1216" t="str">
        <f t="shared" si="37"/>
        <v/>
      </c>
      <c r="AA57" s="1216" t="str">
        <f t="shared" si="37"/>
        <v/>
      </c>
      <c r="AB57" s="1217" t="str">
        <f t="shared" si="37"/>
        <v/>
      </c>
      <c r="AC57" s="1216" t="str">
        <f t="shared" si="37"/>
        <v/>
      </c>
      <c r="AD57" s="1218" t="str">
        <f t="shared" si="37"/>
        <v/>
      </c>
      <c r="AE57" s="1219">
        <f t="shared" si="24"/>
        <v>0</v>
      </c>
      <c r="AF57" s="282">
        <f t="shared" si="25"/>
        <v>0</v>
      </c>
      <c r="AG57" s="282" t="str">
        <f t="shared" si="35"/>
        <v>perlu dimaksimalkan</v>
      </c>
      <c r="AH57" s="282" t="str">
        <f t="shared" si="35"/>
        <v>perlu dimaksimalkan</v>
      </c>
      <c r="AI57" s="282" t="str">
        <f t="shared" si="26"/>
        <v/>
      </c>
      <c r="AJ57" s="283" t="str">
        <f t="shared" si="27"/>
        <v/>
      </c>
      <c r="AK57" s="284" t="str">
        <f>IF(P57="","",IFERROR("Memiliki kemampuan "&amp;IF(AG57=AH57,AG57&amp;" dalam "&amp;VLOOKUP(AI57,'KD-PA'!$I$9:$N$18,'KD-PA'!F52+1)&amp;" dan "&amp;VLOOKUP(AJ57,'KD-PA'!$I$9:$N$18,'KD-PA'!F52+1),AG57&amp;" dalam "&amp;VLOOKUP(AI57,'KD-PA'!$I$9:$N$18,'KD-PA'!F52+1)&amp;", "&amp;AH57&amp;" kemampuan dalam "&amp;VLOOKUP(AJ57,'KD-PA'!$I$9:$N$18,'KD-PA'!F52+1)),""))</f>
        <v/>
      </c>
      <c r="AL57" s="276"/>
      <c r="AM57" s="277"/>
      <c r="AN57" s="277"/>
      <c r="AO57" s="277"/>
      <c r="AP57" s="277"/>
      <c r="AQ57" s="277"/>
      <c r="AR57" s="277"/>
      <c r="AS57" s="280"/>
      <c r="AT57" s="277"/>
      <c r="AU57" s="278"/>
      <c r="AV57" s="285" t="str">
        <f t="shared" si="32"/>
        <v/>
      </c>
      <c r="AW57" s="296" t="str">
        <f t="shared" si="28"/>
        <v/>
      </c>
      <c r="AX57" s="1220" t="str">
        <f t="shared" si="41"/>
        <v/>
      </c>
      <c r="AY57" s="1221" t="str">
        <f t="shared" si="41"/>
        <v/>
      </c>
      <c r="AZ57" s="1221" t="str">
        <f t="shared" si="41"/>
        <v/>
      </c>
      <c r="BA57" s="1221" t="str">
        <f t="shared" si="41"/>
        <v/>
      </c>
      <c r="BB57" s="1221" t="str">
        <f t="shared" si="41"/>
        <v/>
      </c>
      <c r="BC57" s="1221" t="str">
        <f t="shared" si="40"/>
        <v/>
      </c>
      <c r="BD57" s="1221" t="str">
        <f t="shared" si="40"/>
        <v/>
      </c>
      <c r="BE57" s="1222" t="str">
        <f t="shared" si="40"/>
        <v/>
      </c>
      <c r="BF57" s="1221" t="str">
        <f t="shared" si="40"/>
        <v/>
      </c>
      <c r="BG57" s="1223" t="str">
        <f t="shared" si="40"/>
        <v/>
      </c>
      <c r="BH57" s="286">
        <f t="shared" si="29"/>
        <v>0</v>
      </c>
      <c r="BI57" s="286">
        <f t="shared" si="33"/>
        <v>0</v>
      </c>
      <c r="BJ57" s="287" t="str">
        <f t="shared" si="30"/>
        <v>perlu dimaksimalkan</v>
      </c>
      <c r="BK57" s="287" t="str">
        <f t="shared" si="30"/>
        <v>perlu dimaksimalkan</v>
      </c>
      <c r="BL57" s="286" t="e">
        <f t="shared" si="34"/>
        <v>#N/A</v>
      </c>
      <c r="BM57" s="288" t="e">
        <f t="shared" si="31"/>
        <v>#N/A</v>
      </c>
      <c r="BN57" s="289" t="str">
        <f>IF(AV57="","",IFERROR("Memiliki keterampilan "&amp;IF(BJ57=BK57,BJ57&amp;" dalam "&amp;VLOOKUP(BL57,'KD-PA'!$I$21:$N$30,'KD-PA'!F52+1)&amp;" dan "&amp;VLOOKUP(BM57,'KD-PA'!$I$21:$N$30,'KD-PA'!F52+1),BJ57&amp;" dalam "&amp;VLOOKUP(BL57,'KD-PA'!$I$21:$N$30,'KD-PA'!F52+1)&amp;", "&amp;BK57&amp;" keterampilan dalam "&amp;VLOOKUP(BM57,'KD-PA'!$I$21:$N$30,'KD-PA'!F52+1)),""))</f>
        <v/>
      </c>
      <c r="BO57" s="305"/>
    </row>
    <row r="58" spans="1:67" ht="33" customHeight="1">
      <c r="A58" s="67"/>
      <c r="B58" s="272" t="str">
        <f t="shared" si="39"/>
        <v/>
      </c>
      <c r="C58" s="273" t="str">
        <f>IF(Data!F49="","",Data!F49)</f>
        <v/>
      </c>
      <c r="D58" s="274" t="str">
        <f>IF(Data!H49="","",Data!H49)&amp;""&amp;IF('KD-PA'!G53="","","("&amp;'KD-PA'!G53&amp;")")</f>
        <v/>
      </c>
      <c r="E58" s="275" t="str">
        <f>IF(Data!I49="","",Data!I49)</f>
        <v/>
      </c>
      <c r="F58" s="276"/>
      <c r="G58" s="277"/>
      <c r="H58" s="277"/>
      <c r="I58" s="277"/>
      <c r="J58" s="277"/>
      <c r="K58" s="277"/>
      <c r="L58" s="277"/>
      <c r="M58" s="280"/>
      <c r="N58" s="277"/>
      <c r="O58" s="278"/>
      <c r="P58" s="279" t="str">
        <f t="shared" si="21"/>
        <v/>
      </c>
      <c r="Q58" s="277"/>
      <c r="R58" s="280"/>
      <c r="S58" s="281" t="str">
        <f t="shared" si="22"/>
        <v/>
      </c>
      <c r="T58" s="295" t="str">
        <f t="shared" si="23"/>
        <v/>
      </c>
      <c r="U58" s="1215" t="str">
        <f t="shared" si="38"/>
        <v/>
      </c>
      <c r="V58" s="1216" t="str">
        <f t="shared" si="38"/>
        <v/>
      </c>
      <c r="W58" s="1216" t="str">
        <f t="shared" si="38"/>
        <v/>
      </c>
      <c r="X58" s="1216" t="str">
        <f t="shared" si="38"/>
        <v/>
      </c>
      <c r="Y58" s="1216" t="str">
        <f t="shared" si="38"/>
        <v/>
      </c>
      <c r="Z58" s="1216" t="str">
        <f t="shared" si="37"/>
        <v/>
      </c>
      <c r="AA58" s="1216" t="str">
        <f t="shared" si="37"/>
        <v/>
      </c>
      <c r="AB58" s="1217" t="str">
        <f t="shared" si="37"/>
        <v/>
      </c>
      <c r="AC58" s="1216" t="str">
        <f t="shared" si="37"/>
        <v/>
      </c>
      <c r="AD58" s="1218" t="str">
        <f t="shared" si="37"/>
        <v/>
      </c>
      <c r="AE58" s="1219">
        <f t="shared" si="24"/>
        <v>0</v>
      </c>
      <c r="AF58" s="282">
        <f t="shared" si="25"/>
        <v>0</v>
      </c>
      <c r="AG58" s="282" t="str">
        <f t="shared" si="35"/>
        <v>perlu dimaksimalkan</v>
      </c>
      <c r="AH58" s="282" t="str">
        <f t="shared" si="35"/>
        <v>perlu dimaksimalkan</v>
      </c>
      <c r="AI58" s="282" t="str">
        <f t="shared" si="26"/>
        <v/>
      </c>
      <c r="AJ58" s="283" t="str">
        <f t="shared" si="27"/>
        <v/>
      </c>
      <c r="AK58" s="284" t="str">
        <f>IF(P58="","",IFERROR("Memiliki kemampuan "&amp;IF(AG58=AH58,AG58&amp;" dalam "&amp;VLOOKUP(AI58,'KD-PA'!$I$9:$N$18,'KD-PA'!F53+1)&amp;" dan "&amp;VLOOKUP(AJ58,'KD-PA'!$I$9:$N$18,'KD-PA'!F53+1),AG58&amp;" dalam "&amp;VLOOKUP(AI58,'KD-PA'!$I$9:$N$18,'KD-PA'!F53+1)&amp;", "&amp;AH58&amp;" kemampuan dalam "&amp;VLOOKUP(AJ58,'KD-PA'!$I$9:$N$18,'KD-PA'!F53+1)),""))</f>
        <v/>
      </c>
      <c r="AL58" s="276"/>
      <c r="AM58" s="277"/>
      <c r="AN58" s="277"/>
      <c r="AO58" s="277"/>
      <c r="AP58" s="277"/>
      <c r="AQ58" s="277"/>
      <c r="AR58" s="277"/>
      <c r="AS58" s="280"/>
      <c r="AT58" s="277"/>
      <c r="AU58" s="278"/>
      <c r="AV58" s="285" t="str">
        <f t="shared" si="32"/>
        <v/>
      </c>
      <c r="AW58" s="296" t="str">
        <f t="shared" si="28"/>
        <v/>
      </c>
      <c r="AX58" s="1220" t="str">
        <f t="shared" si="41"/>
        <v/>
      </c>
      <c r="AY58" s="1221" t="str">
        <f t="shared" si="41"/>
        <v/>
      </c>
      <c r="AZ58" s="1221" t="str">
        <f t="shared" si="41"/>
        <v/>
      </c>
      <c r="BA58" s="1221" t="str">
        <f t="shared" si="41"/>
        <v/>
      </c>
      <c r="BB58" s="1221" t="str">
        <f t="shared" si="41"/>
        <v/>
      </c>
      <c r="BC58" s="1221" t="str">
        <f t="shared" si="40"/>
        <v/>
      </c>
      <c r="BD58" s="1221" t="str">
        <f t="shared" si="40"/>
        <v/>
      </c>
      <c r="BE58" s="1222" t="str">
        <f t="shared" si="40"/>
        <v/>
      </c>
      <c r="BF58" s="1221" t="str">
        <f t="shared" si="40"/>
        <v/>
      </c>
      <c r="BG58" s="1223" t="str">
        <f t="shared" si="40"/>
        <v/>
      </c>
      <c r="BH58" s="286">
        <f t="shared" si="29"/>
        <v>0</v>
      </c>
      <c r="BI58" s="286">
        <f t="shared" si="33"/>
        <v>0</v>
      </c>
      <c r="BJ58" s="287" t="str">
        <f t="shared" si="30"/>
        <v>perlu dimaksimalkan</v>
      </c>
      <c r="BK58" s="287" t="str">
        <f t="shared" si="30"/>
        <v>perlu dimaksimalkan</v>
      </c>
      <c r="BL58" s="286" t="e">
        <f t="shared" si="34"/>
        <v>#N/A</v>
      </c>
      <c r="BM58" s="288" t="e">
        <f t="shared" si="31"/>
        <v>#N/A</v>
      </c>
      <c r="BN58" s="289" t="str">
        <f>IF(AV58="","",IFERROR("Memiliki keterampilan "&amp;IF(BJ58=BK58,BJ58&amp;" dalam "&amp;VLOOKUP(BL58,'KD-PA'!$I$21:$N$30,'KD-PA'!F53+1)&amp;" dan "&amp;VLOOKUP(BM58,'KD-PA'!$I$21:$N$30,'KD-PA'!F53+1),BJ58&amp;" dalam "&amp;VLOOKUP(BL58,'KD-PA'!$I$21:$N$30,'KD-PA'!F53+1)&amp;", "&amp;BK58&amp;" keterampilan dalam "&amp;VLOOKUP(BM58,'KD-PA'!$I$21:$N$30,'KD-PA'!F53+1)),""))</f>
        <v/>
      </c>
      <c r="BO58" s="305"/>
    </row>
    <row r="59" spans="1:67" ht="33" customHeight="1">
      <c r="A59" s="67"/>
      <c r="B59" s="272" t="str">
        <f t="shared" si="39"/>
        <v/>
      </c>
      <c r="C59" s="273" t="str">
        <f>IF(Data!F50="","",Data!F50)</f>
        <v/>
      </c>
      <c r="D59" s="274" t="str">
        <f>IF(Data!H50="","",Data!H50)&amp;""&amp;IF('KD-PA'!G54="","","("&amp;'KD-PA'!G54&amp;")")</f>
        <v/>
      </c>
      <c r="E59" s="275" t="str">
        <f>IF(Data!I50="","",Data!I50)</f>
        <v/>
      </c>
      <c r="F59" s="276"/>
      <c r="G59" s="277"/>
      <c r="H59" s="277"/>
      <c r="I59" s="277"/>
      <c r="J59" s="277"/>
      <c r="K59" s="277"/>
      <c r="L59" s="277"/>
      <c r="M59" s="280"/>
      <c r="N59" s="277"/>
      <c r="O59" s="278"/>
      <c r="P59" s="279" t="str">
        <f t="shared" si="21"/>
        <v/>
      </c>
      <c r="Q59" s="277"/>
      <c r="R59" s="280"/>
      <c r="S59" s="281" t="str">
        <f t="shared" si="22"/>
        <v/>
      </c>
      <c r="T59" s="295" t="str">
        <f t="shared" si="23"/>
        <v/>
      </c>
      <c r="U59" s="1215" t="str">
        <f t="shared" si="38"/>
        <v/>
      </c>
      <c r="V59" s="1216" t="str">
        <f t="shared" si="38"/>
        <v/>
      </c>
      <c r="W59" s="1216" t="str">
        <f t="shared" si="38"/>
        <v/>
      </c>
      <c r="X59" s="1216" t="str">
        <f t="shared" si="38"/>
        <v/>
      </c>
      <c r="Y59" s="1216" t="str">
        <f t="shared" si="38"/>
        <v/>
      </c>
      <c r="Z59" s="1216" t="str">
        <f t="shared" si="37"/>
        <v/>
      </c>
      <c r="AA59" s="1216" t="str">
        <f t="shared" si="37"/>
        <v/>
      </c>
      <c r="AB59" s="1217" t="str">
        <f t="shared" si="37"/>
        <v/>
      </c>
      <c r="AC59" s="1216" t="str">
        <f t="shared" si="37"/>
        <v/>
      </c>
      <c r="AD59" s="1218" t="str">
        <f t="shared" si="37"/>
        <v/>
      </c>
      <c r="AE59" s="1219">
        <f t="shared" si="24"/>
        <v>0</v>
      </c>
      <c r="AF59" s="282">
        <f t="shared" si="25"/>
        <v>0</v>
      </c>
      <c r="AG59" s="282" t="str">
        <f t="shared" si="35"/>
        <v>perlu dimaksimalkan</v>
      </c>
      <c r="AH59" s="282" t="str">
        <f t="shared" si="35"/>
        <v>perlu dimaksimalkan</v>
      </c>
      <c r="AI59" s="282" t="str">
        <f t="shared" si="26"/>
        <v/>
      </c>
      <c r="AJ59" s="283" t="str">
        <f t="shared" si="27"/>
        <v/>
      </c>
      <c r="AK59" s="284" t="str">
        <f>IF(P59="","",IFERROR("Memiliki kemampuan "&amp;IF(AG59=AH59,AG59&amp;" dalam "&amp;VLOOKUP(AI59,'KD-PA'!$I$9:$N$18,'KD-PA'!F54+1)&amp;" dan "&amp;VLOOKUP(AJ59,'KD-PA'!$I$9:$N$18,'KD-PA'!F54+1),AG59&amp;" dalam "&amp;VLOOKUP(AI59,'KD-PA'!$I$9:$N$18,'KD-PA'!F54+1)&amp;", "&amp;AH59&amp;" kemampuan dalam "&amp;VLOOKUP(AJ59,'KD-PA'!$I$9:$N$18,'KD-PA'!F54+1)),""))</f>
        <v/>
      </c>
      <c r="AL59" s="276"/>
      <c r="AM59" s="277"/>
      <c r="AN59" s="277"/>
      <c r="AO59" s="277"/>
      <c r="AP59" s="277"/>
      <c r="AQ59" s="277"/>
      <c r="AR59" s="277"/>
      <c r="AS59" s="280"/>
      <c r="AT59" s="277"/>
      <c r="AU59" s="278"/>
      <c r="AV59" s="285" t="str">
        <f t="shared" si="32"/>
        <v/>
      </c>
      <c r="AW59" s="296" t="str">
        <f t="shared" si="28"/>
        <v/>
      </c>
      <c r="AX59" s="1220" t="str">
        <f t="shared" si="41"/>
        <v/>
      </c>
      <c r="AY59" s="1221" t="str">
        <f t="shared" si="41"/>
        <v/>
      </c>
      <c r="AZ59" s="1221" t="str">
        <f t="shared" si="41"/>
        <v/>
      </c>
      <c r="BA59" s="1221" t="str">
        <f t="shared" si="41"/>
        <v/>
      </c>
      <c r="BB59" s="1221" t="str">
        <f t="shared" si="41"/>
        <v/>
      </c>
      <c r="BC59" s="1221" t="str">
        <f t="shared" si="40"/>
        <v/>
      </c>
      <c r="BD59" s="1221" t="str">
        <f t="shared" si="40"/>
        <v/>
      </c>
      <c r="BE59" s="1222" t="str">
        <f t="shared" si="40"/>
        <v/>
      </c>
      <c r="BF59" s="1221" t="str">
        <f t="shared" si="40"/>
        <v/>
      </c>
      <c r="BG59" s="1223" t="str">
        <f t="shared" si="40"/>
        <v/>
      </c>
      <c r="BH59" s="286">
        <f t="shared" si="29"/>
        <v>0</v>
      </c>
      <c r="BI59" s="286">
        <f t="shared" si="33"/>
        <v>0</v>
      </c>
      <c r="BJ59" s="287" t="str">
        <f t="shared" si="30"/>
        <v>perlu dimaksimalkan</v>
      </c>
      <c r="BK59" s="287" t="str">
        <f t="shared" si="30"/>
        <v>perlu dimaksimalkan</v>
      </c>
      <c r="BL59" s="286" t="e">
        <f t="shared" si="34"/>
        <v>#N/A</v>
      </c>
      <c r="BM59" s="288" t="e">
        <f t="shared" si="31"/>
        <v>#N/A</v>
      </c>
      <c r="BN59" s="289" t="str">
        <f>IF(AV59="","",IFERROR("Memiliki keterampilan "&amp;IF(BJ59=BK59,BJ59&amp;" dalam "&amp;VLOOKUP(BL59,'KD-PA'!$I$21:$N$30,'KD-PA'!F54+1)&amp;" dan "&amp;VLOOKUP(BM59,'KD-PA'!$I$21:$N$30,'KD-PA'!F54+1),BJ59&amp;" dalam "&amp;VLOOKUP(BL59,'KD-PA'!$I$21:$N$30,'KD-PA'!F54+1)&amp;", "&amp;BK59&amp;" keterampilan dalam "&amp;VLOOKUP(BM59,'KD-PA'!$I$21:$N$30,'KD-PA'!F54+1)),""))</f>
        <v/>
      </c>
      <c r="BO59" s="305"/>
    </row>
    <row r="60" spans="1:67" ht="33" customHeight="1">
      <c r="A60" s="67"/>
      <c r="B60" s="272" t="str">
        <f t="shared" si="39"/>
        <v/>
      </c>
      <c r="C60" s="273" t="str">
        <f>IF(Data!F51="","",Data!F51)</f>
        <v/>
      </c>
      <c r="D60" s="274" t="str">
        <f>IF(Data!H51="","",Data!H51)&amp;""&amp;IF('KD-PA'!G55="","","("&amp;'KD-PA'!G55&amp;")")</f>
        <v/>
      </c>
      <c r="E60" s="275" t="str">
        <f>IF(Data!I51="","",Data!I51)</f>
        <v/>
      </c>
      <c r="F60" s="276"/>
      <c r="G60" s="277"/>
      <c r="H60" s="277"/>
      <c r="I60" s="277"/>
      <c r="J60" s="277"/>
      <c r="K60" s="277"/>
      <c r="L60" s="277"/>
      <c r="M60" s="280"/>
      <c r="N60" s="277"/>
      <c r="O60" s="278"/>
      <c r="P60" s="279" t="str">
        <f t="shared" si="21"/>
        <v/>
      </c>
      <c r="Q60" s="277"/>
      <c r="R60" s="280"/>
      <c r="S60" s="281" t="str">
        <f t="shared" si="22"/>
        <v/>
      </c>
      <c r="T60" s="295" t="str">
        <f t="shared" si="23"/>
        <v/>
      </c>
      <c r="U60" s="1215" t="str">
        <f t="shared" si="38"/>
        <v/>
      </c>
      <c r="V60" s="1216" t="str">
        <f t="shared" si="38"/>
        <v/>
      </c>
      <c r="W60" s="1216" t="str">
        <f t="shared" si="38"/>
        <v/>
      </c>
      <c r="X60" s="1216" t="str">
        <f t="shared" si="38"/>
        <v/>
      </c>
      <c r="Y60" s="1216" t="str">
        <f t="shared" si="38"/>
        <v/>
      </c>
      <c r="Z60" s="1216" t="str">
        <f t="shared" si="37"/>
        <v/>
      </c>
      <c r="AA60" s="1216" t="str">
        <f t="shared" si="37"/>
        <v/>
      </c>
      <c r="AB60" s="1217" t="str">
        <f t="shared" si="37"/>
        <v/>
      </c>
      <c r="AC60" s="1216" t="str">
        <f t="shared" si="37"/>
        <v/>
      </c>
      <c r="AD60" s="1218" t="str">
        <f t="shared" si="37"/>
        <v/>
      </c>
      <c r="AE60" s="1219">
        <f t="shared" si="24"/>
        <v>0</v>
      </c>
      <c r="AF60" s="282">
        <f t="shared" si="25"/>
        <v>0</v>
      </c>
      <c r="AG60" s="282" t="str">
        <f t="shared" si="35"/>
        <v>perlu dimaksimalkan</v>
      </c>
      <c r="AH60" s="282" t="str">
        <f t="shared" si="35"/>
        <v>perlu dimaksimalkan</v>
      </c>
      <c r="AI60" s="282" t="str">
        <f t="shared" si="26"/>
        <v/>
      </c>
      <c r="AJ60" s="283" t="str">
        <f t="shared" si="27"/>
        <v/>
      </c>
      <c r="AK60" s="284" t="str">
        <f>IF(P60="","",IFERROR("Memiliki kemampuan "&amp;IF(AG60=AH60,AG60&amp;" dalam "&amp;VLOOKUP(AI60,'KD-PA'!$I$9:$N$18,'KD-PA'!F55+1)&amp;" dan "&amp;VLOOKUP(AJ60,'KD-PA'!$I$9:$N$18,'KD-PA'!F55+1),AG60&amp;" dalam "&amp;VLOOKUP(AI60,'KD-PA'!$I$9:$N$18,'KD-PA'!F55+1)&amp;", "&amp;AH60&amp;" kemampuan dalam "&amp;VLOOKUP(AJ60,'KD-PA'!$I$9:$N$18,'KD-PA'!F55+1)),""))</f>
        <v/>
      </c>
      <c r="AL60" s="276"/>
      <c r="AM60" s="277"/>
      <c r="AN60" s="277"/>
      <c r="AO60" s="277"/>
      <c r="AP60" s="277"/>
      <c r="AQ60" s="277"/>
      <c r="AR60" s="277"/>
      <c r="AS60" s="280"/>
      <c r="AT60" s="277"/>
      <c r="AU60" s="278"/>
      <c r="AV60" s="285" t="str">
        <f t="shared" si="32"/>
        <v/>
      </c>
      <c r="AW60" s="296" t="str">
        <f t="shared" si="28"/>
        <v/>
      </c>
      <c r="AX60" s="1220" t="str">
        <f t="shared" si="41"/>
        <v/>
      </c>
      <c r="AY60" s="1221" t="str">
        <f t="shared" si="41"/>
        <v/>
      </c>
      <c r="AZ60" s="1221" t="str">
        <f t="shared" si="41"/>
        <v/>
      </c>
      <c r="BA60" s="1221" t="str">
        <f t="shared" si="41"/>
        <v/>
      </c>
      <c r="BB60" s="1221" t="str">
        <f t="shared" si="41"/>
        <v/>
      </c>
      <c r="BC60" s="1221" t="str">
        <f t="shared" si="40"/>
        <v/>
      </c>
      <c r="BD60" s="1221" t="str">
        <f t="shared" si="40"/>
        <v/>
      </c>
      <c r="BE60" s="1222" t="str">
        <f t="shared" si="40"/>
        <v/>
      </c>
      <c r="BF60" s="1221" t="str">
        <f t="shared" si="40"/>
        <v/>
      </c>
      <c r="BG60" s="1223" t="str">
        <f t="shared" si="40"/>
        <v/>
      </c>
      <c r="BH60" s="286">
        <f t="shared" si="29"/>
        <v>0</v>
      </c>
      <c r="BI60" s="286">
        <f t="shared" si="33"/>
        <v>0</v>
      </c>
      <c r="BJ60" s="287" t="str">
        <f t="shared" si="30"/>
        <v>perlu dimaksimalkan</v>
      </c>
      <c r="BK60" s="287" t="str">
        <f t="shared" si="30"/>
        <v>perlu dimaksimalkan</v>
      </c>
      <c r="BL60" s="286" t="e">
        <f t="shared" si="34"/>
        <v>#N/A</v>
      </c>
      <c r="BM60" s="288" t="e">
        <f t="shared" si="31"/>
        <v>#N/A</v>
      </c>
      <c r="BN60" s="289" t="str">
        <f>IF(AV60="","",IFERROR("Memiliki keterampilan "&amp;IF(BJ60=BK60,BJ60&amp;" dalam "&amp;VLOOKUP(BL60,'KD-PA'!$I$21:$N$30,'KD-PA'!F55+1)&amp;" dan "&amp;VLOOKUP(BM60,'KD-PA'!$I$21:$N$30,'KD-PA'!F55+1),BJ60&amp;" dalam "&amp;VLOOKUP(BL60,'KD-PA'!$I$21:$N$30,'KD-PA'!F55+1)&amp;", "&amp;BK60&amp;" keterampilan dalam "&amp;VLOOKUP(BM60,'KD-PA'!$I$21:$N$30,'KD-PA'!F55+1)),""))</f>
        <v/>
      </c>
      <c r="BO60" s="305"/>
    </row>
    <row r="61" spans="1:67" ht="33" customHeight="1">
      <c r="A61" s="67"/>
      <c r="B61" s="272" t="str">
        <f t="shared" si="39"/>
        <v/>
      </c>
      <c r="C61" s="273" t="str">
        <f>IF(Data!F52="","",Data!F52)</f>
        <v/>
      </c>
      <c r="D61" s="274" t="str">
        <f>IF(Data!H52="","",Data!H52)&amp;""&amp;IF('KD-PA'!G56="","","("&amp;'KD-PA'!G56&amp;")")</f>
        <v/>
      </c>
      <c r="E61" s="275" t="str">
        <f>IF(Data!I52="","",Data!I52)</f>
        <v/>
      </c>
      <c r="F61" s="276"/>
      <c r="G61" s="277"/>
      <c r="H61" s="277"/>
      <c r="I61" s="277"/>
      <c r="J61" s="277"/>
      <c r="K61" s="277"/>
      <c r="L61" s="277"/>
      <c r="M61" s="280"/>
      <c r="N61" s="277"/>
      <c r="O61" s="278"/>
      <c r="P61" s="279" t="str">
        <f t="shared" si="21"/>
        <v/>
      </c>
      <c r="Q61" s="277"/>
      <c r="R61" s="280"/>
      <c r="S61" s="281" t="str">
        <f t="shared" si="22"/>
        <v/>
      </c>
      <c r="T61" s="295" t="str">
        <f t="shared" si="23"/>
        <v/>
      </c>
      <c r="U61" s="1215" t="str">
        <f t="shared" si="38"/>
        <v/>
      </c>
      <c r="V61" s="1216" t="str">
        <f t="shared" si="38"/>
        <v/>
      </c>
      <c r="W61" s="1216" t="str">
        <f t="shared" si="38"/>
        <v/>
      </c>
      <c r="X61" s="1216" t="str">
        <f t="shared" si="38"/>
        <v/>
      </c>
      <c r="Y61" s="1216" t="str">
        <f t="shared" si="38"/>
        <v/>
      </c>
      <c r="Z61" s="1216" t="str">
        <f t="shared" si="37"/>
        <v/>
      </c>
      <c r="AA61" s="1216" t="str">
        <f t="shared" si="37"/>
        <v/>
      </c>
      <c r="AB61" s="1217" t="str">
        <f t="shared" si="37"/>
        <v/>
      </c>
      <c r="AC61" s="1216" t="str">
        <f t="shared" si="37"/>
        <v/>
      </c>
      <c r="AD61" s="1218" t="str">
        <f t="shared" si="37"/>
        <v/>
      </c>
      <c r="AE61" s="1219">
        <f t="shared" si="24"/>
        <v>0</v>
      </c>
      <c r="AF61" s="282">
        <f t="shared" si="25"/>
        <v>0</v>
      </c>
      <c r="AG61" s="282" t="str">
        <f t="shared" si="35"/>
        <v>perlu dimaksimalkan</v>
      </c>
      <c r="AH61" s="282" t="str">
        <f t="shared" si="35"/>
        <v>perlu dimaksimalkan</v>
      </c>
      <c r="AI61" s="282" t="str">
        <f t="shared" si="26"/>
        <v/>
      </c>
      <c r="AJ61" s="283" t="str">
        <f t="shared" si="27"/>
        <v/>
      </c>
      <c r="AK61" s="284" t="str">
        <f>IF(P61="","",IFERROR("Memiliki kemampuan "&amp;IF(AG61=AH61,AG61&amp;" dalam "&amp;VLOOKUP(AI61,'KD-PA'!$I$9:$N$18,'KD-PA'!F56+1)&amp;" dan "&amp;VLOOKUP(AJ61,'KD-PA'!$I$9:$N$18,'KD-PA'!F56+1),AG61&amp;" dalam "&amp;VLOOKUP(AI61,'KD-PA'!$I$9:$N$18,'KD-PA'!F56+1)&amp;", "&amp;AH61&amp;" kemampuan dalam "&amp;VLOOKUP(AJ61,'KD-PA'!$I$9:$N$18,'KD-PA'!F56+1)),""))</f>
        <v/>
      </c>
      <c r="AL61" s="276"/>
      <c r="AM61" s="277"/>
      <c r="AN61" s="277"/>
      <c r="AO61" s="277"/>
      <c r="AP61" s="277"/>
      <c r="AQ61" s="277"/>
      <c r="AR61" s="277"/>
      <c r="AS61" s="280"/>
      <c r="AT61" s="277"/>
      <c r="AU61" s="278"/>
      <c r="AV61" s="285" t="str">
        <f t="shared" si="32"/>
        <v/>
      </c>
      <c r="AW61" s="296" t="str">
        <f t="shared" si="28"/>
        <v/>
      </c>
      <c r="AX61" s="1220" t="str">
        <f t="shared" si="41"/>
        <v/>
      </c>
      <c r="AY61" s="1221" t="str">
        <f t="shared" si="41"/>
        <v/>
      </c>
      <c r="AZ61" s="1221" t="str">
        <f t="shared" si="41"/>
        <v/>
      </c>
      <c r="BA61" s="1221" t="str">
        <f t="shared" si="41"/>
        <v/>
      </c>
      <c r="BB61" s="1221" t="str">
        <f t="shared" si="41"/>
        <v/>
      </c>
      <c r="BC61" s="1221" t="str">
        <f t="shared" si="40"/>
        <v/>
      </c>
      <c r="BD61" s="1221" t="str">
        <f t="shared" si="40"/>
        <v/>
      </c>
      <c r="BE61" s="1222" t="str">
        <f t="shared" si="40"/>
        <v/>
      </c>
      <c r="BF61" s="1221" t="str">
        <f t="shared" si="40"/>
        <v/>
      </c>
      <c r="BG61" s="1223" t="str">
        <f t="shared" si="40"/>
        <v/>
      </c>
      <c r="BH61" s="286">
        <f t="shared" si="29"/>
        <v>0</v>
      </c>
      <c r="BI61" s="286">
        <f t="shared" si="33"/>
        <v>0</v>
      </c>
      <c r="BJ61" s="287" t="str">
        <f t="shared" si="30"/>
        <v>perlu dimaksimalkan</v>
      </c>
      <c r="BK61" s="287" t="str">
        <f t="shared" si="30"/>
        <v>perlu dimaksimalkan</v>
      </c>
      <c r="BL61" s="286" t="e">
        <f t="shared" si="34"/>
        <v>#N/A</v>
      </c>
      <c r="BM61" s="288" t="e">
        <f t="shared" si="31"/>
        <v>#N/A</v>
      </c>
      <c r="BN61" s="289" t="str">
        <f>IF(AV61="","",IFERROR("Memiliki keterampilan "&amp;IF(BJ61=BK61,BJ61&amp;" dalam "&amp;VLOOKUP(BL61,'KD-PA'!$I$21:$N$30,'KD-PA'!F56+1)&amp;" dan "&amp;VLOOKUP(BM61,'KD-PA'!$I$21:$N$30,'KD-PA'!F56+1),BJ61&amp;" dalam "&amp;VLOOKUP(BL61,'KD-PA'!$I$21:$N$30,'KD-PA'!F56+1)&amp;", "&amp;BK61&amp;" keterampilan dalam "&amp;VLOOKUP(BM61,'KD-PA'!$I$21:$N$30,'KD-PA'!F56+1)),""))</f>
        <v/>
      </c>
      <c r="BO61" s="305"/>
    </row>
    <row r="62" spans="1:67" ht="33" customHeight="1">
      <c r="A62" s="67"/>
      <c r="B62" s="272" t="str">
        <f t="shared" si="39"/>
        <v/>
      </c>
      <c r="C62" s="273" t="str">
        <f>IF(Data!F53="","",Data!F53)</f>
        <v/>
      </c>
      <c r="D62" s="274" t="str">
        <f>IF(Data!H53="","",Data!H53)&amp;""&amp;IF('KD-PA'!G57="","","("&amp;'KD-PA'!G57&amp;")")</f>
        <v/>
      </c>
      <c r="E62" s="275" t="str">
        <f>IF(Data!I53="","",Data!I53)</f>
        <v/>
      </c>
      <c r="F62" s="276"/>
      <c r="G62" s="277"/>
      <c r="H62" s="277"/>
      <c r="I62" s="277"/>
      <c r="J62" s="277"/>
      <c r="K62" s="277"/>
      <c r="L62" s="277"/>
      <c r="M62" s="280"/>
      <c r="N62" s="277"/>
      <c r="O62" s="278"/>
      <c r="P62" s="279" t="str">
        <f t="shared" si="21"/>
        <v/>
      </c>
      <c r="Q62" s="277"/>
      <c r="R62" s="280"/>
      <c r="S62" s="281" t="str">
        <f t="shared" si="22"/>
        <v/>
      </c>
      <c r="T62" s="295" t="str">
        <f t="shared" si="23"/>
        <v/>
      </c>
      <c r="U62" s="1215" t="str">
        <f t="shared" si="38"/>
        <v/>
      </c>
      <c r="V62" s="1216" t="str">
        <f t="shared" si="38"/>
        <v/>
      </c>
      <c r="W62" s="1216" t="str">
        <f t="shared" si="38"/>
        <v/>
      </c>
      <c r="X62" s="1216" t="str">
        <f t="shared" si="38"/>
        <v/>
      </c>
      <c r="Y62" s="1216" t="str">
        <f t="shared" si="38"/>
        <v/>
      </c>
      <c r="Z62" s="1216" t="str">
        <f t="shared" si="37"/>
        <v/>
      </c>
      <c r="AA62" s="1216" t="str">
        <f t="shared" si="37"/>
        <v/>
      </c>
      <c r="AB62" s="1217" t="str">
        <f t="shared" si="37"/>
        <v/>
      </c>
      <c r="AC62" s="1216" t="str">
        <f t="shared" si="37"/>
        <v/>
      </c>
      <c r="AD62" s="1218" t="str">
        <f t="shared" si="37"/>
        <v/>
      </c>
      <c r="AE62" s="1219">
        <f t="shared" si="24"/>
        <v>0</v>
      </c>
      <c r="AF62" s="282">
        <f t="shared" si="25"/>
        <v>0</v>
      </c>
      <c r="AG62" s="282" t="str">
        <f t="shared" si="35"/>
        <v>perlu dimaksimalkan</v>
      </c>
      <c r="AH62" s="282" t="str">
        <f t="shared" si="35"/>
        <v>perlu dimaksimalkan</v>
      </c>
      <c r="AI62" s="282" t="str">
        <f t="shared" si="26"/>
        <v/>
      </c>
      <c r="AJ62" s="283" t="str">
        <f t="shared" si="27"/>
        <v/>
      </c>
      <c r="AK62" s="284" t="str">
        <f>IF(P62="","",IFERROR("Memiliki kemampuan "&amp;IF(AG62=AH62,AG62&amp;" dalam "&amp;VLOOKUP(AI62,'KD-PA'!$I$9:$N$18,'KD-PA'!F57+1)&amp;" dan "&amp;VLOOKUP(AJ62,'KD-PA'!$I$9:$N$18,'KD-PA'!F57+1),AG62&amp;" dalam "&amp;VLOOKUP(AI62,'KD-PA'!$I$9:$N$18,'KD-PA'!F57+1)&amp;", "&amp;AH62&amp;" kemampuan dalam "&amp;VLOOKUP(AJ62,'KD-PA'!$I$9:$N$18,'KD-PA'!F57+1)),""))</f>
        <v/>
      </c>
      <c r="AL62" s="276"/>
      <c r="AM62" s="277"/>
      <c r="AN62" s="277"/>
      <c r="AO62" s="277"/>
      <c r="AP62" s="277"/>
      <c r="AQ62" s="277"/>
      <c r="AR62" s="277"/>
      <c r="AS62" s="280"/>
      <c r="AT62" s="277"/>
      <c r="AU62" s="278"/>
      <c r="AV62" s="285" t="str">
        <f t="shared" si="32"/>
        <v/>
      </c>
      <c r="AW62" s="296" t="str">
        <f t="shared" si="28"/>
        <v/>
      </c>
      <c r="AX62" s="1220" t="str">
        <f t="shared" si="41"/>
        <v/>
      </c>
      <c r="AY62" s="1221" t="str">
        <f t="shared" si="41"/>
        <v/>
      </c>
      <c r="AZ62" s="1221" t="str">
        <f t="shared" si="41"/>
        <v/>
      </c>
      <c r="BA62" s="1221" t="str">
        <f t="shared" si="41"/>
        <v/>
      </c>
      <c r="BB62" s="1221" t="str">
        <f t="shared" si="41"/>
        <v/>
      </c>
      <c r="BC62" s="1221" t="str">
        <f t="shared" si="40"/>
        <v/>
      </c>
      <c r="BD62" s="1221" t="str">
        <f t="shared" si="40"/>
        <v/>
      </c>
      <c r="BE62" s="1222" t="str">
        <f t="shared" si="40"/>
        <v/>
      </c>
      <c r="BF62" s="1221" t="str">
        <f t="shared" si="40"/>
        <v/>
      </c>
      <c r="BG62" s="1223" t="str">
        <f t="shared" si="40"/>
        <v/>
      </c>
      <c r="BH62" s="286">
        <f t="shared" si="29"/>
        <v>0</v>
      </c>
      <c r="BI62" s="286">
        <f t="shared" si="33"/>
        <v>0</v>
      </c>
      <c r="BJ62" s="287" t="str">
        <f t="shared" si="30"/>
        <v>perlu dimaksimalkan</v>
      </c>
      <c r="BK62" s="287" t="str">
        <f t="shared" si="30"/>
        <v>perlu dimaksimalkan</v>
      </c>
      <c r="BL62" s="286" t="e">
        <f t="shared" si="34"/>
        <v>#N/A</v>
      </c>
      <c r="BM62" s="288" t="e">
        <f t="shared" si="31"/>
        <v>#N/A</v>
      </c>
      <c r="BN62" s="289" t="str">
        <f>IF(AV62="","",IFERROR("Memiliki keterampilan "&amp;IF(BJ62=BK62,BJ62&amp;" dalam "&amp;VLOOKUP(BL62,'KD-PA'!$I$21:$N$30,'KD-PA'!F57+1)&amp;" dan "&amp;VLOOKUP(BM62,'KD-PA'!$I$21:$N$30,'KD-PA'!F57+1),BJ62&amp;" dalam "&amp;VLOOKUP(BL62,'KD-PA'!$I$21:$N$30,'KD-PA'!F57+1)&amp;", "&amp;BK62&amp;" keterampilan dalam "&amp;VLOOKUP(BM62,'KD-PA'!$I$21:$N$30,'KD-PA'!F57+1)),""))</f>
        <v/>
      </c>
      <c r="BO62" s="305"/>
    </row>
    <row r="63" spans="1:67" ht="33" customHeight="1">
      <c r="A63" s="67"/>
      <c r="B63" s="272" t="str">
        <f t="shared" si="39"/>
        <v/>
      </c>
      <c r="C63" s="273" t="str">
        <f>IF(Data!F54="","",Data!F54)</f>
        <v/>
      </c>
      <c r="D63" s="274" t="str">
        <f>IF(Data!H54="","",Data!H54)&amp;""&amp;IF('KD-PA'!G58="","","("&amp;'KD-PA'!G58&amp;")")</f>
        <v/>
      </c>
      <c r="E63" s="275" t="str">
        <f>IF(Data!I54="","",Data!I54)</f>
        <v/>
      </c>
      <c r="F63" s="276"/>
      <c r="G63" s="277"/>
      <c r="H63" s="277"/>
      <c r="I63" s="277"/>
      <c r="J63" s="277"/>
      <c r="K63" s="277"/>
      <c r="L63" s="277"/>
      <c r="M63" s="280"/>
      <c r="N63" s="277"/>
      <c r="O63" s="278"/>
      <c r="P63" s="279" t="str">
        <f t="shared" si="21"/>
        <v/>
      </c>
      <c r="Q63" s="277"/>
      <c r="R63" s="280"/>
      <c r="S63" s="281" t="str">
        <f t="shared" si="22"/>
        <v/>
      </c>
      <c r="T63" s="295" t="str">
        <f t="shared" si="23"/>
        <v/>
      </c>
      <c r="U63" s="1215" t="str">
        <f t="shared" si="38"/>
        <v/>
      </c>
      <c r="V63" s="1216" t="str">
        <f t="shared" si="38"/>
        <v/>
      </c>
      <c r="W63" s="1216" t="str">
        <f t="shared" si="38"/>
        <v/>
      </c>
      <c r="X63" s="1216" t="str">
        <f t="shared" si="38"/>
        <v/>
      </c>
      <c r="Y63" s="1216" t="str">
        <f t="shared" si="38"/>
        <v/>
      </c>
      <c r="Z63" s="1216" t="str">
        <f t="shared" si="37"/>
        <v/>
      </c>
      <c r="AA63" s="1216" t="str">
        <f t="shared" si="37"/>
        <v/>
      </c>
      <c r="AB63" s="1217" t="str">
        <f t="shared" si="37"/>
        <v/>
      </c>
      <c r="AC63" s="1216" t="str">
        <f t="shared" si="37"/>
        <v/>
      </c>
      <c r="AD63" s="1218" t="str">
        <f t="shared" si="37"/>
        <v/>
      </c>
      <c r="AE63" s="1219">
        <f t="shared" si="24"/>
        <v>0</v>
      </c>
      <c r="AF63" s="282">
        <f t="shared" si="25"/>
        <v>0</v>
      </c>
      <c r="AG63" s="282" t="str">
        <f t="shared" si="35"/>
        <v>perlu dimaksimalkan</v>
      </c>
      <c r="AH63" s="282" t="str">
        <f t="shared" si="35"/>
        <v>perlu dimaksimalkan</v>
      </c>
      <c r="AI63" s="282" t="str">
        <f t="shared" si="26"/>
        <v/>
      </c>
      <c r="AJ63" s="283" t="str">
        <f t="shared" si="27"/>
        <v/>
      </c>
      <c r="AK63" s="284" t="str">
        <f>IF(P63="","",IFERROR("Memiliki kemampuan "&amp;IF(AG63=AH63,AG63&amp;" dalam "&amp;VLOOKUP(AI63,'KD-PA'!$I$9:$N$18,'KD-PA'!F58+1)&amp;" dan "&amp;VLOOKUP(AJ63,'KD-PA'!$I$9:$N$18,'KD-PA'!F58+1),AG63&amp;" dalam "&amp;VLOOKUP(AI63,'KD-PA'!$I$9:$N$18,'KD-PA'!F58+1)&amp;", "&amp;AH63&amp;" kemampuan dalam "&amp;VLOOKUP(AJ63,'KD-PA'!$I$9:$N$18,'KD-PA'!F58+1)),""))</f>
        <v/>
      </c>
      <c r="AL63" s="276"/>
      <c r="AM63" s="277"/>
      <c r="AN63" s="277"/>
      <c r="AO63" s="277"/>
      <c r="AP63" s="277"/>
      <c r="AQ63" s="277"/>
      <c r="AR63" s="277"/>
      <c r="AS63" s="280"/>
      <c r="AT63" s="277"/>
      <c r="AU63" s="278"/>
      <c r="AV63" s="285" t="str">
        <f t="shared" si="32"/>
        <v/>
      </c>
      <c r="AW63" s="296" t="str">
        <f t="shared" si="28"/>
        <v/>
      </c>
      <c r="AX63" s="1220" t="str">
        <f t="shared" si="41"/>
        <v/>
      </c>
      <c r="AY63" s="1221" t="str">
        <f t="shared" si="41"/>
        <v/>
      </c>
      <c r="AZ63" s="1221" t="str">
        <f t="shared" si="41"/>
        <v/>
      </c>
      <c r="BA63" s="1221" t="str">
        <f t="shared" si="41"/>
        <v/>
      </c>
      <c r="BB63" s="1221" t="str">
        <f t="shared" si="41"/>
        <v/>
      </c>
      <c r="BC63" s="1221" t="str">
        <f t="shared" si="40"/>
        <v/>
      </c>
      <c r="BD63" s="1221" t="str">
        <f t="shared" si="40"/>
        <v/>
      </c>
      <c r="BE63" s="1222" t="str">
        <f t="shared" si="40"/>
        <v/>
      </c>
      <c r="BF63" s="1221" t="str">
        <f t="shared" si="40"/>
        <v/>
      </c>
      <c r="BG63" s="1223" t="str">
        <f t="shared" si="40"/>
        <v/>
      </c>
      <c r="BH63" s="286">
        <f t="shared" si="29"/>
        <v>0</v>
      </c>
      <c r="BI63" s="286">
        <f t="shared" si="33"/>
        <v>0</v>
      </c>
      <c r="BJ63" s="287" t="str">
        <f t="shared" si="30"/>
        <v>perlu dimaksimalkan</v>
      </c>
      <c r="BK63" s="287" t="str">
        <f t="shared" si="30"/>
        <v>perlu dimaksimalkan</v>
      </c>
      <c r="BL63" s="286" t="e">
        <f t="shared" si="34"/>
        <v>#N/A</v>
      </c>
      <c r="BM63" s="288" t="e">
        <f t="shared" si="31"/>
        <v>#N/A</v>
      </c>
      <c r="BN63" s="289" t="str">
        <f>IF(AV63="","",IFERROR("Memiliki keterampilan "&amp;IF(BJ63=BK63,BJ63&amp;" dalam "&amp;VLOOKUP(BL63,'KD-PA'!$I$21:$N$30,'KD-PA'!F58+1)&amp;" dan "&amp;VLOOKUP(BM63,'KD-PA'!$I$21:$N$30,'KD-PA'!F58+1),BJ63&amp;" dalam "&amp;VLOOKUP(BL63,'KD-PA'!$I$21:$N$30,'KD-PA'!F58+1)&amp;", "&amp;BK63&amp;" keterampilan dalam "&amp;VLOOKUP(BM63,'KD-PA'!$I$21:$N$30,'KD-PA'!F58+1)),""))</f>
        <v/>
      </c>
      <c r="BO63" s="305"/>
    </row>
    <row r="64" spans="1:67">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305"/>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305"/>
    </row>
    <row r="66" spans="1:67"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305"/>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305"/>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2">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305"/>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2"/>
        <v>85</v>
      </c>
      <c r="AM69" s="349" t="s">
        <v>5</v>
      </c>
      <c r="AN69" s="347">
        <f t="shared" ref="AN69" si="43">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305"/>
    </row>
    <row r="70" spans="1:67" ht="12.75" hidden="1" customHeight="1">
      <c r="A70" s="67"/>
      <c r="B70" s="81"/>
      <c r="C70" s="87"/>
      <c r="D70" s="81"/>
      <c r="E70" s="81"/>
      <c r="F70" s="347">
        <f>Data2!G4</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305"/>
    </row>
    <row r="71" spans="1:67"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44">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305"/>
    </row>
    <row r="72" spans="1:67"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305"/>
    </row>
    <row r="73" spans="1:67" hidden="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idden="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idden="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45">I75</f>
        <v>sangat baik</v>
      </c>
      <c r="AP75" s="1358"/>
      <c r="AQ75" s="1358"/>
      <c r="AR75" s="1358"/>
      <c r="AS75" s="1358"/>
      <c r="AT75" s="1358"/>
      <c r="AU75" s="1359"/>
      <c r="AV75" s="9" t="str">
        <f>Data2!L12</f>
        <v>A</v>
      </c>
    </row>
    <row r="76" spans="1:67" hidden="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46">F76</f>
        <v>85</v>
      </c>
      <c r="AM76" s="7" t="s">
        <v>5</v>
      </c>
      <c r="AN76" s="9">
        <f t="shared" si="46"/>
        <v>92.5</v>
      </c>
      <c r="AO76" s="1357" t="str">
        <f>I76</f>
        <v>baik</v>
      </c>
      <c r="AP76" s="1358"/>
      <c r="AQ76" s="1358"/>
      <c r="AR76" s="1358"/>
      <c r="AS76" s="1358"/>
      <c r="AT76" s="1358"/>
      <c r="AU76" s="1359"/>
      <c r="AV76" s="9" t="str">
        <f>Data2!L13</f>
        <v>B</v>
      </c>
    </row>
    <row r="77" spans="1:67" hidden="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46"/>
        <v>76</v>
      </c>
      <c r="AM77" s="7" t="s">
        <v>5</v>
      </c>
      <c r="AN77" s="9">
        <f t="shared" si="46"/>
        <v>84.5</v>
      </c>
      <c r="AO77" s="1357" t="str">
        <f t="shared" ref="AO77:AO78" si="47">I77</f>
        <v>cukup</v>
      </c>
      <c r="AP77" s="1358"/>
      <c r="AQ77" s="1358"/>
      <c r="AR77" s="1358"/>
      <c r="AS77" s="1358"/>
      <c r="AT77" s="1358"/>
      <c r="AU77" s="1359"/>
      <c r="AV77" s="9" t="str">
        <f>Data2!L14</f>
        <v>C</v>
      </c>
    </row>
    <row r="78" spans="1:67" hidden="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46"/>
        <v>0</v>
      </c>
      <c r="AM78" s="7" t="s">
        <v>5</v>
      </c>
      <c r="AN78" s="9">
        <f t="shared" si="46"/>
        <v>75.5</v>
      </c>
      <c r="AO78" s="1357" t="str">
        <f t="shared" si="47"/>
        <v>perlu dimaksimalkan</v>
      </c>
      <c r="AP78" s="1358"/>
      <c r="AQ78" s="1358"/>
      <c r="AR78" s="1358"/>
      <c r="AS78" s="1358"/>
      <c r="AT78" s="1358"/>
      <c r="AU78" s="1359"/>
      <c r="AV78" s="9" t="str">
        <f>Data2!L15</f>
        <v>D</v>
      </c>
    </row>
    <row r="79" spans="1:67" hidden="1"/>
    <row r="80" spans="1:67" hidden="1">
      <c r="N80" s="1"/>
      <c r="O80" s="1"/>
      <c r="P80" s="1"/>
      <c r="Q80" s="1"/>
      <c r="AT80" s="1"/>
      <c r="AU80" s="1"/>
      <c r="AV80" s="1"/>
    </row>
    <row r="81" spans="3:48" hidden="1"/>
    <row r="82" spans="3:48" hidden="1">
      <c r="C82" s="2"/>
      <c r="AL82" s="10"/>
      <c r="AM82" s="8"/>
      <c r="AN82" s="10"/>
      <c r="AO82" s="1657"/>
      <c r="AP82" s="1657"/>
      <c r="AQ82" s="1657"/>
      <c r="AR82" s="1657"/>
      <c r="AS82" s="1657"/>
      <c r="AT82" s="1657"/>
      <c r="AU82" s="1657"/>
      <c r="AV82" s="1657"/>
    </row>
    <row r="83" spans="3:48" hidden="1">
      <c r="C83" s="2"/>
      <c r="AL83" s="10"/>
      <c r="AM83" s="8"/>
      <c r="AN83" s="10"/>
      <c r="AO83" s="1657"/>
      <c r="AP83" s="1657"/>
      <c r="AQ83" s="1657"/>
      <c r="AR83" s="1657"/>
      <c r="AS83" s="1657"/>
      <c r="AT83" s="1657"/>
      <c r="AU83" s="1657"/>
      <c r="AV83" s="1657"/>
    </row>
    <row r="84" spans="3:48" hidden="1">
      <c r="C84" s="2"/>
      <c r="AL84" s="10"/>
      <c r="AM84" s="8"/>
      <c r="AN84" s="10"/>
      <c r="AO84" s="105"/>
      <c r="AP84" s="105"/>
      <c r="AQ84" s="105"/>
      <c r="AR84" s="1159"/>
      <c r="AS84" s="1159"/>
      <c r="AT84" s="105"/>
      <c r="AU84" s="105"/>
      <c r="AV84" s="111"/>
    </row>
    <row r="85" spans="3:48" hidden="1">
      <c r="C85" s="2"/>
      <c r="AL85" s="10"/>
      <c r="AM85" s="8"/>
      <c r="AN85" s="10"/>
      <c r="AO85" s="105"/>
      <c r="AP85" s="105"/>
      <c r="AQ85" s="105"/>
      <c r="AR85" s="1159"/>
      <c r="AS85" s="1159"/>
      <c r="AT85" s="105"/>
      <c r="AU85" s="105"/>
      <c r="AV85" s="111"/>
    </row>
    <row r="86" spans="3:48" hidden="1"/>
    <row r="87" spans="3:48" hidden="1"/>
    <row r="88" spans="3:48" hidden="1"/>
    <row r="89" spans="3:48" hidden="1"/>
    <row r="90" spans="3:48" hidden="1"/>
    <row r="91" spans="3:48" hidden="1"/>
    <row r="92" spans="3:48" hidden="1"/>
    <row r="93" spans="3:48" hidden="1"/>
    <row r="94" spans="3:48" hidden="1"/>
    <row r="95" spans="3:48" hidden="1"/>
    <row r="96" spans="3:48" hidden="1"/>
    <row r="97" hidden="1"/>
  </sheetData>
  <mergeCells count="92">
    <mergeCell ref="AR12:AR13"/>
    <mergeCell ref="AS12:AS13"/>
    <mergeCell ref="AT12:AT13"/>
    <mergeCell ref="AU12:AU13"/>
    <mergeCell ref="AV2:AV3"/>
    <mergeCell ref="AW2:AW3"/>
    <mergeCell ref="BN2:BN3"/>
    <mergeCell ref="T3:T7"/>
    <mergeCell ref="AK3:AK7"/>
    <mergeCell ref="AV4:AV7"/>
    <mergeCell ref="AW5:BN7"/>
    <mergeCell ref="AM6:AU9"/>
    <mergeCell ref="AV8:AV11"/>
    <mergeCell ref="AW9:BN11"/>
    <mergeCell ref="T10:T11"/>
    <mergeCell ref="AK10:AK11"/>
    <mergeCell ref="AL10:AL11"/>
    <mergeCell ref="AM10:AU11"/>
    <mergeCell ref="D1:E2"/>
    <mergeCell ref="B3:C4"/>
    <mergeCell ref="D3:E6"/>
    <mergeCell ref="B6:C6"/>
    <mergeCell ref="B7:C7"/>
    <mergeCell ref="D7:E9"/>
    <mergeCell ref="B8:C8"/>
    <mergeCell ref="B9:C9"/>
    <mergeCell ref="B1:C2"/>
    <mergeCell ref="F10:F11"/>
    <mergeCell ref="G10:R11"/>
    <mergeCell ref="AM1:AU1"/>
    <mergeCell ref="G2:R2"/>
    <mergeCell ref="AL2:AL3"/>
    <mergeCell ref="AM2:AU3"/>
    <mergeCell ref="F1:R1"/>
    <mergeCell ref="F3:F6"/>
    <mergeCell ref="G3:R6"/>
    <mergeCell ref="AL4:AL5"/>
    <mergeCell ref="AM4:AU5"/>
    <mergeCell ref="AL6:AL7"/>
    <mergeCell ref="F7:F9"/>
    <mergeCell ref="G7:R9"/>
    <mergeCell ref="F74:H74"/>
    <mergeCell ref="I74:Q74"/>
    <mergeCell ref="F73:Q73"/>
    <mergeCell ref="I70:Q70"/>
    <mergeCell ref="I71:Q71"/>
    <mergeCell ref="AI13:AJ13"/>
    <mergeCell ref="AL67:AN67"/>
    <mergeCell ref="AL65:AV65"/>
    <mergeCell ref="I78:P78"/>
    <mergeCell ref="I67:Q67"/>
    <mergeCell ref="I69:Q69"/>
    <mergeCell ref="I68:Q68"/>
    <mergeCell ref="I75:P75"/>
    <mergeCell ref="I76:P76"/>
    <mergeCell ref="I77:P77"/>
    <mergeCell ref="AL12:AL13"/>
    <mergeCell ref="AM12:AM13"/>
    <mergeCell ref="AN12:AN13"/>
    <mergeCell ref="AO12:AO13"/>
    <mergeCell ref="AP12:AP13"/>
    <mergeCell ref="AQ12:AQ13"/>
    <mergeCell ref="AO67:AV67"/>
    <mergeCell ref="AL66:AV66"/>
    <mergeCell ref="F66:Q66"/>
    <mergeCell ref="F67:H67"/>
    <mergeCell ref="F65:Q65"/>
    <mergeCell ref="BN12:BN13"/>
    <mergeCell ref="BJ13:BK13"/>
    <mergeCell ref="BL13:BM13"/>
    <mergeCell ref="AW12:AW13"/>
    <mergeCell ref="B10:C11"/>
    <mergeCell ref="D10:E11"/>
    <mergeCell ref="B12:B13"/>
    <mergeCell ref="C12:C13"/>
    <mergeCell ref="D12:D13"/>
    <mergeCell ref="E12:E13"/>
    <mergeCell ref="AV12:AV13"/>
    <mergeCell ref="S12:S13"/>
    <mergeCell ref="AK12:AK13"/>
    <mergeCell ref="F12:O12"/>
    <mergeCell ref="T12:T13"/>
    <mergeCell ref="AG13:AH13"/>
    <mergeCell ref="AO83:AV83"/>
    <mergeCell ref="AO68:AV68"/>
    <mergeCell ref="AO69:AV69"/>
    <mergeCell ref="AO70:AV70"/>
    <mergeCell ref="AO71:AV71"/>
    <mergeCell ref="AL73:AV73"/>
    <mergeCell ref="AO82:AV82"/>
    <mergeCell ref="AL74:AN74"/>
    <mergeCell ref="AO74:AV74"/>
  </mergeCells>
  <conditionalFormatting sqref="B14:E63">
    <cfRule type="expression" dxfId="6298" priority="712">
      <formula>AND($B14&lt;&gt;"",$B15="")</formula>
    </cfRule>
    <cfRule type="expression" dxfId="6297" priority="713">
      <formula>$B14=""</formula>
    </cfRule>
  </conditionalFormatting>
  <conditionalFormatting sqref="B56:E56">
    <cfRule type="expression" dxfId="6296" priority="805">
      <formula>AND($B56&lt;&gt;"",$B63="")</formula>
    </cfRule>
    <cfRule type="expression" dxfId="6295" priority="806">
      <formula>$B56=""</formula>
    </cfRule>
  </conditionalFormatting>
  <conditionalFormatting sqref="B50:E50">
    <cfRule type="expression" dxfId="6294" priority="1121">
      <formula>AND($B50&lt;&gt;"",$B63="")</formula>
    </cfRule>
    <cfRule type="expression" dxfId="6293" priority="1122">
      <formula>$B50=""</formula>
    </cfRule>
  </conditionalFormatting>
  <conditionalFormatting sqref="B43:E44">
    <cfRule type="expression" dxfId="6292" priority="1239">
      <formula>AND($B43&lt;&gt;"",$B62="")</formula>
    </cfRule>
    <cfRule type="expression" dxfId="6291" priority="1240">
      <formula>$B43=""</formula>
    </cfRule>
  </conditionalFormatting>
  <conditionalFormatting sqref="B63:E63">
    <cfRule type="expression" dxfId="6290" priority="1375">
      <formula>AND($B63&lt;&gt;"",#REF!="")</formula>
    </cfRule>
    <cfRule type="expression" dxfId="6289" priority="1376">
      <formula>$B63=""</formula>
    </cfRule>
  </conditionalFormatting>
  <conditionalFormatting sqref="B61:E61">
    <cfRule type="expression" dxfId="6288" priority="1427">
      <formula>AND($B61&lt;&gt;"",$B64="")</formula>
    </cfRule>
    <cfRule type="expression" dxfId="6287" priority="1428">
      <formula>$B61=""</formula>
    </cfRule>
  </conditionalFormatting>
  <conditionalFormatting sqref="B57:E60">
    <cfRule type="expression" dxfId="6286" priority="1429">
      <formula>AND($B57&lt;&gt;"",#REF!="")</formula>
    </cfRule>
    <cfRule type="expression" dxfId="6285" priority="1430">
      <formula>$B57=""</formula>
    </cfRule>
  </conditionalFormatting>
  <conditionalFormatting sqref="B55:E55">
    <cfRule type="expression" dxfId="6284" priority="1437">
      <formula>AND($B55&lt;&gt;"",$B64="")</formula>
    </cfRule>
    <cfRule type="expression" dxfId="6283" priority="1438">
      <formula>$B55=""</formula>
    </cfRule>
  </conditionalFormatting>
  <conditionalFormatting sqref="B51:E54">
    <cfRule type="expression" dxfId="6282" priority="1439">
      <formula>AND($B51&lt;&gt;"",#REF!="")</formula>
    </cfRule>
    <cfRule type="expression" dxfId="6281" priority="1440">
      <formula>$B51=""</formula>
    </cfRule>
  </conditionalFormatting>
  <conditionalFormatting sqref="B49:E49">
    <cfRule type="expression" dxfId="6280" priority="1445">
      <formula>AND($B49&lt;&gt;"",$B64="")</formula>
    </cfRule>
    <cfRule type="expression" dxfId="6279" priority="1446">
      <formula>$B49=""</formula>
    </cfRule>
  </conditionalFormatting>
  <conditionalFormatting sqref="B45:E63">
    <cfRule type="expression" dxfId="6278" priority="1447">
      <formula>AND($B45&lt;&gt;"",#REF!="")</formula>
    </cfRule>
    <cfRule type="expression" dxfId="6277" priority="1448">
      <formula>$B45=""</formula>
    </cfRule>
  </conditionalFormatting>
  <conditionalFormatting sqref="R70 F66:Q71">
    <cfRule type="expression" dxfId="6276" priority="1451">
      <formula>$F$65="kkm tunggal"</formula>
    </cfRule>
  </conditionalFormatting>
  <conditionalFormatting sqref="AW70:BG70 AL66:AV71">
    <cfRule type="expression" dxfId="6275" priority="1452">
      <formula>$AL$65="KKM TUNGGAL"</formula>
    </cfRule>
  </conditionalFormatting>
  <conditionalFormatting sqref="B61:E63">
    <cfRule type="expression" dxfId="6274" priority="2932">
      <formula>AND($B61&lt;&gt;"",$B65="")</formula>
    </cfRule>
    <cfRule type="expression" dxfId="6273" priority="2933">
      <formula>$B61=""</formula>
    </cfRule>
  </conditionalFormatting>
  <conditionalFormatting sqref="B50:E60">
    <cfRule type="expression" dxfId="6272" priority="2934">
      <formula>AND($B50&lt;&gt;"",#REF!="")</formula>
    </cfRule>
    <cfRule type="expression" dxfId="6271" priority="2935">
      <formula>$B50=""</formula>
    </cfRule>
  </conditionalFormatting>
  <conditionalFormatting sqref="P51:S63 AE14:AK63 BN14:BN63 AV14:AW63 P14:P50 S14:S50">
    <cfRule type="expression" dxfId="6270" priority="291">
      <formula>AND($B14&lt;&gt;"",$B15="")</formula>
    </cfRule>
    <cfRule type="expression" dxfId="6269" priority="292">
      <formula>$B14=""</formula>
    </cfRule>
  </conditionalFormatting>
  <conditionalFormatting sqref="T14:T63">
    <cfRule type="expression" dxfId="6268" priority="289">
      <formula>AND($B14&lt;&gt;"",$B15="")</formula>
    </cfRule>
    <cfRule type="expression" dxfId="6267" priority="290">
      <formula>$B14=""</formula>
    </cfRule>
  </conditionalFormatting>
  <conditionalFormatting sqref="AV14">
    <cfRule type="expression" dxfId="6266" priority="287">
      <formula>AND($B14&lt;&gt;"",$B15="")</formula>
    </cfRule>
    <cfRule type="expression" dxfId="6265" priority="288">
      <formula>$B14=""</formula>
    </cfRule>
  </conditionalFormatting>
  <conditionalFormatting sqref="AE56:AK56 P56:S56 AV56:AW56 BN56">
    <cfRule type="expression" dxfId="6264" priority="293">
      <formula>AND($B56&lt;&gt;"",$B63="")</formula>
    </cfRule>
    <cfRule type="expression" dxfId="6263" priority="294">
      <formula>$B56=""</formula>
    </cfRule>
  </conditionalFormatting>
  <conditionalFormatting sqref="AE50:AK50 P50 AV50:AW50 BN50 S50">
    <cfRule type="expression" dxfId="6262" priority="296">
      <formula>AND($B50&lt;&gt;"",$B63="")</formula>
    </cfRule>
    <cfRule type="expression" dxfId="6261" priority="297">
      <formula>$B50=""</formula>
    </cfRule>
  </conditionalFormatting>
  <conditionalFormatting sqref="AE43:AK44 P43:P44 AV43:AW44 BN43:BN44 S43:S44">
    <cfRule type="expression" dxfId="6260" priority="299">
      <formula>AND($B43&lt;&gt;"",$B62="")</formula>
    </cfRule>
    <cfRule type="expression" dxfId="6259" priority="300">
      <formula>$B43=""</formula>
    </cfRule>
  </conditionalFormatting>
  <conditionalFormatting sqref="AE63:AK63 P63:S63 AV63:AW63 BN63">
    <cfRule type="expression" dxfId="6258" priority="301">
      <formula>AND($B63&lt;&gt;"",#REF!="")</formula>
    </cfRule>
    <cfRule type="expression" dxfId="6257" priority="302">
      <formula>$B63=""</formula>
    </cfRule>
  </conditionalFormatting>
  <conditionalFormatting sqref="AE61:AK61 P61:S61 AV61:AW61 BN61">
    <cfRule type="expression" dxfId="6256" priority="303">
      <formula>AND($B61&lt;&gt;"",$B64="")</formula>
    </cfRule>
    <cfRule type="expression" dxfId="6255" priority="304">
      <formula>$B61=""</formula>
    </cfRule>
  </conditionalFormatting>
  <conditionalFormatting sqref="AE57:AK60 P57:S60 AV57:AW60 BN57:BN60">
    <cfRule type="expression" dxfId="6254" priority="305">
      <formula>AND($B57&lt;&gt;"",#REF!="")</formula>
    </cfRule>
    <cfRule type="expression" dxfId="6253" priority="306">
      <formula>$B57=""</formula>
    </cfRule>
  </conditionalFormatting>
  <conditionalFormatting sqref="AE55:AK55 P55:S55 AV55:AW55 BN55">
    <cfRule type="expression" dxfId="6252" priority="307">
      <formula>AND($B55&lt;&gt;"",$B64="")</formula>
    </cfRule>
    <cfRule type="expression" dxfId="6251" priority="308">
      <formula>$B55=""</formula>
    </cfRule>
  </conditionalFormatting>
  <conditionalFormatting sqref="AE51:AK54 P51:S54 AV51:AW54 BN51:BN54">
    <cfRule type="expression" dxfId="6250" priority="309">
      <formula>AND($B51&lt;&gt;"",#REF!="")</formula>
    </cfRule>
    <cfRule type="expression" dxfId="6249" priority="310">
      <formula>$B51=""</formula>
    </cfRule>
  </conditionalFormatting>
  <conditionalFormatting sqref="U49:AK49 AV49:BN49 P49 S49">
    <cfRule type="expression" dxfId="6248" priority="311">
      <formula>AND($B49&lt;&gt;"",$B64="")</formula>
    </cfRule>
    <cfRule type="expression" dxfId="6247" priority="312">
      <formula>$B49=""</formula>
    </cfRule>
  </conditionalFormatting>
  <conditionalFormatting sqref="AE45:AK63 P51:S63 AV45:AW63 BN45:BN63 P45:P50 S45:S50">
    <cfRule type="expression" dxfId="6246" priority="313">
      <formula>AND($B45&lt;&gt;"",#REF!="")</formula>
    </cfRule>
    <cfRule type="expression" dxfId="6245" priority="314">
      <formula>$B45=""</formula>
    </cfRule>
  </conditionalFormatting>
  <conditionalFormatting sqref="T16:T63">
    <cfRule type="expression" dxfId="6244" priority="285">
      <formula>AND($B16&lt;&gt;"",$B17="")</formula>
    </cfRule>
    <cfRule type="expression" dxfId="6243" priority="286">
      <formula>$B16=""</formula>
    </cfRule>
  </conditionalFormatting>
  <conditionalFormatting sqref="U13:AB13 AX12:BG12">
    <cfRule type="expression" dxfId="6242" priority="284">
      <formula>COUNTA(U$14:U$63)&gt;0</formula>
    </cfRule>
  </conditionalFormatting>
  <conditionalFormatting sqref="AC13:AD13">
    <cfRule type="expression" dxfId="6241" priority="283">
      <formula>COUNTA(AC$14:AC$63)&gt;0</formula>
    </cfRule>
  </conditionalFormatting>
  <conditionalFormatting sqref="U14:AB63">
    <cfRule type="expression" dxfId="6240" priority="263">
      <formula>AND($B14&lt;&gt;"",$B15="")</formula>
    </cfRule>
    <cfRule type="expression" dxfId="6239" priority="264">
      <formula>$B14=""</formula>
    </cfRule>
  </conditionalFormatting>
  <conditionalFormatting sqref="U56:AB56">
    <cfRule type="expression" dxfId="6238" priority="265">
      <formula>AND($B56&lt;&gt;"",$B63="")</formula>
    </cfRule>
    <cfRule type="expression" dxfId="6237" priority="266">
      <formula>$B56=""</formula>
    </cfRule>
  </conditionalFormatting>
  <conditionalFormatting sqref="U50:AB50">
    <cfRule type="expression" dxfId="6236" priority="267">
      <formula>AND($B50&lt;&gt;"",$B63="")</formula>
    </cfRule>
    <cfRule type="expression" dxfId="6235" priority="268">
      <formula>$B50=""</formula>
    </cfRule>
  </conditionalFormatting>
  <conditionalFormatting sqref="U43:AB44">
    <cfRule type="expression" dxfId="6234" priority="269">
      <formula>AND($B43&lt;&gt;"",$B62="")</formula>
    </cfRule>
    <cfRule type="expression" dxfId="6233" priority="270">
      <formula>$B43=""</formula>
    </cfRule>
  </conditionalFormatting>
  <conditionalFormatting sqref="U63:AB63">
    <cfRule type="expression" dxfId="6232" priority="271">
      <formula>AND($B63&lt;&gt;"",#REF!="")</formula>
    </cfRule>
    <cfRule type="expression" dxfId="6231" priority="272">
      <formula>$B63=""</formula>
    </cfRule>
  </conditionalFormatting>
  <conditionalFormatting sqref="U61:AB61">
    <cfRule type="expression" dxfId="6230" priority="273">
      <formula>AND($B61&lt;&gt;"",$B64="")</formula>
    </cfRule>
    <cfRule type="expression" dxfId="6229" priority="274">
      <formula>$B61=""</formula>
    </cfRule>
  </conditionalFormatting>
  <conditionalFormatting sqref="U57:AB60">
    <cfRule type="expression" dxfId="6228" priority="275">
      <formula>AND($B57&lt;&gt;"",#REF!="")</formula>
    </cfRule>
    <cfRule type="expression" dxfId="6227" priority="276">
      <formula>$B57=""</formula>
    </cfRule>
  </conditionalFormatting>
  <conditionalFormatting sqref="U55:AB55">
    <cfRule type="expression" dxfId="6226" priority="277">
      <formula>AND($B55&lt;&gt;"",$B64="")</formula>
    </cfRule>
    <cfRule type="expression" dxfId="6225" priority="278">
      <formula>$B55=""</formula>
    </cfRule>
  </conditionalFormatting>
  <conditionalFormatting sqref="U51:AB54">
    <cfRule type="expression" dxfId="6224" priority="279">
      <formula>AND($B51&lt;&gt;"",#REF!="")</formula>
    </cfRule>
    <cfRule type="expression" dxfId="6223" priority="280">
      <formula>$B51=""</formula>
    </cfRule>
  </conditionalFormatting>
  <conditionalFormatting sqref="U45:AB63">
    <cfRule type="expression" dxfId="6222" priority="281">
      <formula>AND($B45&lt;&gt;"",#REF!="")</formula>
    </cfRule>
    <cfRule type="expression" dxfId="6221" priority="282">
      <formula>$B45=""</formula>
    </cfRule>
  </conditionalFormatting>
  <conditionalFormatting sqref="AC14:AD63">
    <cfRule type="expression" dxfId="6220" priority="243">
      <formula>AND($B14&lt;&gt;"",$B15="")</formula>
    </cfRule>
    <cfRule type="expression" dxfId="6219" priority="244">
      <formula>$B14=""</formula>
    </cfRule>
  </conditionalFormatting>
  <conditionalFormatting sqref="AC56:AD56">
    <cfRule type="expression" dxfId="6218" priority="245">
      <formula>AND($B56&lt;&gt;"",$B63="")</formula>
    </cfRule>
    <cfRule type="expression" dxfId="6217" priority="246">
      <formula>$B56=""</formula>
    </cfRule>
  </conditionalFormatting>
  <conditionalFormatting sqref="AC50:AD50">
    <cfRule type="expression" dxfId="6216" priority="247">
      <formula>AND($B50&lt;&gt;"",$B63="")</formula>
    </cfRule>
    <cfRule type="expression" dxfId="6215" priority="248">
      <formula>$B50=""</formula>
    </cfRule>
  </conditionalFormatting>
  <conditionalFormatting sqref="AC43:AD44">
    <cfRule type="expression" dxfId="6214" priority="249">
      <formula>AND($B43&lt;&gt;"",$B62="")</formula>
    </cfRule>
    <cfRule type="expression" dxfId="6213" priority="250">
      <formula>$B43=""</formula>
    </cfRule>
  </conditionalFormatting>
  <conditionalFormatting sqref="AC63:AD63">
    <cfRule type="expression" dxfId="6212" priority="251">
      <formula>AND($B63&lt;&gt;"",#REF!="")</formula>
    </cfRule>
    <cfRule type="expression" dxfId="6211" priority="252">
      <formula>$B63=""</formula>
    </cfRule>
  </conditionalFormatting>
  <conditionalFormatting sqref="AC61:AD61">
    <cfRule type="expression" dxfId="6210" priority="253">
      <formula>AND($B61&lt;&gt;"",$B64="")</formula>
    </cfRule>
    <cfRule type="expression" dxfId="6209" priority="254">
      <formula>$B61=""</formula>
    </cfRule>
  </conditionalFormatting>
  <conditionalFormatting sqref="AC57:AD60">
    <cfRule type="expression" dxfId="6208" priority="255">
      <formula>AND($B57&lt;&gt;"",#REF!="")</formula>
    </cfRule>
    <cfRule type="expression" dxfId="6207" priority="256">
      <formula>$B57=""</formula>
    </cfRule>
  </conditionalFormatting>
  <conditionalFormatting sqref="AC55:AD55">
    <cfRule type="expression" dxfId="6206" priority="257">
      <formula>AND($B55&lt;&gt;"",$B64="")</formula>
    </cfRule>
    <cfRule type="expression" dxfId="6205" priority="258">
      <formula>$B55=""</formula>
    </cfRule>
  </conditionalFormatting>
  <conditionalFormatting sqref="AC51:AD54">
    <cfRule type="expression" dxfId="6204" priority="259">
      <formula>AND($B51&lt;&gt;"",#REF!="")</formula>
    </cfRule>
    <cfRule type="expression" dxfId="6203" priority="260">
      <formula>$B51=""</formula>
    </cfRule>
  </conditionalFormatting>
  <conditionalFormatting sqref="AC45:AD63">
    <cfRule type="expression" dxfId="6202" priority="261">
      <formula>AND($B45&lt;&gt;"",#REF!="")</formula>
    </cfRule>
    <cfRule type="expression" dxfId="6201" priority="262">
      <formula>$B45=""</formula>
    </cfRule>
  </conditionalFormatting>
  <conditionalFormatting sqref="BH14:BM63 AX14:BE63">
    <cfRule type="expression" dxfId="6200" priority="223">
      <formula>AND($B14&lt;&gt;"",$B15="")</formula>
    </cfRule>
    <cfRule type="expression" dxfId="6199" priority="224">
      <formula>$B14=""</formula>
    </cfRule>
  </conditionalFormatting>
  <conditionalFormatting sqref="BH56:BM56 AX56:BE56">
    <cfRule type="expression" dxfId="6198" priority="225">
      <formula>AND($B56&lt;&gt;"",$B63="")</formula>
    </cfRule>
    <cfRule type="expression" dxfId="6197" priority="226">
      <formula>$B56=""</formula>
    </cfRule>
  </conditionalFormatting>
  <conditionalFormatting sqref="BH50:BM50 AX50:BE50">
    <cfRule type="expression" dxfId="6196" priority="227">
      <formula>AND($B50&lt;&gt;"",$B63="")</formula>
    </cfRule>
    <cfRule type="expression" dxfId="6195" priority="228">
      <formula>$B50=""</formula>
    </cfRule>
  </conditionalFormatting>
  <conditionalFormatting sqref="BH43:BM44 AX43:BE44">
    <cfRule type="expression" dxfId="6194" priority="229">
      <formula>AND($B43&lt;&gt;"",$B62="")</formula>
    </cfRule>
    <cfRule type="expression" dxfId="6193" priority="230">
      <formula>$B43=""</formula>
    </cfRule>
  </conditionalFormatting>
  <conditionalFormatting sqref="BH63:BM63 AX63:BE63">
    <cfRule type="expression" dxfId="6192" priority="231">
      <formula>AND($B63&lt;&gt;"",#REF!="")</formula>
    </cfRule>
    <cfRule type="expression" dxfId="6191" priority="232">
      <formula>$B63=""</formula>
    </cfRule>
  </conditionalFormatting>
  <conditionalFormatting sqref="BH61:BM61 AX61:BE61">
    <cfRule type="expression" dxfId="6190" priority="233">
      <formula>AND($B61&lt;&gt;"",$B64="")</formula>
    </cfRule>
    <cfRule type="expression" dxfId="6189" priority="234">
      <formula>$B61=""</formula>
    </cfRule>
  </conditionalFormatting>
  <conditionalFormatting sqref="BH57:BM60 AX57:BE60">
    <cfRule type="expression" dxfId="6188" priority="235">
      <formula>AND($B57&lt;&gt;"",#REF!="")</formula>
    </cfRule>
    <cfRule type="expression" dxfId="6187" priority="236">
      <formula>$B57=""</formula>
    </cfRule>
  </conditionalFormatting>
  <conditionalFormatting sqref="BH55:BM55 AX55:BE55">
    <cfRule type="expression" dxfId="6186" priority="237">
      <formula>AND($B55&lt;&gt;"",$B64="")</formula>
    </cfRule>
    <cfRule type="expression" dxfId="6185" priority="238">
      <formula>$B55=""</formula>
    </cfRule>
  </conditionalFormatting>
  <conditionalFormatting sqref="BH51:BM54 AX51:BE54">
    <cfRule type="expression" dxfId="6184" priority="239">
      <formula>AND($B51&lt;&gt;"",#REF!="")</formula>
    </cfRule>
    <cfRule type="expression" dxfId="6183" priority="240">
      <formula>$B51=""</formula>
    </cfRule>
  </conditionalFormatting>
  <conditionalFormatting sqref="BH45:BM63 AX45:BE63">
    <cfRule type="expression" dxfId="6182" priority="241">
      <formula>AND($B45&lt;&gt;"",#REF!="")</formula>
    </cfRule>
    <cfRule type="expression" dxfId="6181" priority="242">
      <formula>$B45=""</formula>
    </cfRule>
  </conditionalFormatting>
  <conditionalFormatting sqref="BF14:BG63">
    <cfRule type="expression" dxfId="6180" priority="203">
      <formula>AND($B14&lt;&gt;"",$B15="")</formula>
    </cfRule>
    <cfRule type="expression" dxfId="6179" priority="204">
      <formula>$B14=""</formula>
    </cfRule>
  </conditionalFormatting>
  <conditionalFormatting sqref="BF56:BG56">
    <cfRule type="expression" dxfId="6178" priority="205">
      <formula>AND($B56&lt;&gt;"",$B63="")</formula>
    </cfRule>
    <cfRule type="expression" dxfId="6177" priority="206">
      <formula>$B56=""</formula>
    </cfRule>
  </conditionalFormatting>
  <conditionalFormatting sqref="BF50:BG50">
    <cfRule type="expression" dxfId="6176" priority="207">
      <formula>AND($B50&lt;&gt;"",$B63="")</formula>
    </cfRule>
    <cfRule type="expression" dxfId="6175" priority="208">
      <formula>$B50=""</formula>
    </cfRule>
  </conditionalFormatting>
  <conditionalFormatting sqref="BF43:BG44">
    <cfRule type="expression" dxfId="6174" priority="209">
      <formula>AND($B43&lt;&gt;"",$B62="")</formula>
    </cfRule>
    <cfRule type="expression" dxfId="6173" priority="210">
      <formula>$B43=""</formula>
    </cfRule>
  </conditionalFormatting>
  <conditionalFormatting sqref="BF63:BG63">
    <cfRule type="expression" dxfId="6172" priority="211">
      <formula>AND($B63&lt;&gt;"",#REF!="")</formula>
    </cfRule>
    <cfRule type="expression" dxfId="6171" priority="212">
      <formula>$B63=""</formula>
    </cfRule>
  </conditionalFormatting>
  <conditionalFormatting sqref="BF61:BG61">
    <cfRule type="expression" dxfId="6170" priority="213">
      <formula>AND($B61&lt;&gt;"",$B64="")</formula>
    </cfRule>
    <cfRule type="expression" dxfId="6169" priority="214">
      <formula>$B61=""</formula>
    </cfRule>
  </conditionalFormatting>
  <conditionalFormatting sqref="BF57:BG60">
    <cfRule type="expression" dxfId="6168" priority="215">
      <formula>AND($B57&lt;&gt;"",#REF!="")</formula>
    </cfRule>
    <cfRule type="expression" dxfId="6167" priority="216">
      <formula>$B57=""</formula>
    </cfRule>
  </conditionalFormatting>
  <conditionalFormatting sqref="BF55:BG55">
    <cfRule type="expression" dxfId="6166" priority="217">
      <formula>AND($B55&lt;&gt;"",$B64="")</formula>
    </cfRule>
    <cfRule type="expression" dxfId="6165" priority="218">
      <formula>$B55=""</formula>
    </cfRule>
  </conditionalFormatting>
  <conditionalFormatting sqref="BF51:BG54">
    <cfRule type="expression" dxfId="6164" priority="219">
      <formula>AND($B51&lt;&gt;"",#REF!="")</formula>
    </cfRule>
    <cfRule type="expression" dxfId="6163" priority="220">
      <formula>$B51=""</formula>
    </cfRule>
  </conditionalFormatting>
  <conditionalFormatting sqref="BF45:BG63">
    <cfRule type="expression" dxfId="6162" priority="221">
      <formula>AND($B45&lt;&gt;"",#REF!="")</formula>
    </cfRule>
    <cfRule type="expression" dxfId="6161" priority="222">
      <formula>$B45=""</formula>
    </cfRule>
  </conditionalFormatting>
  <conditionalFormatting sqref="U61:AK63 AV61:BN63 P61:S63">
    <cfRule type="expression" dxfId="6160" priority="315">
      <formula>AND($B61&lt;&gt;"",$B65="")</formula>
    </cfRule>
    <cfRule type="expression" dxfId="6159" priority="316">
      <formula>$B61=""</formula>
    </cfRule>
  </conditionalFormatting>
  <conditionalFormatting sqref="U50:AK60 AV50:BN60 P51:S60 P50 S50">
    <cfRule type="expression" dxfId="6158" priority="317">
      <formula>AND($B50&lt;&gt;"",#REF!="")</formula>
    </cfRule>
    <cfRule type="expression" dxfId="6157" priority="318">
      <formula>$B50=""</formula>
    </cfRule>
  </conditionalFormatting>
  <conditionalFormatting sqref="AQ49:AU49">
    <cfRule type="expression" dxfId="6156" priority="197">
      <formula>AND($B49&lt;&gt;"",$B64="")</formula>
    </cfRule>
    <cfRule type="expression" dxfId="6155" priority="198">
      <formula>$B49=""</formula>
    </cfRule>
  </conditionalFormatting>
  <conditionalFormatting sqref="AL51:AS63 AQ14:AS50">
    <cfRule type="expression" dxfId="6154" priority="176">
      <formula>AND($B14&lt;&gt;"",$B15="")</formula>
    </cfRule>
    <cfRule type="expression" dxfId="6153" priority="177">
      <formula>$B14=""</formula>
    </cfRule>
  </conditionalFormatting>
  <conditionalFormatting sqref="AL56:AS56">
    <cfRule type="expression" dxfId="6152" priority="178">
      <formula>AND($B56&lt;&gt;"",$B63="")</formula>
    </cfRule>
    <cfRule type="expression" dxfId="6151" priority="179">
      <formula>$B56=""</formula>
    </cfRule>
  </conditionalFormatting>
  <conditionalFormatting sqref="AQ50:AS50">
    <cfRule type="expression" dxfId="6150" priority="180">
      <formula>AND($B50&lt;&gt;"",$B63="")</formula>
    </cfRule>
    <cfRule type="expression" dxfId="6149" priority="181">
      <formula>$B50=""</formula>
    </cfRule>
  </conditionalFormatting>
  <conditionalFormatting sqref="AQ43:AS44">
    <cfRule type="expression" dxfId="6148" priority="182">
      <formula>AND($B43&lt;&gt;"",$B62="")</formula>
    </cfRule>
    <cfRule type="expression" dxfId="6147" priority="183">
      <formula>$B43=""</formula>
    </cfRule>
  </conditionalFormatting>
  <conditionalFormatting sqref="AL63:AS63">
    <cfRule type="expression" dxfId="6146" priority="184">
      <formula>AND($B63&lt;&gt;"",#REF!="")</formula>
    </cfRule>
    <cfRule type="expression" dxfId="6145" priority="185">
      <formula>$B63=""</formula>
    </cfRule>
  </conditionalFormatting>
  <conditionalFormatting sqref="AL61:AS61">
    <cfRule type="expression" dxfId="6144" priority="186">
      <formula>AND($B61&lt;&gt;"",$B64="")</formula>
    </cfRule>
    <cfRule type="expression" dxfId="6143" priority="187">
      <formula>$B61=""</formula>
    </cfRule>
  </conditionalFormatting>
  <conditionalFormatting sqref="AL57:AS60">
    <cfRule type="expression" dxfId="6142" priority="188">
      <formula>AND($B57&lt;&gt;"",#REF!="")</formula>
    </cfRule>
    <cfRule type="expression" dxfId="6141" priority="189">
      <formula>$B57=""</formula>
    </cfRule>
  </conditionalFormatting>
  <conditionalFormatting sqref="AL55:AS55">
    <cfRule type="expression" dxfId="6140" priority="190">
      <formula>AND($B55&lt;&gt;"",$B64="")</formula>
    </cfRule>
    <cfRule type="expression" dxfId="6139" priority="191">
      <formula>$B55=""</formula>
    </cfRule>
  </conditionalFormatting>
  <conditionalFormatting sqref="AL51:AS54">
    <cfRule type="expression" dxfId="6138" priority="192">
      <formula>AND($B51&lt;&gt;"",#REF!="")</formula>
    </cfRule>
    <cfRule type="expression" dxfId="6137" priority="193">
      <formula>$B51=""</formula>
    </cfRule>
  </conditionalFormatting>
  <conditionalFormatting sqref="AL51:AS63 AQ45:AS50">
    <cfRule type="expression" dxfId="6136" priority="194">
      <formula>AND($B45&lt;&gt;"",#REF!="")</formula>
    </cfRule>
    <cfRule type="expression" dxfId="6135" priority="195">
      <formula>$B45=""</formula>
    </cfRule>
  </conditionalFormatting>
  <conditionalFormatting sqref="AT14:AU63">
    <cfRule type="expression" dxfId="6134" priority="156">
      <formula>AND($B14&lt;&gt;"",$B15="")</formula>
    </cfRule>
    <cfRule type="expression" dxfId="6133" priority="157">
      <formula>$B14=""</formula>
    </cfRule>
  </conditionalFormatting>
  <conditionalFormatting sqref="AT56:AU56">
    <cfRule type="expression" dxfId="6132" priority="158">
      <formula>AND($B56&lt;&gt;"",$B63="")</formula>
    </cfRule>
    <cfRule type="expression" dxfId="6131" priority="159">
      <formula>$B56=""</formula>
    </cfRule>
  </conditionalFormatting>
  <conditionalFormatting sqref="AT50:AU50">
    <cfRule type="expression" dxfId="6130" priority="160">
      <formula>AND($B50&lt;&gt;"",$B63="")</formula>
    </cfRule>
    <cfRule type="expression" dxfId="6129" priority="161">
      <formula>$B50=""</formula>
    </cfRule>
  </conditionalFormatting>
  <conditionalFormatting sqref="AT43:AU44">
    <cfRule type="expression" dxfId="6128" priority="162">
      <formula>AND($B43&lt;&gt;"",$B62="")</formula>
    </cfRule>
    <cfRule type="expression" dxfId="6127" priority="163">
      <formula>$B43=""</formula>
    </cfRule>
  </conditionalFormatting>
  <conditionalFormatting sqref="AT63:AU63">
    <cfRule type="expression" dxfId="6126" priority="164">
      <formula>AND($B63&lt;&gt;"",#REF!="")</formula>
    </cfRule>
    <cfRule type="expression" dxfId="6125" priority="165">
      <formula>$B63=""</formula>
    </cfRule>
  </conditionalFormatting>
  <conditionalFormatting sqref="AT61:AU61">
    <cfRule type="expression" dxfId="6124" priority="166">
      <formula>AND($B61&lt;&gt;"",$B64="")</formula>
    </cfRule>
    <cfRule type="expression" dxfId="6123" priority="167">
      <formula>$B61=""</formula>
    </cfRule>
  </conditionalFormatting>
  <conditionalFormatting sqref="AT57:AU60">
    <cfRule type="expression" dxfId="6122" priority="168">
      <formula>AND($B57&lt;&gt;"",#REF!="")</formula>
    </cfRule>
    <cfRule type="expression" dxfId="6121" priority="169">
      <formula>$B57=""</formula>
    </cfRule>
  </conditionalFormatting>
  <conditionalFormatting sqref="AT55:AU55">
    <cfRule type="expression" dxfId="6120" priority="170">
      <formula>AND($B55&lt;&gt;"",$B64="")</formula>
    </cfRule>
    <cfRule type="expression" dxfId="6119" priority="171">
      <formula>$B55=""</formula>
    </cfRule>
  </conditionalFormatting>
  <conditionalFormatting sqref="AT51:AU54">
    <cfRule type="expression" dxfId="6118" priority="172">
      <formula>AND($B51&lt;&gt;"",#REF!="")</formula>
    </cfRule>
    <cfRule type="expression" dxfId="6117" priority="173">
      <formula>$B51=""</formula>
    </cfRule>
  </conditionalFormatting>
  <conditionalFormatting sqref="AT45:AU63">
    <cfRule type="expression" dxfId="6116" priority="174">
      <formula>AND($B45&lt;&gt;"",#REF!="")</formula>
    </cfRule>
    <cfRule type="expression" dxfId="6115" priority="175">
      <formula>$B45=""</formula>
    </cfRule>
  </conditionalFormatting>
  <conditionalFormatting sqref="AL61:AU63">
    <cfRule type="expression" dxfId="6114" priority="199">
      <formula>AND($B61&lt;&gt;"",$B65="")</formula>
    </cfRule>
    <cfRule type="expression" dxfId="6113" priority="200">
      <formula>$B61=""</formula>
    </cfRule>
  </conditionalFormatting>
  <conditionalFormatting sqref="AL51:AU60 AQ50:AU50">
    <cfRule type="expression" dxfId="6112" priority="201">
      <formula>AND($B50&lt;&gt;"",#REF!="")</formula>
    </cfRule>
    <cfRule type="expression" dxfId="6111" priority="202">
      <formula>$B50=""</formula>
    </cfRule>
  </conditionalFormatting>
  <conditionalFormatting sqref="K49:O49">
    <cfRule type="expression" dxfId="6110" priority="150">
      <formula>AND($B49&lt;&gt;"",$B64="")</formula>
    </cfRule>
    <cfRule type="expression" dxfId="6109" priority="151">
      <formula>$B49=""</formula>
    </cfRule>
  </conditionalFormatting>
  <conditionalFormatting sqref="F51:M63 K14:M50">
    <cfRule type="expression" dxfId="6108" priority="129">
      <formula>AND($B14&lt;&gt;"",$B15="")</formula>
    </cfRule>
    <cfRule type="expression" dxfId="6107" priority="130">
      <formula>$B14=""</formula>
    </cfRule>
  </conditionalFormatting>
  <conditionalFormatting sqref="F56:M56">
    <cfRule type="expression" dxfId="6106" priority="131">
      <formula>AND($B56&lt;&gt;"",$B63="")</formula>
    </cfRule>
    <cfRule type="expression" dxfId="6105" priority="132">
      <formula>$B56=""</formula>
    </cfRule>
  </conditionalFormatting>
  <conditionalFormatting sqref="K50:M50">
    <cfRule type="expression" dxfId="6104" priority="133">
      <formula>AND($B50&lt;&gt;"",$B63="")</formula>
    </cfRule>
    <cfRule type="expression" dxfId="6103" priority="134">
      <formula>$B50=""</formula>
    </cfRule>
  </conditionalFormatting>
  <conditionalFormatting sqref="K43:M44">
    <cfRule type="expression" dxfId="6102" priority="135">
      <formula>AND($B43&lt;&gt;"",$B62="")</formula>
    </cfRule>
    <cfRule type="expression" dxfId="6101" priority="136">
      <formula>$B43=""</formula>
    </cfRule>
  </conditionalFormatting>
  <conditionalFormatting sqref="F63:M63">
    <cfRule type="expression" dxfId="6100" priority="137">
      <formula>AND($B63&lt;&gt;"",#REF!="")</formula>
    </cfRule>
    <cfRule type="expression" dxfId="6099" priority="138">
      <formula>$B63=""</formula>
    </cfRule>
  </conditionalFormatting>
  <conditionalFormatting sqref="F61:M61">
    <cfRule type="expression" dxfId="6098" priority="139">
      <formula>AND($B61&lt;&gt;"",$B64="")</formula>
    </cfRule>
    <cfRule type="expression" dxfId="6097" priority="140">
      <formula>$B61=""</formula>
    </cfRule>
  </conditionalFormatting>
  <conditionalFormatting sqref="F57:M60">
    <cfRule type="expression" dxfId="6096" priority="141">
      <formula>AND($B57&lt;&gt;"",#REF!="")</formula>
    </cfRule>
    <cfRule type="expression" dxfId="6095" priority="142">
      <formula>$B57=""</formula>
    </cfRule>
  </conditionalFormatting>
  <conditionalFormatting sqref="F55:M55">
    <cfRule type="expression" dxfId="6094" priority="143">
      <formula>AND($B55&lt;&gt;"",$B64="")</formula>
    </cfRule>
    <cfRule type="expression" dxfId="6093" priority="144">
      <formula>$B55=""</formula>
    </cfRule>
  </conditionalFormatting>
  <conditionalFormatting sqref="F51:M54">
    <cfRule type="expression" dxfId="6092" priority="145">
      <formula>AND($B51&lt;&gt;"",#REF!="")</formula>
    </cfRule>
    <cfRule type="expression" dxfId="6091" priority="146">
      <formula>$B51=""</formula>
    </cfRule>
  </conditionalFormatting>
  <conditionalFormatting sqref="F51:M63 K45:M50">
    <cfRule type="expression" dxfId="6090" priority="147">
      <formula>AND($B45&lt;&gt;"",#REF!="")</formula>
    </cfRule>
    <cfRule type="expression" dxfId="6089" priority="148">
      <formula>$B45=""</formula>
    </cfRule>
  </conditionalFormatting>
  <conditionalFormatting sqref="N14:O63">
    <cfRule type="expression" dxfId="6088" priority="108">
      <formula>AND($B14&lt;&gt;"",$B15="")</formula>
    </cfRule>
    <cfRule type="expression" dxfId="6087" priority="109">
      <formula>$B14=""</formula>
    </cfRule>
  </conditionalFormatting>
  <conditionalFormatting sqref="N56:O56">
    <cfRule type="expression" dxfId="6086" priority="110">
      <formula>AND($B56&lt;&gt;"",$B63="")</formula>
    </cfRule>
    <cfRule type="expression" dxfId="6085" priority="111">
      <formula>$B56=""</formula>
    </cfRule>
  </conditionalFormatting>
  <conditionalFormatting sqref="N50:O50">
    <cfRule type="expression" dxfId="6084" priority="112">
      <formula>AND($B50&lt;&gt;"",$B63="")</formula>
    </cfRule>
    <cfRule type="expression" dxfId="6083" priority="113">
      <formula>$B50=""</formula>
    </cfRule>
  </conditionalFormatting>
  <conditionalFormatting sqref="N43:O44">
    <cfRule type="expression" dxfId="6082" priority="114">
      <formula>AND($B43&lt;&gt;"",$B62="")</formula>
    </cfRule>
    <cfRule type="expression" dxfId="6081" priority="115">
      <formula>$B43=""</formula>
    </cfRule>
  </conditionalFormatting>
  <conditionalFormatting sqref="N63:O63">
    <cfRule type="expression" dxfId="6080" priority="116">
      <formula>AND($B63&lt;&gt;"",#REF!="")</formula>
    </cfRule>
    <cfRule type="expression" dxfId="6079" priority="117">
      <formula>$B63=""</formula>
    </cfRule>
  </conditionalFormatting>
  <conditionalFormatting sqref="N61:O61">
    <cfRule type="expression" dxfId="6078" priority="118">
      <formula>AND($B61&lt;&gt;"",$B64="")</formula>
    </cfRule>
    <cfRule type="expression" dxfId="6077" priority="119">
      <formula>$B61=""</formula>
    </cfRule>
  </conditionalFormatting>
  <conditionalFormatting sqref="N57:O60">
    <cfRule type="expression" dxfId="6076" priority="120">
      <formula>AND($B57&lt;&gt;"",#REF!="")</formula>
    </cfRule>
    <cfRule type="expression" dxfId="6075" priority="121">
      <formula>$B57=""</formula>
    </cfRule>
  </conditionalFormatting>
  <conditionalFormatting sqref="N55:O55">
    <cfRule type="expression" dxfId="6074" priority="122">
      <formula>AND($B55&lt;&gt;"",$B64="")</formula>
    </cfRule>
    <cfRule type="expression" dxfId="6073" priority="123">
      <formula>$B55=""</formula>
    </cfRule>
  </conditionalFormatting>
  <conditionalFormatting sqref="N51:O54">
    <cfRule type="expression" dxfId="6072" priority="124">
      <formula>AND($B51&lt;&gt;"",#REF!="")</formula>
    </cfRule>
    <cfRule type="expression" dxfId="6071" priority="125">
      <formula>$B51=""</formula>
    </cfRule>
  </conditionalFormatting>
  <conditionalFormatting sqref="N45:O63">
    <cfRule type="expression" dxfId="6070" priority="126">
      <formula>AND($B45&lt;&gt;"",#REF!="")</formula>
    </cfRule>
    <cfRule type="expression" dxfId="6069" priority="127">
      <formula>$B45=""</formula>
    </cfRule>
  </conditionalFormatting>
  <conditionalFormatting sqref="F61:O63">
    <cfRule type="expression" dxfId="6068" priority="152">
      <formula>AND($B61&lt;&gt;"",$B65="")</formula>
    </cfRule>
    <cfRule type="expression" dxfId="6067" priority="153">
      <formula>$B61=""</formula>
    </cfRule>
  </conditionalFormatting>
  <conditionalFormatting sqref="F51:O60 K50:O50">
    <cfRule type="expression" dxfId="6066" priority="154">
      <formula>AND($B50&lt;&gt;"",#REF!="")</formula>
    </cfRule>
    <cfRule type="expression" dxfId="6065" priority="155">
      <formula>$B50=""</formula>
    </cfRule>
  </conditionalFormatting>
  <conditionalFormatting sqref="H50:J50">
    <cfRule type="expression" dxfId="6064" priority="100">
      <formula>AND($B50&lt;&gt;"",$B51="")</formula>
    </cfRule>
    <cfRule type="expression" dxfId="6063" priority="101">
      <formula>$B50=""</formula>
    </cfRule>
  </conditionalFormatting>
  <conditionalFormatting sqref="H50:J50">
    <cfRule type="expression" dxfId="6062" priority="102">
      <formula>AND($B50&lt;&gt;"",$B63="")</formula>
    </cfRule>
    <cfRule type="expression" dxfId="6061" priority="103">
      <formula>$B50=""</formula>
    </cfRule>
  </conditionalFormatting>
  <conditionalFormatting sqref="H50:J50">
    <cfRule type="expression" dxfId="6060" priority="104">
      <formula>AND($B50&lt;&gt;"",#REF!="")</formula>
    </cfRule>
    <cfRule type="expression" dxfId="6059" priority="105">
      <formula>$B50=""</formula>
    </cfRule>
  </conditionalFormatting>
  <conditionalFormatting sqref="H50:J50">
    <cfRule type="expression" dxfId="6058" priority="106">
      <formula>AND($B50&lt;&gt;"",#REF!="")</formula>
    </cfRule>
    <cfRule type="expression" dxfId="6057" priority="107">
      <formula>$B50=""</formula>
    </cfRule>
  </conditionalFormatting>
  <conditionalFormatting sqref="H14:J26">
    <cfRule type="expression" dxfId="6056" priority="98">
      <formula>AND($B14&lt;&gt;"",$B15="")</formula>
    </cfRule>
    <cfRule type="expression" dxfId="6055" priority="99">
      <formula>$B14=""</formula>
    </cfRule>
  </conditionalFormatting>
  <conditionalFormatting sqref="H14:J26">
    <cfRule type="expression" dxfId="6054" priority="97">
      <formula>COUNTIF($P14:$W14,H14)&gt;1</formula>
    </cfRule>
  </conditionalFormatting>
  <conditionalFormatting sqref="H15:H26">
    <cfRule type="expression" dxfId="6053" priority="95">
      <formula>AND($B15&lt;&gt;"",$B16="")</formula>
    </cfRule>
    <cfRule type="expression" dxfId="6052" priority="96">
      <formula>$B15=""</formula>
    </cfRule>
  </conditionalFormatting>
  <conditionalFormatting sqref="H15:H26">
    <cfRule type="expression" dxfId="6051" priority="94">
      <formula>COUNTIF($AS15:$AZ15,H15)&gt;1</formula>
    </cfRule>
  </conditionalFormatting>
  <conditionalFormatting sqref="H48:J48">
    <cfRule type="expression" dxfId="6050" priority="90">
      <formula>AND($B48&lt;&gt;"",$B63="")</formula>
    </cfRule>
    <cfRule type="expression" dxfId="6049" priority="91">
      <formula>$B48=""</formula>
    </cfRule>
  </conditionalFormatting>
  <conditionalFormatting sqref="H36:J50">
    <cfRule type="expression" dxfId="6048" priority="82">
      <formula>AND($B36&lt;&gt;"",$B37="")</formula>
    </cfRule>
    <cfRule type="expression" dxfId="6047" priority="83">
      <formula>$B36=""</formula>
    </cfRule>
  </conditionalFormatting>
  <conditionalFormatting sqref="H49:J49">
    <cfRule type="expression" dxfId="6046" priority="84">
      <formula>AND($B49&lt;&gt;"",$B62="")</formula>
    </cfRule>
    <cfRule type="expression" dxfId="6045" priority="85">
      <formula>$B49=""</formula>
    </cfRule>
  </conditionalFormatting>
  <conditionalFormatting sqref="H42:J44">
    <cfRule type="expression" dxfId="6044" priority="86">
      <formula>AND($B42&lt;&gt;"",$B61="")</formula>
    </cfRule>
    <cfRule type="expression" dxfId="6043" priority="87">
      <formula>$B42=""</formula>
    </cfRule>
  </conditionalFormatting>
  <conditionalFormatting sqref="H44:J50">
    <cfRule type="expression" dxfId="6042" priority="88">
      <formula>AND($B44&lt;&gt;"",#REF!="")</formula>
    </cfRule>
    <cfRule type="expression" dxfId="6041" priority="89">
      <formula>$B44=""</formula>
    </cfRule>
  </conditionalFormatting>
  <conditionalFormatting sqref="H49:J49">
    <cfRule type="expression" dxfId="6040" priority="92">
      <formula>AND($B49&lt;&gt;"",#REF!="")</formula>
    </cfRule>
    <cfRule type="expression" dxfId="6039" priority="93">
      <formula>$B49=""</formula>
    </cfRule>
  </conditionalFormatting>
  <conditionalFormatting sqref="H28:J36 J27">
    <cfRule type="expression" dxfId="6038" priority="80">
      <formula>AND($B27&lt;&gt;"",$B28="")</formula>
    </cfRule>
    <cfRule type="expression" dxfId="6037" priority="81">
      <formula>$B27=""</formula>
    </cfRule>
  </conditionalFormatting>
  <conditionalFormatting sqref="H28:J36 J27">
    <cfRule type="expression" dxfId="6036" priority="79">
      <formula>COUNTIF($P27:$W27,H27)&gt;1</formula>
    </cfRule>
  </conditionalFormatting>
  <conditionalFormatting sqref="H28:H36">
    <cfRule type="expression" dxfId="6035" priority="77">
      <formula>AND($B28&lt;&gt;"",$B29="")</formula>
    </cfRule>
    <cfRule type="expression" dxfId="6034" priority="78">
      <formula>$B28=""</formula>
    </cfRule>
  </conditionalFormatting>
  <conditionalFormatting sqref="H28:H36">
    <cfRule type="expression" dxfId="6033" priority="76">
      <formula>COUNTIF($AS28:$AZ28,H28)&gt;1</formula>
    </cfRule>
  </conditionalFormatting>
  <conditionalFormatting sqref="H49:J49">
    <cfRule type="expression" dxfId="6032" priority="72">
      <formula>AND($B49&lt;&gt;"",$B64="")</formula>
    </cfRule>
    <cfRule type="expression" dxfId="6031" priority="73">
      <formula>$B49=""</formula>
    </cfRule>
  </conditionalFormatting>
  <conditionalFormatting sqref="H50:J50">
    <cfRule type="expression" dxfId="6030" priority="70">
      <formula>AND($B50&lt;&gt;"",$B63="")</formula>
    </cfRule>
    <cfRule type="expression" dxfId="6029" priority="71">
      <formula>$B50=""</formula>
    </cfRule>
  </conditionalFormatting>
  <conditionalFormatting sqref="H50:J50">
    <cfRule type="expression" dxfId="6028" priority="74">
      <formula>AND($B50&lt;&gt;"",#REF!="")</formula>
    </cfRule>
    <cfRule type="expression" dxfId="6027" priority="75">
      <formula>$B50=""</formula>
    </cfRule>
  </conditionalFormatting>
  <conditionalFormatting sqref="AN49:AP49">
    <cfRule type="expression" dxfId="6026" priority="59">
      <formula>AND($B49&lt;&gt;"",$B64="")</formula>
    </cfRule>
    <cfRule type="expression" dxfId="6025" priority="60">
      <formula>$B49=""</formula>
    </cfRule>
  </conditionalFormatting>
  <conditionalFormatting sqref="AN14:AP26 AN28:AP50 AO27:AP27">
    <cfRule type="expression" dxfId="6024" priority="50">
      <formula>AND($B14&lt;&gt;"",$B15="")</formula>
    </cfRule>
    <cfRule type="expression" dxfId="6023" priority="51">
      <formula>$B14=""</formula>
    </cfRule>
  </conditionalFormatting>
  <conditionalFormatting sqref="AN50:AP50">
    <cfRule type="expression" dxfId="6022" priority="52">
      <formula>AND($B50&lt;&gt;"",$B63="")</formula>
    </cfRule>
    <cfRule type="expression" dxfId="6021" priority="53">
      <formula>$B50=""</formula>
    </cfRule>
  </conditionalFormatting>
  <conditionalFormatting sqref="AN43:AP44">
    <cfRule type="expression" dxfId="6020" priority="54">
      <formula>AND($B43&lt;&gt;"",$B62="")</formula>
    </cfRule>
    <cfRule type="expression" dxfId="6019" priority="55">
      <formula>$B43=""</formula>
    </cfRule>
  </conditionalFormatting>
  <conditionalFormatting sqref="AN45:AP50">
    <cfRule type="expression" dxfId="6018" priority="56">
      <formula>AND($B45&lt;&gt;"",#REF!="")</formula>
    </cfRule>
    <cfRule type="expression" dxfId="6017" priority="57">
      <formula>$B45=""</formula>
    </cfRule>
  </conditionalFormatting>
  <conditionalFormatting sqref="AN14:AP26 AN28:AP50 AO27:AP27">
    <cfRule type="expression" dxfId="6016" priority="58">
      <formula>COUNTIF($AX14:$BE14,AN14)&gt;1</formula>
    </cfRule>
  </conditionalFormatting>
  <conditionalFormatting sqref="AN50:AP50">
    <cfRule type="expression" dxfId="6015" priority="61">
      <formula>AND($B50&lt;&gt;"",#REF!="")</formula>
    </cfRule>
    <cfRule type="expression" dxfId="6014" priority="62">
      <formula>$B50=""</formula>
    </cfRule>
  </conditionalFormatting>
  <conditionalFormatting sqref="F14:G26 F28:G50">
    <cfRule type="expression" dxfId="6013" priority="34">
      <formula>AND($B14&lt;&gt;"",$B15="")</formula>
    </cfRule>
    <cfRule type="expression" dxfId="6012" priority="35">
      <formula>$B14=""</formula>
    </cfRule>
    <cfRule type="expression" dxfId="6011" priority="42">
      <formula>COUNTIF($U14:$AB14,F14)&gt;1</formula>
    </cfRule>
  </conditionalFormatting>
  <conditionalFormatting sqref="F50:G50">
    <cfRule type="expression" dxfId="6010" priority="45">
      <formula>AND($B50&lt;&gt;"",#REF!="")</formula>
    </cfRule>
    <cfRule type="expression" dxfId="6009" priority="46">
      <formula>$B50=""</formula>
    </cfRule>
  </conditionalFormatting>
  <conditionalFormatting sqref="F50:G50">
    <cfRule type="expression" dxfId="6008" priority="36">
      <formula>AND($B50&lt;&gt;"",$B63="")</formula>
    </cfRule>
    <cfRule type="expression" dxfId="6007" priority="37">
      <formula>$B50=""</formula>
    </cfRule>
  </conditionalFormatting>
  <conditionalFormatting sqref="F43:G44">
    <cfRule type="expression" dxfId="6006" priority="38">
      <formula>AND($B43&lt;&gt;"",$B62="")</formula>
    </cfRule>
    <cfRule type="expression" dxfId="6005" priority="39">
      <formula>$B43=""</formula>
    </cfRule>
  </conditionalFormatting>
  <conditionalFormatting sqref="F45:G50">
    <cfRule type="expression" dxfId="6004" priority="40">
      <formula>AND($B45&lt;&gt;"",#REF!="")</formula>
    </cfRule>
    <cfRule type="expression" dxfId="6003" priority="41">
      <formula>$B45=""</formula>
    </cfRule>
  </conditionalFormatting>
  <conditionalFormatting sqref="F49:G49">
    <cfRule type="expression" dxfId="6002" priority="43">
      <formula>AND($B49&lt;&gt;"",$B64="")</formula>
    </cfRule>
    <cfRule type="expression" dxfId="6001" priority="44">
      <formula>$B49=""</formula>
    </cfRule>
  </conditionalFormatting>
  <conditionalFormatting sqref="Q14:R26 Q28:R50">
    <cfRule type="expression" dxfId="6000" priority="22">
      <formula>AND($B14&lt;&gt;"",$B15="")</formula>
    </cfRule>
    <cfRule type="expression" dxfId="5999" priority="23">
      <formula>$B14=""</formula>
    </cfRule>
  </conditionalFormatting>
  <conditionalFormatting sqref="Q50">
    <cfRule type="expression" dxfId="5998" priority="32">
      <formula>AND($B50&lt;&gt;"",#REF!="")</formula>
    </cfRule>
    <cfRule type="expression" dxfId="5997" priority="33">
      <formula>$B50=""</formula>
    </cfRule>
  </conditionalFormatting>
  <conditionalFormatting sqref="Q43:Q44">
    <cfRule type="expression" dxfId="5996" priority="26">
      <formula>AND($B43&lt;&gt;"",$B62="")</formula>
    </cfRule>
    <cfRule type="expression" dxfId="5995" priority="27">
      <formula>$B43=""</formula>
    </cfRule>
  </conditionalFormatting>
  <conditionalFormatting sqref="Q49">
    <cfRule type="expression" dxfId="5994" priority="28">
      <formula>AND($B49&lt;&gt;"",$B64="")</formula>
    </cfRule>
    <cfRule type="expression" dxfId="5993" priority="29">
      <formula>$B49=""</formula>
    </cfRule>
  </conditionalFormatting>
  <conditionalFormatting sqref="Q50">
    <cfRule type="expression" dxfId="5992" priority="24">
      <formula>AND($B50&lt;&gt;"",$B63="")</formula>
    </cfRule>
    <cfRule type="expression" dxfId="5991" priority="25">
      <formula>$B50=""</formula>
    </cfRule>
  </conditionalFormatting>
  <conditionalFormatting sqref="Q45:Q50">
    <cfRule type="expression" dxfId="5990" priority="30">
      <formula>AND($B45&lt;&gt;"",#REF!="")</formula>
    </cfRule>
    <cfRule type="expression" dxfId="5989" priority="31">
      <formula>$B45=""</formula>
    </cfRule>
  </conditionalFormatting>
  <conditionalFormatting sqref="AL43:AM44">
    <cfRule type="expression" dxfId="5988" priority="13">
      <formula>AND($B43&lt;&gt;"",$B62="")</formula>
    </cfRule>
    <cfRule type="expression" dxfId="5987" priority="14">
      <formula>$B43=""</formula>
    </cfRule>
  </conditionalFormatting>
  <conditionalFormatting sqref="AL49:AM49">
    <cfRule type="expression" dxfId="5986" priority="18">
      <formula>AND($B49&lt;&gt;"",$B64="")</formula>
    </cfRule>
    <cfRule type="expression" dxfId="5985" priority="19">
      <formula>$B49=""</formula>
    </cfRule>
  </conditionalFormatting>
  <conditionalFormatting sqref="AL45:AM50">
    <cfRule type="expression" dxfId="5984" priority="15">
      <formula>AND($B45&lt;&gt;"",#REF!="")</formula>
    </cfRule>
    <cfRule type="expression" dxfId="5983" priority="16">
      <formula>$B45=""</formula>
    </cfRule>
  </conditionalFormatting>
  <conditionalFormatting sqref="AL50:AM50">
    <cfRule type="expression" dxfId="5982" priority="20">
      <formula>AND($B50&lt;&gt;"",#REF!="")</formula>
    </cfRule>
    <cfRule type="expression" dxfId="5981" priority="21">
      <formula>$B50=""</formula>
    </cfRule>
  </conditionalFormatting>
  <conditionalFormatting sqref="AL14:AM26 AL28:AM50">
    <cfRule type="expression" dxfId="5980" priority="9">
      <formula>AND($B14&lt;&gt;"",$B15="")</formula>
    </cfRule>
    <cfRule type="expression" dxfId="5979" priority="10">
      <formula>$B14=""</formula>
    </cfRule>
  </conditionalFormatting>
  <conditionalFormatting sqref="AL14:AM26 AL28:AM50">
    <cfRule type="expression" dxfId="5978" priority="17">
      <formula>COUNTIF($AX14:$BE14,AL14)&gt;1</formula>
    </cfRule>
  </conditionalFormatting>
  <conditionalFormatting sqref="AL50:AM50">
    <cfRule type="expression" dxfId="5977" priority="11">
      <formula>AND($B50&lt;&gt;"",$B63="")</formula>
    </cfRule>
    <cfRule type="expression" dxfId="5976" priority="12">
      <formula>$B50=""</formula>
    </cfRule>
  </conditionalFormatting>
  <conditionalFormatting sqref="F27:I27">
    <cfRule type="expression" dxfId="5975" priority="6">
      <formula>AND($B27&lt;&gt;"",$B28="")</formula>
    </cfRule>
    <cfRule type="expression" dxfId="5974" priority="7">
      <formula>$B27=""</formula>
    </cfRule>
  </conditionalFormatting>
  <conditionalFormatting sqref="F27:I27">
    <cfRule type="expression" dxfId="5973" priority="8">
      <formula>COUNTIF($U27:$AB27,F27)&gt;1</formula>
    </cfRule>
  </conditionalFormatting>
  <conditionalFormatting sqref="Q27:R27">
    <cfRule type="expression" dxfId="5972" priority="4">
      <formula>AND($B27&lt;&gt;"",$B28="")</formula>
    </cfRule>
    <cfRule type="expression" dxfId="5971" priority="5">
      <formula>$B27=""</formula>
    </cfRule>
  </conditionalFormatting>
  <conditionalFormatting sqref="AL27:AN27">
    <cfRule type="expression" dxfId="5970" priority="1">
      <formula>AND($B27&lt;&gt;"",$B28="")</formula>
    </cfRule>
    <cfRule type="expression" dxfId="5969" priority="2">
      <formula>$B27=""</formula>
    </cfRule>
  </conditionalFormatting>
  <conditionalFormatting sqref="AL27:AN27">
    <cfRule type="expression" dxfId="5968" priority="3">
      <formula>COUNTIF($AX27:$BE27,AL27)&gt;1</formula>
    </cfRule>
  </conditionalFormatting>
  <dataValidations count="5">
    <dataValidation allowBlank="1" showInputMessage="1" showErrorMessage="1" prompt="Bobot Nilai" sqref="P13:R13 AE12:AF12"/>
    <dataValidation allowBlank="1" showInputMessage="1" showErrorMessage="1" promptTitle="Tulis Bobot Nilai" prompt="Berupa Nilai Praktik, Portofolio atau Proyek._x000a_Bobot Praktik disarankan lebih tinggi" sqref="AX13:BG13"/>
    <dataValidation allowBlank="1" showInputMessage="1" showErrorMessage="1" prompt="Rata-rata Harian" sqref="P12 AV12"/>
    <dataValidation type="whole" allowBlank="1" showInputMessage="1" showErrorMessage="1" errorTitle="Petunjuk" error="Nilai 0-100" sqref="Q14:R63 F14:O63 AL14:AU63">
      <formula1>0</formula1>
      <formula2>100</formula2>
    </dataValidation>
    <dataValidation allowBlank="1" showInputMessage="1" showErrorMessage="1" prompt="KKM" sqref="H69:H70"/>
  </dataValidations>
  <hyperlinks>
    <hyperlink ref="B1:C2" location="Data2!A1" display="klik-HOME"/>
  </hyperlinks>
  <pageMargins left="0.70866141732283472" right="0.43307086614173229" top="0.25" bottom="0.31496062992125984" header="0.19685039370078741" footer="0.23622047244094491"/>
  <pageSetup paperSize="9" orientation="landscape" blackAndWhite="1" horizontalDpi="4294967293" verticalDpi="4294967293" r:id="rId1"/>
  <colBreaks count="2" manualBreakCount="2">
    <brk id="37" max="1048575" man="1"/>
    <brk id="66"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00FF"/>
  </sheetPr>
  <dimension ref="A1:BT97"/>
  <sheetViews>
    <sheetView showGridLines="0" showRowColHeaders="0" workbookViewId="0">
      <pane xSplit="5" ySplit="13" topLeftCell="F29" activePane="bottomRight" state="frozen"/>
      <selection activeCell="AW5" sqref="AW5:BN7"/>
      <selection pane="topRight" activeCell="AW5" sqref="AW5:BN7"/>
      <selection pane="bottomLeft" activeCell="AW5" sqref="AW5:BN7"/>
      <selection pane="bottomRight" activeCell="AL14" sqref="AL14:AN50"/>
    </sheetView>
  </sheetViews>
  <sheetFormatPr defaultColWidth="0" defaultRowHeight="0" customHeight="1"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69" width="5.140625" style="2" hidden="1" customWidth="1"/>
    <col min="70" max="72" width="0" style="2" hidden="1" customWidth="1"/>
    <col min="73" max="16384" width="9.140625" style="2" hidden="1"/>
  </cols>
  <sheetData>
    <row r="1" spans="1:67" ht="17.100000000000001" customHeight="1">
      <c r="A1" s="67"/>
      <c r="B1" s="1748" t="s">
        <v>934</v>
      </c>
      <c r="C1" s="1749"/>
      <c r="D1" s="1807" t="str">
        <f>Data2!C5</f>
        <v>Pendidikan Pancasila dan Kewarganegaraan</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74" t="s">
        <v>1603</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79" t="s">
        <v>1606</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1604</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1607</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1605</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1608</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183</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179</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184</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180</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185</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181</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186</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182</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187</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923</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925</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95" t="s">
        <v>928</v>
      </c>
      <c r="AL11" s="1800"/>
      <c r="AM11" s="1803"/>
      <c r="AN11" s="1803"/>
      <c r="AO11" s="1803"/>
      <c r="AP11" s="1803"/>
      <c r="AQ11" s="1803"/>
      <c r="AR11" s="1803"/>
      <c r="AS11" s="1803"/>
      <c r="AT11" s="1803"/>
      <c r="AU11" s="1804"/>
      <c r="AV11" s="1196">
        <v>10</v>
      </c>
      <c r="AW11" s="1197" t="s">
        <v>929</v>
      </c>
      <c r="AX11" s="1198">
        <f t="shared" ref="AX11:BG11" si="1">IF(COUNT(AX14:AX63)&gt;0,AX13,"")</f>
        <v>1</v>
      </c>
      <c r="AY11" s="1198">
        <f t="shared" si="1"/>
        <v>1</v>
      </c>
      <c r="AZ11" s="1198">
        <f t="shared" si="1"/>
        <v>1</v>
      </c>
      <c r="BA11" s="1198" t="str">
        <f t="shared" si="1"/>
        <v/>
      </c>
      <c r="BB11" s="1198" t="str">
        <f t="shared" si="1"/>
        <v/>
      </c>
      <c r="BC11" s="1198" t="str">
        <f t="shared" si="1"/>
        <v/>
      </c>
      <c r="BD11" s="1198" t="str">
        <f t="shared" si="1"/>
        <v/>
      </c>
      <c r="BE11" s="1198" t="str">
        <f t="shared" si="1"/>
        <v/>
      </c>
      <c r="BF11" s="1198" t="str">
        <f t="shared" si="1"/>
        <v/>
      </c>
      <c r="BG11" s="1198" t="str">
        <f t="shared" si="1"/>
        <v/>
      </c>
      <c r="BH11" s="1198">
        <f>SUM(AX11:BG11)</f>
        <v>3</v>
      </c>
      <c r="BI11" s="1199"/>
      <c r="BJ11" s="1199"/>
      <c r="BK11" s="1199"/>
      <c r="BL11" s="1199"/>
      <c r="BM11" s="1199"/>
      <c r="BN11" s="1200" t="s">
        <v>930</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f t="shared" ref="U12:AD12" si="2">IF(COUNT(U14:U63)&gt;0,1,"")</f>
        <v>1</v>
      </c>
      <c r="V12" s="1201">
        <f t="shared" si="2"/>
        <v>1</v>
      </c>
      <c r="W12" s="1201">
        <f t="shared" si="2"/>
        <v>1</v>
      </c>
      <c r="X12" s="1201" t="str">
        <f t="shared" si="2"/>
        <v/>
      </c>
      <c r="Y12" s="1201" t="str">
        <f t="shared" si="2"/>
        <v/>
      </c>
      <c r="Z12" s="1201" t="str">
        <f t="shared" si="2"/>
        <v/>
      </c>
      <c r="AA12" s="1201" t="str">
        <f t="shared" si="2"/>
        <v/>
      </c>
      <c r="AB12" s="1201" t="str">
        <f t="shared" si="2"/>
        <v/>
      </c>
      <c r="AC12" s="1201" t="str">
        <f t="shared" si="2"/>
        <v/>
      </c>
      <c r="AD12" s="1201" t="str">
        <f t="shared" si="2"/>
        <v/>
      </c>
      <c r="AE12" s="1202">
        <f>SUM(U12:AD12)</f>
        <v>3</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v>86</v>
      </c>
      <c r="G14" s="277">
        <v>81</v>
      </c>
      <c r="H14" s="277">
        <v>86</v>
      </c>
      <c r="I14" s="277"/>
      <c r="J14" s="277"/>
      <c r="K14" s="277"/>
      <c r="L14" s="277"/>
      <c r="M14" s="280"/>
      <c r="N14" s="277"/>
      <c r="O14" s="278"/>
      <c r="P14" s="279">
        <f t="shared" ref="P14" si="4">IF(COUNT(U14:AD14)&lt;2,"",ROUND(SUM(U14:AD14)/$AE$12,0))</f>
        <v>84</v>
      </c>
      <c r="Q14" s="1480">
        <v>89</v>
      </c>
      <c r="R14" s="1481">
        <v>89</v>
      </c>
      <c r="S14" s="281">
        <f t="shared" ref="S14" si="5">IFERROR(ROUND(((P14*$P$13)+(Q14*$Q$13)+(R14*$R$13))/$AF$12,0),"")</f>
        <v>87</v>
      </c>
      <c r="T14" s="295" t="str">
        <f t="shared" ref="T14" si="6">IF(S14="","",IF(S14&gt;$H$76,$Q$75,IF(S14&gt;$H$77,$Q$76,IF(S14&gt;$H$78,$Q$77,$Q$78))))</f>
        <v>B</v>
      </c>
      <c r="U14" s="1215">
        <f t="shared" ref="U14:AD29" si="7">IF(F14="","",F14+U$13)</f>
        <v>86.01</v>
      </c>
      <c r="V14" s="1216">
        <f t="shared" si="7"/>
        <v>81.02</v>
      </c>
      <c r="W14" s="1216">
        <f t="shared" si="7"/>
        <v>86.03</v>
      </c>
      <c r="X14" s="1216" t="str">
        <f t="shared" si="7"/>
        <v/>
      </c>
      <c r="Y14" s="1216" t="str">
        <f t="shared" si="7"/>
        <v/>
      </c>
      <c r="Z14" s="1216" t="str">
        <f t="shared" si="7"/>
        <v/>
      </c>
      <c r="AA14" s="1216" t="str">
        <f t="shared" si="7"/>
        <v/>
      </c>
      <c r="AB14" s="1217" t="str">
        <f t="shared" si="7"/>
        <v/>
      </c>
      <c r="AC14" s="1216" t="str">
        <f t="shared" si="7"/>
        <v/>
      </c>
      <c r="AD14" s="1218" t="str">
        <f t="shared" si="7"/>
        <v/>
      </c>
      <c r="AE14" s="1219">
        <f t="shared" ref="AE14" si="8">MAX(U14:AD14)</f>
        <v>86.03</v>
      </c>
      <c r="AF14" s="282">
        <f t="shared" ref="AF14" si="9">MIN(U14:AD14)</f>
        <v>81.02</v>
      </c>
      <c r="AG14" s="282" t="str">
        <f t="shared" ref="AG14:AH29" si="10">IF(AE14&gt;$H$76,$I$75,IF(AE14&gt;$H$77,$I$76,IF(AE14&gt;$H$78,$I$77,$I$78)))</f>
        <v>baik</v>
      </c>
      <c r="AH14" s="282" t="str">
        <f t="shared" si="10"/>
        <v>cukup</v>
      </c>
      <c r="AI14" s="282">
        <f t="shared" ref="AI14" si="11">IFERROR(MATCH(AE14,U14:AD14,0),"")</f>
        <v>3</v>
      </c>
      <c r="AJ14" s="283">
        <f t="shared" ref="AJ14" si="12">IFERROR(MATCH(AF14,U14:AD14,0),"")</f>
        <v>2</v>
      </c>
      <c r="AK14" s="284" t="str">
        <f t="shared" ref="AK14" si="13">IF(S14="","",IFERROR("Memiliki kemampuan "&amp;IF(AG14=AH14,AG14&amp;" dalam "&amp;VLOOKUP(AI14,$S$2:$AK$11,19)&amp;" dan "&amp;VLOOKUP(AJ14,$S$2:$AK$11,19),AG14&amp;" dalam "&amp;VLOOKUP(AI14,$S$2:$AK$11,19)&amp;", "&amp;AH14&amp;" kemampuan dalam "&amp;VLOOKUP(AJ14,$S$2:$AK$11,19)),""))</f>
        <v>Memiliki kemampuan baik dalam Menganalisis dinamika hidrosfer dan dampaknya terhadap kehidupani, cukup kemampuan dalam Menganalisis dinamika atmosfer dan dampaknya terhadap kehidupan</v>
      </c>
      <c r="AL14" s="276">
        <v>95</v>
      </c>
      <c r="AM14" s="277">
        <v>95</v>
      </c>
      <c r="AN14" s="277">
        <v>95</v>
      </c>
      <c r="AO14" s="277"/>
      <c r="AP14" s="277"/>
      <c r="AQ14" s="277"/>
      <c r="AR14" s="277"/>
      <c r="AS14" s="280"/>
      <c r="AT14" s="277"/>
      <c r="AU14" s="278"/>
      <c r="AV14" s="285">
        <f t="shared" ref="AV14" si="14">IF(COUNT(AL14:AU14)&lt;2,"",ROUND(((AL14*$AX$13)+(AM14*$AY$13)+(AN14*$AZ$13)+(AO14*$BA$13)+(AP14*$BB$13)+(AQ14*$BC$13)+(AR14*$BD$13)+(AS14*$BE$13)+(AT14*$BF$13)+(AU14*$BG$13))/$BH$11,0))</f>
        <v>95</v>
      </c>
      <c r="AW14" s="296" t="str">
        <f t="shared" ref="AW14" si="15">IF(AV14="","",IF(AV14&gt;$AN$76,$AV$75,IF(AV14&gt;$AN$77,$AV$76,IF(AV14&gt;$AN$78,$AV$77,$AV$78))))</f>
        <v>A</v>
      </c>
      <c r="AX14" s="1220">
        <f t="shared" ref="AX14:BG29" si="16">IF(AL14="","",AL14+AX$12)</f>
        <v>95.01</v>
      </c>
      <c r="AY14" s="1221">
        <f t="shared" si="16"/>
        <v>95.02</v>
      </c>
      <c r="AZ14" s="1221">
        <f t="shared" si="16"/>
        <v>95.03</v>
      </c>
      <c r="BA14" s="1221" t="str">
        <f t="shared" si="16"/>
        <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95.03</v>
      </c>
      <c r="BI14" s="286">
        <f t="shared" ref="BI14" si="18">MIN(AX14:BG14)</f>
        <v>95.01</v>
      </c>
      <c r="BJ14" s="287" t="str">
        <f t="shared" ref="BJ14:BK14" si="19">IF(BH14&gt;$H$76,$AO$75,IF(BH14&gt;$H$77,$AO$76,IF(BH14&gt;$H$78,$AO$77,$AO$78)))</f>
        <v>sangat baik</v>
      </c>
      <c r="BK14" s="287" t="str">
        <f t="shared" si="19"/>
        <v>sangat baik</v>
      </c>
      <c r="BL14" s="286">
        <f t="shared" ref="BL14" si="20">MATCH(BH14,AX14:BG14,0)</f>
        <v>3</v>
      </c>
      <c r="BM14" s="288">
        <f t="shared" ref="BM14" si="21">MATCH(BI14,AX14:BG14,0)</f>
        <v>1</v>
      </c>
      <c r="BN14" s="289" t="str">
        <f t="shared" ref="BN14" si="22">IF(AV14="","",IFERROR("Memiliki keterampilan "&amp;IF(BJ14=BK14,BJ14&amp;" dalam "&amp;VLOOKUP(BL14,$AV$2:$BN$11,19)&amp;" dan "&amp;VLOOKUP(BM14,$AV$2:$BN$11,19),BJ14&amp;" dalam "&amp;VLOOKUP(BL14,$AV$2:$BN$11,19)&amp;", "&amp;BK14&amp;" keterampilan dalam "&amp;VLOOKUP(BM14,$AV$2:$BN$11,19)),""))</f>
        <v>Memiliki keterampilan sangat baik dalam Menyajikan proses dinamika hidrosfer menggunakan peta dan Menyajikan proses dinamika litosfer dengan menggunakan peta</v>
      </c>
      <c r="BO14" s="67"/>
    </row>
    <row r="15" spans="1:67" ht="33" customHeight="1">
      <c r="A15" s="67"/>
      <c r="B15" s="272">
        <f>IF(D15="","",B14+1)</f>
        <v>2</v>
      </c>
      <c r="C15" s="273">
        <f>IF(Data!F6="","",Data!F6)</f>
        <v>0</v>
      </c>
      <c r="D15" s="274" t="str">
        <f>IF(Data!H6="","",Data!H6)</f>
        <v>Aprianus Bira</v>
      </c>
      <c r="E15" s="275" t="str">
        <f>IF(Data!I6="","",Data!I6)</f>
        <v>L</v>
      </c>
      <c r="F15" s="276">
        <v>87</v>
      </c>
      <c r="G15" s="277">
        <v>88</v>
      </c>
      <c r="H15" s="277">
        <v>86</v>
      </c>
      <c r="I15" s="277"/>
      <c r="J15" s="277"/>
      <c r="K15" s="277"/>
      <c r="L15" s="277"/>
      <c r="M15" s="280"/>
      <c r="N15" s="277"/>
      <c r="O15" s="278"/>
      <c r="P15" s="279">
        <f>IF(COUNT(U15:AD15)&lt;2,"",ROUND(SUM(U15:AD15)/$AE$12,0))</f>
        <v>87</v>
      </c>
      <c r="Q15" s="277">
        <v>80</v>
      </c>
      <c r="R15" s="280">
        <v>87</v>
      </c>
      <c r="S15" s="281">
        <f>IFERROR(ROUND(((P15*$P$13)+(Q15*$Q$13)+(R15*$R$13))/$AF$12,0),"")</f>
        <v>85</v>
      </c>
      <c r="T15" s="295" t="str">
        <f>IF(S15="","",IF(S15&gt;$H$76,$Q$75,IF(S15&gt;$H$77,$Q$76,IF(S15&gt;$H$78,$Q$77,$Q$78))))</f>
        <v>B</v>
      </c>
      <c r="U15" s="1215">
        <f t="shared" si="7"/>
        <v>87.01</v>
      </c>
      <c r="V15" s="1216">
        <f t="shared" si="7"/>
        <v>88.02</v>
      </c>
      <c r="W15" s="1216">
        <f t="shared" si="7"/>
        <v>86.03</v>
      </c>
      <c r="X15" s="1216" t="str">
        <f t="shared" si="7"/>
        <v/>
      </c>
      <c r="Y15" s="1216" t="str">
        <f t="shared" si="7"/>
        <v/>
      </c>
      <c r="Z15" s="1216" t="str">
        <f t="shared" si="7"/>
        <v/>
      </c>
      <c r="AA15" s="1216" t="str">
        <f t="shared" si="7"/>
        <v/>
      </c>
      <c r="AB15" s="1217" t="str">
        <f t="shared" si="7"/>
        <v/>
      </c>
      <c r="AC15" s="1216" t="str">
        <f t="shared" si="7"/>
        <v/>
      </c>
      <c r="AD15" s="1218" t="str">
        <f t="shared" si="7"/>
        <v/>
      </c>
      <c r="AE15" s="1219">
        <f>MAX(U15:AD15)</f>
        <v>88.02</v>
      </c>
      <c r="AF15" s="282">
        <f>MIN(U15:AD15)</f>
        <v>86.03</v>
      </c>
      <c r="AG15" s="282" t="str">
        <f>IF(AE15&gt;$H$76,$I$75,IF(AE15&gt;$H$77,$I$76,IF(AE15&gt;$H$78,$I$77,$I$78)))</f>
        <v>baik</v>
      </c>
      <c r="AH15" s="282" t="str">
        <f t="shared" si="10"/>
        <v>baik</v>
      </c>
      <c r="AI15" s="282">
        <f>IFERROR(MATCH(AE15,U15:AD15,0),"")</f>
        <v>2</v>
      </c>
      <c r="AJ15" s="283">
        <f>IFERROR(MATCH(AF15,U15:AD15,0),"")</f>
        <v>3</v>
      </c>
      <c r="AK15" s="284" t="str">
        <f>IF(S15="","",IFERROR("Memiliki kemampuan "&amp;IF(AG15=AH15,AG15&amp;" dalam "&amp;VLOOKUP(AI15,$S$2:$AK$11,19)&amp;" dan "&amp;VLOOKUP(AJ15,$S$2:$AK$11,19),AG15&amp;" dalam "&amp;VLOOKUP(AI15,$S$2:$AK$11,19)&amp;", "&amp;AH15&amp;" kemampuan dalam "&amp;VLOOKUP(AJ15,$S$2:$AK$11,19)),""))</f>
        <v>Memiliki kemampuan baik dalam Menganalisis dinamika atmosfer dan dampaknya terhadap kehidupan dan Menganalisis dinamika hidrosfer dan dampaknya terhadap kehidupani</v>
      </c>
      <c r="AL15" s="276">
        <v>95</v>
      </c>
      <c r="AM15" s="277">
        <v>95</v>
      </c>
      <c r="AN15" s="277">
        <v>95</v>
      </c>
      <c r="AO15" s="277"/>
      <c r="AP15" s="277"/>
      <c r="AQ15" s="277"/>
      <c r="AR15" s="277"/>
      <c r="AS15" s="280"/>
      <c r="AT15" s="277"/>
      <c r="AU15" s="278"/>
      <c r="AV15" s="285">
        <f>IF(COUNT(AL15:AU15)&lt;2,"",ROUND(((AL15*$AX$13)+(AM15*$AY$13)+(AN15*$AZ$13)+(AO15*$BA$13)+(AP15*$BB$13)+(AQ15*$BC$13)+(AR15*$BD$13)+(AS15*$BE$13)+(AT15*$BF$13)+(AU15*$BG$13))/$BH$11,0))</f>
        <v>95</v>
      </c>
      <c r="AW15" s="296" t="str">
        <f>IF(AV15="","",IF(AV15&gt;$AN$76,$AV$75,IF(AV15&gt;$AN$77,$AV$76,IF(AV15&gt;$AN$78,$AV$77,$AV$78))))</f>
        <v>A</v>
      </c>
      <c r="AX15" s="1220">
        <f t="shared" si="16"/>
        <v>95.01</v>
      </c>
      <c r="AY15" s="1221">
        <f t="shared" si="16"/>
        <v>95.02</v>
      </c>
      <c r="AZ15" s="1221">
        <f>IF(AN15="","",AN15+AZ$12)</f>
        <v>95.03</v>
      </c>
      <c r="BA15" s="1221" t="str">
        <f t="shared" si="16"/>
        <v/>
      </c>
      <c r="BB15" s="1221" t="str">
        <f t="shared" si="16"/>
        <v/>
      </c>
      <c r="BC15" s="1221" t="str">
        <f t="shared" si="16"/>
        <v/>
      </c>
      <c r="BD15" s="1221" t="str">
        <f t="shared" si="16"/>
        <v/>
      </c>
      <c r="BE15" s="1222" t="str">
        <f t="shared" si="16"/>
        <v/>
      </c>
      <c r="BF15" s="1221" t="str">
        <f t="shared" si="16"/>
        <v/>
      </c>
      <c r="BG15" s="1223" t="str">
        <f t="shared" si="16"/>
        <v/>
      </c>
      <c r="BH15" s="286">
        <f>MAX(AX15:BG15)</f>
        <v>95.03</v>
      </c>
      <c r="BI15" s="286">
        <f>MIN(AX15:BG15)</f>
        <v>95.01</v>
      </c>
      <c r="BJ15" s="287" t="str">
        <f>IF(BH15&gt;$H$76,$AO$75,IF(BH15&gt;$H$77,$AO$76,IF(BH15&gt;$H$78,$AO$77,$AO$78)))</f>
        <v>sangat baik</v>
      </c>
      <c r="BK15" s="287" t="str">
        <f>IF(BI15&gt;$H$76,$AO$75,IF(BI15&gt;$H$77,$AO$76,IF(BI15&gt;$H$78,$AO$77,$AO$78)))</f>
        <v>sangat baik</v>
      </c>
      <c r="BL15" s="286">
        <f>MATCH(BH15,AX15:BG15,0)</f>
        <v>3</v>
      </c>
      <c r="BM15" s="288">
        <f>MATCH(BI15,AX15:BG15,0)</f>
        <v>1</v>
      </c>
      <c r="BN15" s="289" t="str">
        <f>IF(AV15="","",IFERROR("Memiliki keterampilan "&amp;IF(BJ15=BK15,BJ15&amp;" dalam "&amp;VLOOKUP(BL15,$AV$2:$BN$11,19)&amp;" dan "&amp;VLOOKUP(BM15,$AV$2:$BN$11,19),BJ15&amp;" dalam "&amp;VLOOKUP(BL15,$AV$2:$BN$11,19)&amp;", "&amp;BK15&amp;" keterampilan dalam "&amp;VLOOKUP(BM15,$AV$2:$BN$11,19)),""))</f>
        <v>Memiliki keterampilan sangat baik dalam Menyajikan proses dinamika hidrosfer menggunakan peta dan Menyajikan proses dinamika litosfer dengan menggunakan peta</v>
      </c>
      <c r="BO15" s="67"/>
    </row>
    <row r="16" spans="1:67" ht="33" customHeight="1">
      <c r="A16" s="67"/>
      <c r="B16" s="272">
        <f t="shared" ref="B16:B37" si="23">IF(D16="","",B15+1)</f>
        <v>3</v>
      </c>
      <c r="C16" s="273">
        <f>IF(Data!F7="","",Data!F7)</f>
        <v>0</v>
      </c>
      <c r="D16" s="274" t="str">
        <f>IF(Data!H7="","",Data!H7)</f>
        <v>Asri Aldina Baksuni</v>
      </c>
      <c r="E16" s="275" t="str">
        <f>IF(Data!I7="","",Data!I7)</f>
        <v>P</v>
      </c>
      <c r="F16" s="276">
        <v>85</v>
      </c>
      <c r="G16" s="277">
        <v>80</v>
      </c>
      <c r="H16" s="277">
        <v>86</v>
      </c>
      <c r="I16" s="277"/>
      <c r="J16" s="277"/>
      <c r="K16" s="277"/>
      <c r="L16" s="277"/>
      <c r="M16" s="280"/>
      <c r="N16" s="277"/>
      <c r="O16" s="278"/>
      <c r="P16" s="279">
        <f t="shared" ref="P16:P63" si="24">IF(COUNT(U16:AD16)&lt;2,"",ROUND(SUM(U16:AD16)/$AE$12,0))</f>
        <v>84</v>
      </c>
      <c r="Q16" s="277">
        <v>89</v>
      </c>
      <c r="R16" s="280">
        <v>78</v>
      </c>
      <c r="S16" s="281">
        <f t="shared" ref="S16:S63" si="25">IFERROR(ROUND(((P16*$P$13)+(Q16*$Q$13)+(R16*$R$13))/$AF$12,0),"")</f>
        <v>84</v>
      </c>
      <c r="T16" s="295" t="str">
        <f t="shared" ref="T16:T63" si="26">IF(S16="","",IF(S16&gt;$H$76,$Q$75,IF(S16&gt;$H$77,$Q$76,IF(S16&gt;$H$78,$Q$77,$Q$78))))</f>
        <v>C</v>
      </c>
      <c r="U16" s="1215">
        <f t="shared" si="7"/>
        <v>85.01</v>
      </c>
      <c r="V16" s="1216">
        <f t="shared" si="7"/>
        <v>80.02</v>
      </c>
      <c r="W16" s="1216">
        <f t="shared" si="7"/>
        <v>86.03</v>
      </c>
      <c r="X16" s="1216" t="str">
        <f t="shared" si="7"/>
        <v/>
      </c>
      <c r="Y16" s="1216" t="str">
        <f t="shared" si="7"/>
        <v/>
      </c>
      <c r="Z16" s="1216" t="str">
        <f t="shared" si="7"/>
        <v/>
      </c>
      <c r="AA16" s="1216" t="str">
        <f t="shared" si="7"/>
        <v/>
      </c>
      <c r="AB16" s="1217" t="str">
        <f t="shared" si="7"/>
        <v/>
      </c>
      <c r="AC16" s="1216" t="str">
        <f t="shared" si="7"/>
        <v/>
      </c>
      <c r="AD16" s="1218" t="str">
        <f t="shared" si="7"/>
        <v/>
      </c>
      <c r="AE16" s="1219">
        <f t="shared" ref="AE16:AE63" si="27">MAX(U16:AD16)</f>
        <v>86.03</v>
      </c>
      <c r="AF16" s="282">
        <f t="shared" ref="AF16:AF63" si="28">MIN(U16:AD16)</f>
        <v>80.02</v>
      </c>
      <c r="AG16" s="282" t="str">
        <f t="shared" ref="AG16:AH63" si="29">IF(AE16&gt;$H$76,$I$75,IF(AE16&gt;$H$77,$I$76,IF(AE16&gt;$H$78,$I$77,$I$78)))</f>
        <v>baik</v>
      </c>
      <c r="AH16" s="282" t="str">
        <f t="shared" si="10"/>
        <v>cukup</v>
      </c>
      <c r="AI16" s="282">
        <f t="shared" ref="AI16:AI63" si="30">IFERROR(MATCH(AE16,U16:AD16,0),"")</f>
        <v>3</v>
      </c>
      <c r="AJ16" s="283">
        <f t="shared" ref="AJ16:AJ63" si="31">IFERROR(MATCH(AF16,U16:AD16,0),"")</f>
        <v>2</v>
      </c>
      <c r="AK16" s="284" t="str">
        <f t="shared" ref="AK16:AK63" si="32">IF(S16="","",IFERROR("Memiliki kemampuan "&amp;IF(AG16=AH16,AG16&amp;" dalam "&amp;VLOOKUP(AI16,$S$2:$AK$11,19)&amp;" dan "&amp;VLOOKUP(AJ16,$S$2:$AK$11,19),AG16&amp;" dalam "&amp;VLOOKUP(AI16,$S$2:$AK$11,19)&amp;", "&amp;AH16&amp;" kemampuan dalam "&amp;VLOOKUP(AJ16,$S$2:$AK$11,19)),""))</f>
        <v>Memiliki kemampuan baik dalam Menganalisis dinamika hidrosfer dan dampaknya terhadap kehidupani, cukup kemampuan dalam Menganalisis dinamika atmosfer dan dampaknya terhadap kehidupan</v>
      </c>
      <c r="AL16" s="276">
        <v>95</v>
      </c>
      <c r="AM16" s="277">
        <v>95</v>
      </c>
      <c r="AN16" s="277">
        <v>95</v>
      </c>
      <c r="AO16" s="277"/>
      <c r="AP16" s="277"/>
      <c r="AQ16" s="277"/>
      <c r="AR16" s="277"/>
      <c r="AS16" s="280"/>
      <c r="AT16" s="277"/>
      <c r="AU16" s="278"/>
      <c r="AV16" s="285">
        <f t="shared" ref="AV16:AV63" si="33">IF(COUNT(AL16:AU16)&lt;2,"",ROUND(((AL16*$AX$13)+(AM16*$AY$13)+(AN16*$AZ$13)+(AO16*$BA$13)+(AP16*$BB$13)+(AQ16*$BC$13)+(AR16*$BD$13)+(AS16*$BE$13)+(AT16*$BF$13)+(AU16*$BG$13))/$BH$11,0))</f>
        <v>95</v>
      </c>
      <c r="AW16" s="296" t="str">
        <f t="shared" ref="AW16:AW63" si="34">IF(AV16="","",IF(AV16&gt;$AN$76,$AV$75,IF(AV16&gt;$AN$77,$AV$76,IF(AV16&gt;$AN$78,$AV$77,$AV$78))))</f>
        <v>A</v>
      </c>
      <c r="AX16" s="1220">
        <f t="shared" si="16"/>
        <v>95.01</v>
      </c>
      <c r="AY16" s="1221">
        <f t="shared" si="16"/>
        <v>95.02</v>
      </c>
      <c r="AZ16" s="1221">
        <f t="shared" si="16"/>
        <v>95.03</v>
      </c>
      <c r="BA16" s="1221" t="str">
        <f t="shared" si="16"/>
        <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95.03</v>
      </c>
      <c r="BI16" s="286">
        <f t="shared" ref="BI16:BI63" si="36">MIN(AX16:BG16)</f>
        <v>95.01</v>
      </c>
      <c r="BJ16" s="287" t="str">
        <f t="shared" ref="BJ16:BK63" si="37">IF(BH16&gt;$H$76,$AO$75,IF(BH16&gt;$H$77,$AO$76,IF(BH16&gt;$H$78,$AO$77,$AO$78)))</f>
        <v>sangat baik</v>
      </c>
      <c r="BK16" s="287" t="str">
        <f t="shared" si="37"/>
        <v>sangat baik</v>
      </c>
      <c r="BL16" s="286">
        <f t="shared" ref="BL16:BL63" si="38">MATCH(BH16,AX16:BG16,0)</f>
        <v>3</v>
      </c>
      <c r="BM16" s="288">
        <f t="shared" ref="BM16:BM63" si="39">MATCH(BI16,AX16:BG16,0)</f>
        <v>1</v>
      </c>
      <c r="BN16" s="289" t="str">
        <f t="shared" ref="BN16:BN63" si="40">IF(AV16="","",IFERROR("Memiliki keterampilan "&amp;IF(BJ16=BK16,BJ16&amp;" dalam "&amp;VLOOKUP(BL16,$AV$2:$BN$11,19)&amp;" dan "&amp;VLOOKUP(BM16,$AV$2:$BN$11,19),BJ16&amp;" dalam "&amp;VLOOKUP(BL16,$AV$2:$BN$11,19)&amp;", "&amp;BK16&amp;" keterampilan dalam "&amp;VLOOKUP(BM16,$AV$2:$BN$11,19)),""))</f>
        <v>Memiliki keterampilan sangat baik dalam Menyajikan proses dinamika hidrosfer menggunakan peta dan Menyajikan proses dinamika litosfer dengan menggunakan peta</v>
      </c>
      <c r="BO16" s="67"/>
    </row>
    <row r="17" spans="1:67" ht="33" customHeight="1">
      <c r="A17" s="67"/>
      <c r="B17" s="272">
        <f t="shared" si="23"/>
        <v>4</v>
      </c>
      <c r="C17" s="273">
        <f>IF(Data!F8="","",Data!F8)</f>
        <v>0</v>
      </c>
      <c r="D17" s="274" t="str">
        <f>IF(Data!H8="","",Data!H8)</f>
        <v>Asti Welmince Welkis</v>
      </c>
      <c r="E17" s="275" t="str">
        <f>IF(Data!I8="","",Data!I8)</f>
        <v>P</v>
      </c>
      <c r="F17" s="276">
        <v>88</v>
      </c>
      <c r="G17" s="277">
        <v>87</v>
      </c>
      <c r="H17" s="277">
        <v>86</v>
      </c>
      <c r="I17" s="277"/>
      <c r="J17" s="277"/>
      <c r="K17" s="277"/>
      <c r="L17" s="277"/>
      <c r="M17" s="280"/>
      <c r="N17" s="277"/>
      <c r="O17" s="278"/>
      <c r="P17" s="279">
        <f t="shared" si="24"/>
        <v>87</v>
      </c>
      <c r="Q17" s="277">
        <v>80</v>
      </c>
      <c r="R17" s="280">
        <v>85</v>
      </c>
      <c r="S17" s="281">
        <f t="shared" si="25"/>
        <v>85</v>
      </c>
      <c r="T17" s="295" t="str">
        <f t="shared" si="26"/>
        <v>B</v>
      </c>
      <c r="U17" s="1215">
        <f t="shared" si="7"/>
        <v>88.01</v>
      </c>
      <c r="V17" s="1216">
        <f t="shared" si="7"/>
        <v>87.02</v>
      </c>
      <c r="W17" s="1216">
        <f t="shared" si="7"/>
        <v>86.03</v>
      </c>
      <c r="X17" s="1216" t="str">
        <f t="shared" si="7"/>
        <v/>
      </c>
      <c r="Y17" s="1216" t="str">
        <f t="shared" si="7"/>
        <v/>
      </c>
      <c r="Z17" s="1216" t="str">
        <f t="shared" si="7"/>
        <v/>
      </c>
      <c r="AA17" s="1216" t="str">
        <f t="shared" si="7"/>
        <v/>
      </c>
      <c r="AB17" s="1217" t="str">
        <f t="shared" si="7"/>
        <v/>
      </c>
      <c r="AC17" s="1216" t="str">
        <f t="shared" si="7"/>
        <v/>
      </c>
      <c r="AD17" s="1218" t="str">
        <f t="shared" si="7"/>
        <v/>
      </c>
      <c r="AE17" s="1219">
        <f t="shared" si="27"/>
        <v>88.01</v>
      </c>
      <c r="AF17" s="282">
        <f t="shared" si="28"/>
        <v>86.03</v>
      </c>
      <c r="AG17" s="282" t="str">
        <f t="shared" si="29"/>
        <v>baik</v>
      </c>
      <c r="AH17" s="282" t="str">
        <f t="shared" si="10"/>
        <v>baik</v>
      </c>
      <c r="AI17" s="282">
        <f t="shared" si="30"/>
        <v>1</v>
      </c>
      <c r="AJ17" s="283">
        <f t="shared" si="31"/>
        <v>3</v>
      </c>
      <c r="AK17" s="284" t="str">
        <f t="shared" si="32"/>
        <v>Memiliki kemampuan baik dalam Menganalisis dinamika litosfer dan dampaknya terhadap kehidupan dan Menganalisis dinamika hidrosfer dan dampaknya terhadap kehidupani</v>
      </c>
      <c r="AL17" s="276">
        <v>95</v>
      </c>
      <c r="AM17" s="277">
        <v>95</v>
      </c>
      <c r="AN17" s="277">
        <v>95</v>
      </c>
      <c r="AO17" s="277"/>
      <c r="AP17" s="277"/>
      <c r="AQ17" s="277"/>
      <c r="AR17" s="277"/>
      <c r="AS17" s="280"/>
      <c r="AT17" s="277"/>
      <c r="AU17" s="278"/>
      <c r="AV17" s="285">
        <f t="shared" si="33"/>
        <v>95</v>
      </c>
      <c r="AW17" s="296" t="str">
        <f t="shared" si="34"/>
        <v>A</v>
      </c>
      <c r="AX17" s="1220">
        <f t="shared" si="16"/>
        <v>95.01</v>
      </c>
      <c r="AY17" s="1221">
        <f t="shared" si="16"/>
        <v>95.02</v>
      </c>
      <c r="AZ17" s="1221">
        <f t="shared" si="16"/>
        <v>95.03</v>
      </c>
      <c r="BA17" s="1221" t="str">
        <f t="shared" si="16"/>
        <v/>
      </c>
      <c r="BB17" s="1221" t="str">
        <f t="shared" si="16"/>
        <v/>
      </c>
      <c r="BC17" s="1221" t="str">
        <f t="shared" si="16"/>
        <v/>
      </c>
      <c r="BD17" s="1221" t="str">
        <f t="shared" si="16"/>
        <v/>
      </c>
      <c r="BE17" s="1222" t="str">
        <f t="shared" si="16"/>
        <v/>
      </c>
      <c r="BF17" s="1221" t="str">
        <f t="shared" si="16"/>
        <v/>
      </c>
      <c r="BG17" s="1223" t="str">
        <f t="shared" si="16"/>
        <v/>
      </c>
      <c r="BH17" s="286">
        <f t="shared" si="35"/>
        <v>95.03</v>
      </c>
      <c r="BI17" s="286">
        <f t="shared" si="36"/>
        <v>95.01</v>
      </c>
      <c r="BJ17" s="287" t="str">
        <f t="shared" si="37"/>
        <v>sangat baik</v>
      </c>
      <c r="BK17" s="287" t="str">
        <f t="shared" si="37"/>
        <v>sangat baik</v>
      </c>
      <c r="BL17" s="286">
        <f t="shared" si="38"/>
        <v>3</v>
      </c>
      <c r="BM17" s="288">
        <f t="shared" si="39"/>
        <v>1</v>
      </c>
      <c r="BN17" s="289" t="str">
        <f t="shared" si="40"/>
        <v>Memiliki keterampilan sangat baik dalam Menyajikan proses dinamika hidrosfer menggunakan peta dan Menyajikan proses dinamika litosfer dengan menggunakan peta</v>
      </c>
      <c r="BO17" s="67"/>
    </row>
    <row r="18" spans="1:67" ht="33" customHeight="1">
      <c r="A18" s="67"/>
      <c r="B18" s="272">
        <f t="shared" si="23"/>
        <v>5</v>
      </c>
      <c r="C18" s="273">
        <f>IF(Data!F9="","",Data!F9)</f>
        <v>0</v>
      </c>
      <c r="D18" s="274" t="str">
        <f>IF(Data!H9="","",Data!H9)</f>
        <v>Aulya Noviyanti Mbura</v>
      </c>
      <c r="E18" s="275" t="str">
        <f>IF(Data!I9="","",Data!I9)</f>
        <v>P</v>
      </c>
      <c r="F18" s="276">
        <v>84</v>
      </c>
      <c r="G18" s="277">
        <v>86</v>
      </c>
      <c r="H18" s="277">
        <v>86</v>
      </c>
      <c r="I18" s="277"/>
      <c r="J18" s="277"/>
      <c r="K18" s="277"/>
      <c r="L18" s="277"/>
      <c r="M18" s="280"/>
      <c r="N18" s="277"/>
      <c r="O18" s="278"/>
      <c r="P18" s="279">
        <f t="shared" si="24"/>
        <v>85</v>
      </c>
      <c r="Q18" s="277">
        <v>84</v>
      </c>
      <c r="R18" s="280">
        <v>81</v>
      </c>
      <c r="S18" s="281">
        <f t="shared" si="25"/>
        <v>84</v>
      </c>
      <c r="T18" s="295" t="str">
        <f t="shared" si="26"/>
        <v>C</v>
      </c>
      <c r="U18" s="1215">
        <f t="shared" si="7"/>
        <v>84.01</v>
      </c>
      <c r="V18" s="1216">
        <f t="shared" si="7"/>
        <v>86.02</v>
      </c>
      <c r="W18" s="1216">
        <f t="shared" si="7"/>
        <v>86.03</v>
      </c>
      <c r="X18" s="1216" t="str">
        <f t="shared" si="7"/>
        <v/>
      </c>
      <c r="Y18" s="1216" t="str">
        <f t="shared" si="7"/>
        <v/>
      </c>
      <c r="Z18" s="1216" t="str">
        <f t="shared" si="7"/>
        <v/>
      </c>
      <c r="AA18" s="1216" t="str">
        <f t="shared" si="7"/>
        <v/>
      </c>
      <c r="AB18" s="1217" t="str">
        <f t="shared" si="7"/>
        <v/>
      </c>
      <c r="AC18" s="1216" t="str">
        <f t="shared" si="7"/>
        <v/>
      </c>
      <c r="AD18" s="1218" t="str">
        <f t="shared" si="7"/>
        <v/>
      </c>
      <c r="AE18" s="1219">
        <f t="shared" si="27"/>
        <v>86.03</v>
      </c>
      <c r="AF18" s="282">
        <f t="shared" si="28"/>
        <v>84.01</v>
      </c>
      <c r="AG18" s="282" t="str">
        <f t="shared" si="29"/>
        <v>baik</v>
      </c>
      <c r="AH18" s="282" t="str">
        <f t="shared" si="10"/>
        <v>cukup</v>
      </c>
      <c r="AI18" s="282">
        <f t="shared" si="30"/>
        <v>3</v>
      </c>
      <c r="AJ18" s="283">
        <f t="shared" si="31"/>
        <v>1</v>
      </c>
      <c r="AK18" s="284" t="str">
        <f t="shared" si="32"/>
        <v>Memiliki kemampuan baik dalam Menganalisis dinamika hidrosfer dan dampaknya terhadap kehidupani, cukup kemampuan dalam Menganalisis dinamika litosfer dan dampaknya terhadap kehidupan</v>
      </c>
      <c r="AL18" s="276">
        <v>95</v>
      </c>
      <c r="AM18" s="277">
        <v>95</v>
      </c>
      <c r="AN18" s="277">
        <v>95</v>
      </c>
      <c r="AO18" s="277"/>
      <c r="AP18" s="277"/>
      <c r="AQ18" s="277"/>
      <c r="AR18" s="277"/>
      <c r="AS18" s="280"/>
      <c r="AT18" s="277"/>
      <c r="AU18" s="278"/>
      <c r="AV18" s="285">
        <f t="shared" si="33"/>
        <v>95</v>
      </c>
      <c r="AW18" s="296" t="str">
        <f t="shared" si="34"/>
        <v>A</v>
      </c>
      <c r="AX18" s="1220">
        <f t="shared" si="16"/>
        <v>95.01</v>
      </c>
      <c r="AY18" s="1221">
        <f t="shared" si="16"/>
        <v>95.02</v>
      </c>
      <c r="AZ18" s="1221">
        <f t="shared" si="16"/>
        <v>95.03</v>
      </c>
      <c r="BA18" s="1221" t="str">
        <f t="shared" si="16"/>
        <v/>
      </c>
      <c r="BB18" s="1221" t="str">
        <f t="shared" si="16"/>
        <v/>
      </c>
      <c r="BC18" s="1221" t="str">
        <f t="shared" si="16"/>
        <v/>
      </c>
      <c r="BD18" s="1221" t="str">
        <f t="shared" si="16"/>
        <v/>
      </c>
      <c r="BE18" s="1222" t="str">
        <f t="shared" si="16"/>
        <v/>
      </c>
      <c r="BF18" s="1221" t="str">
        <f t="shared" si="16"/>
        <v/>
      </c>
      <c r="BG18" s="1223" t="str">
        <f t="shared" si="16"/>
        <v/>
      </c>
      <c r="BH18" s="286">
        <f t="shared" si="35"/>
        <v>95.03</v>
      </c>
      <c r="BI18" s="286">
        <f t="shared" si="36"/>
        <v>95.01</v>
      </c>
      <c r="BJ18" s="287" t="str">
        <f t="shared" si="37"/>
        <v>sangat baik</v>
      </c>
      <c r="BK18" s="287" t="str">
        <f t="shared" si="37"/>
        <v>sangat baik</v>
      </c>
      <c r="BL18" s="286">
        <f t="shared" si="38"/>
        <v>3</v>
      </c>
      <c r="BM18" s="288">
        <f t="shared" si="39"/>
        <v>1</v>
      </c>
      <c r="BN18" s="289" t="str">
        <f t="shared" si="40"/>
        <v>Memiliki keterampilan sangat baik dalam Menyajikan proses dinamika hidrosfer menggunakan peta dan Menyajikan proses dinamika litosfer dengan menggunakan peta</v>
      </c>
      <c r="BO18" s="67"/>
    </row>
    <row r="19" spans="1:67" ht="33" customHeight="1">
      <c r="A19" s="67"/>
      <c r="B19" s="272">
        <f t="shared" si="23"/>
        <v>6</v>
      </c>
      <c r="C19" s="273">
        <f>IF(Data!F10="","",Data!F10)</f>
        <v>0</v>
      </c>
      <c r="D19" s="274" t="str">
        <f>IF(Data!H10="","",Data!H10)</f>
        <v>Ayu Oliberta Ranboki</v>
      </c>
      <c r="E19" s="275" t="str">
        <f>IF(Data!I10="","",Data!I10)</f>
        <v>P</v>
      </c>
      <c r="F19" s="276">
        <v>87</v>
      </c>
      <c r="G19" s="277">
        <v>88</v>
      </c>
      <c r="H19" s="277">
        <v>86</v>
      </c>
      <c r="I19" s="277"/>
      <c r="J19" s="277"/>
      <c r="K19" s="277"/>
      <c r="L19" s="277"/>
      <c r="M19" s="280"/>
      <c r="N19" s="277"/>
      <c r="O19" s="278"/>
      <c r="P19" s="279">
        <f t="shared" si="24"/>
        <v>87</v>
      </c>
      <c r="Q19" s="277">
        <v>80</v>
      </c>
      <c r="R19" s="280">
        <v>87</v>
      </c>
      <c r="S19" s="281">
        <f t="shared" si="25"/>
        <v>85</v>
      </c>
      <c r="T19" s="295" t="str">
        <f t="shared" si="26"/>
        <v>B</v>
      </c>
      <c r="U19" s="1215">
        <f t="shared" si="7"/>
        <v>87.01</v>
      </c>
      <c r="V19" s="1216">
        <f t="shared" si="7"/>
        <v>88.02</v>
      </c>
      <c r="W19" s="1216">
        <f t="shared" si="7"/>
        <v>86.03</v>
      </c>
      <c r="X19" s="1216" t="str">
        <f t="shared" si="7"/>
        <v/>
      </c>
      <c r="Y19" s="1216" t="str">
        <f t="shared" si="7"/>
        <v/>
      </c>
      <c r="Z19" s="1216" t="str">
        <f t="shared" si="7"/>
        <v/>
      </c>
      <c r="AA19" s="1216" t="str">
        <f t="shared" si="7"/>
        <v/>
      </c>
      <c r="AB19" s="1217" t="str">
        <f t="shared" si="7"/>
        <v/>
      </c>
      <c r="AC19" s="1216" t="str">
        <f t="shared" si="7"/>
        <v/>
      </c>
      <c r="AD19" s="1218" t="str">
        <f t="shared" si="7"/>
        <v/>
      </c>
      <c r="AE19" s="1219">
        <f t="shared" si="27"/>
        <v>88.02</v>
      </c>
      <c r="AF19" s="282">
        <f t="shared" si="28"/>
        <v>86.03</v>
      </c>
      <c r="AG19" s="282" t="str">
        <f t="shared" si="29"/>
        <v>baik</v>
      </c>
      <c r="AH19" s="282" t="str">
        <f t="shared" si="10"/>
        <v>baik</v>
      </c>
      <c r="AI19" s="282">
        <f t="shared" si="30"/>
        <v>2</v>
      </c>
      <c r="AJ19" s="283">
        <f t="shared" si="31"/>
        <v>3</v>
      </c>
      <c r="AK19" s="284" t="str">
        <f t="shared" si="32"/>
        <v>Memiliki kemampuan baik dalam Menganalisis dinamika atmosfer dan dampaknya terhadap kehidupan dan Menganalisis dinamika hidrosfer dan dampaknya terhadap kehidupani</v>
      </c>
      <c r="AL19" s="276">
        <v>95</v>
      </c>
      <c r="AM19" s="277">
        <v>95</v>
      </c>
      <c r="AN19" s="277">
        <v>95</v>
      </c>
      <c r="AO19" s="277"/>
      <c r="AP19" s="277"/>
      <c r="AQ19" s="277"/>
      <c r="AR19" s="277"/>
      <c r="AS19" s="280"/>
      <c r="AT19" s="277"/>
      <c r="AU19" s="278"/>
      <c r="AV19" s="285">
        <f t="shared" si="33"/>
        <v>95</v>
      </c>
      <c r="AW19" s="296" t="str">
        <f t="shared" si="34"/>
        <v>A</v>
      </c>
      <c r="AX19" s="1220">
        <f t="shared" si="16"/>
        <v>95.01</v>
      </c>
      <c r="AY19" s="1221">
        <f t="shared" si="16"/>
        <v>95.02</v>
      </c>
      <c r="AZ19" s="1221">
        <f t="shared" si="16"/>
        <v>95.03</v>
      </c>
      <c r="BA19" s="1221" t="str">
        <f t="shared" si="16"/>
        <v/>
      </c>
      <c r="BB19" s="1221" t="str">
        <f t="shared" si="16"/>
        <v/>
      </c>
      <c r="BC19" s="1221" t="str">
        <f t="shared" si="16"/>
        <v/>
      </c>
      <c r="BD19" s="1221" t="str">
        <f t="shared" si="16"/>
        <v/>
      </c>
      <c r="BE19" s="1222" t="str">
        <f t="shared" si="16"/>
        <v/>
      </c>
      <c r="BF19" s="1221" t="str">
        <f t="shared" si="16"/>
        <v/>
      </c>
      <c r="BG19" s="1223" t="str">
        <f t="shared" si="16"/>
        <v/>
      </c>
      <c r="BH19" s="286">
        <f t="shared" si="35"/>
        <v>95.03</v>
      </c>
      <c r="BI19" s="286">
        <f t="shared" si="36"/>
        <v>95.01</v>
      </c>
      <c r="BJ19" s="287" t="str">
        <f t="shared" si="37"/>
        <v>sangat baik</v>
      </c>
      <c r="BK19" s="287" t="str">
        <f t="shared" si="37"/>
        <v>sangat baik</v>
      </c>
      <c r="BL19" s="286">
        <f t="shared" si="38"/>
        <v>3</v>
      </c>
      <c r="BM19" s="288">
        <f t="shared" si="39"/>
        <v>1</v>
      </c>
      <c r="BN19" s="289" t="str">
        <f t="shared" si="40"/>
        <v>Memiliki keterampilan sangat baik dalam Menyajikan proses dinamika hidrosfer menggunakan peta dan Menyajikan proses dinamika litosfer dengan menggunakan peta</v>
      </c>
      <c r="BO19" s="67"/>
    </row>
    <row r="20" spans="1:67" ht="33" customHeight="1">
      <c r="A20" s="67"/>
      <c r="B20" s="272">
        <f t="shared" si="23"/>
        <v>7</v>
      </c>
      <c r="C20" s="273">
        <f>IF(Data!F11="","",Data!F11)</f>
        <v>0</v>
      </c>
      <c r="D20" s="274" t="str">
        <f>IF(Data!H11="","",Data!H11)</f>
        <v>Benediktus Faot</v>
      </c>
      <c r="E20" s="275" t="str">
        <f>IF(Data!I11="","",Data!I11)</f>
        <v>L</v>
      </c>
      <c r="F20" s="276">
        <v>88</v>
      </c>
      <c r="G20" s="277">
        <v>87</v>
      </c>
      <c r="H20" s="277">
        <v>86</v>
      </c>
      <c r="I20" s="277"/>
      <c r="J20" s="277"/>
      <c r="K20" s="277"/>
      <c r="L20" s="277"/>
      <c r="M20" s="280"/>
      <c r="N20" s="277"/>
      <c r="O20" s="278"/>
      <c r="P20" s="279">
        <f t="shared" si="24"/>
        <v>87</v>
      </c>
      <c r="Q20" s="277">
        <v>80</v>
      </c>
      <c r="R20" s="280">
        <v>86</v>
      </c>
      <c r="S20" s="281">
        <f t="shared" si="25"/>
        <v>85</v>
      </c>
      <c r="T20" s="295" t="str">
        <f t="shared" si="26"/>
        <v>B</v>
      </c>
      <c r="U20" s="1215">
        <f t="shared" si="7"/>
        <v>88.01</v>
      </c>
      <c r="V20" s="1216">
        <f t="shared" si="7"/>
        <v>87.02</v>
      </c>
      <c r="W20" s="1216">
        <f t="shared" si="7"/>
        <v>86.03</v>
      </c>
      <c r="X20" s="1216" t="str">
        <f t="shared" si="7"/>
        <v/>
      </c>
      <c r="Y20" s="1216" t="str">
        <f t="shared" si="7"/>
        <v/>
      </c>
      <c r="Z20" s="1216" t="str">
        <f t="shared" si="7"/>
        <v/>
      </c>
      <c r="AA20" s="1216" t="str">
        <f t="shared" si="7"/>
        <v/>
      </c>
      <c r="AB20" s="1217" t="str">
        <f t="shared" si="7"/>
        <v/>
      </c>
      <c r="AC20" s="1216" t="str">
        <f t="shared" si="7"/>
        <v/>
      </c>
      <c r="AD20" s="1218" t="str">
        <f t="shared" si="7"/>
        <v/>
      </c>
      <c r="AE20" s="1219">
        <f t="shared" si="27"/>
        <v>88.01</v>
      </c>
      <c r="AF20" s="282">
        <f t="shared" si="28"/>
        <v>86.03</v>
      </c>
      <c r="AG20" s="282" t="str">
        <f t="shared" si="29"/>
        <v>baik</v>
      </c>
      <c r="AH20" s="282" t="str">
        <f t="shared" si="10"/>
        <v>baik</v>
      </c>
      <c r="AI20" s="282">
        <f t="shared" si="30"/>
        <v>1</v>
      </c>
      <c r="AJ20" s="283">
        <f t="shared" si="31"/>
        <v>3</v>
      </c>
      <c r="AK20" s="284" t="str">
        <f t="shared" si="32"/>
        <v>Memiliki kemampuan baik dalam Menganalisis dinamika litosfer dan dampaknya terhadap kehidupan dan Menganalisis dinamika hidrosfer dan dampaknya terhadap kehidupani</v>
      </c>
      <c r="AL20" s="276">
        <v>95</v>
      </c>
      <c r="AM20" s="277">
        <v>95</v>
      </c>
      <c r="AN20" s="277">
        <v>95</v>
      </c>
      <c r="AO20" s="277"/>
      <c r="AP20" s="277"/>
      <c r="AQ20" s="277"/>
      <c r="AR20" s="277"/>
      <c r="AS20" s="280"/>
      <c r="AT20" s="277"/>
      <c r="AU20" s="278"/>
      <c r="AV20" s="285">
        <f t="shared" si="33"/>
        <v>95</v>
      </c>
      <c r="AW20" s="296" t="str">
        <f t="shared" si="34"/>
        <v>A</v>
      </c>
      <c r="AX20" s="1220">
        <f t="shared" si="16"/>
        <v>95.01</v>
      </c>
      <c r="AY20" s="1221">
        <f t="shared" si="16"/>
        <v>95.02</v>
      </c>
      <c r="AZ20" s="1221">
        <f t="shared" si="16"/>
        <v>95.03</v>
      </c>
      <c r="BA20" s="1221" t="str">
        <f t="shared" si="16"/>
        <v/>
      </c>
      <c r="BB20" s="1221" t="str">
        <f t="shared" si="16"/>
        <v/>
      </c>
      <c r="BC20" s="1221" t="str">
        <f t="shared" si="16"/>
        <v/>
      </c>
      <c r="BD20" s="1221" t="str">
        <f t="shared" si="16"/>
        <v/>
      </c>
      <c r="BE20" s="1222" t="str">
        <f t="shared" si="16"/>
        <v/>
      </c>
      <c r="BF20" s="1221" t="str">
        <f t="shared" si="16"/>
        <v/>
      </c>
      <c r="BG20" s="1223" t="str">
        <f t="shared" si="16"/>
        <v/>
      </c>
      <c r="BH20" s="286">
        <f t="shared" si="35"/>
        <v>95.03</v>
      </c>
      <c r="BI20" s="286">
        <f t="shared" si="36"/>
        <v>95.01</v>
      </c>
      <c r="BJ20" s="287" t="str">
        <f t="shared" si="37"/>
        <v>sangat baik</v>
      </c>
      <c r="BK20" s="287" t="str">
        <f t="shared" si="37"/>
        <v>sangat baik</v>
      </c>
      <c r="BL20" s="286">
        <f t="shared" si="38"/>
        <v>3</v>
      </c>
      <c r="BM20" s="288">
        <f t="shared" si="39"/>
        <v>1</v>
      </c>
      <c r="BN20" s="289" t="str">
        <f t="shared" si="40"/>
        <v>Memiliki keterampilan sangat baik dalam Menyajikan proses dinamika hidrosfer menggunakan peta dan Menyajikan proses dinamika litosfer dengan menggunakan peta</v>
      </c>
      <c r="BO20" s="67"/>
    </row>
    <row r="21" spans="1:67" ht="33" customHeight="1">
      <c r="A21" s="67"/>
      <c r="B21" s="272">
        <f t="shared" si="23"/>
        <v>8</v>
      </c>
      <c r="C21" s="273">
        <f>IF(Data!F12="","",Data!F12)</f>
        <v>0</v>
      </c>
      <c r="D21" s="274" t="str">
        <f>IF(Data!H12="","",Data!H12)</f>
        <v>Betron Imanuel Kuni</v>
      </c>
      <c r="E21" s="275" t="str">
        <f>IF(Data!I12="","",Data!I12)</f>
        <v>L</v>
      </c>
      <c r="F21" s="276">
        <v>85</v>
      </c>
      <c r="G21" s="277">
        <v>85</v>
      </c>
      <c r="H21" s="277">
        <v>86</v>
      </c>
      <c r="I21" s="277"/>
      <c r="J21" s="277"/>
      <c r="K21" s="277"/>
      <c r="L21" s="277"/>
      <c r="M21" s="280"/>
      <c r="N21" s="277"/>
      <c r="O21" s="278"/>
      <c r="P21" s="279">
        <f t="shared" si="24"/>
        <v>85</v>
      </c>
      <c r="Q21" s="277">
        <v>83</v>
      </c>
      <c r="R21" s="280">
        <v>80</v>
      </c>
      <c r="S21" s="281">
        <f t="shared" si="25"/>
        <v>83</v>
      </c>
      <c r="T21" s="295" t="str">
        <f t="shared" si="26"/>
        <v>C</v>
      </c>
      <c r="U21" s="1215">
        <f t="shared" si="7"/>
        <v>85.01</v>
      </c>
      <c r="V21" s="1216">
        <f t="shared" si="7"/>
        <v>85.02</v>
      </c>
      <c r="W21" s="1216">
        <f t="shared" si="7"/>
        <v>86.03</v>
      </c>
      <c r="X21" s="1216" t="str">
        <f t="shared" si="7"/>
        <v/>
      </c>
      <c r="Y21" s="1216" t="str">
        <f t="shared" si="7"/>
        <v/>
      </c>
      <c r="Z21" s="1216" t="str">
        <f t="shared" si="7"/>
        <v/>
      </c>
      <c r="AA21" s="1216" t="str">
        <f t="shared" si="7"/>
        <v/>
      </c>
      <c r="AB21" s="1217" t="str">
        <f t="shared" si="7"/>
        <v/>
      </c>
      <c r="AC21" s="1216" t="str">
        <f t="shared" si="7"/>
        <v/>
      </c>
      <c r="AD21" s="1218" t="str">
        <f t="shared" si="7"/>
        <v/>
      </c>
      <c r="AE21" s="1219">
        <f t="shared" si="27"/>
        <v>86.03</v>
      </c>
      <c r="AF21" s="282">
        <f t="shared" si="28"/>
        <v>85.01</v>
      </c>
      <c r="AG21" s="282" t="str">
        <f t="shared" si="29"/>
        <v>baik</v>
      </c>
      <c r="AH21" s="282" t="str">
        <f t="shared" si="10"/>
        <v>baik</v>
      </c>
      <c r="AI21" s="282">
        <f t="shared" si="30"/>
        <v>3</v>
      </c>
      <c r="AJ21" s="283">
        <f t="shared" si="31"/>
        <v>1</v>
      </c>
      <c r="AK21" s="284" t="str">
        <f t="shared" si="32"/>
        <v>Memiliki kemampuan baik dalam Menganalisis dinamika hidrosfer dan dampaknya terhadap kehidupani dan Menganalisis dinamika litosfer dan dampaknya terhadap kehidupan</v>
      </c>
      <c r="AL21" s="276">
        <v>88</v>
      </c>
      <c r="AM21" s="277">
        <v>86</v>
      </c>
      <c r="AN21" s="277">
        <v>86</v>
      </c>
      <c r="AO21" s="277"/>
      <c r="AP21" s="277"/>
      <c r="AQ21" s="277"/>
      <c r="AR21" s="277"/>
      <c r="AS21" s="280"/>
      <c r="AT21" s="277"/>
      <c r="AU21" s="278"/>
      <c r="AV21" s="285">
        <f t="shared" si="33"/>
        <v>87</v>
      </c>
      <c r="AW21" s="296" t="str">
        <f t="shared" si="34"/>
        <v>B</v>
      </c>
      <c r="AX21" s="1220">
        <f t="shared" si="16"/>
        <v>88.01</v>
      </c>
      <c r="AY21" s="1221">
        <f t="shared" si="16"/>
        <v>86.02</v>
      </c>
      <c r="AZ21" s="1221">
        <f t="shared" si="16"/>
        <v>86.03</v>
      </c>
      <c r="BA21" s="1221" t="str">
        <f t="shared" si="16"/>
        <v/>
      </c>
      <c r="BB21" s="1221" t="str">
        <f t="shared" si="16"/>
        <v/>
      </c>
      <c r="BC21" s="1221" t="str">
        <f t="shared" si="16"/>
        <v/>
      </c>
      <c r="BD21" s="1221" t="str">
        <f t="shared" si="16"/>
        <v/>
      </c>
      <c r="BE21" s="1222" t="str">
        <f t="shared" si="16"/>
        <v/>
      </c>
      <c r="BF21" s="1221" t="str">
        <f t="shared" si="16"/>
        <v/>
      </c>
      <c r="BG21" s="1223" t="str">
        <f t="shared" si="16"/>
        <v/>
      </c>
      <c r="BH21" s="286">
        <f t="shared" si="35"/>
        <v>88.01</v>
      </c>
      <c r="BI21" s="286">
        <f t="shared" si="36"/>
        <v>86.02</v>
      </c>
      <c r="BJ21" s="287" t="str">
        <f t="shared" si="37"/>
        <v>baik</v>
      </c>
      <c r="BK21" s="287" t="str">
        <f t="shared" si="37"/>
        <v>baik</v>
      </c>
      <c r="BL21" s="286">
        <f t="shared" si="38"/>
        <v>1</v>
      </c>
      <c r="BM21" s="288">
        <f t="shared" si="39"/>
        <v>2</v>
      </c>
      <c r="BN21" s="289" t="str">
        <f t="shared" si="40"/>
        <v>Memiliki keterampilan baik dalam Menyajikan proses dinamika litosfer dengan menggunakan peta dan Menyajikan proses dinamika atmosfer menggunakan peta</v>
      </c>
      <c r="BO21" s="67"/>
    </row>
    <row r="22" spans="1:67" ht="33" customHeight="1">
      <c r="A22" s="67"/>
      <c r="B22" s="272">
        <f t="shared" si="23"/>
        <v>9</v>
      </c>
      <c r="C22" s="273">
        <f>IF(Data!F13="","",Data!F13)</f>
        <v>0</v>
      </c>
      <c r="D22" s="274" t="str">
        <f>IF(Data!H13="","",Data!H13)</f>
        <v>Demrianus Ton</v>
      </c>
      <c r="E22" s="275" t="str">
        <f>IF(Data!I13="","",Data!I13)</f>
        <v>L</v>
      </c>
      <c r="F22" s="276">
        <v>78</v>
      </c>
      <c r="G22" s="277">
        <v>70</v>
      </c>
      <c r="H22" s="277">
        <v>70</v>
      </c>
      <c r="I22" s="277"/>
      <c r="J22" s="277"/>
      <c r="K22" s="277"/>
      <c r="L22" s="277"/>
      <c r="M22" s="280"/>
      <c r="N22" s="277"/>
      <c r="O22" s="278"/>
      <c r="P22" s="279">
        <f t="shared" si="24"/>
        <v>73</v>
      </c>
      <c r="Q22" s="277">
        <v>70</v>
      </c>
      <c r="R22" s="280">
        <v>90</v>
      </c>
      <c r="S22" s="281">
        <f t="shared" si="25"/>
        <v>77</v>
      </c>
      <c r="T22" s="295" t="str">
        <f t="shared" si="26"/>
        <v>C</v>
      </c>
      <c r="U22" s="1215">
        <f t="shared" si="7"/>
        <v>78.010000000000005</v>
      </c>
      <c r="V22" s="1216">
        <f t="shared" si="7"/>
        <v>70.02</v>
      </c>
      <c r="W22" s="1216">
        <f t="shared" si="7"/>
        <v>70.03</v>
      </c>
      <c r="X22" s="1216" t="str">
        <f t="shared" si="7"/>
        <v/>
      </c>
      <c r="Y22" s="1216" t="str">
        <f t="shared" si="7"/>
        <v/>
      </c>
      <c r="Z22" s="1216" t="str">
        <f t="shared" si="7"/>
        <v/>
      </c>
      <c r="AA22" s="1216" t="str">
        <f t="shared" si="7"/>
        <v/>
      </c>
      <c r="AB22" s="1217" t="str">
        <f t="shared" si="7"/>
        <v/>
      </c>
      <c r="AC22" s="1216" t="str">
        <f t="shared" si="7"/>
        <v/>
      </c>
      <c r="AD22" s="1218" t="str">
        <f t="shared" si="7"/>
        <v/>
      </c>
      <c r="AE22" s="1219">
        <f t="shared" si="27"/>
        <v>78.010000000000005</v>
      </c>
      <c r="AF22" s="282">
        <f t="shared" si="28"/>
        <v>70.02</v>
      </c>
      <c r="AG22" s="282" t="str">
        <f t="shared" si="29"/>
        <v>cukup</v>
      </c>
      <c r="AH22" s="282" t="str">
        <f t="shared" si="10"/>
        <v>perlu dimaksimalkan</v>
      </c>
      <c r="AI22" s="282">
        <f t="shared" si="30"/>
        <v>1</v>
      </c>
      <c r="AJ22" s="283">
        <f t="shared" si="31"/>
        <v>2</v>
      </c>
      <c r="AK22" s="284" t="str">
        <f t="shared" si="32"/>
        <v>Memiliki kemampuan cukup dalam Menganalisis dinamika litosfer dan dampaknya terhadap kehidupan, perlu dimaksimalkan kemampuan dalam Menganalisis dinamika atmosfer dan dampaknya terhadap kehidupan</v>
      </c>
      <c r="AL22" s="276">
        <v>80</v>
      </c>
      <c r="AM22" s="277">
        <v>80</v>
      </c>
      <c r="AN22" s="277">
        <v>80</v>
      </c>
      <c r="AO22" s="277"/>
      <c r="AP22" s="277"/>
      <c r="AQ22" s="277"/>
      <c r="AR22" s="277"/>
      <c r="AS22" s="280"/>
      <c r="AT22" s="277"/>
      <c r="AU22" s="278"/>
      <c r="AV22" s="285">
        <f t="shared" si="33"/>
        <v>80</v>
      </c>
      <c r="AW22" s="296" t="str">
        <f t="shared" si="34"/>
        <v>C</v>
      </c>
      <c r="AX22" s="1220">
        <f t="shared" si="16"/>
        <v>80.010000000000005</v>
      </c>
      <c r="AY22" s="1221">
        <f t="shared" si="16"/>
        <v>80.02</v>
      </c>
      <c r="AZ22" s="1221">
        <f t="shared" si="16"/>
        <v>80.03</v>
      </c>
      <c r="BA22" s="1221" t="str">
        <f t="shared" si="16"/>
        <v/>
      </c>
      <c r="BB22" s="1221" t="str">
        <f t="shared" si="16"/>
        <v/>
      </c>
      <c r="BC22" s="1221" t="str">
        <f t="shared" si="16"/>
        <v/>
      </c>
      <c r="BD22" s="1221" t="str">
        <f t="shared" si="16"/>
        <v/>
      </c>
      <c r="BE22" s="1222" t="str">
        <f t="shared" si="16"/>
        <v/>
      </c>
      <c r="BF22" s="1221" t="str">
        <f t="shared" si="16"/>
        <v/>
      </c>
      <c r="BG22" s="1223" t="str">
        <f t="shared" si="16"/>
        <v/>
      </c>
      <c r="BH22" s="286">
        <f t="shared" si="35"/>
        <v>80.03</v>
      </c>
      <c r="BI22" s="286">
        <f t="shared" si="36"/>
        <v>80.010000000000005</v>
      </c>
      <c r="BJ22" s="287" t="str">
        <f t="shared" si="37"/>
        <v>cukup</v>
      </c>
      <c r="BK22" s="287" t="str">
        <f t="shared" si="37"/>
        <v>cukup</v>
      </c>
      <c r="BL22" s="286">
        <f t="shared" si="38"/>
        <v>3</v>
      </c>
      <c r="BM22" s="288">
        <f t="shared" si="39"/>
        <v>1</v>
      </c>
      <c r="BN22" s="289" t="str">
        <f t="shared" si="40"/>
        <v>Memiliki keterampilan cukup dalam Menyajikan proses dinamika hidrosfer menggunakan peta dan Menyajikan proses dinamika litosfer dengan menggunakan peta</v>
      </c>
      <c r="BO22" s="67"/>
    </row>
    <row r="23" spans="1:67" ht="33" customHeight="1">
      <c r="A23" s="67"/>
      <c r="B23" s="272">
        <f t="shared" si="23"/>
        <v>10</v>
      </c>
      <c r="C23" s="273">
        <f>IF(Data!F14="","",Data!F14)</f>
        <v>0</v>
      </c>
      <c r="D23" s="274" t="str">
        <f>IF(Data!H14="","",Data!H14)</f>
        <v>Desti Manggoa</v>
      </c>
      <c r="E23" s="275" t="str">
        <f>IF(Data!I14="","",Data!I14)</f>
        <v>P</v>
      </c>
      <c r="F23" s="276">
        <v>88</v>
      </c>
      <c r="G23" s="277">
        <v>87</v>
      </c>
      <c r="H23" s="277">
        <v>86</v>
      </c>
      <c r="I23" s="277"/>
      <c r="J23" s="277"/>
      <c r="K23" s="277"/>
      <c r="L23" s="277"/>
      <c r="M23" s="280"/>
      <c r="N23" s="277"/>
      <c r="O23" s="278"/>
      <c r="P23" s="279">
        <f t="shared" si="24"/>
        <v>87</v>
      </c>
      <c r="Q23" s="277">
        <v>80</v>
      </c>
      <c r="R23" s="280">
        <v>85</v>
      </c>
      <c r="S23" s="281">
        <f t="shared" si="25"/>
        <v>85</v>
      </c>
      <c r="T23" s="295" t="str">
        <f t="shared" si="26"/>
        <v>B</v>
      </c>
      <c r="U23" s="1215">
        <f t="shared" si="7"/>
        <v>88.01</v>
      </c>
      <c r="V23" s="1216">
        <f t="shared" si="7"/>
        <v>87.02</v>
      </c>
      <c r="W23" s="1216">
        <f t="shared" si="7"/>
        <v>86.03</v>
      </c>
      <c r="X23" s="1216" t="str">
        <f t="shared" si="7"/>
        <v/>
      </c>
      <c r="Y23" s="1216" t="str">
        <f t="shared" si="7"/>
        <v/>
      </c>
      <c r="Z23" s="1216" t="str">
        <f t="shared" si="7"/>
        <v/>
      </c>
      <c r="AA23" s="1216" t="str">
        <f t="shared" si="7"/>
        <v/>
      </c>
      <c r="AB23" s="1217" t="str">
        <f t="shared" si="7"/>
        <v/>
      </c>
      <c r="AC23" s="1216" t="str">
        <f t="shared" si="7"/>
        <v/>
      </c>
      <c r="AD23" s="1218" t="str">
        <f t="shared" si="7"/>
        <v/>
      </c>
      <c r="AE23" s="1219">
        <f t="shared" si="27"/>
        <v>88.01</v>
      </c>
      <c r="AF23" s="282">
        <f t="shared" si="28"/>
        <v>86.03</v>
      </c>
      <c r="AG23" s="282" t="str">
        <f t="shared" si="29"/>
        <v>baik</v>
      </c>
      <c r="AH23" s="282" t="str">
        <f t="shared" si="10"/>
        <v>baik</v>
      </c>
      <c r="AI23" s="282">
        <f t="shared" si="30"/>
        <v>1</v>
      </c>
      <c r="AJ23" s="283">
        <f t="shared" si="31"/>
        <v>3</v>
      </c>
      <c r="AK23" s="284" t="str">
        <f t="shared" si="32"/>
        <v>Memiliki kemampuan baik dalam Menganalisis dinamika litosfer dan dampaknya terhadap kehidupan dan Menganalisis dinamika hidrosfer dan dampaknya terhadap kehidupani</v>
      </c>
      <c r="AL23" s="276">
        <v>95</v>
      </c>
      <c r="AM23" s="277">
        <v>95</v>
      </c>
      <c r="AN23" s="277">
        <v>95</v>
      </c>
      <c r="AO23" s="277"/>
      <c r="AP23" s="277"/>
      <c r="AQ23" s="277"/>
      <c r="AR23" s="277"/>
      <c r="AS23" s="280"/>
      <c r="AT23" s="277"/>
      <c r="AU23" s="278"/>
      <c r="AV23" s="285">
        <f t="shared" si="33"/>
        <v>95</v>
      </c>
      <c r="AW23" s="296" t="str">
        <f t="shared" si="34"/>
        <v>A</v>
      </c>
      <c r="AX23" s="1220">
        <f t="shared" si="16"/>
        <v>95.01</v>
      </c>
      <c r="AY23" s="1221">
        <f t="shared" si="16"/>
        <v>95.02</v>
      </c>
      <c r="AZ23" s="1221">
        <f t="shared" si="16"/>
        <v>95.03</v>
      </c>
      <c r="BA23" s="1221" t="str">
        <f t="shared" si="16"/>
        <v/>
      </c>
      <c r="BB23" s="1221" t="str">
        <f t="shared" si="16"/>
        <v/>
      </c>
      <c r="BC23" s="1221" t="str">
        <f t="shared" si="16"/>
        <v/>
      </c>
      <c r="BD23" s="1221" t="str">
        <f t="shared" si="16"/>
        <v/>
      </c>
      <c r="BE23" s="1222" t="str">
        <f t="shared" si="16"/>
        <v/>
      </c>
      <c r="BF23" s="1221" t="str">
        <f t="shared" si="16"/>
        <v/>
      </c>
      <c r="BG23" s="1223" t="str">
        <f t="shared" si="16"/>
        <v/>
      </c>
      <c r="BH23" s="286">
        <f t="shared" si="35"/>
        <v>95.03</v>
      </c>
      <c r="BI23" s="286">
        <f t="shared" si="36"/>
        <v>95.01</v>
      </c>
      <c r="BJ23" s="287" t="str">
        <f t="shared" si="37"/>
        <v>sangat baik</v>
      </c>
      <c r="BK23" s="287" t="str">
        <f t="shared" si="37"/>
        <v>sangat baik</v>
      </c>
      <c r="BL23" s="286">
        <f t="shared" si="38"/>
        <v>3</v>
      </c>
      <c r="BM23" s="288">
        <f t="shared" si="39"/>
        <v>1</v>
      </c>
      <c r="BN23" s="289" t="str">
        <f t="shared" si="40"/>
        <v>Memiliki keterampilan sangat baik dalam Menyajikan proses dinamika hidrosfer menggunakan peta dan Menyajikan proses dinamika litosfer dengan menggunakan peta</v>
      </c>
      <c r="BO23" s="67"/>
    </row>
    <row r="24" spans="1:67" ht="33" customHeight="1">
      <c r="A24" s="67"/>
      <c r="B24" s="272">
        <f t="shared" si="23"/>
        <v>11</v>
      </c>
      <c r="C24" s="273">
        <f>IF(Data!F15="","",Data!F15)</f>
        <v>0</v>
      </c>
      <c r="D24" s="274" t="str">
        <f>IF(Data!H15="","",Data!H15)</f>
        <v>Dorkas Meliana Talita Kesnay</v>
      </c>
      <c r="E24" s="275" t="str">
        <f>IF(Data!I15="","",Data!I15)</f>
        <v>P</v>
      </c>
      <c r="F24" s="276">
        <v>85</v>
      </c>
      <c r="G24" s="277">
        <v>86</v>
      </c>
      <c r="H24" s="277">
        <v>86</v>
      </c>
      <c r="I24" s="277"/>
      <c r="J24" s="277"/>
      <c r="K24" s="277"/>
      <c r="L24" s="277"/>
      <c r="M24" s="280"/>
      <c r="N24" s="277"/>
      <c r="O24" s="278"/>
      <c r="P24" s="279">
        <f t="shared" si="24"/>
        <v>86</v>
      </c>
      <c r="Q24" s="277">
        <v>84</v>
      </c>
      <c r="R24" s="280">
        <v>82</v>
      </c>
      <c r="S24" s="281">
        <f t="shared" si="25"/>
        <v>85</v>
      </c>
      <c r="T24" s="295" t="str">
        <f t="shared" si="26"/>
        <v>B</v>
      </c>
      <c r="U24" s="1215">
        <f t="shared" si="7"/>
        <v>85.01</v>
      </c>
      <c r="V24" s="1216">
        <f t="shared" si="7"/>
        <v>86.02</v>
      </c>
      <c r="W24" s="1216">
        <f t="shared" si="7"/>
        <v>86.03</v>
      </c>
      <c r="X24" s="1216" t="str">
        <f t="shared" si="7"/>
        <v/>
      </c>
      <c r="Y24" s="1216" t="str">
        <f t="shared" si="7"/>
        <v/>
      </c>
      <c r="Z24" s="1216" t="str">
        <f t="shared" si="7"/>
        <v/>
      </c>
      <c r="AA24" s="1216" t="str">
        <f t="shared" si="7"/>
        <v/>
      </c>
      <c r="AB24" s="1217" t="str">
        <f t="shared" si="7"/>
        <v/>
      </c>
      <c r="AC24" s="1216" t="str">
        <f t="shared" si="7"/>
        <v/>
      </c>
      <c r="AD24" s="1218" t="str">
        <f t="shared" si="7"/>
        <v/>
      </c>
      <c r="AE24" s="1219">
        <f t="shared" si="27"/>
        <v>86.03</v>
      </c>
      <c r="AF24" s="282">
        <f t="shared" si="28"/>
        <v>85.01</v>
      </c>
      <c r="AG24" s="282" t="str">
        <f t="shared" si="29"/>
        <v>baik</v>
      </c>
      <c r="AH24" s="282" t="str">
        <f t="shared" si="10"/>
        <v>baik</v>
      </c>
      <c r="AI24" s="282">
        <f t="shared" si="30"/>
        <v>3</v>
      </c>
      <c r="AJ24" s="283">
        <f t="shared" si="31"/>
        <v>1</v>
      </c>
      <c r="AK24" s="284" t="str">
        <f t="shared" si="32"/>
        <v>Memiliki kemampuan baik dalam Menganalisis dinamika hidrosfer dan dampaknya terhadap kehidupani dan Menganalisis dinamika litosfer dan dampaknya terhadap kehidupan</v>
      </c>
      <c r="AL24" s="276">
        <v>95</v>
      </c>
      <c r="AM24" s="277">
        <v>95</v>
      </c>
      <c r="AN24" s="277">
        <v>95</v>
      </c>
      <c r="AO24" s="277"/>
      <c r="AP24" s="277"/>
      <c r="AQ24" s="277"/>
      <c r="AR24" s="277"/>
      <c r="AS24" s="280"/>
      <c r="AT24" s="277"/>
      <c r="AU24" s="278"/>
      <c r="AV24" s="285">
        <f t="shared" si="33"/>
        <v>95</v>
      </c>
      <c r="AW24" s="296" t="str">
        <f t="shared" si="34"/>
        <v>A</v>
      </c>
      <c r="AX24" s="1220">
        <f t="shared" si="16"/>
        <v>95.01</v>
      </c>
      <c r="AY24" s="1221">
        <f t="shared" si="16"/>
        <v>95.02</v>
      </c>
      <c r="AZ24" s="1221">
        <f t="shared" si="16"/>
        <v>95.03</v>
      </c>
      <c r="BA24" s="1221" t="str">
        <f t="shared" si="16"/>
        <v/>
      </c>
      <c r="BB24" s="1221" t="str">
        <f t="shared" si="16"/>
        <v/>
      </c>
      <c r="BC24" s="1221" t="str">
        <f t="shared" si="16"/>
        <v/>
      </c>
      <c r="BD24" s="1221" t="str">
        <f t="shared" si="16"/>
        <v/>
      </c>
      <c r="BE24" s="1222" t="str">
        <f t="shared" si="16"/>
        <v/>
      </c>
      <c r="BF24" s="1221" t="str">
        <f t="shared" si="16"/>
        <v/>
      </c>
      <c r="BG24" s="1223" t="str">
        <f t="shared" si="16"/>
        <v/>
      </c>
      <c r="BH24" s="286">
        <f t="shared" si="35"/>
        <v>95.03</v>
      </c>
      <c r="BI24" s="286">
        <f t="shared" si="36"/>
        <v>95.01</v>
      </c>
      <c r="BJ24" s="287" t="str">
        <f t="shared" si="37"/>
        <v>sangat baik</v>
      </c>
      <c r="BK24" s="287" t="str">
        <f t="shared" si="37"/>
        <v>sangat baik</v>
      </c>
      <c r="BL24" s="286">
        <f t="shared" si="38"/>
        <v>3</v>
      </c>
      <c r="BM24" s="288">
        <f t="shared" si="39"/>
        <v>1</v>
      </c>
      <c r="BN24" s="289" t="str">
        <f t="shared" si="40"/>
        <v>Memiliki keterampilan sangat baik dalam Menyajikan proses dinamika hidrosfer menggunakan peta dan Menyajikan proses dinamika litosfer dengan menggunakan peta</v>
      </c>
      <c r="BO24" s="67"/>
    </row>
    <row r="25" spans="1:67" ht="33" customHeight="1">
      <c r="A25" s="67"/>
      <c r="B25" s="272">
        <f t="shared" si="23"/>
        <v>12</v>
      </c>
      <c r="C25" s="273">
        <f>IF(Data!F16="","",Data!F16)</f>
        <v>0</v>
      </c>
      <c r="D25" s="274" t="str">
        <f>IF(Data!H16="","",Data!H16)</f>
        <v>Erto Seprianto Leukune</v>
      </c>
      <c r="E25" s="275" t="str">
        <f>IF(Data!I16="","",Data!I16)</f>
        <v>L</v>
      </c>
      <c r="F25" s="276">
        <v>88</v>
      </c>
      <c r="G25" s="277">
        <v>88</v>
      </c>
      <c r="H25" s="277">
        <v>86</v>
      </c>
      <c r="I25" s="277"/>
      <c r="J25" s="277"/>
      <c r="K25" s="277"/>
      <c r="L25" s="277"/>
      <c r="M25" s="280"/>
      <c r="N25" s="277"/>
      <c r="O25" s="278"/>
      <c r="P25" s="279">
        <f t="shared" si="24"/>
        <v>87</v>
      </c>
      <c r="Q25" s="277">
        <v>87</v>
      </c>
      <c r="R25" s="280">
        <v>88</v>
      </c>
      <c r="S25" s="281">
        <f t="shared" si="25"/>
        <v>87</v>
      </c>
      <c r="T25" s="295" t="str">
        <f t="shared" si="26"/>
        <v>B</v>
      </c>
      <c r="U25" s="1215">
        <f t="shared" si="7"/>
        <v>88.01</v>
      </c>
      <c r="V25" s="1216">
        <f t="shared" si="7"/>
        <v>88.02</v>
      </c>
      <c r="W25" s="1216">
        <f t="shared" si="7"/>
        <v>86.03</v>
      </c>
      <c r="X25" s="1216" t="str">
        <f t="shared" si="7"/>
        <v/>
      </c>
      <c r="Y25" s="1216" t="str">
        <f t="shared" si="7"/>
        <v/>
      </c>
      <c r="Z25" s="1216" t="str">
        <f t="shared" si="7"/>
        <v/>
      </c>
      <c r="AA25" s="1216" t="str">
        <f t="shared" si="7"/>
        <v/>
      </c>
      <c r="AB25" s="1217" t="str">
        <f t="shared" si="7"/>
        <v/>
      </c>
      <c r="AC25" s="1216" t="str">
        <f t="shared" si="7"/>
        <v/>
      </c>
      <c r="AD25" s="1218" t="str">
        <f t="shared" si="7"/>
        <v/>
      </c>
      <c r="AE25" s="1219">
        <f t="shared" si="27"/>
        <v>88.02</v>
      </c>
      <c r="AF25" s="282">
        <f t="shared" si="28"/>
        <v>86.03</v>
      </c>
      <c r="AG25" s="282" t="str">
        <f t="shared" si="29"/>
        <v>baik</v>
      </c>
      <c r="AH25" s="282" t="str">
        <f t="shared" si="10"/>
        <v>baik</v>
      </c>
      <c r="AI25" s="282">
        <f t="shared" si="30"/>
        <v>2</v>
      </c>
      <c r="AJ25" s="283">
        <f t="shared" si="31"/>
        <v>3</v>
      </c>
      <c r="AK25" s="284" t="str">
        <f t="shared" si="32"/>
        <v>Memiliki kemampuan baik dalam Menganalisis dinamika atmosfer dan dampaknya terhadap kehidupan dan Menganalisis dinamika hidrosfer dan dampaknya terhadap kehidupani</v>
      </c>
      <c r="AL25" s="276">
        <v>88</v>
      </c>
      <c r="AM25" s="277">
        <v>84</v>
      </c>
      <c r="AN25" s="277">
        <v>84</v>
      </c>
      <c r="AO25" s="277"/>
      <c r="AP25" s="277"/>
      <c r="AQ25" s="277"/>
      <c r="AR25" s="277"/>
      <c r="AS25" s="280"/>
      <c r="AT25" s="277"/>
      <c r="AU25" s="278"/>
      <c r="AV25" s="285">
        <f t="shared" si="33"/>
        <v>85</v>
      </c>
      <c r="AW25" s="296" t="str">
        <f t="shared" si="34"/>
        <v>B</v>
      </c>
      <c r="AX25" s="1220">
        <f t="shared" si="16"/>
        <v>88.01</v>
      </c>
      <c r="AY25" s="1221">
        <f t="shared" si="16"/>
        <v>84.02</v>
      </c>
      <c r="AZ25" s="1221">
        <f t="shared" si="16"/>
        <v>84.03</v>
      </c>
      <c r="BA25" s="1221" t="str">
        <f t="shared" si="16"/>
        <v/>
      </c>
      <c r="BB25" s="1221" t="str">
        <f t="shared" si="16"/>
        <v/>
      </c>
      <c r="BC25" s="1221" t="str">
        <f t="shared" si="16"/>
        <v/>
      </c>
      <c r="BD25" s="1221" t="str">
        <f t="shared" si="16"/>
        <v/>
      </c>
      <c r="BE25" s="1222" t="str">
        <f t="shared" si="16"/>
        <v/>
      </c>
      <c r="BF25" s="1221" t="str">
        <f t="shared" si="16"/>
        <v/>
      </c>
      <c r="BG25" s="1223" t="str">
        <f t="shared" si="16"/>
        <v/>
      </c>
      <c r="BH25" s="286">
        <f t="shared" si="35"/>
        <v>88.01</v>
      </c>
      <c r="BI25" s="286">
        <f t="shared" si="36"/>
        <v>84.02</v>
      </c>
      <c r="BJ25" s="287" t="str">
        <f t="shared" si="37"/>
        <v>baik</v>
      </c>
      <c r="BK25" s="287" t="str">
        <f t="shared" si="37"/>
        <v>cukup</v>
      </c>
      <c r="BL25" s="286">
        <f t="shared" si="38"/>
        <v>1</v>
      </c>
      <c r="BM25" s="288">
        <f t="shared" si="39"/>
        <v>2</v>
      </c>
      <c r="BN25" s="289" t="str">
        <f t="shared" si="40"/>
        <v>Memiliki keterampilan baik dalam Menyajikan proses dinamika litosfer dengan menggunakan peta, cukup keterampilan dalam Menyajikan proses dinamika atmosfer menggunakan peta</v>
      </c>
      <c r="BO25" s="67"/>
    </row>
    <row r="26" spans="1:67" ht="33" customHeight="1">
      <c r="A26" s="67"/>
      <c r="B26" s="272">
        <f t="shared" si="23"/>
        <v>13</v>
      </c>
      <c r="C26" s="273">
        <f>IF(Data!F17="","",Data!F17)</f>
        <v>0</v>
      </c>
      <c r="D26" s="274" t="str">
        <f>IF(Data!H17="","",Data!H17)</f>
        <v>Feli Tipnoni</v>
      </c>
      <c r="E26" s="275" t="str">
        <f>IF(Data!I17="","",Data!I17)</f>
        <v>P</v>
      </c>
      <c r="F26" s="276">
        <v>90</v>
      </c>
      <c r="G26" s="277">
        <v>89</v>
      </c>
      <c r="H26" s="277">
        <v>86</v>
      </c>
      <c r="I26" s="277"/>
      <c r="J26" s="277"/>
      <c r="K26" s="277"/>
      <c r="L26" s="277"/>
      <c r="M26" s="280"/>
      <c r="N26" s="277"/>
      <c r="O26" s="278"/>
      <c r="P26" s="279">
        <f t="shared" si="24"/>
        <v>88</v>
      </c>
      <c r="Q26" s="277">
        <v>88</v>
      </c>
      <c r="R26" s="280">
        <v>89</v>
      </c>
      <c r="S26" s="281">
        <f t="shared" si="25"/>
        <v>88</v>
      </c>
      <c r="T26" s="295" t="str">
        <f t="shared" si="26"/>
        <v>B</v>
      </c>
      <c r="U26" s="1215">
        <f t="shared" si="7"/>
        <v>90.01</v>
      </c>
      <c r="V26" s="1216">
        <f t="shared" si="7"/>
        <v>89.02</v>
      </c>
      <c r="W26" s="1216">
        <f t="shared" si="7"/>
        <v>86.03</v>
      </c>
      <c r="X26" s="1216" t="str">
        <f t="shared" si="7"/>
        <v/>
      </c>
      <c r="Y26" s="1216" t="str">
        <f t="shared" si="7"/>
        <v/>
      </c>
      <c r="Z26" s="1216" t="str">
        <f t="shared" si="7"/>
        <v/>
      </c>
      <c r="AA26" s="1216" t="str">
        <f t="shared" si="7"/>
        <v/>
      </c>
      <c r="AB26" s="1217" t="str">
        <f t="shared" si="7"/>
        <v/>
      </c>
      <c r="AC26" s="1216" t="str">
        <f t="shared" si="7"/>
        <v/>
      </c>
      <c r="AD26" s="1218" t="str">
        <f t="shared" si="7"/>
        <v/>
      </c>
      <c r="AE26" s="1219">
        <f t="shared" si="27"/>
        <v>90.01</v>
      </c>
      <c r="AF26" s="282">
        <f t="shared" si="28"/>
        <v>86.03</v>
      </c>
      <c r="AG26" s="282" t="str">
        <f t="shared" si="29"/>
        <v>baik</v>
      </c>
      <c r="AH26" s="282" t="str">
        <f t="shared" si="10"/>
        <v>baik</v>
      </c>
      <c r="AI26" s="282">
        <f t="shared" si="30"/>
        <v>1</v>
      </c>
      <c r="AJ26" s="283">
        <f t="shared" si="31"/>
        <v>3</v>
      </c>
      <c r="AK26" s="284" t="str">
        <f t="shared" si="32"/>
        <v>Memiliki kemampuan baik dalam Menganalisis dinamika litosfer dan dampaknya terhadap kehidupan dan Menganalisis dinamika hidrosfer dan dampaknya terhadap kehidupani</v>
      </c>
      <c r="AL26" s="276">
        <v>95</v>
      </c>
      <c r="AM26" s="277">
        <v>95</v>
      </c>
      <c r="AN26" s="277">
        <v>95</v>
      </c>
      <c r="AO26" s="277"/>
      <c r="AP26" s="277"/>
      <c r="AQ26" s="277"/>
      <c r="AR26" s="277"/>
      <c r="AS26" s="280"/>
      <c r="AT26" s="277"/>
      <c r="AU26" s="278"/>
      <c r="AV26" s="285">
        <f t="shared" si="33"/>
        <v>95</v>
      </c>
      <c r="AW26" s="296" t="str">
        <f t="shared" si="34"/>
        <v>A</v>
      </c>
      <c r="AX26" s="1220">
        <f t="shared" si="16"/>
        <v>95.01</v>
      </c>
      <c r="AY26" s="1221">
        <f t="shared" si="16"/>
        <v>95.02</v>
      </c>
      <c r="AZ26" s="1221">
        <f t="shared" si="16"/>
        <v>95.03</v>
      </c>
      <c r="BA26" s="1221" t="str">
        <f t="shared" si="16"/>
        <v/>
      </c>
      <c r="BB26" s="1221" t="str">
        <f t="shared" si="16"/>
        <v/>
      </c>
      <c r="BC26" s="1221" t="str">
        <f t="shared" si="16"/>
        <v/>
      </c>
      <c r="BD26" s="1221" t="str">
        <f t="shared" si="16"/>
        <v/>
      </c>
      <c r="BE26" s="1222" t="str">
        <f t="shared" si="16"/>
        <v/>
      </c>
      <c r="BF26" s="1221" t="str">
        <f t="shared" si="16"/>
        <v/>
      </c>
      <c r="BG26" s="1223" t="str">
        <f t="shared" si="16"/>
        <v/>
      </c>
      <c r="BH26" s="286">
        <f t="shared" si="35"/>
        <v>95.03</v>
      </c>
      <c r="BI26" s="286">
        <f t="shared" si="36"/>
        <v>95.01</v>
      </c>
      <c r="BJ26" s="287" t="str">
        <f t="shared" si="37"/>
        <v>sangat baik</v>
      </c>
      <c r="BK26" s="287" t="str">
        <f t="shared" si="37"/>
        <v>sangat baik</v>
      </c>
      <c r="BL26" s="286">
        <f t="shared" si="38"/>
        <v>3</v>
      </c>
      <c r="BM26" s="288">
        <f t="shared" si="39"/>
        <v>1</v>
      </c>
      <c r="BN26" s="289" t="str">
        <f t="shared" si="40"/>
        <v>Memiliki keterampilan sangat baik dalam Menyajikan proses dinamika hidrosfer menggunakan peta dan Menyajikan proses dinamika litosfer dengan menggunakan peta</v>
      </c>
      <c r="BO26" s="67"/>
    </row>
    <row r="27" spans="1:67" ht="33" customHeight="1">
      <c r="A27" s="67"/>
      <c r="B27" s="272">
        <f t="shared" si="23"/>
        <v>14</v>
      </c>
      <c r="C27" s="273">
        <f>IF(Data!F18="","",Data!F18)</f>
        <v>0</v>
      </c>
      <c r="D27" s="274" t="str">
        <f>IF(Data!H18="","",Data!H18)</f>
        <v xml:space="preserve">Ferdinandes Sakbana </v>
      </c>
      <c r="E27" s="275" t="str">
        <f>IF(Data!I18="","",Data!I18)</f>
        <v>L</v>
      </c>
      <c r="F27" s="276">
        <v>88</v>
      </c>
      <c r="G27" s="277">
        <v>80</v>
      </c>
      <c r="H27" s="277">
        <v>86</v>
      </c>
      <c r="I27" s="277"/>
      <c r="J27" s="277"/>
      <c r="K27" s="277"/>
      <c r="L27" s="277"/>
      <c r="M27" s="280"/>
      <c r="N27" s="277"/>
      <c r="O27" s="278"/>
      <c r="P27" s="279">
        <f t="shared" si="24"/>
        <v>85</v>
      </c>
      <c r="Q27" s="277">
        <v>87</v>
      </c>
      <c r="R27" s="280">
        <v>91</v>
      </c>
      <c r="S27" s="281">
        <f t="shared" si="25"/>
        <v>87</v>
      </c>
      <c r="T27" s="295" t="str">
        <f t="shared" si="26"/>
        <v>B</v>
      </c>
      <c r="U27" s="1215">
        <f t="shared" si="7"/>
        <v>88.01</v>
      </c>
      <c r="V27" s="1216">
        <f t="shared" si="7"/>
        <v>80.02</v>
      </c>
      <c r="W27" s="1216">
        <f t="shared" si="7"/>
        <v>86.03</v>
      </c>
      <c r="X27" s="1216" t="str">
        <f t="shared" si="7"/>
        <v/>
      </c>
      <c r="Y27" s="1216" t="str">
        <f t="shared" si="7"/>
        <v/>
      </c>
      <c r="Z27" s="1216" t="str">
        <f t="shared" si="7"/>
        <v/>
      </c>
      <c r="AA27" s="1216" t="str">
        <f t="shared" si="7"/>
        <v/>
      </c>
      <c r="AB27" s="1217" t="str">
        <f t="shared" si="7"/>
        <v/>
      </c>
      <c r="AC27" s="1216" t="str">
        <f t="shared" si="7"/>
        <v/>
      </c>
      <c r="AD27" s="1218" t="str">
        <f t="shared" si="7"/>
        <v/>
      </c>
      <c r="AE27" s="1219">
        <f t="shared" si="27"/>
        <v>88.01</v>
      </c>
      <c r="AF27" s="282">
        <f t="shared" si="28"/>
        <v>80.02</v>
      </c>
      <c r="AG27" s="282" t="str">
        <f t="shared" si="29"/>
        <v>baik</v>
      </c>
      <c r="AH27" s="282" t="str">
        <f t="shared" si="10"/>
        <v>cukup</v>
      </c>
      <c r="AI27" s="282">
        <f t="shared" si="30"/>
        <v>1</v>
      </c>
      <c r="AJ27" s="283">
        <f t="shared" si="31"/>
        <v>2</v>
      </c>
      <c r="AK27" s="284" t="str">
        <f t="shared" si="32"/>
        <v>Memiliki kemampuan baik dalam Menganalisis dinamika litosfer dan dampaknya terhadap kehidupan, cukup kemampuan dalam Menganalisis dinamika atmosfer dan dampaknya terhadap kehidupan</v>
      </c>
      <c r="AL27" s="276">
        <v>80</v>
      </c>
      <c r="AM27" s="277">
        <v>80</v>
      </c>
      <c r="AN27" s="277">
        <v>80</v>
      </c>
      <c r="AO27" s="277"/>
      <c r="AP27" s="277"/>
      <c r="AQ27" s="277"/>
      <c r="AR27" s="277"/>
      <c r="AS27" s="280"/>
      <c r="AT27" s="277"/>
      <c r="AU27" s="278"/>
      <c r="AV27" s="285">
        <f t="shared" si="33"/>
        <v>80</v>
      </c>
      <c r="AW27" s="296" t="str">
        <f t="shared" si="34"/>
        <v>C</v>
      </c>
      <c r="AX27" s="1220">
        <f t="shared" si="16"/>
        <v>80.010000000000005</v>
      </c>
      <c r="AY27" s="1221">
        <f t="shared" si="16"/>
        <v>80.02</v>
      </c>
      <c r="AZ27" s="1221">
        <f t="shared" si="16"/>
        <v>80.03</v>
      </c>
      <c r="BA27" s="1221" t="str">
        <f t="shared" si="16"/>
        <v/>
      </c>
      <c r="BB27" s="1221" t="str">
        <f t="shared" si="16"/>
        <v/>
      </c>
      <c r="BC27" s="1221" t="str">
        <f t="shared" si="16"/>
        <v/>
      </c>
      <c r="BD27" s="1221" t="str">
        <f t="shared" si="16"/>
        <v/>
      </c>
      <c r="BE27" s="1222" t="str">
        <f t="shared" si="16"/>
        <v/>
      </c>
      <c r="BF27" s="1221" t="str">
        <f t="shared" si="16"/>
        <v/>
      </c>
      <c r="BG27" s="1223" t="str">
        <f t="shared" si="16"/>
        <v/>
      </c>
      <c r="BH27" s="286">
        <f t="shared" si="35"/>
        <v>80.03</v>
      </c>
      <c r="BI27" s="286">
        <f t="shared" si="36"/>
        <v>80.010000000000005</v>
      </c>
      <c r="BJ27" s="287" t="str">
        <f t="shared" si="37"/>
        <v>cukup</v>
      </c>
      <c r="BK27" s="287" t="str">
        <f t="shared" si="37"/>
        <v>cukup</v>
      </c>
      <c r="BL27" s="286">
        <f t="shared" si="38"/>
        <v>3</v>
      </c>
      <c r="BM27" s="288">
        <f t="shared" si="39"/>
        <v>1</v>
      </c>
      <c r="BN27" s="289" t="str">
        <f t="shared" si="40"/>
        <v>Memiliki keterampilan cukup dalam Menyajikan proses dinamika hidrosfer menggunakan peta dan Menyajikan proses dinamika litosfer dengan menggunakan peta</v>
      </c>
      <c r="BO27" s="67"/>
    </row>
    <row r="28" spans="1:67" ht="33" customHeight="1">
      <c r="A28" s="67"/>
      <c r="B28" s="272">
        <f t="shared" si="23"/>
        <v>15</v>
      </c>
      <c r="C28" s="273">
        <f>IF(Data!F19="","",Data!F19)</f>
        <v>0</v>
      </c>
      <c r="D28" s="274" t="str">
        <f>IF(Data!H19="","",Data!H19)</f>
        <v>Fitri Novani Nitbani</v>
      </c>
      <c r="E28" s="275" t="str">
        <f>IF(Data!I19="","",Data!I19)</f>
        <v>P</v>
      </c>
      <c r="F28" s="276">
        <v>84</v>
      </c>
      <c r="G28" s="277">
        <v>80</v>
      </c>
      <c r="H28" s="277">
        <v>86</v>
      </c>
      <c r="I28" s="277"/>
      <c r="J28" s="277"/>
      <c r="K28" s="277"/>
      <c r="L28" s="277"/>
      <c r="M28" s="280"/>
      <c r="N28" s="277"/>
      <c r="O28" s="278"/>
      <c r="P28" s="279">
        <f t="shared" si="24"/>
        <v>83</v>
      </c>
      <c r="Q28" s="277">
        <v>80</v>
      </c>
      <c r="R28" s="280">
        <v>87</v>
      </c>
      <c r="S28" s="281">
        <f t="shared" si="25"/>
        <v>83</v>
      </c>
      <c r="T28" s="295" t="str">
        <f t="shared" si="26"/>
        <v>C</v>
      </c>
      <c r="U28" s="1215">
        <f t="shared" si="7"/>
        <v>84.01</v>
      </c>
      <c r="V28" s="1216">
        <f t="shared" si="7"/>
        <v>80.02</v>
      </c>
      <c r="W28" s="1216">
        <f t="shared" si="7"/>
        <v>86.03</v>
      </c>
      <c r="X28" s="1216" t="str">
        <f t="shared" si="7"/>
        <v/>
      </c>
      <c r="Y28" s="1216" t="str">
        <f t="shared" si="7"/>
        <v/>
      </c>
      <c r="Z28" s="1216" t="str">
        <f t="shared" si="7"/>
        <v/>
      </c>
      <c r="AA28" s="1216" t="str">
        <f t="shared" si="7"/>
        <v/>
      </c>
      <c r="AB28" s="1217" t="str">
        <f t="shared" si="7"/>
        <v/>
      </c>
      <c r="AC28" s="1216" t="str">
        <f t="shared" si="7"/>
        <v/>
      </c>
      <c r="AD28" s="1218" t="str">
        <f t="shared" si="7"/>
        <v/>
      </c>
      <c r="AE28" s="1219">
        <f t="shared" si="27"/>
        <v>86.03</v>
      </c>
      <c r="AF28" s="282">
        <f t="shared" si="28"/>
        <v>80.02</v>
      </c>
      <c r="AG28" s="282" t="str">
        <f t="shared" si="29"/>
        <v>baik</v>
      </c>
      <c r="AH28" s="282" t="str">
        <f t="shared" si="10"/>
        <v>cukup</v>
      </c>
      <c r="AI28" s="282">
        <f t="shared" si="30"/>
        <v>3</v>
      </c>
      <c r="AJ28" s="283">
        <f t="shared" si="31"/>
        <v>2</v>
      </c>
      <c r="AK28" s="284" t="str">
        <f t="shared" si="32"/>
        <v>Memiliki kemampuan baik dalam Menganalisis dinamika hidrosfer dan dampaknya terhadap kehidupani, cukup kemampuan dalam Menganalisis dinamika atmosfer dan dampaknya terhadap kehidupan</v>
      </c>
      <c r="AL28" s="276">
        <v>95</v>
      </c>
      <c r="AM28" s="277">
        <v>95</v>
      </c>
      <c r="AN28" s="277">
        <v>95</v>
      </c>
      <c r="AO28" s="277"/>
      <c r="AP28" s="277"/>
      <c r="AQ28" s="277"/>
      <c r="AR28" s="277"/>
      <c r="AS28" s="280"/>
      <c r="AT28" s="277"/>
      <c r="AU28" s="278"/>
      <c r="AV28" s="285">
        <f t="shared" si="33"/>
        <v>95</v>
      </c>
      <c r="AW28" s="296" t="str">
        <f t="shared" si="34"/>
        <v>A</v>
      </c>
      <c r="AX28" s="1220">
        <f t="shared" si="16"/>
        <v>95.01</v>
      </c>
      <c r="AY28" s="1221">
        <f t="shared" si="16"/>
        <v>95.02</v>
      </c>
      <c r="AZ28" s="1221">
        <f t="shared" si="16"/>
        <v>95.03</v>
      </c>
      <c r="BA28" s="1221" t="str">
        <f t="shared" si="16"/>
        <v/>
      </c>
      <c r="BB28" s="1221" t="str">
        <f t="shared" si="16"/>
        <v/>
      </c>
      <c r="BC28" s="1221" t="str">
        <f t="shared" si="16"/>
        <v/>
      </c>
      <c r="BD28" s="1221" t="str">
        <f t="shared" si="16"/>
        <v/>
      </c>
      <c r="BE28" s="1222" t="str">
        <f t="shared" si="16"/>
        <v/>
      </c>
      <c r="BF28" s="1221" t="str">
        <f t="shared" si="16"/>
        <v/>
      </c>
      <c r="BG28" s="1223" t="str">
        <f t="shared" si="16"/>
        <v/>
      </c>
      <c r="BH28" s="286">
        <f t="shared" si="35"/>
        <v>95.03</v>
      </c>
      <c r="BI28" s="286">
        <f t="shared" si="36"/>
        <v>95.01</v>
      </c>
      <c r="BJ28" s="287" t="str">
        <f t="shared" si="37"/>
        <v>sangat baik</v>
      </c>
      <c r="BK28" s="287" t="str">
        <f t="shared" si="37"/>
        <v>sangat baik</v>
      </c>
      <c r="BL28" s="286">
        <f t="shared" si="38"/>
        <v>3</v>
      </c>
      <c r="BM28" s="288">
        <f t="shared" si="39"/>
        <v>1</v>
      </c>
      <c r="BN28" s="289" t="str">
        <f t="shared" si="40"/>
        <v>Memiliki keterampilan sangat baik dalam Menyajikan proses dinamika hidrosfer menggunakan peta dan Menyajikan proses dinamika litosfer dengan menggunakan peta</v>
      </c>
      <c r="BO28" s="67"/>
    </row>
    <row r="29" spans="1:67" ht="33" customHeight="1">
      <c r="A29" s="67"/>
      <c r="B29" s="272">
        <f t="shared" si="23"/>
        <v>16</v>
      </c>
      <c r="C29" s="273">
        <f>IF(Data!F20="","",Data!F20)</f>
        <v>0</v>
      </c>
      <c r="D29" s="274" t="str">
        <f>IF(Data!H20="","",Data!H20)</f>
        <v>Helsina Benu</v>
      </c>
      <c r="E29" s="275" t="str">
        <f>IF(Data!I20="","",Data!I20)</f>
        <v>P</v>
      </c>
      <c r="F29" s="276">
        <v>84</v>
      </c>
      <c r="G29" s="277">
        <v>80</v>
      </c>
      <c r="H29" s="277">
        <v>86</v>
      </c>
      <c r="I29" s="277"/>
      <c r="J29" s="277"/>
      <c r="K29" s="277"/>
      <c r="L29" s="277"/>
      <c r="M29" s="280"/>
      <c r="N29" s="277"/>
      <c r="O29" s="278"/>
      <c r="P29" s="279">
        <f t="shared" si="24"/>
        <v>83</v>
      </c>
      <c r="Q29" s="277">
        <v>80</v>
      </c>
      <c r="R29" s="280">
        <v>87</v>
      </c>
      <c r="S29" s="281">
        <f t="shared" si="25"/>
        <v>83</v>
      </c>
      <c r="T29" s="295" t="str">
        <f t="shared" si="26"/>
        <v>C</v>
      </c>
      <c r="U29" s="1215">
        <f t="shared" si="7"/>
        <v>84.01</v>
      </c>
      <c r="V29" s="1216">
        <f t="shared" si="7"/>
        <v>80.02</v>
      </c>
      <c r="W29" s="1216">
        <f t="shared" si="7"/>
        <v>86.03</v>
      </c>
      <c r="X29" s="1216" t="str">
        <f t="shared" si="7"/>
        <v/>
      </c>
      <c r="Y29" s="1216" t="str">
        <f t="shared" si="7"/>
        <v/>
      </c>
      <c r="Z29" s="1216" t="str">
        <f t="shared" si="7"/>
        <v/>
      </c>
      <c r="AA29" s="1216" t="str">
        <f t="shared" si="7"/>
        <v/>
      </c>
      <c r="AB29" s="1217" t="str">
        <f t="shared" si="7"/>
        <v/>
      </c>
      <c r="AC29" s="1216" t="str">
        <f t="shared" si="7"/>
        <v/>
      </c>
      <c r="AD29" s="1218" t="str">
        <f t="shared" si="7"/>
        <v/>
      </c>
      <c r="AE29" s="1219">
        <f t="shared" si="27"/>
        <v>86.03</v>
      </c>
      <c r="AF29" s="282">
        <f t="shared" si="28"/>
        <v>80.02</v>
      </c>
      <c r="AG29" s="282" t="str">
        <f t="shared" si="29"/>
        <v>baik</v>
      </c>
      <c r="AH29" s="282" t="str">
        <f t="shared" si="10"/>
        <v>cukup</v>
      </c>
      <c r="AI29" s="282">
        <f t="shared" si="30"/>
        <v>3</v>
      </c>
      <c r="AJ29" s="283">
        <f t="shared" si="31"/>
        <v>2</v>
      </c>
      <c r="AK29" s="284" t="str">
        <f t="shared" si="32"/>
        <v>Memiliki kemampuan baik dalam Menganalisis dinamika hidrosfer dan dampaknya terhadap kehidupani, cukup kemampuan dalam Menganalisis dinamika atmosfer dan dampaknya terhadap kehidupan</v>
      </c>
      <c r="AL29" s="276">
        <v>95</v>
      </c>
      <c r="AM29" s="277">
        <v>95</v>
      </c>
      <c r="AN29" s="277">
        <v>95</v>
      </c>
      <c r="AO29" s="277"/>
      <c r="AP29" s="277"/>
      <c r="AQ29" s="277"/>
      <c r="AR29" s="277"/>
      <c r="AS29" s="280"/>
      <c r="AT29" s="277"/>
      <c r="AU29" s="278"/>
      <c r="AV29" s="285">
        <f t="shared" si="33"/>
        <v>95</v>
      </c>
      <c r="AW29" s="296" t="str">
        <f t="shared" si="34"/>
        <v>A</v>
      </c>
      <c r="AX29" s="1220">
        <f t="shared" si="16"/>
        <v>95.01</v>
      </c>
      <c r="AY29" s="1221">
        <f t="shared" si="16"/>
        <v>95.02</v>
      </c>
      <c r="AZ29" s="1221">
        <f t="shared" si="16"/>
        <v>95.03</v>
      </c>
      <c r="BA29" s="1221" t="str">
        <f t="shared" si="16"/>
        <v/>
      </c>
      <c r="BB29" s="1221" t="str">
        <f t="shared" si="16"/>
        <v/>
      </c>
      <c r="BC29" s="1221" t="str">
        <f t="shared" si="16"/>
        <v/>
      </c>
      <c r="BD29" s="1221" t="str">
        <f t="shared" si="16"/>
        <v/>
      </c>
      <c r="BE29" s="1222" t="str">
        <f t="shared" si="16"/>
        <v/>
      </c>
      <c r="BF29" s="1221" t="str">
        <f t="shared" si="16"/>
        <v/>
      </c>
      <c r="BG29" s="1223" t="str">
        <f t="shared" si="16"/>
        <v/>
      </c>
      <c r="BH29" s="286">
        <f t="shared" si="35"/>
        <v>95.03</v>
      </c>
      <c r="BI29" s="286">
        <f t="shared" si="36"/>
        <v>95.01</v>
      </c>
      <c r="BJ29" s="287" t="str">
        <f t="shared" si="37"/>
        <v>sangat baik</v>
      </c>
      <c r="BK29" s="287" t="str">
        <f t="shared" si="37"/>
        <v>sangat baik</v>
      </c>
      <c r="BL29" s="286">
        <f t="shared" si="38"/>
        <v>3</v>
      </c>
      <c r="BM29" s="288">
        <f t="shared" si="39"/>
        <v>1</v>
      </c>
      <c r="BN29" s="289" t="str">
        <f t="shared" si="40"/>
        <v>Memiliki keterampilan sangat baik dalam Menyajikan proses dinamika hidrosfer menggunakan peta dan Menyajikan proses dinamika litosfer dengan menggunakan peta</v>
      </c>
      <c r="BO29" s="67"/>
    </row>
    <row r="30" spans="1:67" ht="33" customHeight="1">
      <c r="A30" s="67"/>
      <c r="B30" s="272">
        <f t="shared" si="23"/>
        <v>17</v>
      </c>
      <c r="C30" s="273">
        <f>IF(Data!F21="","",Data!F21)</f>
        <v>0</v>
      </c>
      <c r="D30" s="274" t="str">
        <f>IF(Data!H21="","",Data!H21)</f>
        <v xml:space="preserve">Hezron Nubatonis </v>
      </c>
      <c r="E30" s="275" t="str">
        <f>IF(Data!I21="","",Data!I21)</f>
        <v>L</v>
      </c>
      <c r="F30" s="276">
        <v>80</v>
      </c>
      <c r="G30" s="277">
        <v>71</v>
      </c>
      <c r="H30" s="277">
        <v>70</v>
      </c>
      <c r="I30" s="277"/>
      <c r="J30" s="277"/>
      <c r="K30" s="277"/>
      <c r="L30" s="277"/>
      <c r="M30" s="280"/>
      <c r="N30" s="277"/>
      <c r="O30" s="278"/>
      <c r="P30" s="279">
        <f t="shared" si="24"/>
        <v>74</v>
      </c>
      <c r="Q30" s="277">
        <v>70</v>
      </c>
      <c r="R30" s="280">
        <v>90</v>
      </c>
      <c r="S30" s="281">
        <f t="shared" si="25"/>
        <v>77</v>
      </c>
      <c r="T30" s="295" t="str">
        <f t="shared" si="26"/>
        <v>C</v>
      </c>
      <c r="U30" s="1215">
        <f t="shared" ref="U30:AD55" si="41">IF(F30="","",F30+U$13)</f>
        <v>80.010000000000005</v>
      </c>
      <c r="V30" s="1216">
        <f t="shared" si="41"/>
        <v>71.02</v>
      </c>
      <c r="W30" s="1216">
        <f t="shared" si="41"/>
        <v>70.03</v>
      </c>
      <c r="X30" s="1216" t="str">
        <f t="shared" si="41"/>
        <v/>
      </c>
      <c r="Y30" s="1216" t="str">
        <f t="shared" si="41"/>
        <v/>
      </c>
      <c r="Z30" s="1216" t="str">
        <f t="shared" si="41"/>
        <v/>
      </c>
      <c r="AA30" s="1216" t="str">
        <f t="shared" si="41"/>
        <v/>
      </c>
      <c r="AB30" s="1217" t="str">
        <f t="shared" si="41"/>
        <v/>
      </c>
      <c r="AC30" s="1216" t="str">
        <f t="shared" si="41"/>
        <v/>
      </c>
      <c r="AD30" s="1218" t="str">
        <f t="shared" si="41"/>
        <v/>
      </c>
      <c r="AE30" s="1219">
        <f t="shared" si="27"/>
        <v>80.010000000000005</v>
      </c>
      <c r="AF30" s="282">
        <f t="shared" si="28"/>
        <v>70.03</v>
      </c>
      <c r="AG30" s="282" t="str">
        <f t="shared" si="29"/>
        <v>cukup</v>
      </c>
      <c r="AH30" s="282" t="str">
        <f t="shared" si="29"/>
        <v>perlu dimaksimalkan</v>
      </c>
      <c r="AI30" s="282">
        <f t="shared" si="30"/>
        <v>1</v>
      </c>
      <c r="AJ30" s="283">
        <f t="shared" si="31"/>
        <v>3</v>
      </c>
      <c r="AK30" s="284" t="str">
        <f t="shared" si="32"/>
        <v>Memiliki kemampuan cukup dalam Menganalisis dinamika litosfer dan dampaknya terhadap kehidupan, perlu dimaksimalkan kemampuan dalam Menganalisis dinamika hidrosfer dan dampaknya terhadap kehidupani</v>
      </c>
      <c r="AL30" s="276">
        <v>79</v>
      </c>
      <c r="AM30" s="277">
        <v>79</v>
      </c>
      <c r="AN30" s="277">
        <v>80</v>
      </c>
      <c r="AO30" s="277"/>
      <c r="AP30" s="277"/>
      <c r="AQ30" s="277"/>
      <c r="AR30" s="277"/>
      <c r="AS30" s="280"/>
      <c r="AT30" s="277"/>
      <c r="AU30" s="278"/>
      <c r="AV30" s="285">
        <f t="shared" si="33"/>
        <v>79</v>
      </c>
      <c r="AW30" s="296" t="str">
        <f t="shared" si="34"/>
        <v>C</v>
      </c>
      <c r="AX30" s="1220">
        <f t="shared" ref="AX30:BG55" si="42">IF(AL30="","",AL30+AX$12)</f>
        <v>79.010000000000005</v>
      </c>
      <c r="AY30" s="1221">
        <f t="shared" si="42"/>
        <v>79.02</v>
      </c>
      <c r="AZ30" s="1221">
        <f t="shared" si="42"/>
        <v>80.03</v>
      </c>
      <c r="BA30" s="1221" t="str">
        <f t="shared" si="42"/>
        <v/>
      </c>
      <c r="BB30" s="1221" t="str">
        <f t="shared" si="42"/>
        <v/>
      </c>
      <c r="BC30" s="1221" t="str">
        <f t="shared" si="42"/>
        <v/>
      </c>
      <c r="BD30" s="1221" t="str">
        <f t="shared" si="42"/>
        <v/>
      </c>
      <c r="BE30" s="1222" t="str">
        <f t="shared" si="42"/>
        <v/>
      </c>
      <c r="BF30" s="1221" t="str">
        <f t="shared" si="42"/>
        <v/>
      </c>
      <c r="BG30" s="1223" t="str">
        <f t="shared" si="42"/>
        <v/>
      </c>
      <c r="BH30" s="286">
        <f t="shared" si="35"/>
        <v>80.03</v>
      </c>
      <c r="BI30" s="286">
        <f t="shared" si="36"/>
        <v>79.010000000000005</v>
      </c>
      <c r="BJ30" s="287" t="str">
        <f t="shared" si="37"/>
        <v>cukup</v>
      </c>
      <c r="BK30" s="287" t="str">
        <f t="shared" si="37"/>
        <v>cukup</v>
      </c>
      <c r="BL30" s="286">
        <f t="shared" si="38"/>
        <v>3</v>
      </c>
      <c r="BM30" s="288">
        <f t="shared" si="39"/>
        <v>1</v>
      </c>
      <c r="BN30" s="289" t="str">
        <f t="shared" si="40"/>
        <v>Memiliki keterampilan cukup dalam Menyajikan proses dinamika hidrosfer menggunakan peta dan Menyajikan proses dinamika litosfer dengan menggunakan peta</v>
      </c>
      <c r="BO30" s="67"/>
    </row>
    <row r="31" spans="1:67" ht="33" customHeight="1">
      <c r="A31" s="67"/>
      <c r="B31" s="272">
        <f t="shared" si="23"/>
        <v>18</v>
      </c>
      <c r="C31" s="273">
        <f>IF(Data!F22="","",Data!F22)</f>
        <v>0</v>
      </c>
      <c r="D31" s="274" t="str">
        <f>IF(Data!H22="","",Data!H22)</f>
        <v>Jelita Anita Boimau</v>
      </c>
      <c r="E31" s="275" t="str">
        <f>IF(Data!I22="","",Data!I22)</f>
        <v>P</v>
      </c>
      <c r="F31" s="276">
        <v>80</v>
      </c>
      <c r="G31" s="277">
        <v>87</v>
      </c>
      <c r="H31" s="277">
        <v>86</v>
      </c>
      <c r="I31" s="277"/>
      <c r="J31" s="277"/>
      <c r="K31" s="277"/>
      <c r="L31" s="277"/>
      <c r="M31" s="280"/>
      <c r="N31" s="277"/>
      <c r="O31" s="278"/>
      <c r="P31" s="279">
        <f t="shared" si="24"/>
        <v>84</v>
      </c>
      <c r="Q31" s="277">
        <v>89</v>
      </c>
      <c r="R31" s="280">
        <v>81</v>
      </c>
      <c r="S31" s="281">
        <f t="shared" si="25"/>
        <v>85</v>
      </c>
      <c r="T31" s="295" t="str">
        <f t="shared" si="26"/>
        <v>B</v>
      </c>
      <c r="U31" s="1215">
        <f t="shared" si="41"/>
        <v>80.010000000000005</v>
      </c>
      <c r="V31" s="1216">
        <f t="shared" si="41"/>
        <v>87.02</v>
      </c>
      <c r="W31" s="1216">
        <f t="shared" si="41"/>
        <v>86.03</v>
      </c>
      <c r="X31" s="1216" t="str">
        <f t="shared" si="41"/>
        <v/>
      </c>
      <c r="Y31" s="1216" t="str">
        <f t="shared" si="41"/>
        <v/>
      </c>
      <c r="Z31" s="1216" t="str">
        <f t="shared" si="41"/>
        <v/>
      </c>
      <c r="AA31" s="1216" t="str">
        <f t="shared" si="41"/>
        <v/>
      </c>
      <c r="AB31" s="1217" t="str">
        <f t="shared" si="41"/>
        <v/>
      </c>
      <c r="AC31" s="1216" t="str">
        <f t="shared" si="41"/>
        <v/>
      </c>
      <c r="AD31" s="1218" t="str">
        <f t="shared" si="41"/>
        <v/>
      </c>
      <c r="AE31" s="1219">
        <f t="shared" si="27"/>
        <v>87.02</v>
      </c>
      <c r="AF31" s="282">
        <f t="shared" si="28"/>
        <v>80.010000000000005</v>
      </c>
      <c r="AG31" s="282" t="str">
        <f t="shared" si="29"/>
        <v>baik</v>
      </c>
      <c r="AH31" s="282" t="str">
        <f t="shared" si="29"/>
        <v>cukup</v>
      </c>
      <c r="AI31" s="282">
        <f t="shared" si="30"/>
        <v>2</v>
      </c>
      <c r="AJ31" s="283">
        <f t="shared" si="31"/>
        <v>1</v>
      </c>
      <c r="AK31" s="284" t="str">
        <f t="shared" si="32"/>
        <v>Memiliki kemampuan baik dalam Menganalisis dinamika atmosfer dan dampaknya terhadap kehidupan, cukup kemampuan dalam Menganalisis dinamika litosfer dan dampaknya terhadap kehidupan</v>
      </c>
      <c r="AL31" s="276">
        <v>95</v>
      </c>
      <c r="AM31" s="277">
        <v>95</v>
      </c>
      <c r="AN31" s="277">
        <v>95</v>
      </c>
      <c r="AO31" s="277"/>
      <c r="AP31" s="277"/>
      <c r="AQ31" s="277"/>
      <c r="AR31" s="277"/>
      <c r="AS31" s="280"/>
      <c r="AT31" s="277"/>
      <c r="AU31" s="278"/>
      <c r="AV31" s="285">
        <f t="shared" si="33"/>
        <v>95</v>
      </c>
      <c r="AW31" s="296" t="str">
        <f t="shared" si="34"/>
        <v>A</v>
      </c>
      <c r="AX31" s="1220">
        <f t="shared" si="42"/>
        <v>95.01</v>
      </c>
      <c r="AY31" s="1221">
        <f t="shared" si="42"/>
        <v>95.02</v>
      </c>
      <c r="AZ31" s="1221">
        <f t="shared" si="42"/>
        <v>95.03</v>
      </c>
      <c r="BA31" s="1221" t="str">
        <f t="shared" si="42"/>
        <v/>
      </c>
      <c r="BB31" s="1221" t="str">
        <f t="shared" si="42"/>
        <v/>
      </c>
      <c r="BC31" s="1221" t="str">
        <f t="shared" si="42"/>
        <v/>
      </c>
      <c r="BD31" s="1221" t="str">
        <f t="shared" si="42"/>
        <v/>
      </c>
      <c r="BE31" s="1222" t="str">
        <f t="shared" si="42"/>
        <v/>
      </c>
      <c r="BF31" s="1221" t="str">
        <f t="shared" si="42"/>
        <v/>
      </c>
      <c r="BG31" s="1223" t="str">
        <f t="shared" si="42"/>
        <v/>
      </c>
      <c r="BH31" s="286">
        <f t="shared" si="35"/>
        <v>95.03</v>
      </c>
      <c r="BI31" s="286">
        <f t="shared" si="36"/>
        <v>95.01</v>
      </c>
      <c r="BJ31" s="287" t="str">
        <f t="shared" si="37"/>
        <v>sangat baik</v>
      </c>
      <c r="BK31" s="287" t="str">
        <f t="shared" si="37"/>
        <v>sangat baik</v>
      </c>
      <c r="BL31" s="286">
        <f t="shared" si="38"/>
        <v>3</v>
      </c>
      <c r="BM31" s="288">
        <f t="shared" si="39"/>
        <v>1</v>
      </c>
      <c r="BN31" s="289" t="str">
        <f t="shared" si="40"/>
        <v>Memiliki keterampilan sangat baik dalam Menyajikan proses dinamika hidrosfer menggunakan peta dan Menyajikan proses dinamika litosfer dengan menggunakan peta</v>
      </c>
      <c r="BO31" s="67"/>
    </row>
    <row r="32" spans="1:67" ht="33" customHeight="1">
      <c r="A32" s="67"/>
      <c r="B32" s="272">
        <f t="shared" si="23"/>
        <v>19</v>
      </c>
      <c r="C32" s="273">
        <f>IF(Data!F23="","",Data!F23)</f>
        <v>0</v>
      </c>
      <c r="D32" s="274" t="str">
        <f>IF(Data!H23="","",Data!H23)</f>
        <v>Jidon Nubatonis</v>
      </c>
      <c r="E32" s="275" t="str">
        <f>IF(Data!I23="","",Data!I23)</f>
        <v>L</v>
      </c>
      <c r="F32" s="276">
        <v>80</v>
      </c>
      <c r="G32" s="277">
        <v>84</v>
      </c>
      <c r="H32" s="277">
        <v>86</v>
      </c>
      <c r="I32" s="277"/>
      <c r="J32" s="277"/>
      <c r="K32" s="277"/>
      <c r="L32" s="277"/>
      <c r="M32" s="280"/>
      <c r="N32" s="277"/>
      <c r="O32" s="278"/>
      <c r="P32" s="279">
        <f t="shared" si="24"/>
        <v>83</v>
      </c>
      <c r="Q32" s="277">
        <v>84</v>
      </c>
      <c r="R32" s="280">
        <v>80</v>
      </c>
      <c r="S32" s="281">
        <f t="shared" si="25"/>
        <v>83</v>
      </c>
      <c r="T32" s="295" t="str">
        <f t="shared" si="26"/>
        <v>C</v>
      </c>
      <c r="U32" s="1215">
        <f t="shared" si="41"/>
        <v>80.010000000000005</v>
      </c>
      <c r="V32" s="1216">
        <f t="shared" si="41"/>
        <v>84.02</v>
      </c>
      <c r="W32" s="1216">
        <f t="shared" si="41"/>
        <v>86.03</v>
      </c>
      <c r="X32" s="1216" t="str">
        <f t="shared" si="41"/>
        <v/>
      </c>
      <c r="Y32" s="1216" t="str">
        <f t="shared" si="41"/>
        <v/>
      </c>
      <c r="Z32" s="1216" t="str">
        <f t="shared" si="41"/>
        <v/>
      </c>
      <c r="AA32" s="1216" t="str">
        <f t="shared" si="41"/>
        <v/>
      </c>
      <c r="AB32" s="1217" t="str">
        <f t="shared" si="41"/>
        <v/>
      </c>
      <c r="AC32" s="1216" t="str">
        <f t="shared" si="41"/>
        <v/>
      </c>
      <c r="AD32" s="1218" t="str">
        <f t="shared" si="41"/>
        <v/>
      </c>
      <c r="AE32" s="1219">
        <f t="shared" si="27"/>
        <v>86.03</v>
      </c>
      <c r="AF32" s="282">
        <f t="shared" si="28"/>
        <v>80.010000000000005</v>
      </c>
      <c r="AG32" s="282" t="str">
        <f t="shared" si="29"/>
        <v>baik</v>
      </c>
      <c r="AH32" s="282" t="str">
        <f t="shared" si="29"/>
        <v>cukup</v>
      </c>
      <c r="AI32" s="282">
        <f t="shared" si="30"/>
        <v>3</v>
      </c>
      <c r="AJ32" s="283">
        <f t="shared" si="31"/>
        <v>1</v>
      </c>
      <c r="AK32" s="284" t="str">
        <f t="shared" si="32"/>
        <v>Memiliki kemampuan baik dalam Menganalisis dinamika hidrosfer dan dampaknya terhadap kehidupani, cukup kemampuan dalam Menganalisis dinamika litosfer dan dampaknya terhadap kehidupan</v>
      </c>
      <c r="AL32" s="276">
        <v>95</v>
      </c>
      <c r="AM32" s="277">
        <v>95</v>
      </c>
      <c r="AN32" s="277">
        <v>95</v>
      </c>
      <c r="AO32" s="277"/>
      <c r="AP32" s="277"/>
      <c r="AQ32" s="277"/>
      <c r="AR32" s="277"/>
      <c r="AS32" s="280"/>
      <c r="AT32" s="277"/>
      <c r="AU32" s="278"/>
      <c r="AV32" s="285">
        <f t="shared" si="33"/>
        <v>95</v>
      </c>
      <c r="AW32" s="296" t="str">
        <f t="shared" si="34"/>
        <v>A</v>
      </c>
      <c r="AX32" s="1220">
        <f t="shared" si="42"/>
        <v>95.01</v>
      </c>
      <c r="AY32" s="1221">
        <f t="shared" si="42"/>
        <v>95.02</v>
      </c>
      <c r="AZ32" s="1221">
        <f t="shared" si="42"/>
        <v>95.03</v>
      </c>
      <c r="BA32" s="1221" t="str">
        <f t="shared" si="42"/>
        <v/>
      </c>
      <c r="BB32" s="1221" t="str">
        <f t="shared" si="42"/>
        <v/>
      </c>
      <c r="BC32" s="1221" t="str">
        <f t="shared" si="42"/>
        <v/>
      </c>
      <c r="BD32" s="1221" t="str">
        <f t="shared" si="42"/>
        <v/>
      </c>
      <c r="BE32" s="1222" t="str">
        <f t="shared" si="42"/>
        <v/>
      </c>
      <c r="BF32" s="1221" t="str">
        <f t="shared" si="42"/>
        <v/>
      </c>
      <c r="BG32" s="1223" t="str">
        <f t="shared" si="42"/>
        <v/>
      </c>
      <c r="BH32" s="286">
        <f t="shared" si="35"/>
        <v>95.03</v>
      </c>
      <c r="BI32" s="286">
        <f t="shared" si="36"/>
        <v>95.01</v>
      </c>
      <c r="BJ32" s="287" t="str">
        <f t="shared" si="37"/>
        <v>sangat baik</v>
      </c>
      <c r="BK32" s="287" t="str">
        <f t="shared" si="37"/>
        <v>sangat baik</v>
      </c>
      <c r="BL32" s="286">
        <f t="shared" si="38"/>
        <v>3</v>
      </c>
      <c r="BM32" s="288">
        <f t="shared" si="39"/>
        <v>1</v>
      </c>
      <c r="BN32" s="289" t="str">
        <f t="shared" si="40"/>
        <v>Memiliki keterampilan sangat baik dalam Menyajikan proses dinamika hidrosfer menggunakan peta dan Menyajikan proses dinamika litosfer dengan menggunakan peta</v>
      </c>
      <c r="BO32" s="67"/>
    </row>
    <row r="33" spans="1:67" ht="33" customHeight="1">
      <c r="A33" s="67"/>
      <c r="B33" s="272">
        <f t="shared" si="23"/>
        <v>20</v>
      </c>
      <c r="C33" s="273">
        <f>IF(Data!F24="","",Data!F24)</f>
        <v>0</v>
      </c>
      <c r="D33" s="274" t="str">
        <f>IF(Data!H24="","",Data!H24)</f>
        <v>Jitro Andro Baran</v>
      </c>
      <c r="E33" s="275" t="str">
        <f>IF(Data!I24="","",Data!I24)</f>
        <v>L</v>
      </c>
      <c r="F33" s="276">
        <v>88</v>
      </c>
      <c r="G33" s="277">
        <v>87</v>
      </c>
      <c r="H33" s="277">
        <v>86</v>
      </c>
      <c r="I33" s="277"/>
      <c r="J33" s="277"/>
      <c r="K33" s="277"/>
      <c r="L33" s="277"/>
      <c r="M33" s="280"/>
      <c r="N33" s="277"/>
      <c r="O33" s="278"/>
      <c r="P33" s="279">
        <f t="shared" si="24"/>
        <v>87</v>
      </c>
      <c r="Q33" s="277">
        <v>80</v>
      </c>
      <c r="R33" s="280">
        <v>86</v>
      </c>
      <c r="S33" s="281">
        <f t="shared" si="25"/>
        <v>85</v>
      </c>
      <c r="T33" s="295" t="str">
        <f t="shared" si="26"/>
        <v>B</v>
      </c>
      <c r="U33" s="1215">
        <f t="shared" si="41"/>
        <v>88.01</v>
      </c>
      <c r="V33" s="1216">
        <f t="shared" si="41"/>
        <v>87.02</v>
      </c>
      <c r="W33" s="1216">
        <f t="shared" si="41"/>
        <v>86.03</v>
      </c>
      <c r="X33" s="1216" t="str">
        <f t="shared" si="41"/>
        <v/>
      </c>
      <c r="Y33" s="1216" t="str">
        <f t="shared" si="41"/>
        <v/>
      </c>
      <c r="Z33" s="1216" t="str">
        <f t="shared" si="41"/>
        <v/>
      </c>
      <c r="AA33" s="1216" t="str">
        <f t="shared" si="41"/>
        <v/>
      </c>
      <c r="AB33" s="1217" t="str">
        <f t="shared" si="41"/>
        <v/>
      </c>
      <c r="AC33" s="1216" t="str">
        <f t="shared" si="41"/>
        <v/>
      </c>
      <c r="AD33" s="1218" t="str">
        <f t="shared" si="41"/>
        <v/>
      </c>
      <c r="AE33" s="1219">
        <f t="shared" si="27"/>
        <v>88.01</v>
      </c>
      <c r="AF33" s="282">
        <f t="shared" si="28"/>
        <v>86.03</v>
      </c>
      <c r="AG33" s="282" t="str">
        <f t="shared" si="29"/>
        <v>baik</v>
      </c>
      <c r="AH33" s="282" t="str">
        <f t="shared" si="29"/>
        <v>baik</v>
      </c>
      <c r="AI33" s="282">
        <f t="shared" si="30"/>
        <v>1</v>
      </c>
      <c r="AJ33" s="283">
        <f t="shared" si="31"/>
        <v>3</v>
      </c>
      <c r="AK33" s="284" t="str">
        <f t="shared" si="32"/>
        <v>Memiliki kemampuan baik dalam Menganalisis dinamika litosfer dan dampaknya terhadap kehidupan dan Menganalisis dinamika hidrosfer dan dampaknya terhadap kehidupani</v>
      </c>
      <c r="AL33" s="276">
        <v>95</v>
      </c>
      <c r="AM33" s="277">
        <v>95</v>
      </c>
      <c r="AN33" s="277">
        <v>95</v>
      </c>
      <c r="AO33" s="277"/>
      <c r="AP33" s="277"/>
      <c r="AQ33" s="277"/>
      <c r="AR33" s="277"/>
      <c r="AS33" s="280"/>
      <c r="AT33" s="277"/>
      <c r="AU33" s="278"/>
      <c r="AV33" s="285">
        <f t="shared" si="33"/>
        <v>95</v>
      </c>
      <c r="AW33" s="296" t="str">
        <f t="shared" si="34"/>
        <v>A</v>
      </c>
      <c r="AX33" s="1220">
        <f t="shared" si="42"/>
        <v>95.01</v>
      </c>
      <c r="AY33" s="1221">
        <f t="shared" si="42"/>
        <v>95.02</v>
      </c>
      <c r="AZ33" s="1221">
        <f t="shared" si="42"/>
        <v>95.03</v>
      </c>
      <c r="BA33" s="1221" t="str">
        <f t="shared" si="42"/>
        <v/>
      </c>
      <c r="BB33" s="1221" t="str">
        <f t="shared" si="42"/>
        <v/>
      </c>
      <c r="BC33" s="1221" t="str">
        <f t="shared" si="42"/>
        <v/>
      </c>
      <c r="BD33" s="1221" t="str">
        <f t="shared" si="42"/>
        <v/>
      </c>
      <c r="BE33" s="1222" t="str">
        <f t="shared" si="42"/>
        <v/>
      </c>
      <c r="BF33" s="1221" t="str">
        <f t="shared" si="42"/>
        <v/>
      </c>
      <c r="BG33" s="1223" t="str">
        <f t="shared" si="42"/>
        <v/>
      </c>
      <c r="BH33" s="286">
        <f t="shared" si="35"/>
        <v>95.03</v>
      </c>
      <c r="BI33" s="286">
        <f t="shared" si="36"/>
        <v>95.01</v>
      </c>
      <c r="BJ33" s="287" t="str">
        <f t="shared" si="37"/>
        <v>sangat baik</v>
      </c>
      <c r="BK33" s="287" t="str">
        <f t="shared" si="37"/>
        <v>sangat baik</v>
      </c>
      <c r="BL33" s="286">
        <f t="shared" si="38"/>
        <v>3</v>
      </c>
      <c r="BM33" s="288">
        <f t="shared" si="39"/>
        <v>1</v>
      </c>
      <c r="BN33" s="289" t="str">
        <f t="shared" si="40"/>
        <v>Memiliki keterampilan sangat baik dalam Menyajikan proses dinamika hidrosfer menggunakan peta dan Menyajikan proses dinamika litosfer dengan menggunakan peta</v>
      </c>
      <c r="BO33" s="67"/>
    </row>
    <row r="34" spans="1:67" ht="33" customHeight="1">
      <c r="A34" s="67"/>
      <c r="B34" s="272">
        <f t="shared" si="23"/>
        <v>21</v>
      </c>
      <c r="C34" s="273">
        <f>IF(Data!F25="","",Data!F25)</f>
        <v>0</v>
      </c>
      <c r="D34" s="274" t="str">
        <f>IF(Data!H25="","",Data!H25)</f>
        <v>Juan Manuel Boys</v>
      </c>
      <c r="E34" s="275" t="str">
        <f>IF(Data!I25="","",Data!I25)</f>
        <v>L</v>
      </c>
      <c r="F34" s="276">
        <v>90</v>
      </c>
      <c r="G34" s="277">
        <v>89</v>
      </c>
      <c r="H34" s="277">
        <v>86</v>
      </c>
      <c r="I34" s="277"/>
      <c r="J34" s="277"/>
      <c r="K34" s="277"/>
      <c r="L34" s="277"/>
      <c r="M34" s="280"/>
      <c r="N34" s="277"/>
      <c r="O34" s="278"/>
      <c r="P34" s="279">
        <f t="shared" si="24"/>
        <v>88</v>
      </c>
      <c r="Q34" s="277">
        <v>88</v>
      </c>
      <c r="R34" s="280">
        <v>91</v>
      </c>
      <c r="S34" s="281">
        <f t="shared" si="25"/>
        <v>89</v>
      </c>
      <c r="T34" s="295" t="str">
        <f t="shared" si="26"/>
        <v>B</v>
      </c>
      <c r="U34" s="1215">
        <f t="shared" si="41"/>
        <v>90.01</v>
      </c>
      <c r="V34" s="1216">
        <f t="shared" si="41"/>
        <v>89.02</v>
      </c>
      <c r="W34" s="1216">
        <f t="shared" si="41"/>
        <v>86.03</v>
      </c>
      <c r="X34" s="1216" t="str">
        <f t="shared" si="41"/>
        <v/>
      </c>
      <c r="Y34" s="1216" t="str">
        <f t="shared" si="41"/>
        <v/>
      </c>
      <c r="Z34" s="1216" t="str">
        <f t="shared" si="41"/>
        <v/>
      </c>
      <c r="AA34" s="1216" t="str">
        <f t="shared" si="41"/>
        <v/>
      </c>
      <c r="AB34" s="1217" t="str">
        <f t="shared" si="41"/>
        <v/>
      </c>
      <c r="AC34" s="1216" t="str">
        <f t="shared" si="41"/>
        <v/>
      </c>
      <c r="AD34" s="1218" t="str">
        <f t="shared" si="41"/>
        <v/>
      </c>
      <c r="AE34" s="1219">
        <f t="shared" si="27"/>
        <v>90.01</v>
      </c>
      <c r="AF34" s="282">
        <f t="shared" si="28"/>
        <v>86.03</v>
      </c>
      <c r="AG34" s="282" t="str">
        <f t="shared" si="29"/>
        <v>baik</v>
      </c>
      <c r="AH34" s="282" t="str">
        <f t="shared" si="29"/>
        <v>baik</v>
      </c>
      <c r="AI34" s="282">
        <f t="shared" si="30"/>
        <v>1</v>
      </c>
      <c r="AJ34" s="283">
        <f t="shared" si="31"/>
        <v>3</v>
      </c>
      <c r="AK34" s="284" t="str">
        <f t="shared" si="32"/>
        <v>Memiliki kemampuan baik dalam Menganalisis dinamika litosfer dan dampaknya terhadap kehidupan dan Menganalisis dinamika hidrosfer dan dampaknya terhadap kehidupani</v>
      </c>
      <c r="AL34" s="276">
        <v>80</v>
      </c>
      <c r="AM34" s="277">
        <v>79</v>
      </c>
      <c r="AN34" s="277">
        <v>80</v>
      </c>
      <c r="AO34" s="277"/>
      <c r="AP34" s="277"/>
      <c r="AQ34" s="277"/>
      <c r="AR34" s="277"/>
      <c r="AS34" s="280"/>
      <c r="AT34" s="277"/>
      <c r="AU34" s="278"/>
      <c r="AV34" s="285">
        <f t="shared" si="33"/>
        <v>80</v>
      </c>
      <c r="AW34" s="296" t="str">
        <f t="shared" si="34"/>
        <v>C</v>
      </c>
      <c r="AX34" s="1220">
        <f t="shared" si="42"/>
        <v>80.010000000000005</v>
      </c>
      <c r="AY34" s="1221">
        <f t="shared" si="42"/>
        <v>79.02</v>
      </c>
      <c r="AZ34" s="1221">
        <f t="shared" si="42"/>
        <v>80.03</v>
      </c>
      <c r="BA34" s="1221" t="str">
        <f t="shared" si="42"/>
        <v/>
      </c>
      <c r="BB34" s="1221" t="str">
        <f t="shared" si="42"/>
        <v/>
      </c>
      <c r="BC34" s="1221" t="str">
        <f t="shared" si="42"/>
        <v/>
      </c>
      <c r="BD34" s="1221" t="str">
        <f t="shared" si="42"/>
        <v/>
      </c>
      <c r="BE34" s="1222" t="str">
        <f t="shared" si="42"/>
        <v/>
      </c>
      <c r="BF34" s="1221" t="str">
        <f t="shared" si="42"/>
        <v/>
      </c>
      <c r="BG34" s="1223" t="str">
        <f t="shared" si="42"/>
        <v/>
      </c>
      <c r="BH34" s="286">
        <f t="shared" si="35"/>
        <v>80.03</v>
      </c>
      <c r="BI34" s="286">
        <f t="shared" si="36"/>
        <v>79.02</v>
      </c>
      <c r="BJ34" s="287" t="str">
        <f t="shared" si="37"/>
        <v>cukup</v>
      </c>
      <c r="BK34" s="287" t="str">
        <f t="shared" si="37"/>
        <v>cukup</v>
      </c>
      <c r="BL34" s="286">
        <f t="shared" si="38"/>
        <v>3</v>
      </c>
      <c r="BM34" s="288">
        <f t="shared" si="39"/>
        <v>2</v>
      </c>
      <c r="BN34" s="289" t="str">
        <f t="shared" si="40"/>
        <v>Memiliki keterampilan cukup dalam Menyajikan proses dinamika hidrosfer menggunakan peta dan Menyajikan proses dinamika atmosfer menggunakan peta</v>
      </c>
      <c r="BO34" s="67"/>
    </row>
    <row r="35" spans="1:67" ht="33" customHeight="1">
      <c r="A35" s="67"/>
      <c r="B35" s="272">
        <f t="shared" si="23"/>
        <v>22</v>
      </c>
      <c r="C35" s="273">
        <f>IF(Data!F26="","",Data!F26)</f>
        <v>0</v>
      </c>
      <c r="D35" s="274" t="str">
        <f>IF(Data!H26="","",Data!H26)</f>
        <v>Krisyanti Ernela Kesnay</v>
      </c>
      <c r="E35" s="275" t="str">
        <f>IF(Data!I26="","",Data!I26)</f>
        <v>P</v>
      </c>
      <c r="F35" s="276">
        <v>87</v>
      </c>
      <c r="G35" s="277">
        <v>85</v>
      </c>
      <c r="H35" s="277">
        <v>86</v>
      </c>
      <c r="I35" s="277"/>
      <c r="J35" s="277"/>
      <c r="K35" s="277"/>
      <c r="L35" s="277"/>
      <c r="M35" s="280"/>
      <c r="N35" s="277"/>
      <c r="O35" s="278"/>
      <c r="P35" s="279">
        <f t="shared" si="24"/>
        <v>86</v>
      </c>
      <c r="Q35" s="277">
        <v>80</v>
      </c>
      <c r="R35" s="280">
        <v>84</v>
      </c>
      <c r="S35" s="281">
        <f t="shared" si="25"/>
        <v>84</v>
      </c>
      <c r="T35" s="295" t="str">
        <f t="shared" si="26"/>
        <v>C</v>
      </c>
      <c r="U35" s="1215">
        <f t="shared" si="41"/>
        <v>87.01</v>
      </c>
      <c r="V35" s="1216">
        <f t="shared" si="41"/>
        <v>85.02</v>
      </c>
      <c r="W35" s="1216">
        <f t="shared" si="41"/>
        <v>86.03</v>
      </c>
      <c r="X35" s="1216" t="str">
        <f t="shared" si="41"/>
        <v/>
      </c>
      <c r="Y35" s="1216" t="str">
        <f t="shared" si="41"/>
        <v/>
      </c>
      <c r="Z35" s="1216" t="str">
        <f t="shared" si="41"/>
        <v/>
      </c>
      <c r="AA35" s="1216" t="str">
        <f t="shared" si="41"/>
        <v/>
      </c>
      <c r="AB35" s="1217" t="str">
        <f t="shared" si="41"/>
        <v/>
      </c>
      <c r="AC35" s="1216" t="str">
        <f t="shared" si="41"/>
        <v/>
      </c>
      <c r="AD35" s="1218" t="str">
        <f t="shared" si="41"/>
        <v/>
      </c>
      <c r="AE35" s="1219">
        <f t="shared" si="27"/>
        <v>87.01</v>
      </c>
      <c r="AF35" s="282">
        <f t="shared" si="28"/>
        <v>85.02</v>
      </c>
      <c r="AG35" s="282" t="str">
        <f t="shared" si="29"/>
        <v>baik</v>
      </c>
      <c r="AH35" s="282" t="str">
        <f t="shared" si="29"/>
        <v>baik</v>
      </c>
      <c r="AI35" s="282">
        <f t="shared" si="30"/>
        <v>1</v>
      </c>
      <c r="AJ35" s="283">
        <f t="shared" si="31"/>
        <v>2</v>
      </c>
      <c r="AK35" s="284" t="str">
        <f t="shared" si="32"/>
        <v>Memiliki kemampuan baik dalam Menganalisis dinamika litosfer dan dampaknya terhadap kehidupan dan Menganalisis dinamika atmosfer dan dampaknya terhadap kehidupan</v>
      </c>
      <c r="AL35" s="276">
        <v>95</v>
      </c>
      <c r="AM35" s="277">
        <v>95</v>
      </c>
      <c r="AN35" s="277">
        <v>95</v>
      </c>
      <c r="AO35" s="277"/>
      <c r="AP35" s="277"/>
      <c r="AQ35" s="277"/>
      <c r="AR35" s="277"/>
      <c r="AS35" s="280"/>
      <c r="AT35" s="277"/>
      <c r="AU35" s="278"/>
      <c r="AV35" s="285">
        <f t="shared" si="33"/>
        <v>95</v>
      </c>
      <c r="AW35" s="296" t="str">
        <f t="shared" si="34"/>
        <v>A</v>
      </c>
      <c r="AX35" s="1220">
        <f t="shared" si="42"/>
        <v>95.01</v>
      </c>
      <c r="AY35" s="1221">
        <f t="shared" si="42"/>
        <v>95.02</v>
      </c>
      <c r="AZ35" s="1221">
        <f t="shared" si="42"/>
        <v>95.03</v>
      </c>
      <c r="BA35" s="1221" t="str">
        <f t="shared" si="42"/>
        <v/>
      </c>
      <c r="BB35" s="1221" t="str">
        <f t="shared" si="42"/>
        <v/>
      </c>
      <c r="BC35" s="1221" t="str">
        <f t="shared" si="42"/>
        <v/>
      </c>
      <c r="BD35" s="1221" t="str">
        <f t="shared" si="42"/>
        <v/>
      </c>
      <c r="BE35" s="1222" t="str">
        <f t="shared" si="42"/>
        <v/>
      </c>
      <c r="BF35" s="1221" t="str">
        <f t="shared" si="42"/>
        <v/>
      </c>
      <c r="BG35" s="1223" t="str">
        <f t="shared" si="42"/>
        <v/>
      </c>
      <c r="BH35" s="286">
        <f t="shared" si="35"/>
        <v>95.03</v>
      </c>
      <c r="BI35" s="286">
        <f t="shared" si="36"/>
        <v>95.01</v>
      </c>
      <c r="BJ35" s="287" t="str">
        <f t="shared" si="37"/>
        <v>sangat baik</v>
      </c>
      <c r="BK35" s="287" t="str">
        <f t="shared" si="37"/>
        <v>sangat baik</v>
      </c>
      <c r="BL35" s="286">
        <f t="shared" si="38"/>
        <v>3</v>
      </c>
      <c r="BM35" s="288">
        <f t="shared" si="39"/>
        <v>1</v>
      </c>
      <c r="BN35" s="289" t="str">
        <f t="shared" si="40"/>
        <v>Memiliki keterampilan sangat baik dalam Menyajikan proses dinamika hidrosfer menggunakan peta dan Menyajikan proses dinamika litosfer dengan menggunakan peta</v>
      </c>
      <c r="BO35" s="67"/>
    </row>
    <row r="36" spans="1:67" ht="33" customHeight="1">
      <c r="A36" s="67"/>
      <c r="B36" s="272">
        <f t="shared" si="23"/>
        <v>23</v>
      </c>
      <c r="C36" s="273">
        <f>IF(Data!F27="","",Data!F27)</f>
        <v>0</v>
      </c>
      <c r="D36" s="274" t="str">
        <f>IF(Data!H27="","",Data!H27)</f>
        <v>Leni Aknesia Knoan</v>
      </c>
      <c r="E36" s="275" t="str">
        <f>IF(Data!I27="","",Data!I27)</f>
        <v>P</v>
      </c>
      <c r="F36" s="276">
        <v>0</v>
      </c>
      <c r="G36" s="277">
        <v>0</v>
      </c>
      <c r="H36" s="277">
        <v>0</v>
      </c>
      <c r="I36" s="277"/>
      <c r="J36" s="277"/>
      <c r="K36" s="277"/>
      <c r="L36" s="277"/>
      <c r="M36" s="280"/>
      <c r="N36" s="277"/>
      <c r="O36" s="278"/>
      <c r="P36" s="279">
        <f t="shared" si="24"/>
        <v>0</v>
      </c>
      <c r="Q36" s="277">
        <v>0</v>
      </c>
      <c r="R36" s="280">
        <v>0</v>
      </c>
      <c r="S36" s="281">
        <f t="shared" si="25"/>
        <v>0</v>
      </c>
      <c r="T36" s="295" t="str">
        <f t="shared" si="26"/>
        <v>D</v>
      </c>
      <c r="U36" s="1215">
        <f t="shared" si="41"/>
        <v>0.01</v>
      </c>
      <c r="V36" s="1216">
        <f t="shared" si="41"/>
        <v>0.02</v>
      </c>
      <c r="W36" s="1216">
        <f t="shared" si="41"/>
        <v>0.03</v>
      </c>
      <c r="X36" s="1216" t="str">
        <f t="shared" si="41"/>
        <v/>
      </c>
      <c r="Y36" s="1216" t="str">
        <f t="shared" si="41"/>
        <v/>
      </c>
      <c r="Z36" s="1216" t="str">
        <f t="shared" si="41"/>
        <v/>
      </c>
      <c r="AA36" s="1216" t="str">
        <f t="shared" si="41"/>
        <v/>
      </c>
      <c r="AB36" s="1217" t="str">
        <f t="shared" si="41"/>
        <v/>
      </c>
      <c r="AC36" s="1216" t="str">
        <f t="shared" si="41"/>
        <v/>
      </c>
      <c r="AD36" s="1218" t="str">
        <f t="shared" si="41"/>
        <v/>
      </c>
      <c r="AE36" s="1219">
        <f t="shared" si="27"/>
        <v>0.03</v>
      </c>
      <c r="AF36" s="282">
        <f t="shared" si="28"/>
        <v>0.01</v>
      </c>
      <c r="AG36" s="282" t="str">
        <f t="shared" si="29"/>
        <v>perlu dimaksimalkan</v>
      </c>
      <c r="AH36" s="282" t="str">
        <f t="shared" si="29"/>
        <v>perlu dimaksimalkan</v>
      </c>
      <c r="AI36" s="282">
        <f t="shared" si="30"/>
        <v>3</v>
      </c>
      <c r="AJ36" s="283">
        <f t="shared" si="31"/>
        <v>1</v>
      </c>
      <c r="AK36" s="284" t="str">
        <f t="shared" si="32"/>
        <v>Memiliki kemampuan perlu dimaksimalkan dalam Menganalisis dinamika hidrosfer dan dampaknya terhadap kehidupani dan Menganalisis dinamika litosfer dan dampaknya terhadap kehidupan</v>
      </c>
      <c r="AL36" s="276">
        <v>0</v>
      </c>
      <c r="AM36" s="277">
        <v>0</v>
      </c>
      <c r="AN36" s="277">
        <v>0</v>
      </c>
      <c r="AO36" s="277"/>
      <c r="AP36" s="277"/>
      <c r="AQ36" s="277"/>
      <c r="AR36" s="277"/>
      <c r="AS36" s="280"/>
      <c r="AT36" s="277"/>
      <c r="AU36" s="278"/>
      <c r="AV36" s="285">
        <f t="shared" si="33"/>
        <v>0</v>
      </c>
      <c r="AW36" s="296" t="str">
        <f t="shared" si="34"/>
        <v>D</v>
      </c>
      <c r="AX36" s="1220">
        <f t="shared" si="42"/>
        <v>0.01</v>
      </c>
      <c r="AY36" s="1221">
        <f t="shared" si="42"/>
        <v>0.02</v>
      </c>
      <c r="AZ36" s="1221">
        <f t="shared" si="42"/>
        <v>0.03</v>
      </c>
      <c r="BA36" s="1221" t="str">
        <f t="shared" si="42"/>
        <v/>
      </c>
      <c r="BB36" s="1221" t="str">
        <f t="shared" si="42"/>
        <v/>
      </c>
      <c r="BC36" s="1221" t="str">
        <f t="shared" si="42"/>
        <v/>
      </c>
      <c r="BD36" s="1221" t="str">
        <f t="shared" si="42"/>
        <v/>
      </c>
      <c r="BE36" s="1222" t="str">
        <f t="shared" si="42"/>
        <v/>
      </c>
      <c r="BF36" s="1221" t="str">
        <f t="shared" si="42"/>
        <v/>
      </c>
      <c r="BG36" s="1223" t="str">
        <f t="shared" si="42"/>
        <v/>
      </c>
      <c r="BH36" s="286">
        <f t="shared" si="35"/>
        <v>0.03</v>
      </c>
      <c r="BI36" s="286">
        <f t="shared" si="36"/>
        <v>0.01</v>
      </c>
      <c r="BJ36" s="287" t="str">
        <f t="shared" si="37"/>
        <v>perlu dimaksimalkan</v>
      </c>
      <c r="BK36" s="287" t="str">
        <f t="shared" si="37"/>
        <v>perlu dimaksimalkan</v>
      </c>
      <c r="BL36" s="286">
        <f t="shared" si="38"/>
        <v>3</v>
      </c>
      <c r="BM36" s="288">
        <f t="shared" si="39"/>
        <v>1</v>
      </c>
      <c r="BN36" s="289" t="str">
        <f t="shared" si="40"/>
        <v>Memiliki keterampilan perlu dimaksimalkan dalam Menyajikan proses dinamika hidrosfer menggunakan peta dan Menyajikan proses dinamika litosfer dengan menggunakan peta</v>
      </c>
      <c r="BO36" s="67"/>
    </row>
    <row r="37" spans="1:67" ht="33" customHeight="1">
      <c r="A37" s="67"/>
      <c r="B37" s="272">
        <f t="shared" si="23"/>
        <v>24</v>
      </c>
      <c r="C37" s="273">
        <f>IF(Data!F28="","",Data!F28)</f>
        <v>0</v>
      </c>
      <c r="D37" s="274" t="str">
        <f>IF(Data!H28="","",Data!H28)</f>
        <v>Marlon Dioninsius Lalus</v>
      </c>
      <c r="E37" s="275" t="str">
        <f>IF(Data!I28="","",Data!I28)</f>
        <v>L</v>
      </c>
      <c r="F37" s="276">
        <v>87</v>
      </c>
      <c r="G37" s="277">
        <v>85</v>
      </c>
      <c r="H37" s="277">
        <v>86</v>
      </c>
      <c r="I37" s="277"/>
      <c r="J37" s="277"/>
      <c r="K37" s="277"/>
      <c r="L37" s="277"/>
      <c r="M37" s="280"/>
      <c r="N37" s="277"/>
      <c r="O37" s="278"/>
      <c r="P37" s="279">
        <f t="shared" si="24"/>
        <v>86</v>
      </c>
      <c r="Q37" s="277">
        <v>80</v>
      </c>
      <c r="R37" s="280">
        <v>84</v>
      </c>
      <c r="S37" s="281">
        <f t="shared" si="25"/>
        <v>84</v>
      </c>
      <c r="T37" s="295" t="str">
        <f t="shared" si="26"/>
        <v>C</v>
      </c>
      <c r="U37" s="1215">
        <f t="shared" si="41"/>
        <v>87.01</v>
      </c>
      <c r="V37" s="1216">
        <f t="shared" si="41"/>
        <v>85.02</v>
      </c>
      <c r="W37" s="1216">
        <f t="shared" si="41"/>
        <v>86.03</v>
      </c>
      <c r="X37" s="1216" t="str">
        <f t="shared" si="41"/>
        <v/>
      </c>
      <c r="Y37" s="1216" t="str">
        <f t="shared" si="41"/>
        <v/>
      </c>
      <c r="Z37" s="1216" t="str">
        <f t="shared" si="41"/>
        <v/>
      </c>
      <c r="AA37" s="1216" t="str">
        <f t="shared" si="41"/>
        <v/>
      </c>
      <c r="AB37" s="1217" t="str">
        <f t="shared" si="41"/>
        <v/>
      </c>
      <c r="AC37" s="1216" t="str">
        <f t="shared" si="41"/>
        <v/>
      </c>
      <c r="AD37" s="1218" t="str">
        <f t="shared" si="41"/>
        <v/>
      </c>
      <c r="AE37" s="1219">
        <f t="shared" si="27"/>
        <v>87.01</v>
      </c>
      <c r="AF37" s="282">
        <f t="shared" si="28"/>
        <v>85.02</v>
      </c>
      <c r="AG37" s="282" t="str">
        <f t="shared" si="29"/>
        <v>baik</v>
      </c>
      <c r="AH37" s="282" t="str">
        <f t="shared" si="29"/>
        <v>baik</v>
      </c>
      <c r="AI37" s="282">
        <f t="shared" si="30"/>
        <v>1</v>
      </c>
      <c r="AJ37" s="283">
        <f t="shared" si="31"/>
        <v>2</v>
      </c>
      <c r="AK37" s="284" t="str">
        <f t="shared" si="32"/>
        <v>Memiliki kemampuan baik dalam Menganalisis dinamika litosfer dan dampaknya terhadap kehidupan dan Menganalisis dinamika atmosfer dan dampaknya terhadap kehidupan</v>
      </c>
      <c r="AL37" s="276">
        <v>95</v>
      </c>
      <c r="AM37" s="277">
        <v>95</v>
      </c>
      <c r="AN37" s="277">
        <v>95</v>
      </c>
      <c r="AO37" s="277"/>
      <c r="AP37" s="277"/>
      <c r="AQ37" s="277"/>
      <c r="AR37" s="277"/>
      <c r="AS37" s="280"/>
      <c r="AT37" s="277"/>
      <c r="AU37" s="278"/>
      <c r="AV37" s="285">
        <f t="shared" si="33"/>
        <v>95</v>
      </c>
      <c r="AW37" s="296" t="str">
        <f t="shared" si="34"/>
        <v>A</v>
      </c>
      <c r="AX37" s="1220">
        <f t="shared" si="42"/>
        <v>95.01</v>
      </c>
      <c r="AY37" s="1221">
        <f t="shared" si="42"/>
        <v>95.02</v>
      </c>
      <c r="AZ37" s="1221">
        <f t="shared" si="42"/>
        <v>95.03</v>
      </c>
      <c r="BA37" s="1221" t="str">
        <f t="shared" si="42"/>
        <v/>
      </c>
      <c r="BB37" s="1221" t="str">
        <f t="shared" si="42"/>
        <v/>
      </c>
      <c r="BC37" s="1221" t="str">
        <f t="shared" si="42"/>
        <v/>
      </c>
      <c r="BD37" s="1221" t="str">
        <f t="shared" si="42"/>
        <v/>
      </c>
      <c r="BE37" s="1222" t="str">
        <f t="shared" si="42"/>
        <v/>
      </c>
      <c r="BF37" s="1221" t="str">
        <f t="shared" si="42"/>
        <v/>
      </c>
      <c r="BG37" s="1223" t="str">
        <f t="shared" si="42"/>
        <v/>
      </c>
      <c r="BH37" s="286">
        <f t="shared" si="35"/>
        <v>95.03</v>
      </c>
      <c r="BI37" s="286">
        <f t="shared" si="36"/>
        <v>95.01</v>
      </c>
      <c r="BJ37" s="287" t="str">
        <f t="shared" si="37"/>
        <v>sangat baik</v>
      </c>
      <c r="BK37" s="287" t="str">
        <f t="shared" si="37"/>
        <v>sangat baik</v>
      </c>
      <c r="BL37" s="286">
        <f t="shared" si="38"/>
        <v>3</v>
      </c>
      <c r="BM37" s="288">
        <f t="shared" si="39"/>
        <v>1</v>
      </c>
      <c r="BN37" s="289" t="str">
        <f t="shared" si="40"/>
        <v>Memiliki keterampilan sangat baik dalam Menyajikan proses dinamika hidrosfer menggunakan peta dan Menyajikan proses dinamika litosfer dengan menggunakan peta</v>
      </c>
      <c r="BO37" s="67"/>
    </row>
    <row r="38" spans="1:67" ht="33" customHeight="1">
      <c r="A38" s="67"/>
      <c r="B38" s="272">
        <f t="shared" ref="B38:B46" si="43">IF(D38="","",B37+1)</f>
        <v>25</v>
      </c>
      <c r="C38" s="273">
        <f>IF(Data!F29="","",Data!F29)</f>
        <v>0</v>
      </c>
      <c r="D38" s="274" t="str">
        <f>IF(Data!H29="","",Data!H29)</f>
        <v>Maya Trifena Niobe</v>
      </c>
      <c r="E38" s="275" t="str">
        <f>IF(Data!I29="","",Data!I29)</f>
        <v>P</v>
      </c>
      <c r="F38" s="276">
        <v>87</v>
      </c>
      <c r="G38" s="277">
        <v>88</v>
      </c>
      <c r="H38" s="277">
        <v>86</v>
      </c>
      <c r="I38" s="277"/>
      <c r="J38" s="277"/>
      <c r="K38" s="277"/>
      <c r="L38" s="277"/>
      <c r="M38" s="280"/>
      <c r="N38" s="277"/>
      <c r="O38" s="278"/>
      <c r="P38" s="279">
        <f t="shared" si="24"/>
        <v>87</v>
      </c>
      <c r="Q38" s="277">
        <v>80</v>
      </c>
      <c r="R38" s="280">
        <v>87</v>
      </c>
      <c r="S38" s="281">
        <f t="shared" si="25"/>
        <v>85</v>
      </c>
      <c r="T38" s="295" t="str">
        <f t="shared" si="26"/>
        <v>B</v>
      </c>
      <c r="U38" s="1215">
        <f t="shared" si="41"/>
        <v>87.01</v>
      </c>
      <c r="V38" s="1216">
        <f t="shared" si="41"/>
        <v>88.02</v>
      </c>
      <c r="W38" s="1216">
        <f t="shared" si="41"/>
        <v>86.03</v>
      </c>
      <c r="X38" s="1216" t="str">
        <f t="shared" si="41"/>
        <v/>
      </c>
      <c r="Y38" s="1216" t="str">
        <f t="shared" si="41"/>
        <v/>
      </c>
      <c r="Z38" s="1216" t="str">
        <f t="shared" si="41"/>
        <v/>
      </c>
      <c r="AA38" s="1216" t="str">
        <f t="shared" si="41"/>
        <v/>
      </c>
      <c r="AB38" s="1217" t="str">
        <f t="shared" si="41"/>
        <v/>
      </c>
      <c r="AC38" s="1216" t="str">
        <f t="shared" si="41"/>
        <v/>
      </c>
      <c r="AD38" s="1218" t="str">
        <f t="shared" si="41"/>
        <v/>
      </c>
      <c r="AE38" s="1219">
        <f t="shared" si="27"/>
        <v>88.02</v>
      </c>
      <c r="AF38" s="282">
        <f t="shared" si="28"/>
        <v>86.03</v>
      </c>
      <c r="AG38" s="282" t="str">
        <f t="shared" si="29"/>
        <v>baik</v>
      </c>
      <c r="AH38" s="282" t="str">
        <f t="shared" si="29"/>
        <v>baik</v>
      </c>
      <c r="AI38" s="282">
        <f t="shared" si="30"/>
        <v>2</v>
      </c>
      <c r="AJ38" s="283">
        <f t="shared" si="31"/>
        <v>3</v>
      </c>
      <c r="AK38" s="284" t="str">
        <f t="shared" si="32"/>
        <v>Memiliki kemampuan baik dalam Menganalisis dinamika atmosfer dan dampaknya terhadap kehidupan dan Menganalisis dinamika hidrosfer dan dampaknya terhadap kehidupani</v>
      </c>
      <c r="AL38" s="276">
        <v>95</v>
      </c>
      <c r="AM38" s="277">
        <v>95</v>
      </c>
      <c r="AN38" s="277">
        <v>95</v>
      </c>
      <c r="AO38" s="277"/>
      <c r="AP38" s="277"/>
      <c r="AQ38" s="277"/>
      <c r="AR38" s="277"/>
      <c r="AS38" s="280"/>
      <c r="AT38" s="277"/>
      <c r="AU38" s="278"/>
      <c r="AV38" s="285">
        <f t="shared" si="33"/>
        <v>95</v>
      </c>
      <c r="AW38" s="296" t="str">
        <f t="shared" si="34"/>
        <v>A</v>
      </c>
      <c r="AX38" s="1220">
        <f t="shared" si="42"/>
        <v>95.01</v>
      </c>
      <c r="AY38" s="1221">
        <f t="shared" si="42"/>
        <v>95.02</v>
      </c>
      <c r="AZ38" s="1221">
        <f t="shared" si="42"/>
        <v>95.03</v>
      </c>
      <c r="BA38" s="1221" t="str">
        <f t="shared" si="42"/>
        <v/>
      </c>
      <c r="BB38" s="1221" t="str">
        <f t="shared" si="42"/>
        <v/>
      </c>
      <c r="BC38" s="1221" t="str">
        <f t="shared" si="42"/>
        <v/>
      </c>
      <c r="BD38" s="1221" t="str">
        <f t="shared" si="42"/>
        <v/>
      </c>
      <c r="BE38" s="1222" t="str">
        <f t="shared" si="42"/>
        <v/>
      </c>
      <c r="BF38" s="1221" t="str">
        <f t="shared" si="42"/>
        <v/>
      </c>
      <c r="BG38" s="1223" t="str">
        <f t="shared" si="42"/>
        <v/>
      </c>
      <c r="BH38" s="286">
        <f t="shared" si="35"/>
        <v>95.03</v>
      </c>
      <c r="BI38" s="286">
        <f t="shared" si="36"/>
        <v>95.01</v>
      </c>
      <c r="BJ38" s="287" t="str">
        <f t="shared" si="37"/>
        <v>sangat baik</v>
      </c>
      <c r="BK38" s="287" t="str">
        <f t="shared" si="37"/>
        <v>sangat baik</v>
      </c>
      <c r="BL38" s="286">
        <f t="shared" si="38"/>
        <v>3</v>
      </c>
      <c r="BM38" s="288">
        <f t="shared" si="39"/>
        <v>1</v>
      </c>
      <c r="BN38" s="289" t="str">
        <f t="shared" si="40"/>
        <v>Memiliki keterampilan sangat baik dalam Menyajikan proses dinamika hidrosfer menggunakan peta dan Menyajikan proses dinamika litosfer dengan menggunakan peta</v>
      </c>
      <c r="BO38" s="67"/>
    </row>
    <row r="39" spans="1:67" ht="33" customHeight="1">
      <c r="A39" s="67"/>
      <c r="B39" s="272">
        <f t="shared" si="43"/>
        <v>26</v>
      </c>
      <c r="C39" s="273">
        <f>IF(Data!F30="","",Data!F30)</f>
        <v>0</v>
      </c>
      <c r="D39" s="274" t="str">
        <f>IF(Data!H30="","",Data!H30)</f>
        <v>Misel Miranda Sora</v>
      </c>
      <c r="E39" s="275" t="str">
        <f>IF(Data!I30="","",Data!I30)</f>
        <v>P</v>
      </c>
      <c r="F39" s="276">
        <v>80</v>
      </c>
      <c r="G39" s="277">
        <v>86</v>
      </c>
      <c r="H39" s="277">
        <v>86</v>
      </c>
      <c r="I39" s="277"/>
      <c r="J39" s="277"/>
      <c r="K39" s="277"/>
      <c r="L39" s="277"/>
      <c r="M39" s="280"/>
      <c r="N39" s="277"/>
      <c r="O39" s="278"/>
      <c r="P39" s="279">
        <f t="shared" si="24"/>
        <v>84</v>
      </c>
      <c r="Q39" s="277">
        <v>89</v>
      </c>
      <c r="R39" s="280">
        <v>81</v>
      </c>
      <c r="S39" s="281">
        <f t="shared" si="25"/>
        <v>85</v>
      </c>
      <c r="T39" s="295" t="str">
        <f t="shared" si="26"/>
        <v>B</v>
      </c>
      <c r="U39" s="1215">
        <f t="shared" si="41"/>
        <v>80.010000000000005</v>
      </c>
      <c r="V39" s="1216">
        <f t="shared" si="41"/>
        <v>86.02</v>
      </c>
      <c r="W39" s="1216">
        <f t="shared" si="41"/>
        <v>86.03</v>
      </c>
      <c r="X39" s="1216" t="str">
        <f t="shared" si="41"/>
        <v/>
      </c>
      <c r="Y39" s="1216" t="str">
        <f t="shared" si="41"/>
        <v/>
      </c>
      <c r="Z39" s="1216" t="str">
        <f t="shared" si="41"/>
        <v/>
      </c>
      <c r="AA39" s="1216" t="str">
        <f t="shared" si="41"/>
        <v/>
      </c>
      <c r="AB39" s="1217" t="str">
        <f t="shared" si="41"/>
        <v/>
      </c>
      <c r="AC39" s="1216" t="str">
        <f t="shared" si="41"/>
        <v/>
      </c>
      <c r="AD39" s="1218" t="str">
        <f t="shared" si="41"/>
        <v/>
      </c>
      <c r="AE39" s="1219">
        <f t="shared" si="27"/>
        <v>86.03</v>
      </c>
      <c r="AF39" s="282">
        <f t="shared" si="28"/>
        <v>80.010000000000005</v>
      </c>
      <c r="AG39" s="282" t="str">
        <f t="shared" si="29"/>
        <v>baik</v>
      </c>
      <c r="AH39" s="282" t="str">
        <f t="shared" si="29"/>
        <v>cukup</v>
      </c>
      <c r="AI39" s="282">
        <f t="shared" si="30"/>
        <v>3</v>
      </c>
      <c r="AJ39" s="283">
        <f t="shared" si="31"/>
        <v>1</v>
      </c>
      <c r="AK39" s="284" t="str">
        <f t="shared" si="32"/>
        <v>Memiliki kemampuan baik dalam Menganalisis dinamika hidrosfer dan dampaknya terhadap kehidupani, cukup kemampuan dalam Menganalisis dinamika litosfer dan dampaknya terhadap kehidupan</v>
      </c>
      <c r="AL39" s="276">
        <v>95</v>
      </c>
      <c r="AM39" s="277">
        <v>95</v>
      </c>
      <c r="AN39" s="277">
        <v>95</v>
      </c>
      <c r="AO39" s="277"/>
      <c r="AP39" s="277"/>
      <c r="AQ39" s="277"/>
      <c r="AR39" s="277"/>
      <c r="AS39" s="280"/>
      <c r="AT39" s="277"/>
      <c r="AU39" s="278"/>
      <c r="AV39" s="285">
        <f t="shared" si="33"/>
        <v>95</v>
      </c>
      <c r="AW39" s="296" t="str">
        <f t="shared" si="34"/>
        <v>A</v>
      </c>
      <c r="AX39" s="1220">
        <f t="shared" si="42"/>
        <v>95.01</v>
      </c>
      <c r="AY39" s="1221">
        <f t="shared" si="42"/>
        <v>95.02</v>
      </c>
      <c r="AZ39" s="1221">
        <f t="shared" si="42"/>
        <v>95.03</v>
      </c>
      <c r="BA39" s="1221" t="str">
        <f t="shared" si="42"/>
        <v/>
      </c>
      <c r="BB39" s="1221" t="str">
        <f t="shared" si="42"/>
        <v/>
      </c>
      <c r="BC39" s="1221" t="str">
        <f t="shared" si="42"/>
        <v/>
      </c>
      <c r="BD39" s="1221" t="str">
        <f t="shared" si="42"/>
        <v/>
      </c>
      <c r="BE39" s="1222" t="str">
        <f t="shared" si="42"/>
        <v/>
      </c>
      <c r="BF39" s="1221" t="str">
        <f t="shared" si="42"/>
        <v/>
      </c>
      <c r="BG39" s="1223" t="str">
        <f t="shared" si="42"/>
        <v/>
      </c>
      <c r="BH39" s="286">
        <f t="shared" si="35"/>
        <v>95.03</v>
      </c>
      <c r="BI39" s="286">
        <f t="shared" si="36"/>
        <v>95.01</v>
      </c>
      <c r="BJ39" s="287" t="str">
        <f t="shared" si="37"/>
        <v>sangat baik</v>
      </c>
      <c r="BK39" s="287" t="str">
        <f t="shared" si="37"/>
        <v>sangat baik</v>
      </c>
      <c r="BL39" s="286">
        <f t="shared" si="38"/>
        <v>3</v>
      </c>
      <c r="BM39" s="288">
        <f t="shared" si="39"/>
        <v>1</v>
      </c>
      <c r="BN39" s="289" t="str">
        <f t="shared" si="40"/>
        <v>Memiliki keterampilan sangat baik dalam Menyajikan proses dinamika hidrosfer menggunakan peta dan Menyajikan proses dinamika litosfer dengan menggunakan peta</v>
      </c>
      <c r="BO39" s="67"/>
    </row>
    <row r="40" spans="1:67" ht="33" customHeight="1">
      <c r="A40" s="67"/>
      <c r="B40" s="272">
        <f t="shared" si="43"/>
        <v>27</v>
      </c>
      <c r="C40" s="273">
        <f>IF(Data!F31="","",Data!F31)</f>
        <v>0</v>
      </c>
      <c r="D40" s="274" t="str">
        <f>IF(Data!H31="","",Data!H31)</f>
        <v>Nofianti Tainmeta</v>
      </c>
      <c r="E40" s="275" t="str">
        <f>IF(Data!I31="","",Data!I31)</f>
        <v>P</v>
      </c>
      <c r="F40" s="276">
        <v>85</v>
      </c>
      <c r="G40" s="277">
        <v>80</v>
      </c>
      <c r="H40" s="277">
        <v>86</v>
      </c>
      <c r="I40" s="277"/>
      <c r="J40" s="277"/>
      <c r="K40" s="277"/>
      <c r="L40" s="277"/>
      <c r="M40" s="280"/>
      <c r="N40" s="277"/>
      <c r="O40" s="278"/>
      <c r="P40" s="279">
        <f t="shared" si="24"/>
        <v>84</v>
      </c>
      <c r="Q40" s="277">
        <v>80</v>
      </c>
      <c r="R40" s="280">
        <v>86</v>
      </c>
      <c r="S40" s="281">
        <f t="shared" si="25"/>
        <v>84</v>
      </c>
      <c r="T40" s="295" t="str">
        <f t="shared" si="26"/>
        <v>C</v>
      </c>
      <c r="U40" s="1215">
        <f t="shared" si="41"/>
        <v>85.01</v>
      </c>
      <c r="V40" s="1216">
        <f t="shared" si="41"/>
        <v>80.02</v>
      </c>
      <c r="W40" s="1216">
        <f t="shared" si="41"/>
        <v>86.03</v>
      </c>
      <c r="X40" s="1216" t="str">
        <f t="shared" si="41"/>
        <v/>
      </c>
      <c r="Y40" s="1216" t="str">
        <f t="shared" si="41"/>
        <v/>
      </c>
      <c r="Z40" s="1216" t="str">
        <f t="shared" si="41"/>
        <v/>
      </c>
      <c r="AA40" s="1216" t="str">
        <f t="shared" si="41"/>
        <v/>
      </c>
      <c r="AB40" s="1217" t="str">
        <f t="shared" si="41"/>
        <v/>
      </c>
      <c r="AC40" s="1216" t="str">
        <f t="shared" si="41"/>
        <v/>
      </c>
      <c r="AD40" s="1218" t="str">
        <f t="shared" si="41"/>
        <v/>
      </c>
      <c r="AE40" s="1219">
        <f t="shared" si="27"/>
        <v>86.03</v>
      </c>
      <c r="AF40" s="282">
        <f t="shared" si="28"/>
        <v>80.02</v>
      </c>
      <c r="AG40" s="282" t="str">
        <f t="shared" si="29"/>
        <v>baik</v>
      </c>
      <c r="AH40" s="282" t="str">
        <f t="shared" si="29"/>
        <v>cukup</v>
      </c>
      <c r="AI40" s="282">
        <f t="shared" si="30"/>
        <v>3</v>
      </c>
      <c r="AJ40" s="283">
        <f t="shared" si="31"/>
        <v>2</v>
      </c>
      <c r="AK40" s="284" t="str">
        <f t="shared" si="32"/>
        <v>Memiliki kemampuan baik dalam Menganalisis dinamika hidrosfer dan dampaknya terhadap kehidupani, cukup kemampuan dalam Menganalisis dinamika atmosfer dan dampaknya terhadap kehidupan</v>
      </c>
      <c r="AL40" s="276">
        <v>95</v>
      </c>
      <c r="AM40" s="277">
        <v>95</v>
      </c>
      <c r="AN40" s="277">
        <v>95</v>
      </c>
      <c r="AO40" s="277"/>
      <c r="AP40" s="277"/>
      <c r="AQ40" s="277"/>
      <c r="AR40" s="277"/>
      <c r="AS40" s="280"/>
      <c r="AT40" s="277"/>
      <c r="AU40" s="278"/>
      <c r="AV40" s="285">
        <f t="shared" si="33"/>
        <v>95</v>
      </c>
      <c r="AW40" s="296" t="str">
        <f t="shared" si="34"/>
        <v>A</v>
      </c>
      <c r="AX40" s="1220">
        <f t="shared" si="42"/>
        <v>95.01</v>
      </c>
      <c r="AY40" s="1221">
        <f t="shared" si="42"/>
        <v>95.02</v>
      </c>
      <c r="AZ40" s="1221">
        <f t="shared" si="42"/>
        <v>95.03</v>
      </c>
      <c r="BA40" s="1221" t="str">
        <f t="shared" si="42"/>
        <v/>
      </c>
      <c r="BB40" s="1221" t="str">
        <f t="shared" si="42"/>
        <v/>
      </c>
      <c r="BC40" s="1221" t="str">
        <f t="shared" si="42"/>
        <v/>
      </c>
      <c r="BD40" s="1221" t="str">
        <f t="shared" si="42"/>
        <v/>
      </c>
      <c r="BE40" s="1222" t="str">
        <f t="shared" si="42"/>
        <v/>
      </c>
      <c r="BF40" s="1221" t="str">
        <f t="shared" si="42"/>
        <v/>
      </c>
      <c r="BG40" s="1223" t="str">
        <f t="shared" si="42"/>
        <v/>
      </c>
      <c r="BH40" s="286">
        <f t="shared" si="35"/>
        <v>95.03</v>
      </c>
      <c r="BI40" s="286">
        <f t="shared" si="36"/>
        <v>95.01</v>
      </c>
      <c r="BJ40" s="287" t="str">
        <f t="shared" si="37"/>
        <v>sangat baik</v>
      </c>
      <c r="BK40" s="287" t="str">
        <f t="shared" si="37"/>
        <v>sangat baik</v>
      </c>
      <c r="BL40" s="286">
        <f t="shared" si="38"/>
        <v>3</v>
      </c>
      <c r="BM40" s="288">
        <f t="shared" si="39"/>
        <v>1</v>
      </c>
      <c r="BN40" s="289" t="str">
        <f t="shared" si="40"/>
        <v>Memiliki keterampilan sangat baik dalam Menyajikan proses dinamika hidrosfer menggunakan peta dan Menyajikan proses dinamika litosfer dengan menggunakan peta</v>
      </c>
      <c r="BO40" s="67"/>
    </row>
    <row r="41" spans="1:67" ht="33" customHeight="1">
      <c r="A41" s="67"/>
      <c r="B41" s="272">
        <f t="shared" si="43"/>
        <v>28</v>
      </c>
      <c r="C41" s="273">
        <f>IF(Data!F32="","",Data!F32)</f>
        <v>0</v>
      </c>
      <c r="D41" s="274" t="str">
        <f>IF(Data!H32="","",Data!H32)</f>
        <v>Ofni Antrikus Banun</v>
      </c>
      <c r="E41" s="275" t="str">
        <f>IF(Data!I32="","",Data!I32)</f>
        <v>L</v>
      </c>
      <c r="F41" s="276">
        <v>88</v>
      </c>
      <c r="G41" s="277">
        <v>87</v>
      </c>
      <c r="H41" s="277">
        <v>86</v>
      </c>
      <c r="I41" s="277"/>
      <c r="J41" s="277"/>
      <c r="K41" s="277"/>
      <c r="L41" s="277"/>
      <c r="M41" s="280"/>
      <c r="N41" s="277"/>
      <c r="O41" s="278"/>
      <c r="P41" s="279">
        <f t="shared" si="24"/>
        <v>87</v>
      </c>
      <c r="Q41" s="277">
        <v>80</v>
      </c>
      <c r="R41" s="280">
        <v>87</v>
      </c>
      <c r="S41" s="281">
        <f t="shared" si="25"/>
        <v>85</v>
      </c>
      <c r="T41" s="295" t="str">
        <f t="shared" si="26"/>
        <v>B</v>
      </c>
      <c r="U41" s="1215">
        <f t="shared" si="41"/>
        <v>88.01</v>
      </c>
      <c r="V41" s="1216">
        <f t="shared" si="41"/>
        <v>87.02</v>
      </c>
      <c r="W41" s="1216">
        <f t="shared" si="41"/>
        <v>86.03</v>
      </c>
      <c r="X41" s="1216" t="str">
        <f t="shared" si="41"/>
        <v/>
      </c>
      <c r="Y41" s="1216" t="str">
        <f t="shared" si="41"/>
        <v/>
      </c>
      <c r="Z41" s="1216" t="str">
        <f t="shared" si="41"/>
        <v/>
      </c>
      <c r="AA41" s="1216" t="str">
        <f t="shared" si="41"/>
        <v/>
      </c>
      <c r="AB41" s="1217" t="str">
        <f t="shared" si="41"/>
        <v/>
      </c>
      <c r="AC41" s="1216" t="str">
        <f t="shared" si="41"/>
        <v/>
      </c>
      <c r="AD41" s="1218" t="str">
        <f t="shared" si="41"/>
        <v/>
      </c>
      <c r="AE41" s="1219">
        <f t="shared" si="27"/>
        <v>88.01</v>
      </c>
      <c r="AF41" s="282">
        <f t="shared" si="28"/>
        <v>86.03</v>
      </c>
      <c r="AG41" s="282" t="str">
        <f t="shared" si="29"/>
        <v>baik</v>
      </c>
      <c r="AH41" s="282" t="str">
        <f t="shared" si="29"/>
        <v>baik</v>
      </c>
      <c r="AI41" s="282">
        <f t="shared" si="30"/>
        <v>1</v>
      </c>
      <c r="AJ41" s="283">
        <f t="shared" si="31"/>
        <v>3</v>
      </c>
      <c r="AK41" s="284" t="str">
        <f t="shared" si="32"/>
        <v>Memiliki kemampuan baik dalam Menganalisis dinamika litosfer dan dampaknya terhadap kehidupan dan Menganalisis dinamika hidrosfer dan dampaknya terhadap kehidupani</v>
      </c>
      <c r="AL41" s="276">
        <v>95</v>
      </c>
      <c r="AM41" s="277">
        <v>95</v>
      </c>
      <c r="AN41" s="277">
        <v>95</v>
      </c>
      <c r="AO41" s="277"/>
      <c r="AP41" s="277"/>
      <c r="AQ41" s="277"/>
      <c r="AR41" s="277"/>
      <c r="AS41" s="280"/>
      <c r="AT41" s="277"/>
      <c r="AU41" s="278"/>
      <c r="AV41" s="285">
        <f t="shared" si="33"/>
        <v>95</v>
      </c>
      <c r="AW41" s="296" t="str">
        <f t="shared" si="34"/>
        <v>A</v>
      </c>
      <c r="AX41" s="1220">
        <f t="shared" si="42"/>
        <v>95.01</v>
      </c>
      <c r="AY41" s="1221">
        <f t="shared" si="42"/>
        <v>95.02</v>
      </c>
      <c r="AZ41" s="1221">
        <f t="shared" si="42"/>
        <v>95.03</v>
      </c>
      <c r="BA41" s="1221" t="str">
        <f t="shared" si="42"/>
        <v/>
      </c>
      <c r="BB41" s="1221" t="str">
        <f t="shared" si="42"/>
        <v/>
      </c>
      <c r="BC41" s="1221" t="str">
        <f t="shared" si="42"/>
        <v/>
      </c>
      <c r="BD41" s="1221" t="str">
        <f t="shared" si="42"/>
        <v/>
      </c>
      <c r="BE41" s="1222" t="str">
        <f t="shared" si="42"/>
        <v/>
      </c>
      <c r="BF41" s="1221" t="str">
        <f t="shared" si="42"/>
        <v/>
      </c>
      <c r="BG41" s="1223" t="str">
        <f t="shared" si="42"/>
        <v/>
      </c>
      <c r="BH41" s="286">
        <f t="shared" si="35"/>
        <v>95.03</v>
      </c>
      <c r="BI41" s="286">
        <f t="shared" si="36"/>
        <v>95.01</v>
      </c>
      <c r="BJ41" s="287" t="str">
        <f t="shared" si="37"/>
        <v>sangat baik</v>
      </c>
      <c r="BK41" s="287" t="str">
        <f t="shared" si="37"/>
        <v>sangat baik</v>
      </c>
      <c r="BL41" s="286">
        <f t="shared" si="38"/>
        <v>3</v>
      </c>
      <c r="BM41" s="288">
        <f t="shared" si="39"/>
        <v>1</v>
      </c>
      <c r="BN41" s="289" t="str">
        <f t="shared" si="40"/>
        <v>Memiliki keterampilan sangat baik dalam Menyajikan proses dinamika hidrosfer menggunakan peta dan Menyajikan proses dinamika litosfer dengan menggunakan peta</v>
      </c>
      <c r="BO41" s="67"/>
    </row>
    <row r="42" spans="1:67" ht="33" customHeight="1">
      <c r="A42" s="67"/>
      <c r="B42" s="272">
        <f t="shared" si="43"/>
        <v>29</v>
      </c>
      <c r="C42" s="273">
        <f>IF(Data!F33="","",Data!F33)</f>
        <v>0</v>
      </c>
      <c r="D42" s="274" t="str">
        <f>IF(Data!H33="","",Data!H33)</f>
        <v>Roiyandi Saebesi</v>
      </c>
      <c r="E42" s="275" t="str">
        <f>IF(Data!I33="","",Data!I33)</f>
        <v>L</v>
      </c>
      <c r="F42" s="276">
        <v>80</v>
      </c>
      <c r="G42" s="277">
        <v>85</v>
      </c>
      <c r="H42" s="277">
        <v>86</v>
      </c>
      <c r="I42" s="277"/>
      <c r="J42" s="277"/>
      <c r="K42" s="277"/>
      <c r="L42" s="277"/>
      <c r="M42" s="280"/>
      <c r="N42" s="277"/>
      <c r="O42" s="278"/>
      <c r="P42" s="279">
        <f t="shared" si="24"/>
        <v>84</v>
      </c>
      <c r="Q42" s="277">
        <v>80</v>
      </c>
      <c r="R42" s="280">
        <v>84</v>
      </c>
      <c r="S42" s="281">
        <f t="shared" si="25"/>
        <v>83</v>
      </c>
      <c r="T42" s="295" t="str">
        <f t="shared" si="26"/>
        <v>C</v>
      </c>
      <c r="U42" s="1215">
        <f t="shared" si="41"/>
        <v>80.010000000000005</v>
      </c>
      <c r="V42" s="1216">
        <f t="shared" si="41"/>
        <v>85.02</v>
      </c>
      <c r="W42" s="1216">
        <f t="shared" si="41"/>
        <v>86.03</v>
      </c>
      <c r="X42" s="1216" t="str">
        <f t="shared" si="41"/>
        <v/>
      </c>
      <c r="Y42" s="1216" t="str">
        <f t="shared" si="41"/>
        <v/>
      </c>
      <c r="Z42" s="1216" t="str">
        <f t="shared" si="41"/>
        <v/>
      </c>
      <c r="AA42" s="1216" t="str">
        <f t="shared" si="41"/>
        <v/>
      </c>
      <c r="AB42" s="1217" t="str">
        <f t="shared" si="41"/>
        <v/>
      </c>
      <c r="AC42" s="1216" t="str">
        <f t="shared" si="41"/>
        <v/>
      </c>
      <c r="AD42" s="1218" t="str">
        <f t="shared" si="41"/>
        <v/>
      </c>
      <c r="AE42" s="1219">
        <f t="shared" si="27"/>
        <v>86.03</v>
      </c>
      <c r="AF42" s="282">
        <f t="shared" si="28"/>
        <v>80.010000000000005</v>
      </c>
      <c r="AG42" s="282" t="str">
        <f t="shared" si="29"/>
        <v>baik</v>
      </c>
      <c r="AH42" s="282" t="str">
        <f t="shared" si="29"/>
        <v>cukup</v>
      </c>
      <c r="AI42" s="282">
        <f t="shared" si="30"/>
        <v>3</v>
      </c>
      <c r="AJ42" s="283">
        <f t="shared" si="31"/>
        <v>1</v>
      </c>
      <c r="AK42" s="284" t="str">
        <f t="shared" si="32"/>
        <v>Memiliki kemampuan baik dalam Menganalisis dinamika hidrosfer dan dampaknya terhadap kehidupani, cukup kemampuan dalam Menganalisis dinamika litosfer dan dampaknya terhadap kehidupan</v>
      </c>
      <c r="AL42" s="276">
        <v>95</v>
      </c>
      <c r="AM42" s="277">
        <v>95</v>
      </c>
      <c r="AN42" s="277">
        <v>95</v>
      </c>
      <c r="AO42" s="277"/>
      <c r="AP42" s="277"/>
      <c r="AQ42" s="277"/>
      <c r="AR42" s="277"/>
      <c r="AS42" s="280"/>
      <c r="AT42" s="277"/>
      <c r="AU42" s="278"/>
      <c r="AV42" s="285">
        <f t="shared" si="33"/>
        <v>95</v>
      </c>
      <c r="AW42" s="296" t="str">
        <f t="shared" si="34"/>
        <v>A</v>
      </c>
      <c r="AX42" s="1220">
        <f t="shared" si="42"/>
        <v>95.01</v>
      </c>
      <c r="AY42" s="1221">
        <f t="shared" si="42"/>
        <v>95.02</v>
      </c>
      <c r="AZ42" s="1221">
        <f t="shared" si="42"/>
        <v>95.03</v>
      </c>
      <c r="BA42" s="1221" t="str">
        <f t="shared" si="42"/>
        <v/>
      </c>
      <c r="BB42" s="1221" t="str">
        <f t="shared" si="42"/>
        <v/>
      </c>
      <c r="BC42" s="1221" t="str">
        <f t="shared" si="42"/>
        <v/>
      </c>
      <c r="BD42" s="1221" t="str">
        <f t="shared" si="42"/>
        <v/>
      </c>
      <c r="BE42" s="1222" t="str">
        <f t="shared" si="42"/>
        <v/>
      </c>
      <c r="BF42" s="1221" t="str">
        <f t="shared" si="42"/>
        <v/>
      </c>
      <c r="BG42" s="1223" t="str">
        <f t="shared" si="42"/>
        <v/>
      </c>
      <c r="BH42" s="286">
        <f t="shared" si="35"/>
        <v>95.03</v>
      </c>
      <c r="BI42" s="286">
        <f t="shared" si="36"/>
        <v>95.01</v>
      </c>
      <c r="BJ42" s="287" t="str">
        <f t="shared" si="37"/>
        <v>sangat baik</v>
      </c>
      <c r="BK42" s="287" t="str">
        <f t="shared" si="37"/>
        <v>sangat baik</v>
      </c>
      <c r="BL42" s="286">
        <f t="shared" si="38"/>
        <v>3</v>
      </c>
      <c r="BM42" s="288">
        <f t="shared" si="39"/>
        <v>1</v>
      </c>
      <c r="BN42" s="289" t="str">
        <f t="shared" si="40"/>
        <v>Memiliki keterampilan sangat baik dalam Menyajikan proses dinamika hidrosfer menggunakan peta dan Menyajikan proses dinamika litosfer dengan menggunakan peta</v>
      </c>
      <c r="BO42" s="67"/>
    </row>
    <row r="43" spans="1:67" ht="33" customHeight="1">
      <c r="A43" s="67"/>
      <c r="B43" s="272">
        <f t="shared" si="43"/>
        <v>30</v>
      </c>
      <c r="C43" s="273">
        <f>IF(Data!F34="","",Data!F34)</f>
        <v>0</v>
      </c>
      <c r="D43" s="274" t="str">
        <f>IF(Data!H34="","",Data!H34)</f>
        <v>Roni Yohanis Bira</v>
      </c>
      <c r="E43" s="275" t="str">
        <f>IF(Data!I34="","",Data!I34)</f>
        <v>L</v>
      </c>
      <c r="F43" s="276">
        <v>85</v>
      </c>
      <c r="G43" s="277">
        <v>86</v>
      </c>
      <c r="H43" s="277">
        <v>86</v>
      </c>
      <c r="I43" s="277"/>
      <c r="J43" s="277"/>
      <c r="K43" s="277"/>
      <c r="L43" s="277"/>
      <c r="M43" s="280"/>
      <c r="N43" s="277"/>
      <c r="O43" s="278"/>
      <c r="P43" s="279">
        <f t="shared" si="24"/>
        <v>86</v>
      </c>
      <c r="Q43" s="277">
        <v>85</v>
      </c>
      <c r="R43" s="280">
        <v>83</v>
      </c>
      <c r="S43" s="281">
        <f t="shared" si="25"/>
        <v>85</v>
      </c>
      <c r="T43" s="295" t="str">
        <f t="shared" si="26"/>
        <v>B</v>
      </c>
      <c r="U43" s="1215">
        <f t="shared" si="41"/>
        <v>85.01</v>
      </c>
      <c r="V43" s="1216">
        <f t="shared" si="41"/>
        <v>86.02</v>
      </c>
      <c r="W43" s="1216">
        <f t="shared" si="41"/>
        <v>86.03</v>
      </c>
      <c r="X43" s="1216" t="str">
        <f t="shared" si="41"/>
        <v/>
      </c>
      <c r="Y43" s="1216" t="str">
        <f t="shared" si="41"/>
        <v/>
      </c>
      <c r="Z43" s="1216" t="str">
        <f t="shared" si="41"/>
        <v/>
      </c>
      <c r="AA43" s="1216" t="str">
        <f t="shared" si="41"/>
        <v/>
      </c>
      <c r="AB43" s="1217" t="str">
        <f t="shared" si="41"/>
        <v/>
      </c>
      <c r="AC43" s="1216" t="str">
        <f t="shared" si="41"/>
        <v/>
      </c>
      <c r="AD43" s="1218" t="str">
        <f t="shared" si="41"/>
        <v/>
      </c>
      <c r="AE43" s="1219">
        <f t="shared" si="27"/>
        <v>86.03</v>
      </c>
      <c r="AF43" s="282">
        <f t="shared" si="28"/>
        <v>85.01</v>
      </c>
      <c r="AG43" s="282" t="str">
        <f t="shared" si="29"/>
        <v>baik</v>
      </c>
      <c r="AH43" s="282" t="str">
        <f t="shared" si="29"/>
        <v>baik</v>
      </c>
      <c r="AI43" s="282">
        <f t="shared" si="30"/>
        <v>3</v>
      </c>
      <c r="AJ43" s="283">
        <f t="shared" si="31"/>
        <v>1</v>
      </c>
      <c r="AK43" s="284" t="str">
        <f t="shared" si="32"/>
        <v>Memiliki kemampuan baik dalam Menganalisis dinamika hidrosfer dan dampaknya terhadap kehidupani dan Menganalisis dinamika litosfer dan dampaknya terhadap kehidupan</v>
      </c>
      <c r="AL43" s="276">
        <v>95</v>
      </c>
      <c r="AM43" s="277">
        <v>95</v>
      </c>
      <c r="AN43" s="277">
        <v>95</v>
      </c>
      <c r="AO43" s="277"/>
      <c r="AP43" s="277"/>
      <c r="AQ43" s="277"/>
      <c r="AR43" s="277"/>
      <c r="AS43" s="280"/>
      <c r="AT43" s="277"/>
      <c r="AU43" s="278"/>
      <c r="AV43" s="285">
        <f t="shared" si="33"/>
        <v>95</v>
      </c>
      <c r="AW43" s="296" t="str">
        <f t="shared" si="34"/>
        <v>A</v>
      </c>
      <c r="AX43" s="1220">
        <f t="shared" si="42"/>
        <v>95.01</v>
      </c>
      <c r="AY43" s="1221">
        <f t="shared" si="42"/>
        <v>95.02</v>
      </c>
      <c r="AZ43" s="1221">
        <f t="shared" si="42"/>
        <v>95.03</v>
      </c>
      <c r="BA43" s="1221" t="str">
        <f t="shared" si="42"/>
        <v/>
      </c>
      <c r="BB43" s="1221" t="str">
        <f t="shared" si="42"/>
        <v/>
      </c>
      <c r="BC43" s="1221" t="str">
        <f t="shared" si="42"/>
        <v/>
      </c>
      <c r="BD43" s="1221" t="str">
        <f t="shared" si="42"/>
        <v/>
      </c>
      <c r="BE43" s="1222" t="str">
        <f t="shared" si="42"/>
        <v/>
      </c>
      <c r="BF43" s="1221" t="str">
        <f t="shared" si="42"/>
        <v/>
      </c>
      <c r="BG43" s="1223" t="str">
        <f t="shared" si="42"/>
        <v/>
      </c>
      <c r="BH43" s="286">
        <f t="shared" si="35"/>
        <v>95.03</v>
      </c>
      <c r="BI43" s="286">
        <f t="shared" si="36"/>
        <v>95.01</v>
      </c>
      <c r="BJ43" s="287" t="str">
        <f t="shared" si="37"/>
        <v>sangat baik</v>
      </c>
      <c r="BK43" s="287" t="str">
        <f t="shared" si="37"/>
        <v>sangat baik</v>
      </c>
      <c r="BL43" s="286">
        <f t="shared" si="38"/>
        <v>3</v>
      </c>
      <c r="BM43" s="288">
        <f t="shared" si="39"/>
        <v>1</v>
      </c>
      <c r="BN43" s="289" t="str">
        <f t="shared" si="40"/>
        <v>Memiliki keterampilan sangat baik dalam Menyajikan proses dinamika hidrosfer menggunakan peta dan Menyajikan proses dinamika litosfer dengan menggunakan peta</v>
      </c>
      <c r="BO43" s="67"/>
    </row>
    <row r="44" spans="1:67" ht="33" customHeight="1">
      <c r="A44" s="67"/>
      <c r="B44" s="272">
        <f t="shared" si="43"/>
        <v>31</v>
      </c>
      <c r="C44" s="273">
        <f>IF(Data!F35="","",Data!F35)</f>
        <v>0</v>
      </c>
      <c r="D44" s="274" t="str">
        <f>IF(Data!H35="","",Data!H35)</f>
        <v>Sinta Norliana Funan</v>
      </c>
      <c r="E44" s="275" t="str">
        <f>IF(Data!I35="","",Data!I35)</f>
        <v>P</v>
      </c>
      <c r="F44" s="276">
        <v>88</v>
      </c>
      <c r="G44" s="277">
        <v>87</v>
      </c>
      <c r="H44" s="277">
        <v>86</v>
      </c>
      <c r="I44" s="277"/>
      <c r="J44" s="277"/>
      <c r="K44" s="277"/>
      <c r="L44" s="277"/>
      <c r="M44" s="280"/>
      <c r="N44" s="277"/>
      <c r="O44" s="278"/>
      <c r="P44" s="279">
        <f t="shared" si="24"/>
        <v>87</v>
      </c>
      <c r="Q44" s="277">
        <v>80</v>
      </c>
      <c r="R44" s="280">
        <v>87</v>
      </c>
      <c r="S44" s="281">
        <f t="shared" si="25"/>
        <v>85</v>
      </c>
      <c r="T44" s="295" t="str">
        <f t="shared" si="26"/>
        <v>B</v>
      </c>
      <c r="U44" s="1215">
        <f t="shared" si="41"/>
        <v>88.01</v>
      </c>
      <c r="V44" s="1216">
        <f t="shared" si="41"/>
        <v>87.02</v>
      </c>
      <c r="W44" s="1216">
        <f t="shared" si="41"/>
        <v>86.03</v>
      </c>
      <c r="X44" s="1216" t="str">
        <f t="shared" si="41"/>
        <v/>
      </c>
      <c r="Y44" s="1216" t="str">
        <f t="shared" si="41"/>
        <v/>
      </c>
      <c r="Z44" s="1216" t="str">
        <f t="shared" si="41"/>
        <v/>
      </c>
      <c r="AA44" s="1216" t="str">
        <f t="shared" si="41"/>
        <v/>
      </c>
      <c r="AB44" s="1217" t="str">
        <f t="shared" si="41"/>
        <v/>
      </c>
      <c r="AC44" s="1216" t="str">
        <f t="shared" si="41"/>
        <v/>
      </c>
      <c r="AD44" s="1218" t="str">
        <f t="shared" si="41"/>
        <v/>
      </c>
      <c r="AE44" s="1219">
        <f t="shared" si="27"/>
        <v>88.01</v>
      </c>
      <c r="AF44" s="282">
        <f t="shared" si="28"/>
        <v>86.03</v>
      </c>
      <c r="AG44" s="282" t="str">
        <f t="shared" si="29"/>
        <v>baik</v>
      </c>
      <c r="AH44" s="282" t="str">
        <f t="shared" si="29"/>
        <v>baik</v>
      </c>
      <c r="AI44" s="282">
        <f t="shared" si="30"/>
        <v>1</v>
      </c>
      <c r="AJ44" s="283">
        <f t="shared" si="31"/>
        <v>3</v>
      </c>
      <c r="AK44" s="284" t="str">
        <f t="shared" si="32"/>
        <v>Memiliki kemampuan baik dalam Menganalisis dinamika litosfer dan dampaknya terhadap kehidupan dan Menganalisis dinamika hidrosfer dan dampaknya terhadap kehidupani</v>
      </c>
      <c r="AL44" s="276">
        <v>95</v>
      </c>
      <c r="AM44" s="277">
        <v>95</v>
      </c>
      <c r="AN44" s="277">
        <v>95</v>
      </c>
      <c r="AO44" s="277"/>
      <c r="AP44" s="277"/>
      <c r="AQ44" s="277"/>
      <c r="AR44" s="277"/>
      <c r="AS44" s="280"/>
      <c r="AT44" s="277"/>
      <c r="AU44" s="278"/>
      <c r="AV44" s="285">
        <f t="shared" si="33"/>
        <v>95</v>
      </c>
      <c r="AW44" s="296" t="str">
        <f t="shared" si="34"/>
        <v>A</v>
      </c>
      <c r="AX44" s="1220">
        <f t="shared" si="42"/>
        <v>95.01</v>
      </c>
      <c r="AY44" s="1221">
        <f t="shared" si="42"/>
        <v>95.02</v>
      </c>
      <c r="AZ44" s="1221">
        <f t="shared" si="42"/>
        <v>95.03</v>
      </c>
      <c r="BA44" s="1221" t="str">
        <f t="shared" si="42"/>
        <v/>
      </c>
      <c r="BB44" s="1221" t="str">
        <f t="shared" si="42"/>
        <v/>
      </c>
      <c r="BC44" s="1221" t="str">
        <f t="shared" si="42"/>
        <v/>
      </c>
      <c r="BD44" s="1221" t="str">
        <f t="shared" si="42"/>
        <v/>
      </c>
      <c r="BE44" s="1222" t="str">
        <f t="shared" si="42"/>
        <v/>
      </c>
      <c r="BF44" s="1221" t="str">
        <f t="shared" si="42"/>
        <v/>
      </c>
      <c r="BG44" s="1223" t="str">
        <f t="shared" si="42"/>
        <v/>
      </c>
      <c r="BH44" s="286">
        <f t="shared" si="35"/>
        <v>95.03</v>
      </c>
      <c r="BI44" s="286">
        <f t="shared" si="36"/>
        <v>95.01</v>
      </c>
      <c r="BJ44" s="287" t="str">
        <f t="shared" si="37"/>
        <v>sangat baik</v>
      </c>
      <c r="BK44" s="287" t="str">
        <f t="shared" si="37"/>
        <v>sangat baik</v>
      </c>
      <c r="BL44" s="286">
        <f t="shared" si="38"/>
        <v>3</v>
      </c>
      <c r="BM44" s="288">
        <f t="shared" si="39"/>
        <v>1</v>
      </c>
      <c r="BN44" s="289" t="str">
        <f t="shared" si="40"/>
        <v>Memiliki keterampilan sangat baik dalam Menyajikan proses dinamika hidrosfer menggunakan peta dan Menyajikan proses dinamika litosfer dengan menggunakan peta</v>
      </c>
      <c r="BO44" s="67"/>
    </row>
    <row r="45" spans="1:67" ht="33" customHeight="1">
      <c r="A45" s="67"/>
      <c r="B45" s="272">
        <f t="shared" si="43"/>
        <v>32</v>
      </c>
      <c r="C45" s="273">
        <f>IF(Data!F36="","",Data!F36)</f>
        <v>0</v>
      </c>
      <c r="D45" s="274" t="str">
        <f>IF(Data!H36="","",Data!H36)</f>
        <v>Stevi Otnial Loemnanu</v>
      </c>
      <c r="E45" s="275" t="str">
        <f>IF(Data!I36="","",Data!I36)</f>
        <v>L</v>
      </c>
      <c r="F45" s="276">
        <v>90</v>
      </c>
      <c r="G45" s="277">
        <v>89</v>
      </c>
      <c r="H45" s="277">
        <v>86</v>
      </c>
      <c r="I45" s="277"/>
      <c r="J45" s="277"/>
      <c r="K45" s="277"/>
      <c r="L45" s="277"/>
      <c r="M45" s="280"/>
      <c r="N45" s="277"/>
      <c r="O45" s="278"/>
      <c r="P45" s="279">
        <f t="shared" si="24"/>
        <v>88</v>
      </c>
      <c r="Q45" s="277">
        <v>80</v>
      </c>
      <c r="R45" s="280">
        <v>90</v>
      </c>
      <c r="S45" s="281">
        <f t="shared" si="25"/>
        <v>87</v>
      </c>
      <c r="T45" s="295" t="str">
        <f t="shared" si="26"/>
        <v>B</v>
      </c>
      <c r="U45" s="1215">
        <f t="shared" si="41"/>
        <v>90.01</v>
      </c>
      <c r="V45" s="1216">
        <f t="shared" si="41"/>
        <v>89.02</v>
      </c>
      <c r="W45" s="1216">
        <f t="shared" si="41"/>
        <v>86.03</v>
      </c>
      <c r="X45" s="1216" t="str">
        <f t="shared" si="41"/>
        <v/>
      </c>
      <c r="Y45" s="1216" t="str">
        <f t="shared" si="41"/>
        <v/>
      </c>
      <c r="Z45" s="1216" t="str">
        <f t="shared" si="41"/>
        <v/>
      </c>
      <c r="AA45" s="1216" t="str">
        <f t="shared" si="41"/>
        <v/>
      </c>
      <c r="AB45" s="1217" t="str">
        <f t="shared" si="41"/>
        <v/>
      </c>
      <c r="AC45" s="1216" t="str">
        <f t="shared" si="41"/>
        <v/>
      </c>
      <c r="AD45" s="1218" t="str">
        <f t="shared" si="41"/>
        <v/>
      </c>
      <c r="AE45" s="1219">
        <f t="shared" si="27"/>
        <v>90.01</v>
      </c>
      <c r="AF45" s="282">
        <f t="shared" si="28"/>
        <v>86.03</v>
      </c>
      <c r="AG45" s="282" t="str">
        <f t="shared" si="29"/>
        <v>baik</v>
      </c>
      <c r="AH45" s="282" t="str">
        <f t="shared" si="29"/>
        <v>baik</v>
      </c>
      <c r="AI45" s="282">
        <f t="shared" si="30"/>
        <v>1</v>
      </c>
      <c r="AJ45" s="283">
        <f t="shared" si="31"/>
        <v>3</v>
      </c>
      <c r="AK45" s="284" t="str">
        <f t="shared" si="32"/>
        <v>Memiliki kemampuan baik dalam Menganalisis dinamika litosfer dan dampaknya terhadap kehidupan dan Menganalisis dinamika hidrosfer dan dampaknya terhadap kehidupani</v>
      </c>
      <c r="AL45" s="276">
        <v>95</v>
      </c>
      <c r="AM45" s="277">
        <v>95</v>
      </c>
      <c r="AN45" s="277">
        <v>95</v>
      </c>
      <c r="AO45" s="277"/>
      <c r="AP45" s="277"/>
      <c r="AQ45" s="277"/>
      <c r="AR45" s="277"/>
      <c r="AS45" s="280"/>
      <c r="AT45" s="277"/>
      <c r="AU45" s="278"/>
      <c r="AV45" s="285">
        <f t="shared" si="33"/>
        <v>95</v>
      </c>
      <c r="AW45" s="296" t="str">
        <f t="shared" si="34"/>
        <v>A</v>
      </c>
      <c r="AX45" s="1220">
        <f t="shared" si="42"/>
        <v>95.01</v>
      </c>
      <c r="AY45" s="1221">
        <f t="shared" si="42"/>
        <v>95.02</v>
      </c>
      <c r="AZ45" s="1221">
        <f t="shared" si="42"/>
        <v>95.03</v>
      </c>
      <c r="BA45" s="1221" t="str">
        <f t="shared" si="42"/>
        <v/>
      </c>
      <c r="BB45" s="1221" t="str">
        <f t="shared" si="42"/>
        <v/>
      </c>
      <c r="BC45" s="1221" t="str">
        <f t="shared" si="42"/>
        <v/>
      </c>
      <c r="BD45" s="1221" t="str">
        <f t="shared" si="42"/>
        <v/>
      </c>
      <c r="BE45" s="1222" t="str">
        <f t="shared" si="42"/>
        <v/>
      </c>
      <c r="BF45" s="1221" t="str">
        <f t="shared" si="42"/>
        <v/>
      </c>
      <c r="BG45" s="1223" t="str">
        <f t="shared" si="42"/>
        <v/>
      </c>
      <c r="BH45" s="286">
        <f t="shared" si="35"/>
        <v>95.03</v>
      </c>
      <c r="BI45" s="286">
        <f t="shared" si="36"/>
        <v>95.01</v>
      </c>
      <c r="BJ45" s="287" t="str">
        <f t="shared" si="37"/>
        <v>sangat baik</v>
      </c>
      <c r="BK45" s="287" t="str">
        <f t="shared" si="37"/>
        <v>sangat baik</v>
      </c>
      <c r="BL45" s="286">
        <f t="shared" si="38"/>
        <v>3</v>
      </c>
      <c r="BM45" s="288">
        <f t="shared" si="39"/>
        <v>1</v>
      </c>
      <c r="BN45" s="289" t="str">
        <f t="shared" si="40"/>
        <v>Memiliki keterampilan sangat baik dalam Menyajikan proses dinamika hidrosfer menggunakan peta dan Menyajikan proses dinamika litosfer dengan menggunakan peta</v>
      </c>
      <c r="BO45" s="67"/>
    </row>
    <row r="46" spans="1:67" ht="33" customHeight="1">
      <c r="A46" s="67"/>
      <c r="B46" s="272">
        <f t="shared" si="43"/>
        <v>33</v>
      </c>
      <c r="C46" s="273">
        <f>IF(Data!F37="","",Data!F37)</f>
        <v>0</v>
      </c>
      <c r="D46" s="274" t="str">
        <f>IF(Data!H37="","",Data!H37)</f>
        <v>Venciani Sefrianti Sufnera</v>
      </c>
      <c r="E46" s="275" t="str">
        <f>IF(Data!I37="","",Data!I37)</f>
        <v>P</v>
      </c>
      <c r="F46" s="276">
        <v>90</v>
      </c>
      <c r="G46" s="277">
        <v>89</v>
      </c>
      <c r="H46" s="277">
        <v>86</v>
      </c>
      <c r="I46" s="277"/>
      <c r="J46" s="277"/>
      <c r="K46" s="277"/>
      <c r="L46" s="277"/>
      <c r="M46" s="280"/>
      <c r="N46" s="277"/>
      <c r="O46" s="278"/>
      <c r="P46" s="279">
        <f t="shared" si="24"/>
        <v>88</v>
      </c>
      <c r="Q46" s="277">
        <v>80</v>
      </c>
      <c r="R46" s="280">
        <v>88</v>
      </c>
      <c r="S46" s="281">
        <f t="shared" si="25"/>
        <v>86</v>
      </c>
      <c r="T46" s="295" t="str">
        <f t="shared" si="26"/>
        <v>B</v>
      </c>
      <c r="U46" s="1215">
        <f t="shared" si="41"/>
        <v>90.01</v>
      </c>
      <c r="V46" s="1216">
        <f t="shared" si="41"/>
        <v>89.02</v>
      </c>
      <c r="W46" s="1216">
        <f t="shared" si="41"/>
        <v>86.03</v>
      </c>
      <c r="X46" s="1216" t="str">
        <f t="shared" si="41"/>
        <v/>
      </c>
      <c r="Y46" s="1216" t="str">
        <f t="shared" si="41"/>
        <v/>
      </c>
      <c r="Z46" s="1216" t="str">
        <f t="shared" si="41"/>
        <v/>
      </c>
      <c r="AA46" s="1216" t="str">
        <f t="shared" si="41"/>
        <v/>
      </c>
      <c r="AB46" s="1217" t="str">
        <f t="shared" si="41"/>
        <v/>
      </c>
      <c r="AC46" s="1216" t="str">
        <f t="shared" si="41"/>
        <v/>
      </c>
      <c r="AD46" s="1218" t="str">
        <f t="shared" si="41"/>
        <v/>
      </c>
      <c r="AE46" s="1219">
        <f t="shared" si="27"/>
        <v>90.01</v>
      </c>
      <c r="AF46" s="282">
        <f t="shared" si="28"/>
        <v>86.03</v>
      </c>
      <c r="AG46" s="282" t="str">
        <f t="shared" si="29"/>
        <v>baik</v>
      </c>
      <c r="AH46" s="282" t="str">
        <f t="shared" si="29"/>
        <v>baik</v>
      </c>
      <c r="AI46" s="282">
        <f t="shared" si="30"/>
        <v>1</v>
      </c>
      <c r="AJ46" s="283">
        <f t="shared" si="31"/>
        <v>3</v>
      </c>
      <c r="AK46" s="284" t="str">
        <f t="shared" si="32"/>
        <v>Memiliki kemampuan baik dalam Menganalisis dinamika litosfer dan dampaknya terhadap kehidupan dan Menganalisis dinamika hidrosfer dan dampaknya terhadap kehidupani</v>
      </c>
      <c r="AL46" s="276">
        <v>95</v>
      </c>
      <c r="AM46" s="277">
        <v>95</v>
      </c>
      <c r="AN46" s="277">
        <v>95</v>
      </c>
      <c r="AO46" s="277"/>
      <c r="AP46" s="277"/>
      <c r="AQ46" s="277"/>
      <c r="AR46" s="277"/>
      <c r="AS46" s="280"/>
      <c r="AT46" s="277"/>
      <c r="AU46" s="278"/>
      <c r="AV46" s="285">
        <f t="shared" si="33"/>
        <v>95</v>
      </c>
      <c r="AW46" s="296" t="str">
        <f t="shared" si="34"/>
        <v>A</v>
      </c>
      <c r="AX46" s="1220">
        <f t="shared" si="42"/>
        <v>95.01</v>
      </c>
      <c r="AY46" s="1221">
        <f t="shared" si="42"/>
        <v>95.02</v>
      </c>
      <c r="AZ46" s="1221">
        <f t="shared" si="42"/>
        <v>95.03</v>
      </c>
      <c r="BA46" s="1221" t="str">
        <f t="shared" si="42"/>
        <v/>
      </c>
      <c r="BB46" s="1221" t="str">
        <f t="shared" si="42"/>
        <v/>
      </c>
      <c r="BC46" s="1221" t="str">
        <f t="shared" si="42"/>
        <v/>
      </c>
      <c r="BD46" s="1221" t="str">
        <f t="shared" si="42"/>
        <v/>
      </c>
      <c r="BE46" s="1222" t="str">
        <f t="shared" si="42"/>
        <v/>
      </c>
      <c r="BF46" s="1221" t="str">
        <f t="shared" si="42"/>
        <v/>
      </c>
      <c r="BG46" s="1223" t="str">
        <f t="shared" si="42"/>
        <v/>
      </c>
      <c r="BH46" s="286">
        <f t="shared" si="35"/>
        <v>95.03</v>
      </c>
      <c r="BI46" s="286">
        <f t="shared" si="36"/>
        <v>95.01</v>
      </c>
      <c r="BJ46" s="287" t="str">
        <f t="shared" si="37"/>
        <v>sangat baik</v>
      </c>
      <c r="BK46" s="287" t="str">
        <f t="shared" si="37"/>
        <v>sangat baik</v>
      </c>
      <c r="BL46" s="286">
        <f t="shared" si="38"/>
        <v>3</v>
      </c>
      <c r="BM46" s="288">
        <f t="shared" si="39"/>
        <v>1</v>
      </c>
      <c r="BN46" s="289" t="str">
        <f t="shared" si="40"/>
        <v>Memiliki keterampilan sangat baik dalam Menyajikan proses dinamika hidrosfer menggunakan peta dan Menyajikan proses dinamika litosfer dengan menggunakan peta</v>
      </c>
      <c r="BO46" s="67"/>
    </row>
    <row r="47" spans="1:67" ht="33" customHeight="1">
      <c r="A47" s="67"/>
      <c r="B47" s="272">
        <f t="shared" ref="B47:B63" si="44">IF(D47="","",B46+1)</f>
        <v>34</v>
      </c>
      <c r="C47" s="273">
        <f>IF(Data!F38="","",Data!F38)</f>
        <v>0</v>
      </c>
      <c r="D47" s="274" t="str">
        <f>IF(Data!H38="","",Data!H38)</f>
        <v>Yangres Nitti</v>
      </c>
      <c r="E47" s="275" t="str">
        <f>IF(Data!I38="","",Data!I38)</f>
        <v>L</v>
      </c>
      <c r="F47" s="276">
        <v>88</v>
      </c>
      <c r="G47" s="277">
        <v>87</v>
      </c>
      <c r="H47" s="277">
        <v>86</v>
      </c>
      <c r="I47" s="277"/>
      <c r="J47" s="277"/>
      <c r="K47" s="277"/>
      <c r="L47" s="277"/>
      <c r="M47" s="280"/>
      <c r="N47" s="277"/>
      <c r="O47" s="278"/>
      <c r="P47" s="279">
        <f t="shared" si="24"/>
        <v>87</v>
      </c>
      <c r="Q47" s="277">
        <v>80</v>
      </c>
      <c r="R47" s="280">
        <v>85</v>
      </c>
      <c r="S47" s="281">
        <f t="shared" si="25"/>
        <v>85</v>
      </c>
      <c r="T47" s="295" t="str">
        <f t="shared" si="26"/>
        <v>B</v>
      </c>
      <c r="U47" s="1215">
        <f t="shared" si="41"/>
        <v>88.01</v>
      </c>
      <c r="V47" s="1216">
        <f t="shared" si="41"/>
        <v>87.02</v>
      </c>
      <c r="W47" s="1216">
        <f t="shared" si="41"/>
        <v>86.03</v>
      </c>
      <c r="X47" s="1216" t="str">
        <f t="shared" si="41"/>
        <v/>
      </c>
      <c r="Y47" s="1216" t="str">
        <f t="shared" si="41"/>
        <v/>
      </c>
      <c r="Z47" s="1216" t="str">
        <f t="shared" si="41"/>
        <v/>
      </c>
      <c r="AA47" s="1216" t="str">
        <f t="shared" si="41"/>
        <v/>
      </c>
      <c r="AB47" s="1217" t="str">
        <f t="shared" si="41"/>
        <v/>
      </c>
      <c r="AC47" s="1216" t="str">
        <f t="shared" si="41"/>
        <v/>
      </c>
      <c r="AD47" s="1218" t="str">
        <f t="shared" si="41"/>
        <v/>
      </c>
      <c r="AE47" s="1219">
        <f t="shared" si="27"/>
        <v>88.01</v>
      </c>
      <c r="AF47" s="282">
        <f t="shared" si="28"/>
        <v>86.03</v>
      </c>
      <c r="AG47" s="282" t="str">
        <f t="shared" si="29"/>
        <v>baik</v>
      </c>
      <c r="AH47" s="282" t="str">
        <f t="shared" si="29"/>
        <v>baik</v>
      </c>
      <c r="AI47" s="282">
        <f t="shared" si="30"/>
        <v>1</v>
      </c>
      <c r="AJ47" s="283">
        <f t="shared" si="31"/>
        <v>3</v>
      </c>
      <c r="AK47" s="284" t="str">
        <f t="shared" si="32"/>
        <v>Memiliki kemampuan baik dalam Menganalisis dinamika litosfer dan dampaknya terhadap kehidupan dan Menganalisis dinamika hidrosfer dan dampaknya terhadap kehidupani</v>
      </c>
      <c r="AL47" s="276">
        <v>95</v>
      </c>
      <c r="AM47" s="277">
        <v>95</v>
      </c>
      <c r="AN47" s="277">
        <v>95</v>
      </c>
      <c r="AO47" s="277"/>
      <c r="AP47" s="277"/>
      <c r="AQ47" s="277"/>
      <c r="AR47" s="277"/>
      <c r="AS47" s="280"/>
      <c r="AT47" s="277"/>
      <c r="AU47" s="278"/>
      <c r="AV47" s="285">
        <f t="shared" si="33"/>
        <v>95</v>
      </c>
      <c r="AW47" s="296" t="str">
        <f t="shared" si="34"/>
        <v>A</v>
      </c>
      <c r="AX47" s="1220">
        <f t="shared" si="42"/>
        <v>95.01</v>
      </c>
      <c r="AY47" s="1221">
        <f t="shared" si="42"/>
        <v>95.02</v>
      </c>
      <c r="AZ47" s="1221">
        <f t="shared" si="42"/>
        <v>95.03</v>
      </c>
      <c r="BA47" s="1221" t="str">
        <f t="shared" si="42"/>
        <v/>
      </c>
      <c r="BB47" s="1221" t="str">
        <f t="shared" si="42"/>
        <v/>
      </c>
      <c r="BC47" s="1221" t="str">
        <f t="shared" si="42"/>
        <v/>
      </c>
      <c r="BD47" s="1221" t="str">
        <f t="shared" si="42"/>
        <v/>
      </c>
      <c r="BE47" s="1222" t="str">
        <f t="shared" si="42"/>
        <v/>
      </c>
      <c r="BF47" s="1221" t="str">
        <f t="shared" si="42"/>
        <v/>
      </c>
      <c r="BG47" s="1223" t="str">
        <f t="shared" si="42"/>
        <v/>
      </c>
      <c r="BH47" s="286">
        <f t="shared" si="35"/>
        <v>95.03</v>
      </c>
      <c r="BI47" s="286">
        <f t="shared" si="36"/>
        <v>95.01</v>
      </c>
      <c r="BJ47" s="287" t="str">
        <f t="shared" si="37"/>
        <v>sangat baik</v>
      </c>
      <c r="BK47" s="287" t="str">
        <f t="shared" si="37"/>
        <v>sangat baik</v>
      </c>
      <c r="BL47" s="286">
        <f t="shared" si="38"/>
        <v>3</v>
      </c>
      <c r="BM47" s="288">
        <f t="shared" si="39"/>
        <v>1</v>
      </c>
      <c r="BN47" s="289" t="str">
        <f t="shared" si="40"/>
        <v>Memiliki keterampilan sangat baik dalam Menyajikan proses dinamika hidrosfer menggunakan peta dan Menyajikan proses dinamika litosfer dengan menggunakan peta</v>
      </c>
      <c r="BO47" s="67"/>
    </row>
    <row r="48" spans="1:67" ht="33" customHeight="1">
      <c r="A48" s="67"/>
      <c r="B48" s="272">
        <f t="shared" si="44"/>
        <v>35</v>
      </c>
      <c r="C48" s="273">
        <f>IF(Data!F39="","",Data!F39)</f>
        <v>0</v>
      </c>
      <c r="D48" s="274" t="str">
        <f>IF(Data!H39="","",Data!H39)</f>
        <v>Yefta Trianus Mau</v>
      </c>
      <c r="E48" s="275" t="str">
        <f>IF(Data!I39="","",Data!I39)</f>
        <v>L</v>
      </c>
      <c r="F48" s="276">
        <v>90</v>
      </c>
      <c r="G48" s="277">
        <v>89</v>
      </c>
      <c r="H48" s="277">
        <v>86</v>
      </c>
      <c r="I48" s="277"/>
      <c r="J48" s="277"/>
      <c r="K48" s="277"/>
      <c r="L48" s="277"/>
      <c r="M48" s="280"/>
      <c r="N48" s="277"/>
      <c r="O48" s="278"/>
      <c r="P48" s="279">
        <f t="shared" si="24"/>
        <v>88</v>
      </c>
      <c r="Q48" s="277">
        <v>80</v>
      </c>
      <c r="R48" s="280">
        <v>88</v>
      </c>
      <c r="S48" s="281">
        <f t="shared" si="25"/>
        <v>86</v>
      </c>
      <c r="T48" s="295" t="str">
        <f t="shared" si="26"/>
        <v>B</v>
      </c>
      <c r="U48" s="1215">
        <f t="shared" si="41"/>
        <v>90.01</v>
      </c>
      <c r="V48" s="1216">
        <f t="shared" si="41"/>
        <v>89.02</v>
      </c>
      <c r="W48" s="1216">
        <f t="shared" si="41"/>
        <v>86.03</v>
      </c>
      <c r="X48" s="1216" t="str">
        <f t="shared" si="41"/>
        <v/>
      </c>
      <c r="Y48" s="1216" t="str">
        <f t="shared" si="41"/>
        <v/>
      </c>
      <c r="Z48" s="1216" t="str">
        <f t="shared" si="41"/>
        <v/>
      </c>
      <c r="AA48" s="1216" t="str">
        <f t="shared" si="41"/>
        <v/>
      </c>
      <c r="AB48" s="1217" t="str">
        <f t="shared" si="41"/>
        <v/>
      </c>
      <c r="AC48" s="1216" t="str">
        <f t="shared" si="41"/>
        <v/>
      </c>
      <c r="AD48" s="1218" t="str">
        <f t="shared" si="41"/>
        <v/>
      </c>
      <c r="AE48" s="1219">
        <f t="shared" si="27"/>
        <v>90.01</v>
      </c>
      <c r="AF48" s="282">
        <f t="shared" si="28"/>
        <v>86.03</v>
      </c>
      <c r="AG48" s="282" t="str">
        <f t="shared" si="29"/>
        <v>baik</v>
      </c>
      <c r="AH48" s="282" t="str">
        <f t="shared" si="29"/>
        <v>baik</v>
      </c>
      <c r="AI48" s="282">
        <f t="shared" si="30"/>
        <v>1</v>
      </c>
      <c r="AJ48" s="283">
        <f t="shared" si="31"/>
        <v>3</v>
      </c>
      <c r="AK48" s="284" t="str">
        <f t="shared" si="32"/>
        <v>Memiliki kemampuan baik dalam Menganalisis dinamika litosfer dan dampaknya terhadap kehidupan dan Menganalisis dinamika hidrosfer dan dampaknya terhadap kehidupani</v>
      </c>
      <c r="AL48" s="276">
        <v>95</v>
      </c>
      <c r="AM48" s="277">
        <v>95</v>
      </c>
      <c r="AN48" s="277">
        <v>95</v>
      </c>
      <c r="AO48" s="277"/>
      <c r="AP48" s="277"/>
      <c r="AQ48" s="277"/>
      <c r="AR48" s="277"/>
      <c r="AS48" s="280"/>
      <c r="AT48" s="277"/>
      <c r="AU48" s="278"/>
      <c r="AV48" s="285">
        <f t="shared" si="33"/>
        <v>95</v>
      </c>
      <c r="AW48" s="296" t="str">
        <f t="shared" si="34"/>
        <v>A</v>
      </c>
      <c r="AX48" s="1220">
        <f t="shared" si="42"/>
        <v>95.01</v>
      </c>
      <c r="AY48" s="1221">
        <f t="shared" si="42"/>
        <v>95.02</v>
      </c>
      <c r="AZ48" s="1221">
        <f t="shared" si="42"/>
        <v>95.03</v>
      </c>
      <c r="BA48" s="1221" t="str">
        <f t="shared" si="42"/>
        <v/>
      </c>
      <c r="BB48" s="1221" t="str">
        <f t="shared" si="42"/>
        <v/>
      </c>
      <c r="BC48" s="1221" t="str">
        <f t="shared" si="42"/>
        <v/>
      </c>
      <c r="BD48" s="1221" t="str">
        <f t="shared" si="42"/>
        <v/>
      </c>
      <c r="BE48" s="1222" t="str">
        <f t="shared" si="42"/>
        <v/>
      </c>
      <c r="BF48" s="1221" t="str">
        <f t="shared" si="42"/>
        <v/>
      </c>
      <c r="BG48" s="1223" t="str">
        <f t="shared" si="42"/>
        <v/>
      </c>
      <c r="BH48" s="286">
        <f t="shared" si="35"/>
        <v>95.03</v>
      </c>
      <c r="BI48" s="286">
        <f t="shared" si="36"/>
        <v>95.01</v>
      </c>
      <c r="BJ48" s="287" t="str">
        <f t="shared" si="37"/>
        <v>sangat baik</v>
      </c>
      <c r="BK48" s="287" t="str">
        <f t="shared" si="37"/>
        <v>sangat baik</v>
      </c>
      <c r="BL48" s="286">
        <f t="shared" si="38"/>
        <v>3</v>
      </c>
      <c r="BM48" s="288">
        <f t="shared" si="39"/>
        <v>1</v>
      </c>
      <c r="BN48" s="289" t="str">
        <f t="shared" si="40"/>
        <v>Memiliki keterampilan sangat baik dalam Menyajikan proses dinamika hidrosfer menggunakan peta dan Menyajikan proses dinamika litosfer dengan menggunakan peta</v>
      </c>
      <c r="BO48" s="67"/>
    </row>
    <row r="49" spans="1:67" ht="33" customHeight="1">
      <c r="A49" s="67"/>
      <c r="B49" s="272">
        <f t="shared" si="44"/>
        <v>36</v>
      </c>
      <c r="C49" s="273">
        <f>IF(Data!F40="","",Data!F40)</f>
        <v>0</v>
      </c>
      <c r="D49" s="274" t="str">
        <f>IF(Data!H40="","",Data!H40)</f>
        <v>Yuliana Febriyanti Nggeon</v>
      </c>
      <c r="E49" s="275" t="str">
        <f>IF(Data!I40="","",Data!I40)</f>
        <v>P</v>
      </c>
      <c r="F49" s="276">
        <v>80</v>
      </c>
      <c r="G49" s="277">
        <v>85</v>
      </c>
      <c r="H49" s="277">
        <v>86</v>
      </c>
      <c r="I49" s="277"/>
      <c r="J49" s="277"/>
      <c r="K49" s="277"/>
      <c r="L49" s="277"/>
      <c r="M49" s="280"/>
      <c r="N49" s="277"/>
      <c r="O49" s="278"/>
      <c r="P49" s="279">
        <f t="shared" si="24"/>
        <v>84</v>
      </c>
      <c r="Q49" s="277">
        <v>80</v>
      </c>
      <c r="R49" s="280">
        <v>84</v>
      </c>
      <c r="S49" s="281">
        <f t="shared" si="25"/>
        <v>83</v>
      </c>
      <c r="T49" s="295" t="str">
        <f t="shared" si="26"/>
        <v>C</v>
      </c>
      <c r="U49" s="1215">
        <f t="shared" si="41"/>
        <v>80.010000000000005</v>
      </c>
      <c r="V49" s="1216">
        <f t="shared" si="41"/>
        <v>85.02</v>
      </c>
      <c r="W49" s="1216">
        <f t="shared" si="41"/>
        <v>86.03</v>
      </c>
      <c r="X49" s="1216" t="str">
        <f t="shared" si="41"/>
        <v/>
      </c>
      <c r="Y49" s="1216" t="str">
        <f t="shared" si="41"/>
        <v/>
      </c>
      <c r="Z49" s="1216" t="str">
        <f t="shared" si="41"/>
        <v/>
      </c>
      <c r="AA49" s="1216" t="str">
        <f t="shared" si="41"/>
        <v/>
      </c>
      <c r="AB49" s="1217" t="str">
        <f t="shared" si="41"/>
        <v/>
      </c>
      <c r="AC49" s="1216" t="str">
        <f t="shared" si="41"/>
        <v/>
      </c>
      <c r="AD49" s="1218" t="str">
        <f t="shared" si="41"/>
        <v/>
      </c>
      <c r="AE49" s="1219">
        <f t="shared" si="27"/>
        <v>86.03</v>
      </c>
      <c r="AF49" s="282">
        <f t="shared" si="28"/>
        <v>80.010000000000005</v>
      </c>
      <c r="AG49" s="282" t="str">
        <f t="shared" si="29"/>
        <v>baik</v>
      </c>
      <c r="AH49" s="282" t="str">
        <f t="shared" si="29"/>
        <v>cukup</v>
      </c>
      <c r="AI49" s="282">
        <f t="shared" si="30"/>
        <v>3</v>
      </c>
      <c r="AJ49" s="283">
        <f t="shared" si="31"/>
        <v>1</v>
      </c>
      <c r="AK49" s="284" t="str">
        <f t="shared" si="32"/>
        <v>Memiliki kemampuan baik dalam Menganalisis dinamika hidrosfer dan dampaknya terhadap kehidupani, cukup kemampuan dalam Menganalisis dinamika litosfer dan dampaknya terhadap kehidupan</v>
      </c>
      <c r="AL49" s="276">
        <v>95</v>
      </c>
      <c r="AM49" s="277">
        <v>95</v>
      </c>
      <c r="AN49" s="277">
        <v>95</v>
      </c>
      <c r="AO49" s="277"/>
      <c r="AP49" s="277"/>
      <c r="AQ49" s="277"/>
      <c r="AR49" s="277"/>
      <c r="AS49" s="280"/>
      <c r="AT49" s="277"/>
      <c r="AU49" s="278"/>
      <c r="AV49" s="285">
        <f t="shared" si="33"/>
        <v>95</v>
      </c>
      <c r="AW49" s="296" t="str">
        <f t="shared" si="34"/>
        <v>A</v>
      </c>
      <c r="AX49" s="1220">
        <f t="shared" si="42"/>
        <v>95.01</v>
      </c>
      <c r="AY49" s="1221">
        <f t="shared" si="42"/>
        <v>95.02</v>
      </c>
      <c r="AZ49" s="1221">
        <f t="shared" si="42"/>
        <v>95.03</v>
      </c>
      <c r="BA49" s="1221" t="str">
        <f t="shared" si="42"/>
        <v/>
      </c>
      <c r="BB49" s="1221" t="str">
        <f t="shared" si="42"/>
        <v/>
      </c>
      <c r="BC49" s="1221" t="str">
        <f t="shared" si="42"/>
        <v/>
      </c>
      <c r="BD49" s="1221" t="str">
        <f t="shared" si="42"/>
        <v/>
      </c>
      <c r="BE49" s="1222" t="str">
        <f t="shared" si="42"/>
        <v/>
      </c>
      <c r="BF49" s="1221" t="str">
        <f t="shared" si="42"/>
        <v/>
      </c>
      <c r="BG49" s="1223" t="str">
        <f t="shared" si="42"/>
        <v/>
      </c>
      <c r="BH49" s="286">
        <f t="shared" si="35"/>
        <v>95.03</v>
      </c>
      <c r="BI49" s="286">
        <f t="shared" si="36"/>
        <v>95.01</v>
      </c>
      <c r="BJ49" s="287" t="str">
        <f t="shared" si="37"/>
        <v>sangat baik</v>
      </c>
      <c r="BK49" s="287" t="str">
        <f t="shared" si="37"/>
        <v>sangat baik</v>
      </c>
      <c r="BL49" s="286">
        <f t="shared" si="38"/>
        <v>3</v>
      </c>
      <c r="BM49" s="288">
        <f t="shared" si="39"/>
        <v>1</v>
      </c>
      <c r="BN49" s="289" t="str">
        <f t="shared" si="40"/>
        <v>Memiliki keterampilan sangat baik dalam Menyajikan proses dinamika hidrosfer menggunakan peta dan Menyajikan proses dinamika litosfer dengan menggunakan peta</v>
      </c>
      <c r="BO49" s="67"/>
    </row>
    <row r="50" spans="1:67" ht="33" customHeight="1">
      <c r="A50" s="67"/>
      <c r="B50" s="272">
        <f t="shared" si="44"/>
        <v>37</v>
      </c>
      <c r="C50" s="273">
        <f>IF(Data!F41="","",Data!F41)</f>
        <v>0</v>
      </c>
      <c r="D50" s="274" t="str">
        <f>IF(Data!H41="","",Data!H41)</f>
        <v>Yuninda Pono</v>
      </c>
      <c r="E50" s="275" t="str">
        <f>IF(Data!I41="","",Data!I41)</f>
        <v>P</v>
      </c>
      <c r="F50" s="276">
        <v>86</v>
      </c>
      <c r="G50" s="277">
        <v>85</v>
      </c>
      <c r="H50" s="277">
        <v>86</v>
      </c>
      <c r="I50" s="277"/>
      <c r="J50" s="277"/>
      <c r="K50" s="277"/>
      <c r="L50" s="277"/>
      <c r="M50" s="280"/>
      <c r="N50" s="277"/>
      <c r="O50" s="278"/>
      <c r="P50" s="279">
        <f t="shared" si="24"/>
        <v>86</v>
      </c>
      <c r="Q50" s="277">
        <v>85</v>
      </c>
      <c r="R50" s="280">
        <v>83</v>
      </c>
      <c r="S50" s="281">
        <f t="shared" si="25"/>
        <v>85</v>
      </c>
      <c r="T50" s="295" t="str">
        <f t="shared" si="26"/>
        <v>B</v>
      </c>
      <c r="U50" s="1215">
        <f t="shared" si="41"/>
        <v>86.01</v>
      </c>
      <c r="V50" s="1216">
        <f t="shared" si="41"/>
        <v>85.02</v>
      </c>
      <c r="W50" s="1216">
        <f t="shared" si="41"/>
        <v>86.03</v>
      </c>
      <c r="X50" s="1216" t="str">
        <f t="shared" si="41"/>
        <v/>
      </c>
      <c r="Y50" s="1216" t="str">
        <f t="shared" si="41"/>
        <v/>
      </c>
      <c r="Z50" s="1216" t="str">
        <f t="shared" si="41"/>
        <v/>
      </c>
      <c r="AA50" s="1216" t="str">
        <f t="shared" si="41"/>
        <v/>
      </c>
      <c r="AB50" s="1217" t="str">
        <f t="shared" si="41"/>
        <v/>
      </c>
      <c r="AC50" s="1216" t="str">
        <f t="shared" si="41"/>
        <v/>
      </c>
      <c r="AD50" s="1218" t="str">
        <f t="shared" si="41"/>
        <v/>
      </c>
      <c r="AE50" s="1219">
        <f t="shared" si="27"/>
        <v>86.03</v>
      </c>
      <c r="AF50" s="282">
        <f t="shared" si="28"/>
        <v>85.02</v>
      </c>
      <c r="AG50" s="282" t="str">
        <f t="shared" si="29"/>
        <v>baik</v>
      </c>
      <c r="AH50" s="282" t="str">
        <f t="shared" si="29"/>
        <v>baik</v>
      </c>
      <c r="AI50" s="282">
        <f t="shared" si="30"/>
        <v>3</v>
      </c>
      <c r="AJ50" s="283">
        <f t="shared" si="31"/>
        <v>2</v>
      </c>
      <c r="AK50" s="284" t="str">
        <f t="shared" si="32"/>
        <v>Memiliki kemampuan baik dalam Menganalisis dinamika hidrosfer dan dampaknya terhadap kehidupani dan Menganalisis dinamika atmosfer dan dampaknya terhadap kehidupan</v>
      </c>
      <c r="AL50" s="276">
        <v>95</v>
      </c>
      <c r="AM50" s="277">
        <v>95</v>
      </c>
      <c r="AN50" s="277">
        <v>95</v>
      </c>
      <c r="AO50" s="277"/>
      <c r="AP50" s="277"/>
      <c r="AQ50" s="277"/>
      <c r="AR50" s="277"/>
      <c r="AS50" s="280"/>
      <c r="AT50" s="277"/>
      <c r="AU50" s="278"/>
      <c r="AV50" s="285">
        <f t="shared" si="33"/>
        <v>95</v>
      </c>
      <c r="AW50" s="296" t="str">
        <f t="shared" si="34"/>
        <v>A</v>
      </c>
      <c r="AX50" s="1220">
        <f t="shared" si="42"/>
        <v>95.01</v>
      </c>
      <c r="AY50" s="1221">
        <f t="shared" si="42"/>
        <v>95.02</v>
      </c>
      <c r="AZ50" s="1221">
        <f t="shared" si="42"/>
        <v>95.03</v>
      </c>
      <c r="BA50" s="1221" t="str">
        <f t="shared" si="42"/>
        <v/>
      </c>
      <c r="BB50" s="1221" t="str">
        <f t="shared" si="42"/>
        <v/>
      </c>
      <c r="BC50" s="1221" t="str">
        <f t="shared" si="42"/>
        <v/>
      </c>
      <c r="BD50" s="1221" t="str">
        <f t="shared" si="42"/>
        <v/>
      </c>
      <c r="BE50" s="1222" t="str">
        <f t="shared" si="42"/>
        <v/>
      </c>
      <c r="BF50" s="1221" t="str">
        <f t="shared" si="42"/>
        <v/>
      </c>
      <c r="BG50" s="1223" t="str">
        <f t="shared" si="42"/>
        <v/>
      </c>
      <c r="BH50" s="286">
        <f t="shared" si="35"/>
        <v>95.03</v>
      </c>
      <c r="BI50" s="286">
        <f t="shared" si="36"/>
        <v>95.01</v>
      </c>
      <c r="BJ50" s="287" t="str">
        <f t="shared" si="37"/>
        <v>sangat baik</v>
      </c>
      <c r="BK50" s="287" t="str">
        <f t="shared" si="37"/>
        <v>sangat baik</v>
      </c>
      <c r="BL50" s="286">
        <f t="shared" si="38"/>
        <v>3</v>
      </c>
      <c r="BM50" s="288">
        <f t="shared" si="39"/>
        <v>1</v>
      </c>
      <c r="BN50" s="289" t="str">
        <f t="shared" si="40"/>
        <v>Memiliki keterampilan sangat baik dalam Menyajikan proses dinamika hidrosfer menggunakan peta dan Menyajikan proses dinamika litosfer dengan menggunakan peta</v>
      </c>
      <c r="BO50" s="67"/>
    </row>
    <row r="51" spans="1:67" ht="33" customHeight="1">
      <c r="A51" s="67"/>
      <c r="B51" s="272" t="str">
        <f t="shared" si="44"/>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44"/>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44"/>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44"/>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44"/>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5">IF(K55="","",K55+Z$13)</f>
        <v/>
      </c>
      <c r="AA55" s="1216" t="str">
        <f t="shared" si="45"/>
        <v/>
      </c>
      <c r="AB55" s="1217" t="str">
        <f t="shared" si="45"/>
        <v/>
      </c>
      <c r="AC55" s="1216" t="str">
        <f t="shared" si="45"/>
        <v/>
      </c>
      <c r="AD55" s="1218" t="str">
        <f t="shared" si="45"/>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6">IF(AQ55="","",AQ55+BC$12)</f>
        <v/>
      </c>
      <c r="BD55" s="1221" t="str">
        <f t="shared" si="46"/>
        <v/>
      </c>
      <c r="BE55" s="1222" t="str">
        <f t="shared" si="46"/>
        <v/>
      </c>
      <c r="BF55" s="1221" t="str">
        <f t="shared" si="46"/>
        <v/>
      </c>
      <c r="BG55" s="1223" t="str">
        <f t="shared" si="46"/>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44"/>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7">IF(F56="","",F56+U$13)</f>
        <v/>
      </c>
      <c r="V56" s="1216" t="str">
        <f t="shared" si="47"/>
        <v/>
      </c>
      <c r="W56" s="1216" t="str">
        <f t="shared" si="47"/>
        <v/>
      </c>
      <c r="X56" s="1216" t="str">
        <f t="shared" si="47"/>
        <v/>
      </c>
      <c r="Y56" s="1216" t="str">
        <f t="shared" si="47"/>
        <v/>
      </c>
      <c r="Z56" s="1216" t="str">
        <f t="shared" si="45"/>
        <v/>
      </c>
      <c r="AA56" s="1216" t="str">
        <f t="shared" si="45"/>
        <v/>
      </c>
      <c r="AB56" s="1217" t="str">
        <f t="shared" si="45"/>
        <v/>
      </c>
      <c r="AC56" s="1216" t="str">
        <f t="shared" si="45"/>
        <v/>
      </c>
      <c r="AD56" s="1218" t="str">
        <f t="shared" si="45"/>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8">IF(AL56="","",AL56+AX$12)</f>
        <v/>
      </c>
      <c r="AY56" s="1221" t="str">
        <f t="shared" si="48"/>
        <v/>
      </c>
      <c r="AZ56" s="1221" t="str">
        <f t="shared" si="48"/>
        <v/>
      </c>
      <c r="BA56" s="1221" t="str">
        <f t="shared" si="48"/>
        <v/>
      </c>
      <c r="BB56" s="1221" t="str">
        <f t="shared" si="48"/>
        <v/>
      </c>
      <c r="BC56" s="1221" t="str">
        <f t="shared" si="46"/>
        <v/>
      </c>
      <c r="BD56" s="1221" t="str">
        <f t="shared" si="46"/>
        <v/>
      </c>
      <c r="BE56" s="1222" t="str">
        <f t="shared" si="46"/>
        <v/>
      </c>
      <c r="BF56" s="1221" t="str">
        <f t="shared" si="46"/>
        <v/>
      </c>
      <c r="BG56" s="1223" t="str">
        <f t="shared" si="46"/>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44"/>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7"/>
        <v/>
      </c>
      <c r="V57" s="1216" t="str">
        <f t="shared" si="47"/>
        <v/>
      </c>
      <c r="W57" s="1216" t="str">
        <f t="shared" si="47"/>
        <v/>
      </c>
      <c r="X57" s="1216" t="str">
        <f t="shared" si="47"/>
        <v/>
      </c>
      <c r="Y57" s="1216" t="str">
        <f t="shared" si="47"/>
        <v/>
      </c>
      <c r="Z57" s="1216" t="str">
        <f t="shared" si="45"/>
        <v/>
      </c>
      <c r="AA57" s="1216" t="str">
        <f t="shared" si="45"/>
        <v/>
      </c>
      <c r="AB57" s="1217" t="str">
        <f t="shared" si="45"/>
        <v/>
      </c>
      <c r="AC57" s="1216" t="str">
        <f t="shared" si="45"/>
        <v/>
      </c>
      <c r="AD57" s="1218" t="str">
        <f t="shared" si="45"/>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8"/>
        <v/>
      </c>
      <c r="AY57" s="1221" t="str">
        <f t="shared" si="48"/>
        <v/>
      </c>
      <c r="AZ57" s="1221" t="str">
        <f t="shared" si="48"/>
        <v/>
      </c>
      <c r="BA57" s="1221" t="str">
        <f t="shared" si="48"/>
        <v/>
      </c>
      <c r="BB57" s="1221" t="str">
        <f t="shared" si="48"/>
        <v/>
      </c>
      <c r="BC57" s="1221" t="str">
        <f t="shared" si="46"/>
        <v/>
      </c>
      <c r="BD57" s="1221" t="str">
        <f t="shared" si="46"/>
        <v/>
      </c>
      <c r="BE57" s="1222" t="str">
        <f t="shared" si="46"/>
        <v/>
      </c>
      <c r="BF57" s="1221" t="str">
        <f t="shared" si="46"/>
        <v/>
      </c>
      <c r="BG57" s="1223" t="str">
        <f t="shared" si="46"/>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44"/>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7"/>
        <v/>
      </c>
      <c r="V58" s="1216" t="str">
        <f t="shared" si="47"/>
        <v/>
      </c>
      <c r="W58" s="1216" t="str">
        <f t="shared" si="47"/>
        <v/>
      </c>
      <c r="X58" s="1216" t="str">
        <f t="shared" si="47"/>
        <v/>
      </c>
      <c r="Y58" s="1216" t="str">
        <f t="shared" si="47"/>
        <v/>
      </c>
      <c r="Z58" s="1216" t="str">
        <f t="shared" si="45"/>
        <v/>
      </c>
      <c r="AA58" s="1216" t="str">
        <f t="shared" si="45"/>
        <v/>
      </c>
      <c r="AB58" s="1217" t="str">
        <f t="shared" si="45"/>
        <v/>
      </c>
      <c r="AC58" s="1216" t="str">
        <f t="shared" si="45"/>
        <v/>
      </c>
      <c r="AD58" s="1218" t="str">
        <f t="shared" si="45"/>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8"/>
        <v/>
      </c>
      <c r="AY58" s="1221" t="str">
        <f t="shared" si="48"/>
        <v/>
      </c>
      <c r="AZ58" s="1221" t="str">
        <f t="shared" si="48"/>
        <v/>
      </c>
      <c r="BA58" s="1221" t="str">
        <f t="shared" si="48"/>
        <v/>
      </c>
      <c r="BB58" s="1221" t="str">
        <f t="shared" si="48"/>
        <v/>
      </c>
      <c r="BC58" s="1221" t="str">
        <f t="shared" si="46"/>
        <v/>
      </c>
      <c r="BD58" s="1221" t="str">
        <f t="shared" si="46"/>
        <v/>
      </c>
      <c r="BE58" s="1222" t="str">
        <f t="shared" si="46"/>
        <v/>
      </c>
      <c r="BF58" s="1221" t="str">
        <f t="shared" si="46"/>
        <v/>
      </c>
      <c r="BG58" s="1223" t="str">
        <f t="shared" si="46"/>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44"/>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7"/>
        <v/>
      </c>
      <c r="V59" s="1216" t="str">
        <f t="shared" si="47"/>
        <v/>
      </c>
      <c r="W59" s="1216" t="str">
        <f t="shared" si="47"/>
        <v/>
      </c>
      <c r="X59" s="1216" t="str">
        <f t="shared" si="47"/>
        <v/>
      </c>
      <c r="Y59" s="1216" t="str">
        <f t="shared" si="47"/>
        <v/>
      </c>
      <c r="Z59" s="1216" t="str">
        <f t="shared" si="45"/>
        <v/>
      </c>
      <c r="AA59" s="1216" t="str">
        <f t="shared" si="45"/>
        <v/>
      </c>
      <c r="AB59" s="1217" t="str">
        <f t="shared" si="45"/>
        <v/>
      </c>
      <c r="AC59" s="1216" t="str">
        <f t="shared" si="45"/>
        <v/>
      </c>
      <c r="AD59" s="1218" t="str">
        <f t="shared" si="45"/>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8"/>
        <v/>
      </c>
      <c r="AY59" s="1221" t="str">
        <f t="shared" si="48"/>
        <v/>
      </c>
      <c r="AZ59" s="1221" t="str">
        <f t="shared" si="48"/>
        <v/>
      </c>
      <c r="BA59" s="1221" t="str">
        <f t="shared" si="48"/>
        <v/>
      </c>
      <c r="BB59" s="1221" t="str">
        <f t="shared" si="48"/>
        <v/>
      </c>
      <c r="BC59" s="1221" t="str">
        <f t="shared" si="46"/>
        <v/>
      </c>
      <c r="BD59" s="1221" t="str">
        <f t="shared" si="46"/>
        <v/>
      </c>
      <c r="BE59" s="1222" t="str">
        <f t="shared" si="46"/>
        <v/>
      </c>
      <c r="BF59" s="1221" t="str">
        <f t="shared" si="46"/>
        <v/>
      </c>
      <c r="BG59" s="1223" t="str">
        <f t="shared" si="46"/>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44"/>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7"/>
        <v/>
      </c>
      <c r="V60" s="1216" t="str">
        <f t="shared" si="47"/>
        <v/>
      </c>
      <c r="W60" s="1216" t="str">
        <f t="shared" si="47"/>
        <v/>
      </c>
      <c r="X60" s="1216" t="str">
        <f t="shared" si="47"/>
        <v/>
      </c>
      <c r="Y60" s="1216" t="str">
        <f t="shared" si="47"/>
        <v/>
      </c>
      <c r="Z60" s="1216" t="str">
        <f t="shared" si="45"/>
        <v/>
      </c>
      <c r="AA60" s="1216" t="str">
        <f t="shared" si="45"/>
        <v/>
      </c>
      <c r="AB60" s="1217" t="str">
        <f t="shared" si="45"/>
        <v/>
      </c>
      <c r="AC60" s="1216" t="str">
        <f t="shared" si="45"/>
        <v/>
      </c>
      <c r="AD60" s="1218" t="str">
        <f t="shared" si="45"/>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8"/>
        <v/>
      </c>
      <c r="AY60" s="1221" t="str">
        <f t="shared" si="48"/>
        <v/>
      </c>
      <c r="AZ60" s="1221" t="str">
        <f t="shared" si="48"/>
        <v/>
      </c>
      <c r="BA60" s="1221" t="str">
        <f t="shared" si="48"/>
        <v/>
      </c>
      <c r="BB60" s="1221" t="str">
        <f t="shared" si="48"/>
        <v/>
      </c>
      <c r="BC60" s="1221" t="str">
        <f t="shared" si="46"/>
        <v/>
      </c>
      <c r="BD60" s="1221" t="str">
        <f t="shared" si="46"/>
        <v/>
      </c>
      <c r="BE60" s="1222" t="str">
        <f t="shared" si="46"/>
        <v/>
      </c>
      <c r="BF60" s="1221" t="str">
        <f t="shared" si="46"/>
        <v/>
      </c>
      <c r="BG60" s="1223" t="str">
        <f t="shared" si="46"/>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44"/>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7"/>
        <v/>
      </c>
      <c r="V61" s="1216" t="str">
        <f t="shared" si="47"/>
        <v/>
      </c>
      <c r="W61" s="1216" t="str">
        <f t="shared" si="47"/>
        <v/>
      </c>
      <c r="X61" s="1216" t="str">
        <f t="shared" si="47"/>
        <v/>
      </c>
      <c r="Y61" s="1216" t="str">
        <f t="shared" si="47"/>
        <v/>
      </c>
      <c r="Z61" s="1216" t="str">
        <f t="shared" si="45"/>
        <v/>
      </c>
      <c r="AA61" s="1216" t="str">
        <f t="shared" si="45"/>
        <v/>
      </c>
      <c r="AB61" s="1217" t="str">
        <f t="shared" si="45"/>
        <v/>
      </c>
      <c r="AC61" s="1216" t="str">
        <f t="shared" si="45"/>
        <v/>
      </c>
      <c r="AD61" s="1218" t="str">
        <f t="shared" si="45"/>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8"/>
        <v/>
      </c>
      <c r="AY61" s="1221" t="str">
        <f t="shared" si="48"/>
        <v/>
      </c>
      <c r="AZ61" s="1221" t="str">
        <f t="shared" si="48"/>
        <v/>
      </c>
      <c r="BA61" s="1221" t="str">
        <f t="shared" si="48"/>
        <v/>
      </c>
      <c r="BB61" s="1221" t="str">
        <f t="shared" si="48"/>
        <v/>
      </c>
      <c r="BC61" s="1221" t="str">
        <f t="shared" si="46"/>
        <v/>
      </c>
      <c r="BD61" s="1221" t="str">
        <f t="shared" si="46"/>
        <v/>
      </c>
      <c r="BE61" s="1222" t="str">
        <f t="shared" si="46"/>
        <v/>
      </c>
      <c r="BF61" s="1221" t="str">
        <f t="shared" si="46"/>
        <v/>
      </c>
      <c r="BG61" s="1223" t="str">
        <f t="shared" si="46"/>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44"/>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7"/>
        <v/>
      </c>
      <c r="V62" s="1216" t="str">
        <f t="shared" si="47"/>
        <v/>
      </c>
      <c r="W62" s="1216" t="str">
        <f t="shared" si="47"/>
        <v/>
      </c>
      <c r="X62" s="1216" t="str">
        <f t="shared" si="47"/>
        <v/>
      </c>
      <c r="Y62" s="1216" t="str">
        <f t="shared" si="47"/>
        <v/>
      </c>
      <c r="Z62" s="1216" t="str">
        <f t="shared" si="45"/>
        <v/>
      </c>
      <c r="AA62" s="1216" t="str">
        <f t="shared" si="45"/>
        <v/>
      </c>
      <c r="AB62" s="1217" t="str">
        <f t="shared" si="45"/>
        <v/>
      </c>
      <c r="AC62" s="1216" t="str">
        <f t="shared" si="45"/>
        <v/>
      </c>
      <c r="AD62" s="1218" t="str">
        <f t="shared" si="45"/>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8"/>
        <v/>
      </c>
      <c r="AY62" s="1221" t="str">
        <f t="shared" si="48"/>
        <v/>
      </c>
      <c r="AZ62" s="1221" t="str">
        <f t="shared" si="48"/>
        <v/>
      </c>
      <c r="BA62" s="1221" t="str">
        <f t="shared" si="48"/>
        <v/>
      </c>
      <c r="BB62" s="1221" t="str">
        <f t="shared" si="48"/>
        <v/>
      </c>
      <c r="BC62" s="1221" t="str">
        <f t="shared" si="46"/>
        <v/>
      </c>
      <c r="BD62" s="1221" t="str">
        <f t="shared" si="46"/>
        <v/>
      </c>
      <c r="BE62" s="1222" t="str">
        <f t="shared" si="46"/>
        <v/>
      </c>
      <c r="BF62" s="1221" t="str">
        <f t="shared" si="46"/>
        <v/>
      </c>
      <c r="BG62" s="1223" t="str">
        <f t="shared" si="46"/>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44"/>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7"/>
        <v/>
      </c>
      <c r="V63" s="1216" t="str">
        <f t="shared" si="47"/>
        <v/>
      </c>
      <c r="W63" s="1216" t="str">
        <f t="shared" si="47"/>
        <v/>
      </c>
      <c r="X63" s="1216" t="str">
        <f t="shared" si="47"/>
        <v/>
      </c>
      <c r="Y63" s="1216" t="str">
        <f t="shared" si="47"/>
        <v/>
      </c>
      <c r="Z63" s="1216" t="str">
        <f t="shared" si="45"/>
        <v/>
      </c>
      <c r="AA63" s="1216" t="str">
        <f t="shared" si="45"/>
        <v/>
      </c>
      <c r="AB63" s="1217" t="str">
        <f t="shared" si="45"/>
        <v/>
      </c>
      <c r="AC63" s="1216" t="str">
        <f t="shared" si="45"/>
        <v/>
      </c>
      <c r="AD63" s="1218" t="str">
        <f t="shared" si="45"/>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8"/>
        <v/>
      </c>
      <c r="AY63" s="1221" t="str">
        <f t="shared" si="48"/>
        <v/>
      </c>
      <c r="AZ63" s="1221" t="str">
        <f t="shared" si="48"/>
        <v/>
      </c>
      <c r="BA63" s="1221" t="str">
        <f t="shared" si="48"/>
        <v/>
      </c>
      <c r="BB63" s="1221" t="str">
        <f t="shared" si="48"/>
        <v/>
      </c>
      <c r="BC63" s="1221" t="str">
        <f t="shared" si="46"/>
        <v/>
      </c>
      <c r="BD63" s="1221" t="str">
        <f t="shared" si="46"/>
        <v/>
      </c>
      <c r="BE63" s="1222" t="str">
        <f t="shared" si="46"/>
        <v/>
      </c>
      <c r="BF63" s="1221" t="str">
        <f t="shared" si="46"/>
        <v/>
      </c>
      <c r="BG63" s="1223" t="str">
        <f t="shared" si="46"/>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ht="12">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9">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9"/>
        <v>85</v>
      </c>
      <c r="AM69" s="349" t="s">
        <v>5</v>
      </c>
      <c r="AN69" s="347">
        <f t="shared" ref="AN69" si="50">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Data2!G5</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51">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2">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3">F76</f>
        <v>85</v>
      </c>
      <c r="AM76" s="7" t="s">
        <v>5</v>
      </c>
      <c r="AN76" s="9">
        <f t="shared" si="53"/>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3"/>
        <v>76</v>
      </c>
      <c r="AM77" s="7" t="s">
        <v>5</v>
      </c>
      <c r="AN77" s="9">
        <f t="shared" si="53"/>
        <v>84.5</v>
      </c>
      <c r="AO77" s="1357" t="str">
        <f t="shared" ref="AO77:AO78" si="54">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3"/>
        <v>0</v>
      </c>
      <c r="AM78" s="7" t="s">
        <v>5</v>
      </c>
      <c r="AN78" s="9">
        <f t="shared" si="53"/>
        <v>75.5</v>
      </c>
      <c r="AO78" s="1357" t="str">
        <f t="shared" si="54"/>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 hidden="1" customHeight="1">
      <c r="C84" s="2"/>
      <c r="AL84" s="10"/>
      <c r="AM84" s="8"/>
      <c r="AN84" s="10"/>
      <c r="AO84" s="108"/>
      <c r="AP84" s="108"/>
      <c r="AQ84" s="108"/>
      <c r="AR84" s="1159"/>
      <c r="AS84" s="1159"/>
      <c r="AT84" s="108"/>
      <c r="AU84" s="108"/>
      <c r="AV84" s="111"/>
    </row>
    <row r="85" spans="3:48" ht="12" hidden="1" customHeight="1">
      <c r="C85" s="2"/>
      <c r="AL85" s="10"/>
      <c r="AM85" s="8"/>
      <c r="AN85" s="10"/>
      <c r="AO85" s="108"/>
      <c r="AP85" s="108"/>
      <c r="AQ85" s="108"/>
      <c r="AR85" s="1159"/>
      <c r="AS85" s="1159"/>
      <c r="AT85" s="108"/>
      <c r="AU85" s="108"/>
      <c r="AV85" s="111"/>
    </row>
    <row r="86" spans="3:48" ht="12" hidden="1" customHeight="1"/>
    <row r="87" spans="3:48" ht="12" hidden="1" customHeight="1"/>
    <row r="88" spans="3:48" ht="12" hidden="1" customHeight="1"/>
    <row r="89" spans="3:48" ht="12" hidden="1" customHeight="1"/>
    <row r="90" spans="3:48" ht="12" hidden="1" customHeight="1"/>
    <row r="91" spans="3:48" ht="12" hidden="1" customHeight="1"/>
    <row r="92" spans="3:48" ht="12" hidden="1" customHeight="1"/>
    <row r="93" spans="3:48" ht="0" hidden="1" customHeight="1"/>
    <row r="94" spans="3:48" ht="0" hidden="1" customHeight="1"/>
    <row r="95" spans="3:48" ht="0" hidden="1" customHeight="1"/>
    <row r="96" spans="3:48" ht="0" hidden="1" customHeight="1"/>
    <row r="97" ht="0" hidden="1" customHeight="1"/>
  </sheetData>
  <mergeCells count="70">
    <mergeCell ref="D1:E2"/>
    <mergeCell ref="B3:C4"/>
    <mergeCell ref="D3:E6"/>
    <mergeCell ref="B6:C6"/>
    <mergeCell ref="B7:C7"/>
    <mergeCell ref="D7:E9"/>
    <mergeCell ref="B8:C8"/>
    <mergeCell ref="B9:C9"/>
    <mergeCell ref="B1:C2"/>
    <mergeCell ref="F3:F6"/>
    <mergeCell ref="G3:R6"/>
    <mergeCell ref="AL4:AL5"/>
    <mergeCell ref="AM4:AU5"/>
    <mergeCell ref="AL6:AL7"/>
    <mergeCell ref="AM6:AU7"/>
    <mergeCell ref="F7:F10"/>
    <mergeCell ref="G7:R10"/>
    <mergeCell ref="AL8:AL11"/>
    <mergeCell ref="AM8:AU11"/>
    <mergeCell ref="G11:R11"/>
    <mergeCell ref="G1:R1"/>
    <mergeCell ref="AM1:AU1"/>
    <mergeCell ref="G2:R2"/>
    <mergeCell ref="AL2:AL3"/>
    <mergeCell ref="AM2:AU3"/>
    <mergeCell ref="BN12:BN13"/>
    <mergeCell ref="AI13:AJ13"/>
    <mergeCell ref="T12:T13"/>
    <mergeCell ref="S12:S13"/>
    <mergeCell ref="AG13:AH13"/>
    <mergeCell ref="BJ13:BK13"/>
    <mergeCell ref="BL13:BM13"/>
    <mergeCell ref="AW12:AW13"/>
    <mergeCell ref="AV12:AV13"/>
    <mergeCell ref="B10:C11"/>
    <mergeCell ref="D10:E11"/>
    <mergeCell ref="I67:Q67"/>
    <mergeCell ref="F66:Q66"/>
    <mergeCell ref="AL66:AV66"/>
    <mergeCell ref="F67:H67"/>
    <mergeCell ref="B12:B13"/>
    <mergeCell ref="C12:C13"/>
    <mergeCell ref="D12:D13"/>
    <mergeCell ref="E12:E13"/>
    <mergeCell ref="F12:O12"/>
    <mergeCell ref="AK12:AK13"/>
    <mergeCell ref="AL65:AV65"/>
    <mergeCell ref="AL67:AN67"/>
    <mergeCell ref="AO67:AV67"/>
    <mergeCell ref="F65:Q65"/>
    <mergeCell ref="AO82:AV82"/>
    <mergeCell ref="AO83:AV83"/>
    <mergeCell ref="I70:Q70"/>
    <mergeCell ref="AO70:AV70"/>
    <mergeCell ref="I71:Q71"/>
    <mergeCell ref="AO71:AV71"/>
    <mergeCell ref="F73:Q73"/>
    <mergeCell ref="AL73:AV73"/>
    <mergeCell ref="F74:H74"/>
    <mergeCell ref="I74:Q74"/>
    <mergeCell ref="AL74:AN74"/>
    <mergeCell ref="I75:P75"/>
    <mergeCell ref="I76:P76"/>
    <mergeCell ref="I77:P77"/>
    <mergeCell ref="I78:P78"/>
    <mergeCell ref="I68:Q68"/>
    <mergeCell ref="I69:Q69"/>
    <mergeCell ref="AO68:AV68"/>
    <mergeCell ref="AO69:AV69"/>
    <mergeCell ref="AO74:AV74"/>
  </mergeCells>
  <conditionalFormatting sqref="B14:E63">
    <cfRule type="expression" dxfId="5967" priority="349">
      <formula>AND($B14&lt;&gt;"",$B15="")</formula>
    </cfRule>
    <cfRule type="expression" dxfId="5966" priority="350">
      <formula>$B14=""</formula>
    </cfRule>
  </conditionalFormatting>
  <conditionalFormatting sqref="B56:E56">
    <cfRule type="expression" dxfId="5965" priority="786">
      <formula>AND($B56&lt;&gt;"",$B63="")</formula>
    </cfRule>
    <cfRule type="expression" dxfId="5964" priority="787">
      <formula>$B56=""</formula>
    </cfRule>
  </conditionalFormatting>
  <conditionalFormatting sqref="B50:E50">
    <cfRule type="expression" dxfId="5963" priority="904">
      <formula>AND($B50&lt;&gt;"",$B63="")</formula>
    </cfRule>
    <cfRule type="expression" dxfId="5962" priority="905">
      <formula>$B50=""</formula>
    </cfRule>
  </conditionalFormatting>
  <conditionalFormatting sqref="B43:E44">
    <cfRule type="expression" dxfId="5961" priority="1044">
      <formula>AND($B43&lt;&gt;"",$B62="")</formula>
    </cfRule>
    <cfRule type="expression" dxfId="5960" priority="1045">
      <formula>$B43=""</formula>
    </cfRule>
  </conditionalFormatting>
  <conditionalFormatting sqref="B63:E63">
    <cfRule type="expression" dxfId="5959" priority="1932">
      <formula>AND($B63&lt;&gt;"",#REF!="")</formula>
    </cfRule>
    <cfRule type="expression" dxfId="5958" priority="1933">
      <formula>$B63=""</formula>
    </cfRule>
  </conditionalFormatting>
  <conditionalFormatting sqref="B61:E61">
    <cfRule type="expression" dxfId="5957" priority="1986">
      <formula>AND($B61&lt;&gt;"",$B64="")</formula>
    </cfRule>
    <cfRule type="expression" dxfId="5956" priority="1987">
      <formula>$B61=""</formula>
    </cfRule>
  </conditionalFormatting>
  <conditionalFormatting sqref="B57:E60">
    <cfRule type="expression" dxfId="5955" priority="1988">
      <formula>AND($B57&lt;&gt;"",#REF!="")</formula>
    </cfRule>
    <cfRule type="expression" dxfId="5954" priority="1989">
      <formula>$B57=""</formula>
    </cfRule>
  </conditionalFormatting>
  <conditionalFormatting sqref="B55:E55">
    <cfRule type="expression" dxfId="5953" priority="1992">
      <formula>AND($B55&lt;&gt;"",$B64="")</formula>
    </cfRule>
    <cfRule type="expression" dxfId="5952" priority="1993">
      <formula>$B55=""</formula>
    </cfRule>
  </conditionalFormatting>
  <conditionalFormatting sqref="B51:E54">
    <cfRule type="expression" dxfId="5951" priority="1994">
      <formula>AND($B51&lt;&gt;"",#REF!="")</formula>
    </cfRule>
    <cfRule type="expression" dxfId="5950" priority="1995">
      <formula>$B51=""</formula>
    </cfRule>
  </conditionalFormatting>
  <conditionalFormatting sqref="B49:E49">
    <cfRule type="expression" dxfId="5949" priority="1998">
      <formula>AND($B49&lt;&gt;"",$B64="")</formula>
    </cfRule>
    <cfRule type="expression" dxfId="5948" priority="1999">
      <formula>$B49=""</formula>
    </cfRule>
  </conditionalFormatting>
  <conditionalFormatting sqref="B45:E63">
    <cfRule type="expression" dxfId="5947" priority="2000">
      <formula>AND($B45&lt;&gt;"",#REF!="")</formula>
    </cfRule>
    <cfRule type="expression" dxfId="5946" priority="2001">
      <formula>$B45=""</formula>
    </cfRule>
  </conditionalFormatting>
  <conditionalFormatting sqref="R70 F66:Q71">
    <cfRule type="expression" dxfId="5945" priority="2004">
      <formula>$F$65="SAMA DENGAN DATA"</formula>
    </cfRule>
  </conditionalFormatting>
  <conditionalFormatting sqref="F66:Q71">
    <cfRule type="expression" dxfId="5944" priority="2006">
      <formula>$F$65="kkm tunggal"</formula>
    </cfRule>
  </conditionalFormatting>
  <conditionalFormatting sqref="AW70:BG70 AL66:AV71">
    <cfRule type="expression" dxfId="5943" priority="2007">
      <formula>$AL$65="SAMA DENGAN DATA"</formula>
    </cfRule>
  </conditionalFormatting>
  <conditionalFormatting sqref="AL66:AV71">
    <cfRule type="expression" dxfId="5942" priority="2009">
      <formula>$AL$65="KKM TUNGGAL"</formula>
    </cfRule>
  </conditionalFormatting>
  <conditionalFormatting sqref="B61:E63">
    <cfRule type="expression" dxfId="5941" priority="2886">
      <formula>AND($B61&lt;&gt;"",$B65="")</formula>
    </cfRule>
    <cfRule type="expression" dxfId="5940" priority="2887">
      <formula>$B61=""</formula>
    </cfRule>
  </conditionalFormatting>
  <conditionalFormatting sqref="B50:E60">
    <cfRule type="expression" dxfId="5939" priority="2888">
      <formula>AND($B50&lt;&gt;"",#REF!="")</formula>
    </cfRule>
    <cfRule type="expression" dxfId="5938" priority="2889">
      <formula>$B50=""</formula>
    </cfRule>
  </conditionalFormatting>
  <conditionalFormatting sqref="U14:AB63 P51:S63 AV14:BE63 AE14:AK63 BH14:BN63 P14:P50 S14:S50">
    <cfRule type="expression" dxfId="5937" priority="208">
      <formula>AND($B14&lt;&gt;"",$B15="")</formula>
    </cfRule>
    <cfRule type="expression" dxfId="5936" priority="209">
      <formula>$B14=""</formula>
    </cfRule>
  </conditionalFormatting>
  <conditionalFormatting sqref="T14:T63">
    <cfRule type="expression" dxfId="5935" priority="206">
      <formula>AND($B14&lt;&gt;"",$B15="")</formula>
    </cfRule>
    <cfRule type="expression" dxfId="5934" priority="207">
      <formula>$B14=""</formula>
    </cfRule>
  </conditionalFormatting>
  <conditionalFormatting sqref="AV14">
    <cfRule type="expression" dxfId="5933" priority="204">
      <formula>AND($B14&lt;&gt;"",$B15="")</formula>
    </cfRule>
    <cfRule type="expression" dxfId="5932" priority="205">
      <formula>$B14=""</formula>
    </cfRule>
  </conditionalFormatting>
  <conditionalFormatting sqref="P56:S56 U56:AB56 BH56:BN56 AE56:AK56 AV56:BE56">
    <cfRule type="expression" dxfId="5931" priority="210">
      <formula>AND($B56&lt;&gt;"",$B63="")</formula>
    </cfRule>
    <cfRule type="expression" dxfId="5930" priority="211">
      <formula>$B56=""</formula>
    </cfRule>
  </conditionalFormatting>
  <conditionalFormatting sqref="P50 U50:AB50 BH50:BN50 AE50:AK50 AV50:BE50 S50">
    <cfRule type="expression" dxfId="5929" priority="212">
      <formula>AND($B50&lt;&gt;"",$B63="")</formula>
    </cfRule>
    <cfRule type="expression" dxfId="5928" priority="213">
      <formula>$B50=""</formula>
    </cfRule>
  </conditionalFormatting>
  <conditionalFormatting sqref="P43:P44 U43:AB44 BH43:BN44 AE43:AK44 AV43:BE44 S43:S44">
    <cfRule type="expression" dxfId="5927" priority="214">
      <formula>AND($B43&lt;&gt;"",$B62="")</formula>
    </cfRule>
    <cfRule type="expression" dxfId="5926" priority="215">
      <formula>$B43=""</formula>
    </cfRule>
  </conditionalFormatting>
  <conditionalFormatting sqref="P63:S63 U63:AB63 BH63:BN63 AE63:AK63 AV63:BE63">
    <cfRule type="expression" dxfId="5925" priority="216">
      <formula>AND($B63&lt;&gt;"",#REF!="")</formula>
    </cfRule>
    <cfRule type="expression" dxfId="5924" priority="217">
      <formula>$B63=""</formula>
    </cfRule>
  </conditionalFormatting>
  <conditionalFormatting sqref="P61:S61 U61:AB61 BH61:BN61 AE61:AK61 AV61:BE61">
    <cfRule type="expression" dxfId="5923" priority="218">
      <formula>AND($B61&lt;&gt;"",$B64="")</formula>
    </cfRule>
    <cfRule type="expression" dxfId="5922" priority="219">
      <formula>$B61=""</formula>
    </cfRule>
  </conditionalFormatting>
  <conditionalFormatting sqref="P57:S60 U57:AB60 BH57:BN60 AE57:AK60 AV57:BE60">
    <cfRule type="expression" dxfId="5921" priority="220">
      <formula>AND($B57&lt;&gt;"",#REF!="")</formula>
    </cfRule>
    <cfRule type="expression" dxfId="5920" priority="221">
      <formula>$B57=""</formula>
    </cfRule>
  </conditionalFormatting>
  <conditionalFormatting sqref="P55:S55 U55:AB55 BH55:BN55 AE55:AK55 AV55:BE55">
    <cfRule type="expression" dxfId="5919" priority="222">
      <formula>AND($B55&lt;&gt;"",$B64="")</formula>
    </cfRule>
    <cfRule type="expression" dxfId="5918" priority="223">
      <formula>$B55=""</formula>
    </cfRule>
  </conditionalFormatting>
  <conditionalFormatting sqref="P51:S54 U51:AB54 BH51:BN54 AE51:AK54 AV51:BE54">
    <cfRule type="expression" dxfId="5917" priority="224">
      <formula>AND($B51&lt;&gt;"",#REF!="")</formula>
    </cfRule>
    <cfRule type="expression" dxfId="5916" priority="225">
      <formula>$B51=""</formula>
    </cfRule>
  </conditionalFormatting>
  <conditionalFormatting sqref="J49:P49 U49:AK49 S49 AO49:BN49">
    <cfRule type="expression" dxfId="5915" priority="226">
      <formula>AND($B49&lt;&gt;"",$B64="")</formula>
    </cfRule>
    <cfRule type="expression" dxfId="5914" priority="227">
      <formula>$B49=""</formula>
    </cfRule>
  </conditionalFormatting>
  <conditionalFormatting sqref="P51:S63 U45:AB63 BH45:BN63 AE45:AK63 AV45:BE63 P45:P50 S45:S50">
    <cfRule type="expression" dxfId="5913" priority="228">
      <formula>AND($B45&lt;&gt;"",#REF!="")</formula>
    </cfRule>
    <cfRule type="expression" dxfId="5912" priority="229">
      <formula>$B45=""</formula>
    </cfRule>
  </conditionalFormatting>
  <conditionalFormatting sqref="T16:T63">
    <cfRule type="expression" dxfId="5911" priority="202">
      <formula>AND($B16&lt;&gt;"",$B17="")</formula>
    </cfRule>
    <cfRule type="expression" dxfId="5910" priority="203">
      <formula>$B16=""</formula>
    </cfRule>
  </conditionalFormatting>
  <conditionalFormatting sqref="U13:AB13 AX12:BG12">
    <cfRule type="expression" dxfId="5909" priority="201">
      <formula>COUNTA(U$14:U$63)&gt;0</formula>
    </cfRule>
  </conditionalFormatting>
  <conditionalFormatting sqref="F51:M63 J14:M50">
    <cfRule type="expression" dxfId="5908" priority="180">
      <formula>AND($B14&lt;&gt;"",$B15="")</formula>
    </cfRule>
    <cfRule type="expression" dxfId="5907" priority="181">
      <formula>$B14=""</formula>
    </cfRule>
  </conditionalFormatting>
  <conditionalFormatting sqref="F56:M56">
    <cfRule type="expression" dxfId="5906" priority="182">
      <formula>AND($B56&lt;&gt;"",$B63="")</formula>
    </cfRule>
    <cfRule type="expression" dxfId="5905" priority="183">
      <formula>$B56=""</formula>
    </cfRule>
  </conditionalFormatting>
  <conditionalFormatting sqref="J50:M50">
    <cfRule type="expression" dxfId="5904" priority="184">
      <formula>AND($B50&lt;&gt;"",$B63="")</formula>
    </cfRule>
    <cfRule type="expression" dxfId="5903" priority="185">
      <formula>$B50=""</formula>
    </cfRule>
  </conditionalFormatting>
  <conditionalFormatting sqref="J43:M44">
    <cfRule type="expression" dxfId="5902" priority="186">
      <formula>AND($B43&lt;&gt;"",$B62="")</formula>
    </cfRule>
    <cfRule type="expression" dxfId="5901" priority="187">
      <formula>$B43=""</formula>
    </cfRule>
  </conditionalFormatting>
  <conditionalFormatting sqref="F63:M63">
    <cfRule type="expression" dxfId="5900" priority="188">
      <formula>AND($B63&lt;&gt;"",#REF!="")</formula>
    </cfRule>
    <cfRule type="expression" dxfId="5899" priority="189">
      <formula>$B63=""</formula>
    </cfRule>
  </conditionalFormatting>
  <conditionalFormatting sqref="F61:M61">
    <cfRule type="expression" dxfId="5898" priority="190">
      <formula>AND($B61&lt;&gt;"",$B64="")</formula>
    </cfRule>
    <cfRule type="expression" dxfId="5897" priority="191">
      <formula>$B61=""</formula>
    </cfRule>
  </conditionalFormatting>
  <conditionalFormatting sqref="F57:M60">
    <cfRule type="expression" dxfId="5896" priority="192">
      <formula>AND($B57&lt;&gt;"",#REF!="")</formula>
    </cfRule>
    <cfRule type="expression" dxfId="5895" priority="193">
      <formula>$B57=""</formula>
    </cfRule>
  </conditionalFormatting>
  <conditionalFormatting sqref="F55:M55">
    <cfRule type="expression" dxfId="5894" priority="194">
      <formula>AND($B55&lt;&gt;"",$B64="")</formula>
    </cfRule>
    <cfRule type="expression" dxfId="5893" priority="195">
      <formula>$B55=""</formula>
    </cfRule>
  </conditionalFormatting>
  <conditionalFormatting sqref="F51:M54">
    <cfRule type="expression" dxfId="5892" priority="196">
      <formula>AND($B51&lt;&gt;"",#REF!="")</formula>
    </cfRule>
    <cfRule type="expression" dxfId="5891" priority="197">
      <formula>$B51=""</formula>
    </cfRule>
  </conditionalFormatting>
  <conditionalFormatting sqref="F51:M63 J45:M50">
    <cfRule type="expression" dxfId="5890" priority="198">
      <formula>AND($B45&lt;&gt;"",#REF!="")</formula>
    </cfRule>
    <cfRule type="expression" dxfId="5889" priority="199">
      <formula>$B45=""</formula>
    </cfRule>
  </conditionalFormatting>
  <conditionalFormatting sqref="F13:M13">
    <cfRule type="expression" dxfId="5888" priority="179">
      <formula>COUNTA(F$14:F$63)&gt;0</formula>
    </cfRule>
  </conditionalFormatting>
  <conditionalFormatting sqref="F51:M63 J14:M50">
    <cfRule type="expression" dxfId="5887" priority="200">
      <formula>COUNTIF($U14:$AB14,F14)&gt;1</formula>
    </cfRule>
  </conditionalFormatting>
  <conditionalFormatting sqref="AC14:AD63">
    <cfRule type="expression" dxfId="5886" priority="159">
      <formula>AND($B14&lt;&gt;"",$B15="")</formula>
    </cfRule>
    <cfRule type="expression" dxfId="5885" priority="160">
      <formula>$B14=""</formula>
    </cfRule>
  </conditionalFormatting>
  <conditionalFormatting sqref="AC56:AD56">
    <cfRule type="expression" dxfId="5884" priority="161">
      <formula>AND($B56&lt;&gt;"",$B63="")</formula>
    </cfRule>
    <cfRule type="expression" dxfId="5883" priority="162">
      <formula>$B56=""</formula>
    </cfRule>
  </conditionalFormatting>
  <conditionalFormatting sqref="AC50:AD50">
    <cfRule type="expression" dxfId="5882" priority="163">
      <formula>AND($B50&lt;&gt;"",$B63="")</formula>
    </cfRule>
    <cfRule type="expression" dxfId="5881" priority="164">
      <formula>$B50=""</formula>
    </cfRule>
  </conditionalFormatting>
  <conditionalFormatting sqref="AC43:AD44">
    <cfRule type="expression" dxfId="5880" priority="165">
      <formula>AND($B43&lt;&gt;"",$B62="")</formula>
    </cfRule>
    <cfRule type="expression" dxfId="5879" priority="166">
      <formula>$B43=""</formula>
    </cfRule>
  </conditionalFormatting>
  <conditionalFormatting sqref="AC63:AD63">
    <cfRule type="expression" dxfId="5878" priority="167">
      <formula>AND($B63&lt;&gt;"",#REF!="")</formula>
    </cfRule>
    <cfRule type="expression" dxfId="5877" priority="168">
      <formula>$B63=""</formula>
    </cfRule>
  </conditionalFormatting>
  <conditionalFormatting sqref="AC61:AD61">
    <cfRule type="expression" dxfId="5876" priority="169">
      <formula>AND($B61&lt;&gt;"",$B64="")</formula>
    </cfRule>
    <cfRule type="expression" dxfId="5875" priority="170">
      <formula>$B61=""</formula>
    </cfRule>
  </conditionalFormatting>
  <conditionalFormatting sqref="AC57:AD60">
    <cfRule type="expression" dxfId="5874" priority="171">
      <formula>AND($B57&lt;&gt;"",#REF!="")</formula>
    </cfRule>
    <cfRule type="expression" dxfId="5873" priority="172">
      <formula>$B57=""</formula>
    </cfRule>
  </conditionalFormatting>
  <conditionalFormatting sqref="AC55:AD55">
    <cfRule type="expression" dxfId="5872" priority="173">
      <formula>AND($B55&lt;&gt;"",$B64="")</formula>
    </cfRule>
    <cfRule type="expression" dxfId="5871" priority="174">
      <formula>$B55=""</formula>
    </cfRule>
  </conditionalFormatting>
  <conditionalFormatting sqref="AC51:AD54">
    <cfRule type="expression" dxfId="5870" priority="175">
      <formula>AND($B51&lt;&gt;"",#REF!="")</formula>
    </cfRule>
    <cfRule type="expression" dxfId="5869" priority="176">
      <formula>$B51=""</formula>
    </cfRule>
  </conditionalFormatting>
  <conditionalFormatting sqref="AC45:AD63">
    <cfRule type="expression" dxfId="5868" priority="177">
      <formula>AND($B45&lt;&gt;"",#REF!="")</formula>
    </cfRule>
    <cfRule type="expression" dxfId="5867" priority="178">
      <formula>$B45=""</formula>
    </cfRule>
  </conditionalFormatting>
  <conditionalFormatting sqref="AC13:AD13">
    <cfRule type="expression" dxfId="5866" priority="158">
      <formula>COUNTA(AC$14:AC$63)&gt;0</formula>
    </cfRule>
  </conditionalFormatting>
  <conditionalFormatting sqref="N14:O63">
    <cfRule type="expression" dxfId="5865" priority="137">
      <formula>AND($B14&lt;&gt;"",$B15="")</formula>
    </cfRule>
    <cfRule type="expression" dxfId="5864" priority="138">
      <formula>$B14=""</formula>
    </cfRule>
  </conditionalFormatting>
  <conditionalFormatting sqref="N56:O56">
    <cfRule type="expression" dxfId="5863" priority="139">
      <formula>AND($B56&lt;&gt;"",$B63="")</formula>
    </cfRule>
    <cfRule type="expression" dxfId="5862" priority="140">
      <formula>$B56=""</formula>
    </cfRule>
  </conditionalFormatting>
  <conditionalFormatting sqref="N50:O50">
    <cfRule type="expression" dxfId="5861" priority="141">
      <formula>AND($B50&lt;&gt;"",$B63="")</formula>
    </cfRule>
    <cfRule type="expression" dxfId="5860" priority="142">
      <formula>$B50=""</formula>
    </cfRule>
  </conditionalFormatting>
  <conditionalFormatting sqref="N43:O44">
    <cfRule type="expression" dxfId="5859" priority="143">
      <formula>AND($B43&lt;&gt;"",$B62="")</formula>
    </cfRule>
    <cfRule type="expression" dxfId="5858" priority="144">
      <formula>$B43=""</formula>
    </cfRule>
  </conditionalFormatting>
  <conditionalFormatting sqref="N63:O63">
    <cfRule type="expression" dxfId="5857" priority="145">
      <formula>AND($B63&lt;&gt;"",#REF!="")</formula>
    </cfRule>
    <cfRule type="expression" dxfId="5856" priority="146">
      <formula>$B63=""</formula>
    </cfRule>
  </conditionalFormatting>
  <conditionalFormatting sqref="N61:O61">
    <cfRule type="expression" dxfId="5855" priority="147">
      <formula>AND($B61&lt;&gt;"",$B64="")</formula>
    </cfRule>
    <cfRule type="expression" dxfId="5854" priority="148">
      <formula>$B61=""</formula>
    </cfRule>
  </conditionalFormatting>
  <conditionalFormatting sqref="N57:O60">
    <cfRule type="expression" dxfId="5853" priority="149">
      <formula>AND($B57&lt;&gt;"",#REF!="")</formula>
    </cfRule>
    <cfRule type="expression" dxfId="5852" priority="150">
      <formula>$B57=""</formula>
    </cfRule>
  </conditionalFormatting>
  <conditionalFormatting sqref="N55:O55">
    <cfRule type="expression" dxfId="5851" priority="151">
      <formula>AND($B55&lt;&gt;"",$B64="")</formula>
    </cfRule>
    <cfRule type="expression" dxfId="5850" priority="152">
      <formula>$B55=""</formula>
    </cfRule>
  </conditionalFormatting>
  <conditionalFormatting sqref="N51:O54">
    <cfRule type="expression" dxfId="5849" priority="153">
      <formula>AND($B51&lt;&gt;"",#REF!="")</formula>
    </cfRule>
    <cfRule type="expression" dxfId="5848" priority="154">
      <formula>$B51=""</formula>
    </cfRule>
  </conditionalFormatting>
  <conditionalFormatting sqref="N45:O63">
    <cfRule type="expression" dxfId="5847" priority="155">
      <formula>AND($B45&lt;&gt;"",#REF!="")</formula>
    </cfRule>
    <cfRule type="expression" dxfId="5846" priority="156">
      <formula>$B45=""</formula>
    </cfRule>
  </conditionalFormatting>
  <conditionalFormatting sqref="N13:O13">
    <cfRule type="expression" dxfId="5845" priority="136">
      <formula>COUNTA(N$14:N$63)&gt;0</formula>
    </cfRule>
  </conditionalFormatting>
  <conditionalFormatting sqref="N14:O63">
    <cfRule type="expression" dxfId="5844" priority="157">
      <formula>COUNTIF($U14:$AB14,N14)&gt;1</formula>
    </cfRule>
  </conditionalFormatting>
  <conditionalFormatting sqref="BF14:BG63">
    <cfRule type="expression" dxfId="5843" priority="116">
      <formula>AND($B14&lt;&gt;"",$B15="")</formula>
    </cfRule>
    <cfRule type="expression" dxfId="5842" priority="117">
      <formula>$B14=""</formula>
    </cfRule>
  </conditionalFormatting>
  <conditionalFormatting sqref="BF56:BG56">
    <cfRule type="expression" dxfId="5841" priority="118">
      <formula>AND($B56&lt;&gt;"",$B63="")</formula>
    </cfRule>
    <cfRule type="expression" dxfId="5840" priority="119">
      <formula>$B56=""</formula>
    </cfRule>
  </conditionalFormatting>
  <conditionalFormatting sqref="BF50:BG50">
    <cfRule type="expression" dxfId="5839" priority="120">
      <formula>AND($B50&lt;&gt;"",$B63="")</formula>
    </cfRule>
    <cfRule type="expression" dxfId="5838" priority="121">
      <formula>$B50=""</formula>
    </cfRule>
  </conditionalFormatting>
  <conditionalFormatting sqref="BF43:BG44">
    <cfRule type="expression" dxfId="5837" priority="122">
      <formula>AND($B43&lt;&gt;"",$B62="")</formula>
    </cfRule>
    <cfRule type="expression" dxfId="5836" priority="123">
      <formula>$B43=""</formula>
    </cfRule>
  </conditionalFormatting>
  <conditionalFormatting sqref="BF63:BG63">
    <cfRule type="expression" dxfId="5835" priority="124">
      <formula>AND($B63&lt;&gt;"",#REF!="")</formula>
    </cfRule>
    <cfRule type="expression" dxfId="5834" priority="125">
      <formula>$B63=""</formula>
    </cfRule>
  </conditionalFormatting>
  <conditionalFormatting sqref="BF61:BG61">
    <cfRule type="expression" dxfId="5833" priority="126">
      <formula>AND($B61&lt;&gt;"",$B64="")</formula>
    </cfRule>
    <cfRule type="expression" dxfId="5832" priority="127">
      <formula>$B61=""</formula>
    </cfRule>
  </conditionalFormatting>
  <conditionalFormatting sqref="BF57:BG60">
    <cfRule type="expression" dxfId="5831" priority="128">
      <formula>AND($B57&lt;&gt;"",#REF!="")</formula>
    </cfRule>
    <cfRule type="expression" dxfId="5830" priority="129">
      <formula>$B57=""</formula>
    </cfRule>
  </conditionalFormatting>
  <conditionalFormatting sqref="BF55:BG55">
    <cfRule type="expression" dxfId="5829" priority="130">
      <formula>AND($B55&lt;&gt;"",$B64="")</formula>
    </cfRule>
    <cfRule type="expression" dxfId="5828" priority="131">
      <formula>$B55=""</formula>
    </cfRule>
  </conditionalFormatting>
  <conditionalFormatting sqref="BF51:BG54">
    <cfRule type="expression" dxfId="5827" priority="132">
      <formula>AND($B51&lt;&gt;"",#REF!="")</formula>
    </cfRule>
    <cfRule type="expression" dxfId="5826" priority="133">
      <formula>$B51=""</formula>
    </cfRule>
  </conditionalFormatting>
  <conditionalFormatting sqref="BF45:BG63">
    <cfRule type="expression" dxfId="5825" priority="134">
      <formula>AND($B45&lt;&gt;"",#REF!="")</formula>
    </cfRule>
    <cfRule type="expression" dxfId="5824" priority="135">
      <formula>$B45=""</formula>
    </cfRule>
  </conditionalFormatting>
  <conditionalFormatting sqref="AL51:AS63 AO14:AS50">
    <cfRule type="expression" dxfId="5823" priority="95">
      <formula>AND($B14&lt;&gt;"",$B15="")</formula>
    </cfRule>
    <cfRule type="expression" dxfId="5822" priority="96">
      <formula>$B14=""</formula>
    </cfRule>
  </conditionalFormatting>
  <conditionalFormatting sqref="AL56:AS56">
    <cfRule type="expression" dxfId="5821" priority="97">
      <formula>AND($B56&lt;&gt;"",$B63="")</formula>
    </cfRule>
    <cfRule type="expression" dxfId="5820" priority="98">
      <formula>$B56=""</formula>
    </cfRule>
  </conditionalFormatting>
  <conditionalFormatting sqref="AO50:AS50">
    <cfRule type="expression" dxfId="5819" priority="99">
      <formula>AND($B50&lt;&gt;"",$B63="")</formula>
    </cfRule>
    <cfRule type="expression" dxfId="5818" priority="100">
      <formula>$B50=""</formula>
    </cfRule>
  </conditionalFormatting>
  <conditionalFormatting sqref="AO43:AS44">
    <cfRule type="expression" dxfId="5817" priority="101">
      <formula>AND($B43&lt;&gt;"",$B62="")</formula>
    </cfRule>
    <cfRule type="expression" dxfId="5816" priority="102">
      <formula>$B43=""</formula>
    </cfRule>
  </conditionalFormatting>
  <conditionalFormatting sqref="AL63:AS63">
    <cfRule type="expression" dxfId="5815" priority="103">
      <formula>AND($B63&lt;&gt;"",#REF!="")</formula>
    </cfRule>
    <cfRule type="expression" dxfId="5814" priority="104">
      <formula>$B63=""</formula>
    </cfRule>
  </conditionalFormatting>
  <conditionalFormatting sqref="AL61:AS61">
    <cfRule type="expression" dxfId="5813" priority="105">
      <formula>AND($B61&lt;&gt;"",$B64="")</formula>
    </cfRule>
    <cfRule type="expression" dxfId="5812" priority="106">
      <formula>$B61=""</formula>
    </cfRule>
  </conditionalFormatting>
  <conditionalFormatting sqref="AL57:AS60">
    <cfRule type="expression" dxfId="5811" priority="107">
      <formula>AND($B57&lt;&gt;"",#REF!="")</formula>
    </cfRule>
    <cfRule type="expression" dxfId="5810" priority="108">
      <formula>$B57=""</formula>
    </cfRule>
  </conditionalFormatting>
  <conditionalFormatting sqref="AL55:AS55">
    <cfRule type="expression" dxfId="5809" priority="109">
      <formula>AND($B55&lt;&gt;"",$B64="")</formula>
    </cfRule>
    <cfRule type="expression" dxfId="5808" priority="110">
      <formula>$B55=""</formula>
    </cfRule>
  </conditionalFormatting>
  <conditionalFormatting sqref="AL51:AS54">
    <cfRule type="expression" dxfId="5807" priority="111">
      <formula>AND($B51&lt;&gt;"",#REF!="")</formula>
    </cfRule>
    <cfRule type="expression" dxfId="5806" priority="112">
      <formula>$B51=""</formula>
    </cfRule>
  </conditionalFormatting>
  <conditionalFormatting sqref="AL51:AS63 AO45:AS50">
    <cfRule type="expression" dxfId="5805" priority="113">
      <formula>AND($B45&lt;&gt;"",#REF!="")</formula>
    </cfRule>
    <cfRule type="expression" dxfId="5804" priority="114">
      <formula>$B45=""</formula>
    </cfRule>
  </conditionalFormatting>
  <conditionalFormatting sqref="AL12:AU12">
    <cfRule type="expression" dxfId="5803" priority="94">
      <formula>COUNTA(AL$14:AL$63)&gt;0</formula>
    </cfRule>
  </conditionalFormatting>
  <conditionalFormatting sqref="AT14:AU63">
    <cfRule type="expression" dxfId="5802" priority="74">
      <formula>AND($B14&lt;&gt;"",$B15="")</formula>
    </cfRule>
    <cfRule type="expression" dxfId="5801" priority="75">
      <formula>$B14=""</formula>
    </cfRule>
  </conditionalFormatting>
  <conditionalFormatting sqref="AT56:AU56">
    <cfRule type="expression" dxfId="5800" priority="76">
      <formula>AND($B56&lt;&gt;"",$B63="")</formula>
    </cfRule>
    <cfRule type="expression" dxfId="5799" priority="77">
      <formula>$B56=""</formula>
    </cfRule>
  </conditionalFormatting>
  <conditionalFormatting sqref="AT50:AU50">
    <cfRule type="expression" dxfId="5798" priority="78">
      <formula>AND($B50&lt;&gt;"",$B63="")</formula>
    </cfRule>
    <cfRule type="expression" dxfId="5797" priority="79">
      <formula>$B50=""</formula>
    </cfRule>
  </conditionalFormatting>
  <conditionalFormatting sqref="AT43:AU44">
    <cfRule type="expression" dxfId="5796" priority="80">
      <formula>AND($B43&lt;&gt;"",$B62="")</formula>
    </cfRule>
    <cfRule type="expression" dxfId="5795" priority="81">
      <formula>$B43=""</formula>
    </cfRule>
  </conditionalFormatting>
  <conditionalFormatting sqref="AT63:AU63">
    <cfRule type="expression" dxfId="5794" priority="82">
      <formula>AND($B63&lt;&gt;"",#REF!="")</formula>
    </cfRule>
    <cfRule type="expression" dxfId="5793" priority="83">
      <formula>$B63=""</formula>
    </cfRule>
  </conditionalFormatting>
  <conditionalFormatting sqref="AT61:AU61">
    <cfRule type="expression" dxfId="5792" priority="84">
      <formula>AND($B61&lt;&gt;"",$B64="")</formula>
    </cfRule>
    <cfRule type="expression" dxfId="5791" priority="85">
      <formula>$B61=""</formula>
    </cfRule>
  </conditionalFormatting>
  <conditionalFormatting sqref="AT57:AU60">
    <cfRule type="expression" dxfId="5790" priority="86">
      <formula>AND($B57&lt;&gt;"",#REF!="")</formula>
    </cfRule>
    <cfRule type="expression" dxfId="5789" priority="87">
      <formula>$B57=""</formula>
    </cfRule>
  </conditionalFormatting>
  <conditionalFormatting sqref="AT55:AU55">
    <cfRule type="expression" dxfId="5788" priority="88">
      <formula>AND($B55&lt;&gt;"",$B64="")</formula>
    </cfRule>
    <cfRule type="expression" dxfId="5787" priority="89">
      <formula>$B55=""</formula>
    </cfRule>
  </conditionalFormatting>
  <conditionalFormatting sqref="AT51:AU54">
    <cfRule type="expression" dxfId="5786" priority="90">
      <formula>AND($B51&lt;&gt;"",#REF!="")</formula>
    </cfRule>
    <cfRule type="expression" dxfId="5785" priority="91">
      <formula>$B51=""</formula>
    </cfRule>
  </conditionalFormatting>
  <conditionalFormatting sqref="AT45:AU63">
    <cfRule type="expression" dxfId="5784" priority="92">
      <formula>AND($B45&lt;&gt;"",#REF!="")</formula>
    </cfRule>
    <cfRule type="expression" dxfId="5783" priority="93">
      <formula>$B45=""</formula>
    </cfRule>
  </conditionalFormatting>
  <conditionalFormatting sqref="AL51:AU63 AO14:AU50">
    <cfRule type="expression" dxfId="5782" priority="115">
      <formula>COUNTIF($AX14:$BE14,AL14)&gt;1</formula>
    </cfRule>
  </conditionalFormatting>
  <conditionalFormatting sqref="F61:S63 U61:BN63">
    <cfRule type="expression" dxfId="5781" priority="230">
      <formula>AND($B61&lt;&gt;"",$B65="")</formula>
    </cfRule>
    <cfRule type="expression" dxfId="5780" priority="231">
      <formula>$B61=""</formula>
    </cfRule>
  </conditionalFormatting>
  <conditionalFormatting sqref="F51:S60 U51:BN60 J50:P50 S50 U50:AK50 AO50:BN50">
    <cfRule type="expression" dxfId="5779" priority="232">
      <formula>AND($B50&lt;&gt;"",#REF!="")</formula>
    </cfRule>
    <cfRule type="expression" dxfId="5778" priority="233">
      <formula>$B50=""</formula>
    </cfRule>
  </conditionalFormatting>
  <conditionalFormatting sqref="T2">
    <cfRule type="expression" dxfId="5777" priority="73">
      <formula>COUNTA(F$14:F$63)&gt;0</formula>
    </cfRule>
  </conditionalFormatting>
  <conditionalFormatting sqref="T3">
    <cfRule type="expression" dxfId="5776" priority="234">
      <formula>COUNTA(G$14:G$63)&gt;0</formula>
    </cfRule>
  </conditionalFormatting>
  <conditionalFormatting sqref="T4">
    <cfRule type="expression" dxfId="5775" priority="235">
      <formula>COUNTA(H$14:H$63)&gt;0</formula>
    </cfRule>
  </conditionalFormatting>
  <conditionalFormatting sqref="T5">
    <cfRule type="expression" dxfId="5774" priority="236">
      <formula>COUNTA(I$14:I$63)&gt;0</formula>
    </cfRule>
  </conditionalFormatting>
  <conditionalFormatting sqref="T7">
    <cfRule type="expression" dxfId="5773" priority="72">
      <formula>COUNTA(K$14:K$63)&gt;0</formula>
    </cfRule>
  </conditionalFormatting>
  <conditionalFormatting sqref="T11">
    <cfRule type="expression" dxfId="5772" priority="237">
      <formula>COUNTA(O$14:O$63)&gt;0</formula>
    </cfRule>
  </conditionalFormatting>
  <conditionalFormatting sqref="T10">
    <cfRule type="expression" dxfId="5771" priority="238">
      <formula>COUNTA(N$14:N$63)&gt;0</formula>
    </cfRule>
  </conditionalFormatting>
  <conditionalFormatting sqref="T9">
    <cfRule type="expression" dxfId="5770" priority="239">
      <formula>COUNTA(M$14:M$63)&gt;0</formula>
    </cfRule>
  </conditionalFormatting>
  <conditionalFormatting sqref="T8">
    <cfRule type="expression" dxfId="5769" priority="240">
      <formula>COUNTA(L$14:L$63)&gt;0</formula>
    </cfRule>
  </conditionalFormatting>
  <conditionalFormatting sqref="T6">
    <cfRule type="expression" dxfId="5768" priority="71">
      <formula>COUNTA(J$14:J$63)&gt;0</formula>
    </cfRule>
  </conditionalFormatting>
  <conditionalFormatting sqref="AW2">
    <cfRule type="expression" dxfId="5767" priority="70">
      <formula>COUNTA(AL$14:AL$63)&gt;0</formula>
    </cfRule>
  </conditionalFormatting>
  <conditionalFormatting sqref="AW3">
    <cfRule type="expression" dxfId="5766" priority="69">
      <formula>COUNTA(AM$14:AM$63)&gt;0</formula>
    </cfRule>
  </conditionalFormatting>
  <conditionalFormatting sqref="AW4">
    <cfRule type="expression" dxfId="5765" priority="68">
      <formula>COUNTA(AN$14:AN$63)&gt;0</formula>
    </cfRule>
  </conditionalFormatting>
  <conditionalFormatting sqref="AW5">
    <cfRule type="expression" dxfId="5764" priority="67">
      <formula>COUNTA(AO$14:AO$63)&gt;0</formula>
    </cfRule>
  </conditionalFormatting>
  <conditionalFormatting sqref="AW6">
    <cfRule type="expression" dxfId="5763" priority="66">
      <formula>COUNTA(AP$14:AP$63)&gt;0</formula>
    </cfRule>
  </conditionalFormatting>
  <conditionalFormatting sqref="AW7">
    <cfRule type="expression" dxfId="5762" priority="65">
      <formula>COUNTA(AQ$14:AQ$63)&gt;0</formula>
    </cfRule>
  </conditionalFormatting>
  <conditionalFormatting sqref="AW8">
    <cfRule type="expression" dxfId="5761" priority="64">
      <formula>COUNTA(AR$14:AR$63)&gt;0</formula>
    </cfRule>
  </conditionalFormatting>
  <conditionalFormatting sqref="AW9">
    <cfRule type="expression" dxfId="5760" priority="63">
      <formula>COUNTA(AS$14:AS$63)&gt;0</formula>
    </cfRule>
  </conditionalFormatting>
  <conditionalFormatting sqref="AW10">
    <cfRule type="expression" dxfId="5759" priority="62">
      <formula>COUNTA(AT$14:AT$63)&gt;0</formula>
    </cfRule>
  </conditionalFormatting>
  <conditionalFormatting sqref="AW11">
    <cfRule type="expression" dxfId="5758" priority="61">
      <formula>COUNTA(AU$14:AU$63)&gt;0</formula>
    </cfRule>
  </conditionalFormatting>
  <conditionalFormatting sqref="I49">
    <cfRule type="expression" dxfId="5757" priority="57">
      <formula>AND($B49&lt;&gt;"",$B64="")</formula>
    </cfRule>
    <cfRule type="expression" dxfId="5756" priority="58">
      <formula>$B49=""</formula>
    </cfRule>
  </conditionalFormatting>
  <conditionalFormatting sqref="I14:I50">
    <cfRule type="expression" dxfId="5755" priority="48">
      <formula>AND($B14&lt;&gt;"",$B15="")</formula>
    </cfRule>
    <cfRule type="expression" dxfId="5754" priority="49">
      <formula>$B14=""</formula>
    </cfRule>
  </conditionalFormatting>
  <conditionalFormatting sqref="I50">
    <cfRule type="expression" dxfId="5753" priority="50">
      <formula>AND($B50&lt;&gt;"",$B63="")</formula>
    </cfRule>
    <cfRule type="expression" dxfId="5752" priority="51">
      <formula>$B50=""</formula>
    </cfRule>
  </conditionalFormatting>
  <conditionalFormatting sqref="I43:I44">
    <cfRule type="expression" dxfId="5751" priority="52">
      <formula>AND($B43&lt;&gt;"",$B62="")</formula>
    </cfRule>
    <cfRule type="expression" dxfId="5750" priority="53">
      <formula>$B43=""</formula>
    </cfRule>
  </conditionalFormatting>
  <conditionalFormatting sqref="I45:I50">
    <cfRule type="expression" dxfId="5749" priority="54">
      <formula>AND($B45&lt;&gt;"",#REF!="")</formula>
    </cfRule>
    <cfRule type="expression" dxfId="5748" priority="55">
      <formula>$B45=""</formula>
    </cfRule>
  </conditionalFormatting>
  <conditionalFormatting sqref="I14:I50">
    <cfRule type="expression" dxfId="5747" priority="56">
      <formula>COUNTIF($U14:$AB14,I14)&gt;1</formula>
    </cfRule>
  </conditionalFormatting>
  <conditionalFormatting sqref="I50">
    <cfRule type="expression" dxfId="5746" priority="59">
      <formula>AND($B50&lt;&gt;"",#REF!="")</formula>
    </cfRule>
    <cfRule type="expression" dxfId="5745" priority="60">
      <formula>$B50=""</formula>
    </cfRule>
  </conditionalFormatting>
  <conditionalFormatting sqref="AL14:AN50">
    <cfRule type="expression" dxfId="5744" priority="1">
      <formula>AND($B14&lt;&gt;"",$B15="")</formula>
    </cfRule>
    <cfRule type="expression" dxfId="5743" priority="2">
      <formula>$B14=""</formula>
    </cfRule>
  </conditionalFormatting>
  <conditionalFormatting sqref="F49:H49">
    <cfRule type="expression" dxfId="5742" priority="35">
      <formula>AND($B49&lt;&gt;"",$B64="")</formula>
    </cfRule>
    <cfRule type="expression" dxfId="5741" priority="36">
      <formula>$B49=""</formula>
    </cfRule>
  </conditionalFormatting>
  <conditionalFormatting sqref="F14:H50">
    <cfRule type="expression" dxfId="5740" priority="26">
      <formula>AND($B14&lt;&gt;"",$B15="")</formula>
    </cfRule>
    <cfRule type="expression" dxfId="5739" priority="27">
      <formula>$B14=""</formula>
    </cfRule>
  </conditionalFormatting>
  <conditionalFormatting sqref="F50:H50">
    <cfRule type="expression" dxfId="5738" priority="28">
      <formula>AND($B50&lt;&gt;"",$B63="")</formula>
    </cfRule>
    <cfRule type="expression" dxfId="5737" priority="29">
      <formula>$B50=""</formula>
    </cfRule>
  </conditionalFormatting>
  <conditionalFormatting sqref="F43:H44">
    <cfRule type="expression" dxfId="5736" priority="30">
      <formula>AND($B43&lt;&gt;"",$B62="")</formula>
    </cfRule>
    <cfRule type="expression" dxfId="5735" priority="31">
      <formula>$B43=""</formula>
    </cfRule>
  </conditionalFormatting>
  <conditionalFormatting sqref="F45:H50">
    <cfRule type="expression" dxfId="5734" priority="32">
      <formula>AND($B45&lt;&gt;"",#REF!="")</formula>
    </cfRule>
    <cfRule type="expression" dxfId="5733" priority="33">
      <formula>$B45=""</formula>
    </cfRule>
  </conditionalFormatting>
  <conditionalFormatting sqref="F14:H50">
    <cfRule type="expression" dxfId="5732" priority="34">
      <formula>COUNTIF($U14:$AB14,F14)&gt;1</formula>
    </cfRule>
  </conditionalFormatting>
  <conditionalFormatting sqref="F50:H50">
    <cfRule type="expression" dxfId="5731" priority="37">
      <formula>AND($B50&lt;&gt;"",#REF!="")</formula>
    </cfRule>
    <cfRule type="expression" dxfId="5730" priority="38">
      <formula>$B50=""</formula>
    </cfRule>
  </conditionalFormatting>
  <conditionalFormatting sqref="Q14:R50">
    <cfRule type="expression" dxfId="5729" priority="14">
      <formula>AND($B14&lt;&gt;"",$B15="")</formula>
    </cfRule>
    <cfRule type="expression" dxfId="5728" priority="15">
      <formula>$B14=""</formula>
    </cfRule>
  </conditionalFormatting>
  <conditionalFormatting sqref="Q50:R50">
    <cfRule type="expression" dxfId="5727" priority="16">
      <formula>AND($B50&lt;&gt;"",$B63="")</formula>
    </cfRule>
    <cfRule type="expression" dxfId="5726" priority="17">
      <formula>$B50=""</formula>
    </cfRule>
  </conditionalFormatting>
  <conditionalFormatting sqref="Q43:R44">
    <cfRule type="expression" dxfId="5725" priority="18">
      <formula>AND($B43&lt;&gt;"",$B62="")</formula>
    </cfRule>
    <cfRule type="expression" dxfId="5724" priority="19">
      <formula>$B43=""</formula>
    </cfRule>
  </conditionalFormatting>
  <conditionalFormatting sqref="Q49:R49">
    <cfRule type="expression" dxfId="5723" priority="20">
      <formula>AND($B49&lt;&gt;"",$B64="")</formula>
    </cfRule>
    <cfRule type="expression" dxfId="5722" priority="21">
      <formula>$B49=""</formula>
    </cfRule>
  </conditionalFormatting>
  <conditionalFormatting sqref="Q45:R50">
    <cfRule type="expression" dxfId="5721" priority="22">
      <formula>AND($B45&lt;&gt;"",#REF!="")</formula>
    </cfRule>
    <cfRule type="expression" dxfId="5720" priority="23">
      <formula>$B45=""</formula>
    </cfRule>
  </conditionalFormatting>
  <conditionalFormatting sqref="Q50:R50">
    <cfRule type="expression" dxfId="5719" priority="24">
      <formula>AND($B50&lt;&gt;"",#REF!="")</formula>
    </cfRule>
    <cfRule type="expression" dxfId="5718" priority="25">
      <formula>$B50=""</formula>
    </cfRule>
  </conditionalFormatting>
  <conditionalFormatting sqref="AL49:AN49">
    <cfRule type="expression" dxfId="5717" priority="10">
      <formula>AND($B49&lt;&gt;"",$B64="")</formula>
    </cfRule>
    <cfRule type="expression" dxfId="5716" priority="11">
      <formula>$B49=""</formula>
    </cfRule>
  </conditionalFormatting>
  <conditionalFormatting sqref="AL50:AN50">
    <cfRule type="expression" dxfId="5715" priority="3">
      <formula>AND($B50&lt;&gt;"",$B63="")</formula>
    </cfRule>
    <cfRule type="expression" dxfId="5714" priority="4">
      <formula>$B50=""</formula>
    </cfRule>
  </conditionalFormatting>
  <conditionalFormatting sqref="AL43:AN44">
    <cfRule type="expression" dxfId="5713" priority="5">
      <formula>AND($B43&lt;&gt;"",$B62="")</formula>
    </cfRule>
    <cfRule type="expression" dxfId="5712" priority="6">
      <formula>$B43=""</formula>
    </cfRule>
  </conditionalFormatting>
  <conditionalFormatting sqref="AL45:AN50">
    <cfRule type="expression" dxfId="5711" priority="7">
      <formula>AND($B45&lt;&gt;"",#REF!="")</formula>
    </cfRule>
    <cfRule type="expression" dxfId="5710" priority="8">
      <formula>$B45=""</formula>
    </cfRule>
  </conditionalFormatting>
  <conditionalFormatting sqref="AL14:AN50">
    <cfRule type="expression" dxfId="5709" priority="9">
      <formula>COUNTIF($AX14:$BE14,AL14)&gt;1</formula>
    </cfRule>
  </conditionalFormatting>
  <conditionalFormatting sqref="AL50:AN50">
    <cfRule type="expression" dxfId="5708" priority="12">
      <formula>AND($B50&lt;&gt;"",#REF!="")</formula>
    </cfRule>
    <cfRule type="expression" dxfId="5707" priority="13">
      <formula>$B50=""</formula>
    </cfRule>
  </conditionalFormatting>
  <dataValidations count="6">
    <dataValidation allowBlank="1" showInputMessage="1" showErrorMessage="1" prompt="Bobot Nilai" sqref="P13:R13 BH11 AE12:AF12"/>
    <dataValidation allowBlank="1" showInputMessage="1" showErrorMessage="1" prompt="Rata-rata Harian" sqref="P12 AV12"/>
    <dataValidation allowBlank="1" showInputMessage="1" showErrorMessage="1" promptTitle="Tulis Bobot Nilai" prompt="Berupa Nilai Praktik, Portofolio atau Proyek._x000a_Bobot Praktik disarankan lebih tinggi" sqref="AL13:AU13 AX13:BG13"/>
    <dataValidation type="whole" allowBlank="1" showInputMessage="1" showErrorMessage="1" errorTitle="Petunjuk" error="Nilai 0-100" sqref="F14:O63 Q14:R63 AL14:AU63">
      <formula1>0</formula1>
      <formula2>100</formula2>
    </dataValidation>
    <dataValidation allowBlank="1" showInputMessage="1" showErrorMessage="1" prompt="KKM" sqref="H69:H70"/>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0866141732283472" right="0.43307086614173229" top="0.27559055118110237" bottom="0.31496062992125984" header="0.31496062992125984" footer="0.23622047244094491"/>
  <pageSetup paperSize="9" orientation="landscape" blackAndWhite="1"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00FF"/>
  </sheetPr>
  <dimension ref="A1:DG97"/>
  <sheetViews>
    <sheetView showGridLines="0" showRowColHeaders="0" workbookViewId="0">
      <pane xSplit="5" ySplit="13" topLeftCell="F14" activePane="bottomRight" state="frozen"/>
      <selection activeCell="AW5" sqref="AW5:BN7"/>
      <selection pane="topRight" activeCell="AW5" sqref="AW5:BN7"/>
      <selection pane="bottomLeft" activeCell="AW5" sqref="AW5:BN7"/>
      <selection pane="bottomRight" activeCell="AL14" sqref="AL14:AM50"/>
    </sheetView>
  </sheetViews>
  <sheetFormatPr defaultColWidth="0" defaultRowHeight="0" customHeight="1"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t="str">
        <f>Data2!C6</f>
        <v>Bahasa Indonesia</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74" t="s">
        <v>1609</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79" t="s">
        <v>1613</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1610</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1614</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1611</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1302</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t="s">
        <v>1612</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1303</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1175</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1304</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1176</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1305</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1177</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1306</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1178</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1307</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1179</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1308</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1180</v>
      </c>
      <c r="AL11" s="1800"/>
      <c r="AM11" s="1803"/>
      <c r="AN11" s="1803"/>
      <c r="AO11" s="1803"/>
      <c r="AP11" s="1803"/>
      <c r="AQ11" s="1803"/>
      <c r="AR11" s="1803"/>
      <c r="AS11" s="1803"/>
      <c r="AT11" s="1803"/>
      <c r="AU11" s="1804"/>
      <c r="AV11" s="1196">
        <v>10</v>
      </c>
      <c r="AW11" s="1197" t="s">
        <v>929</v>
      </c>
      <c r="AX11" s="1198">
        <f t="shared" ref="AX11:BG11" si="1">IF(COUNT(AX14:AX63)&gt;0,AX13,"")</f>
        <v>1</v>
      </c>
      <c r="AY11" s="1198">
        <f t="shared" si="1"/>
        <v>1</v>
      </c>
      <c r="AZ11" s="1198" t="str">
        <f t="shared" si="1"/>
        <v/>
      </c>
      <c r="BA11" s="1198" t="str">
        <f t="shared" si="1"/>
        <v/>
      </c>
      <c r="BB11" s="1198" t="str">
        <f t="shared" si="1"/>
        <v/>
      </c>
      <c r="BC11" s="1198" t="str">
        <f t="shared" si="1"/>
        <v/>
      </c>
      <c r="BD11" s="1198" t="str">
        <f t="shared" si="1"/>
        <v/>
      </c>
      <c r="BE11" s="1198" t="str">
        <f t="shared" si="1"/>
        <v/>
      </c>
      <c r="BF11" s="1198" t="str">
        <f t="shared" si="1"/>
        <v/>
      </c>
      <c r="BG11" s="1198" t="str">
        <f t="shared" si="1"/>
        <v/>
      </c>
      <c r="BH11" s="1198">
        <f>SUM(AX11:BG11)</f>
        <v>2</v>
      </c>
      <c r="BI11" s="1199"/>
      <c r="BJ11" s="1199"/>
      <c r="BK11" s="1199"/>
      <c r="BL11" s="1199"/>
      <c r="BM11" s="1199"/>
      <c r="BN11" s="1186" t="s">
        <v>1309</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f t="shared" ref="U12:AD12" si="2">IF(COUNT(U14:U63)&gt;0,1,"")</f>
        <v>1</v>
      </c>
      <c r="V12" s="1201">
        <f t="shared" si="2"/>
        <v>1</v>
      </c>
      <c r="W12" s="1201">
        <f t="shared" si="2"/>
        <v>1</v>
      </c>
      <c r="X12" s="1201">
        <f t="shared" si="2"/>
        <v>1</v>
      </c>
      <c r="Y12" s="1201" t="str">
        <f t="shared" si="2"/>
        <v/>
      </c>
      <c r="Z12" s="1201" t="str">
        <f t="shared" si="2"/>
        <v/>
      </c>
      <c r="AA12" s="1201" t="str">
        <f t="shared" si="2"/>
        <v/>
      </c>
      <c r="AB12" s="1201" t="str">
        <f t="shared" si="2"/>
        <v/>
      </c>
      <c r="AC12" s="1201" t="str">
        <f t="shared" si="2"/>
        <v/>
      </c>
      <c r="AD12" s="1201" t="str">
        <f t="shared" si="2"/>
        <v/>
      </c>
      <c r="AE12" s="1202">
        <f>SUM(U12:AD12)</f>
        <v>4</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v>85</v>
      </c>
      <c r="G14" s="276">
        <v>85</v>
      </c>
      <c r="H14" s="276">
        <v>85</v>
      </c>
      <c r="I14" s="276">
        <v>85</v>
      </c>
      <c r="J14" s="277"/>
      <c r="K14" s="277"/>
      <c r="L14" s="277"/>
      <c r="M14" s="280"/>
      <c r="N14" s="277"/>
      <c r="O14" s="278"/>
      <c r="P14" s="279">
        <f t="shared" ref="P14" si="4">IF(COUNT(U14:AD14)&lt;2,"",ROUND(SUM(U14:AD14)/$AE$12,0))</f>
        <v>85</v>
      </c>
      <c r="Q14" s="1480">
        <v>86</v>
      </c>
      <c r="R14" s="1482">
        <v>58</v>
      </c>
      <c r="S14" s="281">
        <f t="shared" ref="S14" si="5">IFERROR(ROUND(((P14*$P$13)+(Q14*$Q$13)+(R14*$R$13))/$AF$12,0),"")</f>
        <v>79</v>
      </c>
      <c r="T14" s="295" t="str">
        <f t="shared" ref="T14" si="6">IF(S14="","",IF(S14&gt;$H$76,$Q$75,IF(S14&gt;$H$77,$Q$76,IF(S14&gt;$H$78,$Q$77,$Q$78))))</f>
        <v>C</v>
      </c>
      <c r="U14" s="1215">
        <f t="shared" ref="U14:AD29" si="7">IF(F14="","",F14+U$13)</f>
        <v>85.01</v>
      </c>
      <c r="V14" s="1216">
        <f t="shared" si="7"/>
        <v>85.02</v>
      </c>
      <c r="W14" s="1216">
        <f t="shared" si="7"/>
        <v>85.03</v>
      </c>
      <c r="X14" s="1216">
        <f t="shared" si="7"/>
        <v>85.04</v>
      </c>
      <c r="Y14" s="1216" t="str">
        <f t="shared" si="7"/>
        <v/>
      </c>
      <c r="Z14" s="1216" t="str">
        <f t="shared" si="7"/>
        <v/>
      </c>
      <c r="AA14" s="1216" t="str">
        <f t="shared" si="7"/>
        <v/>
      </c>
      <c r="AB14" s="1217" t="str">
        <f t="shared" si="7"/>
        <v/>
      </c>
      <c r="AC14" s="1216" t="str">
        <f t="shared" si="7"/>
        <v/>
      </c>
      <c r="AD14" s="1218" t="str">
        <f t="shared" si="7"/>
        <v/>
      </c>
      <c r="AE14" s="1219">
        <f t="shared" ref="AE14" si="8">MAX(U14:AD14)</f>
        <v>85.04</v>
      </c>
      <c r="AF14" s="282">
        <f t="shared" ref="AF14" si="9">MIN(U14:AD14)</f>
        <v>85.01</v>
      </c>
      <c r="AG14" s="282" t="str">
        <f t="shared" ref="AG14:AH29" si="10">IF(AE14&gt;$H$76,$I$75,IF(AE14&gt;$H$77,$I$76,IF(AE14&gt;$H$78,$I$77,$I$78)))</f>
        <v>baik</v>
      </c>
      <c r="AH14" s="282" t="str">
        <f t="shared" si="10"/>
        <v>baik</v>
      </c>
      <c r="AI14" s="282">
        <f t="shared" ref="AI14" si="11">IFERROR(MATCH(AE14,U14:AD14,0),"")</f>
        <v>4</v>
      </c>
      <c r="AJ14" s="283">
        <f t="shared" ref="AJ14" si="12">IFERROR(MATCH(AF14,U14:AD14,0),"")</f>
        <v>1</v>
      </c>
      <c r="AK14" s="284" t="str">
        <f t="shared" ref="AK14" si="13">IF(S14="","",IFERROR("Memiliki kemampuan "&amp;IF(AG14=AH14,AG14&amp;" dalam "&amp;VLOOKUP(AI14,$S$2:$AK$11,19)&amp;" dan "&amp;VLOOKUP(AJ14,$S$2:$AK$11,19),AG14&amp;" dalam "&amp;VLOOKUP(AI14,$S$2:$AK$11,19)&amp;", "&amp;AH14&amp;" kemampuan dalam "&amp;VLOOKUP(AJ14,$S$2:$AK$11,19)),""))</f>
        <v>Memiliki kemampuan baik dalam Menganalisis  unsur pembangun puisi. dan Menganalisis  isi, struktur dan kebahasaan teks  negosiasi.</v>
      </c>
      <c r="AL14" s="276">
        <v>88</v>
      </c>
      <c r="AM14" s="276">
        <v>88</v>
      </c>
      <c r="AN14" s="277"/>
      <c r="AO14" s="277"/>
      <c r="AP14" s="277"/>
      <c r="AQ14" s="277"/>
      <c r="AR14" s="277"/>
      <c r="AS14" s="280"/>
      <c r="AT14" s="277"/>
      <c r="AU14" s="278"/>
      <c r="AV14" s="285">
        <f t="shared" ref="AV14" si="14">IF(COUNT(AL14:AU14)&lt;2,"",ROUND(((AL14*$AX$13)+(AM14*$AY$13)+(AN14*$AZ$13)+(AO14*$BA$13)+(AP14*$BB$13)+(AQ14*$BC$13)+(AR14*$BD$13)+(AS14*$BE$13)+(AT14*$BF$13)+(AU14*$BG$13))/$BH$11,0))</f>
        <v>88</v>
      </c>
      <c r="AW14" s="296" t="str">
        <f t="shared" ref="AW14" si="15">IF(AV14="","",IF(AV14&gt;$AN$76,$AV$75,IF(AV14&gt;$AN$77,$AV$76,IF(AV14&gt;$AN$78,$AV$77,$AV$78))))</f>
        <v>B</v>
      </c>
      <c r="AX14" s="1220">
        <f t="shared" ref="AX14:BG29" si="16">IF(AL14="","",AL14+AX$12)</f>
        <v>88.01</v>
      </c>
      <c r="AY14" s="1221">
        <f t="shared" si="16"/>
        <v>88.02</v>
      </c>
      <c r="AZ14" s="1221" t="str">
        <f t="shared" si="16"/>
        <v/>
      </c>
      <c r="BA14" s="1221" t="str">
        <f t="shared" si="16"/>
        <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88.02</v>
      </c>
      <c r="BI14" s="286">
        <f t="shared" ref="BI14" si="18">MIN(AX14:BG14)</f>
        <v>88.01</v>
      </c>
      <c r="BJ14" s="287" t="str">
        <f t="shared" ref="BJ14:BK14" si="19">IF(BH14&gt;$H$76,$AO$75,IF(BH14&gt;$H$77,$AO$76,IF(BH14&gt;$H$78,$AO$77,$AO$78)))</f>
        <v>baik</v>
      </c>
      <c r="BK14" s="287" t="str">
        <f t="shared" si="19"/>
        <v>baik</v>
      </c>
      <c r="BL14" s="286">
        <f t="shared" ref="BL14" si="20">MATCH(BH14,AX14:BG14,0)</f>
        <v>2</v>
      </c>
      <c r="BM14" s="288">
        <f t="shared" ref="BM14" si="21">MATCH(BI14,AX14:BG14,0)</f>
        <v>1</v>
      </c>
      <c r="BN14" s="289" t="str">
        <f t="shared" ref="BN14" si="22">IF(AV14="","",IFERROR("Memiliki keterampilan "&amp;IF(BJ14=BK14,BJ14&amp;" dalam "&amp;VLOOKUP(BL14,$AV$2:$BN$11,19)&amp;" dan "&amp;VLOOKUP(BM14,$AV$2:$BN$11,19),BJ14&amp;" dalam "&amp;VLOOKUP(BL14,$AV$2:$BN$11,19)&amp;", "&amp;BK14&amp;" keterampilan dalam "&amp;VLOOKUP(BM14,$AV$2:$BN$11,19)),""))</f>
        <v>Memiliki keterampilan baik dalam mengembangkan permasalahan isu dan berbagai sudut pandang dan Menyampaikan penawaran dalam teks negosiasi secara lisan.</v>
      </c>
      <c r="BO14" s="67"/>
    </row>
    <row r="15" spans="1:67" ht="33" customHeight="1">
      <c r="A15" s="67"/>
      <c r="B15" s="272">
        <f>IF(D15="","",B14+1)</f>
        <v>2</v>
      </c>
      <c r="C15" s="273">
        <f>IF(Data!F6="","",Data!F6)</f>
        <v>0</v>
      </c>
      <c r="D15" s="274" t="str">
        <f>IF(Data!H6="","",Data!H6)</f>
        <v>Aprianus Bira</v>
      </c>
      <c r="E15" s="275" t="str">
        <f>IF(Data!I6="","",Data!I6)</f>
        <v>L</v>
      </c>
      <c r="F15" s="276">
        <v>85</v>
      </c>
      <c r="G15" s="276">
        <v>85</v>
      </c>
      <c r="H15" s="276">
        <v>85</v>
      </c>
      <c r="I15" s="276">
        <v>85</v>
      </c>
      <c r="J15" s="277"/>
      <c r="K15" s="277"/>
      <c r="L15" s="277"/>
      <c r="M15" s="280"/>
      <c r="N15" s="277"/>
      <c r="O15" s="278"/>
      <c r="P15" s="279">
        <f>IF(COUNT(U15:AD15)&lt;2,"",ROUND(SUM(U15:AD15)/$AE$12,0))</f>
        <v>85</v>
      </c>
      <c r="Q15" s="277">
        <v>100</v>
      </c>
      <c r="R15" s="1482">
        <v>50</v>
      </c>
      <c r="S15" s="281">
        <f>IFERROR(ROUND(((P15*$P$13)+(Q15*$Q$13)+(R15*$R$13))/$AF$12,0),"")</f>
        <v>80</v>
      </c>
      <c r="T15" s="295" t="str">
        <f>IF(S15="","",IF(S15&gt;$H$76,$Q$75,IF(S15&gt;$H$77,$Q$76,IF(S15&gt;$H$78,$Q$77,$Q$78))))</f>
        <v>C</v>
      </c>
      <c r="U15" s="1215">
        <f t="shared" si="7"/>
        <v>85.01</v>
      </c>
      <c r="V15" s="1216">
        <f t="shared" si="7"/>
        <v>85.02</v>
      </c>
      <c r="W15" s="1216">
        <f t="shared" si="7"/>
        <v>85.03</v>
      </c>
      <c r="X15" s="1216">
        <f t="shared" si="7"/>
        <v>85.04</v>
      </c>
      <c r="Y15" s="1216" t="str">
        <f t="shared" si="7"/>
        <v/>
      </c>
      <c r="Z15" s="1216" t="str">
        <f t="shared" si="7"/>
        <v/>
      </c>
      <c r="AA15" s="1216" t="str">
        <f t="shared" si="7"/>
        <v/>
      </c>
      <c r="AB15" s="1217" t="str">
        <f t="shared" si="7"/>
        <v/>
      </c>
      <c r="AC15" s="1216" t="str">
        <f t="shared" si="7"/>
        <v/>
      </c>
      <c r="AD15" s="1218" t="str">
        <f t="shared" si="7"/>
        <v/>
      </c>
      <c r="AE15" s="1219">
        <f>MAX(U15:AD15)</f>
        <v>85.04</v>
      </c>
      <c r="AF15" s="282">
        <f>MIN(U15:AD15)</f>
        <v>85.01</v>
      </c>
      <c r="AG15" s="282" t="str">
        <f>IF(AE15&gt;$H$76,$I$75,IF(AE15&gt;$H$77,$I$76,IF(AE15&gt;$H$78,$I$77,$I$78)))</f>
        <v>baik</v>
      </c>
      <c r="AH15" s="282" t="str">
        <f t="shared" si="10"/>
        <v>baik</v>
      </c>
      <c r="AI15" s="282">
        <f>IFERROR(MATCH(AE15,U15:AD15,0),"")</f>
        <v>4</v>
      </c>
      <c r="AJ15" s="283">
        <f>IFERROR(MATCH(AF15,U15:AD15,0),"")</f>
        <v>1</v>
      </c>
      <c r="AK15" s="284" t="str">
        <f>IF(S15="","",IFERROR("Memiliki kemampuan "&amp;IF(AG15=AH15,AG15&amp;" dalam "&amp;VLOOKUP(AI15,$S$2:$AK$11,19)&amp;" dan "&amp;VLOOKUP(AJ15,$S$2:$AK$11,19),AG15&amp;" dalam "&amp;VLOOKUP(AI15,$S$2:$AK$11,19)&amp;", "&amp;AH15&amp;" kemampuan dalam "&amp;VLOOKUP(AJ15,$S$2:$AK$11,19)),""))</f>
        <v>Memiliki kemampuan baik dalam Menganalisis  unsur pembangun puisi. dan Menganalisis  isi, struktur dan kebahasaan teks  negosiasi.</v>
      </c>
      <c r="AL15" s="276">
        <v>88</v>
      </c>
      <c r="AM15" s="276">
        <v>88</v>
      </c>
      <c r="AN15" s="277"/>
      <c r="AO15" s="277"/>
      <c r="AP15" s="277"/>
      <c r="AQ15" s="277"/>
      <c r="AR15" s="277"/>
      <c r="AS15" s="280"/>
      <c r="AT15" s="277"/>
      <c r="AU15" s="278"/>
      <c r="AV15" s="285">
        <f>IF(COUNT(AL15:AU15)&lt;2,"",ROUND(((AL15*$AX$13)+(AM15*$AY$13)+(AN15*$AZ$13)+(AO15*$BA$13)+(AP15*$BB$13)+(AQ15*$BC$13)+(AR15*$BD$13)+(AS15*$BE$13)+(AT15*$BF$13)+(AU15*$BG$13))/$BH$11,0))</f>
        <v>88</v>
      </c>
      <c r="AW15" s="296" t="str">
        <f>IF(AV15="","",IF(AV15&gt;$AN$76,$AV$75,IF(AV15&gt;$AN$77,$AV$76,IF(AV15&gt;$AN$78,$AV$77,$AV$78))))</f>
        <v>B</v>
      </c>
      <c r="AX15" s="1220">
        <f t="shared" si="16"/>
        <v>88.01</v>
      </c>
      <c r="AY15" s="1221">
        <f t="shared" si="16"/>
        <v>88.02</v>
      </c>
      <c r="AZ15" s="1221" t="str">
        <f>IF(AN15="","",AN15+AZ$12)</f>
        <v/>
      </c>
      <c r="BA15" s="1221" t="str">
        <f t="shared" si="16"/>
        <v/>
      </c>
      <c r="BB15" s="1221" t="str">
        <f t="shared" si="16"/>
        <v/>
      </c>
      <c r="BC15" s="1221" t="str">
        <f t="shared" si="16"/>
        <v/>
      </c>
      <c r="BD15" s="1221" t="str">
        <f t="shared" si="16"/>
        <v/>
      </c>
      <c r="BE15" s="1222" t="str">
        <f t="shared" si="16"/>
        <v/>
      </c>
      <c r="BF15" s="1221" t="str">
        <f t="shared" si="16"/>
        <v/>
      </c>
      <c r="BG15" s="1223" t="str">
        <f t="shared" si="16"/>
        <v/>
      </c>
      <c r="BH15" s="286">
        <f>MAX(AX15:BG15)</f>
        <v>88.02</v>
      </c>
      <c r="BI15" s="286">
        <f>MIN(AX15:BG15)</f>
        <v>88.01</v>
      </c>
      <c r="BJ15" s="287" t="str">
        <f>IF(BH15&gt;$H$76,$AO$75,IF(BH15&gt;$H$77,$AO$76,IF(BH15&gt;$H$78,$AO$77,$AO$78)))</f>
        <v>baik</v>
      </c>
      <c r="BK15" s="287" t="str">
        <f>IF(BI15&gt;$H$76,$AO$75,IF(BI15&gt;$H$77,$AO$76,IF(BI15&gt;$H$78,$AO$77,$AO$78)))</f>
        <v>baik</v>
      </c>
      <c r="BL15" s="286">
        <f>MATCH(BH15,AX15:BG15,0)</f>
        <v>2</v>
      </c>
      <c r="BM15" s="288">
        <f>MATCH(BI15,AX15:BG15,0)</f>
        <v>1</v>
      </c>
      <c r="BN15" s="289" t="str">
        <f>IF(AV15="","",IFERROR("Memiliki keterampilan "&amp;IF(BJ15=BK15,BJ15&amp;" dalam "&amp;VLOOKUP(BL15,$AV$2:$BN$11,19)&amp;" dan "&amp;VLOOKUP(BM15,$AV$2:$BN$11,19),BJ15&amp;" dalam "&amp;VLOOKUP(BL15,$AV$2:$BN$11,19)&amp;", "&amp;BK15&amp;" keterampilan dalam "&amp;VLOOKUP(BM15,$AV$2:$BN$11,19)),""))</f>
        <v>Memiliki keterampilan baik dalam mengembangkan permasalahan isu dan berbagai sudut pandang dan Menyampaikan penawaran dalam teks negosiasi secara lisan.</v>
      </c>
      <c r="BO15" s="67"/>
    </row>
    <row r="16" spans="1:67" ht="33" customHeight="1">
      <c r="A16" s="67"/>
      <c r="B16" s="272">
        <f t="shared" ref="B16:B37" si="23">IF(D16="","",B15+1)</f>
        <v>3</v>
      </c>
      <c r="C16" s="273">
        <f>IF(Data!F7="","",Data!F7)</f>
        <v>0</v>
      </c>
      <c r="D16" s="274" t="str">
        <f>IF(Data!H7="","",Data!H7)</f>
        <v>Asri Aldina Baksuni</v>
      </c>
      <c r="E16" s="275" t="str">
        <f>IF(Data!I7="","",Data!I7)</f>
        <v>P</v>
      </c>
      <c r="F16" s="276">
        <v>85</v>
      </c>
      <c r="G16" s="276">
        <v>85</v>
      </c>
      <c r="H16" s="276">
        <v>85</v>
      </c>
      <c r="I16" s="276">
        <v>85</v>
      </c>
      <c r="J16" s="277"/>
      <c r="K16" s="277"/>
      <c r="L16" s="277"/>
      <c r="M16" s="280"/>
      <c r="N16" s="277"/>
      <c r="O16" s="278"/>
      <c r="P16" s="279">
        <f t="shared" ref="P16:P63" si="24">IF(COUNT(U16:AD16)&lt;2,"",ROUND(SUM(U16:AD16)/$AE$12,0))</f>
        <v>85</v>
      </c>
      <c r="Q16" s="277">
        <v>93</v>
      </c>
      <c r="R16" s="1482">
        <v>55</v>
      </c>
      <c r="S16" s="281">
        <f t="shared" ref="S16:S63" si="25">IFERROR(ROUND(((P16*$P$13)+(Q16*$Q$13)+(R16*$R$13))/$AF$12,0),"")</f>
        <v>80</v>
      </c>
      <c r="T16" s="295" t="str">
        <f t="shared" ref="T16:T63" si="26">IF(S16="","",IF(S16&gt;$H$76,$Q$75,IF(S16&gt;$H$77,$Q$76,IF(S16&gt;$H$78,$Q$77,$Q$78))))</f>
        <v>C</v>
      </c>
      <c r="U16" s="1215">
        <f t="shared" si="7"/>
        <v>85.01</v>
      </c>
      <c r="V16" s="1216">
        <f t="shared" si="7"/>
        <v>85.02</v>
      </c>
      <c r="W16" s="1216">
        <f t="shared" si="7"/>
        <v>85.03</v>
      </c>
      <c r="X16" s="1216">
        <f t="shared" si="7"/>
        <v>85.04</v>
      </c>
      <c r="Y16" s="1216" t="str">
        <f t="shared" si="7"/>
        <v/>
      </c>
      <c r="Z16" s="1216" t="str">
        <f t="shared" si="7"/>
        <v/>
      </c>
      <c r="AA16" s="1216" t="str">
        <f t="shared" si="7"/>
        <v/>
      </c>
      <c r="AB16" s="1217" t="str">
        <f t="shared" si="7"/>
        <v/>
      </c>
      <c r="AC16" s="1216" t="str">
        <f t="shared" si="7"/>
        <v/>
      </c>
      <c r="AD16" s="1218" t="str">
        <f t="shared" si="7"/>
        <v/>
      </c>
      <c r="AE16" s="1219">
        <f t="shared" ref="AE16:AE63" si="27">MAX(U16:AD16)</f>
        <v>85.04</v>
      </c>
      <c r="AF16" s="282">
        <f t="shared" ref="AF16:AF63" si="28">MIN(U16:AD16)</f>
        <v>85.01</v>
      </c>
      <c r="AG16" s="282" t="str">
        <f t="shared" ref="AG16:AH63" si="29">IF(AE16&gt;$H$76,$I$75,IF(AE16&gt;$H$77,$I$76,IF(AE16&gt;$H$78,$I$77,$I$78)))</f>
        <v>baik</v>
      </c>
      <c r="AH16" s="282" t="str">
        <f t="shared" si="10"/>
        <v>baik</v>
      </c>
      <c r="AI16" s="282">
        <f t="shared" ref="AI16:AI63" si="30">IFERROR(MATCH(AE16,U16:AD16,0),"")</f>
        <v>4</v>
      </c>
      <c r="AJ16" s="283">
        <f t="shared" ref="AJ16:AJ63" si="31">IFERROR(MATCH(AF16,U16:AD16,0),"")</f>
        <v>1</v>
      </c>
      <c r="AK16" s="284" t="str">
        <f t="shared" ref="AK16:AK63" si="32">IF(S16="","",IFERROR("Memiliki kemampuan "&amp;IF(AG16=AH16,AG16&amp;" dalam "&amp;VLOOKUP(AI16,$S$2:$AK$11,19)&amp;" dan "&amp;VLOOKUP(AJ16,$S$2:$AK$11,19),AG16&amp;" dalam "&amp;VLOOKUP(AI16,$S$2:$AK$11,19)&amp;", "&amp;AH16&amp;" kemampuan dalam "&amp;VLOOKUP(AJ16,$S$2:$AK$11,19)),""))</f>
        <v>Memiliki kemampuan baik dalam Menganalisis  unsur pembangun puisi. dan Menganalisis  isi, struktur dan kebahasaan teks  negosiasi.</v>
      </c>
      <c r="AL16" s="276">
        <v>88</v>
      </c>
      <c r="AM16" s="276">
        <v>88</v>
      </c>
      <c r="AN16" s="277"/>
      <c r="AO16" s="277"/>
      <c r="AP16" s="277"/>
      <c r="AQ16" s="277"/>
      <c r="AR16" s="277"/>
      <c r="AS16" s="280"/>
      <c r="AT16" s="277"/>
      <c r="AU16" s="278"/>
      <c r="AV16" s="285">
        <f t="shared" ref="AV16:AV63" si="33">IF(COUNT(AL16:AU16)&lt;2,"",ROUND(((AL16*$AX$13)+(AM16*$AY$13)+(AN16*$AZ$13)+(AO16*$BA$13)+(AP16*$BB$13)+(AQ16*$BC$13)+(AR16*$BD$13)+(AS16*$BE$13)+(AT16*$BF$13)+(AU16*$BG$13))/$BH$11,0))</f>
        <v>88</v>
      </c>
      <c r="AW16" s="296" t="str">
        <f t="shared" ref="AW16:AW63" si="34">IF(AV16="","",IF(AV16&gt;$AN$76,$AV$75,IF(AV16&gt;$AN$77,$AV$76,IF(AV16&gt;$AN$78,$AV$77,$AV$78))))</f>
        <v>B</v>
      </c>
      <c r="AX16" s="1220">
        <f t="shared" si="16"/>
        <v>88.01</v>
      </c>
      <c r="AY16" s="1221">
        <f t="shared" si="16"/>
        <v>88.02</v>
      </c>
      <c r="AZ16" s="1221" t="str">
        <f t="shared" si="16"/>
        <v/>
      </c>
      <c r="BA16" s="1221" t="str">
        <f t="shared" si="16"/>
        <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88.02</v>
      </c>
      <c r="BI16" s="286">
        <f t="shared" ref="BI16:BI63" si="36">MIN(AX16:BG16)</f>
        <v>88.01</v>
      </c>
      <c r="BJ16" s="287" t="str">
        <f t="shared" ref="BJ16:BK63" si="37">IF(BH16&gt;$H$76,$AO$75,IF(BH16&gt;$H$77,$AO$76,IF(BH16&gt;$H$78,$AO$77,$AO$78)))</f>
        <v>baik</v>
      </c>
      <c r="BK16" s="287" t="str">
        <f t="shared" si="37"/>
        <v>baik</v>
      </c>
      <c r="BL16" s="286">
        <f t="shared" ref="BL16:BL63" si="38">MATCH(BH16,AX16:BG16,0)</f>
        <v>2</v>
      </c>
      <c r="BM16" s="288">
        <f t="shared" ref="BM16:BM63" si="39">MATCH(BI16,AX16:BG16,0)</f>
        <v>1</v>
      </c>
      <c r="BN16" s="289" t="str">
        <f t="shared" ref="BN16:BN63" si="40">IF(AV16="","",IFERROR("Memiliki keterampilan "&amp;IF(BJ16=BK16,BJ16&amp;" dalam "&amp;VLOOKUP(BL16,$AV$2:$BN$11,19)&amp;" dan "&amp;VLOOKUP(BM16,$AV$2:$BN$11,19),BJ16&amp;" dalam "&amp;VLOOKUP(BL16,$AV$2:$BN$11,19)&amp;", "&amp;BK16&amp;" keterampilan dalam "&amp;VLOOKUP(BM16,$AV$2:$BN$11,19)),""))</f>
        <v>Memiliki keterampilan baik dalam mengembangkan permasalahan isu dan berbagai sudut pandang dan Menyampaikan penawaran dalam teks negosiasi secara lisan.</v>
      </c>
      <c r="BO16" s="67"/>
    </row>
    <row r="17" spans="1:67" ht="33" customHeight="1">
      <c r="A17" s="67"/>
      <c r="B17" s="272">
        <f t="shared" si="23"/>
        <v>4</v>
      </c>
      <c r="C17" s="273">
        <f>IF(Data!F8="","",Data!F8)</f>
        <v>0</v>
      </c>
      <c r="D17" s="274" t="str">
        <f>IF(Data!H8="","",Data!H8)</f>
        <v>Asti Welmince Welkis</v>
      </c>
      <c r="E17" s="275" t="str">
        <f>IF(Data!I8="","",Data!I8)</f>
        <v>P</v>
      </c>
      <c r="F17" s="276">
        <v>85</v>
      </c>
      <c r="G17" s="276">
        <v>85</v>
      </c>
      <c r="H17" s="276">
        <v>85</v>
      </c>
      <c r="I17" s="276">
        <v>85</v>
      </c>
      <c r="J17" s="277"/>
      <c r="K17" s="277"/>
      <c r="L17" s="277"/>
      <c r="M17" s="280"/>
      <c r="N17" s="277"/>
      <c r="O17" s="278"/>
      <c r="P17" s="279">
        <f t="shared" si="24"/>
        <v>85</v>
      </c>
      <c r="Q17" s="277">
        <v>93</v>
      </c>
      <c r="R17" s="1482">
        <v>52</v>
      </c>
      <c r="S17" s="281">
        <f t="shared" si="25"/>
        <v>79</v>
      </c>
      <c r="T17" s="295" t="str">
        <f t="shared" si="26"/>
        <v>C</v>
      </c>
      <c r="U17" s="1215">
        <f t="shared" si="7"/>
        <v>85.01</v>
      </c>
      <c r="V17" s="1216">
        <f t="shared" si="7"/>
        <v>85.02</v>
      </c>
      <c r="W17" s="1216">
        <f t="shared" si="7"/>
        <v>85.03</v>
      </c>
      <c r="X17" s="1216">
        <f t="shared" si="7"/>
        <v>85.04</v>
      </c>
      <c r="Y17" s="1216" t="str">
        <f t="shared" si="7"/>
        <v/>
      </c>
      <c r="Z17" s="1216" t="str">
        <f t="shared" si="7"/>
        <v/>
      </c>
      <c r="AA17" s="1216" t="str">
        <f t="shared" si="7"/>
        <v/>
      </c>
      <c r="AB17" s="1217" t="str">
        <f t="shared" si="7"/>
        <v/>
      </c>
      <c r="AC17" s="1216" t="str">
        <f t="shared" si="7"/>
        <v/>
      </c>
      <c r="AD17" s="1218" t="str">
        <f t="shared" si="7"/>
        <v/>
      </c>
      <c r="AE17" s="1219">
        <f t="shared" si="27"/>
        <v>85.04</v>
      </c>
      <c r="AF17" s="282">
        <f t="shared" si="28"/>
        <v>85.01</v>
      </c>
      <c r="AG17" s="282" t="str">
        <f t="shared" si="29"/>
        <v>baik</v>
      </c>
      <c r="AH17" s="282" t="str">
        <f t="shared" si="10"/>
        <v>baik</v>
      </c>
      <c r="AI17" s="282">
        <f t="shared" si="30"/>
        <v>4</v>
      </c>
      <c r="AJ17" s="283">
        <f t="shared" si="31"/>
        <v>1</v>
      </c>
      <c r="AK17" s="284" t="str">
        <f t="shared" si="32"/>
        <v>Memiliki kemampuan baik dalam Menganalisis  unsur pembangun puisi. dan Menganalisis  isi, struktur dan kebahasaan teks  negosiasi.</v>
      </c>
      <c r="AL17" s="276">
        <v>88</v>
      </c>
      <c r="AM17" s="276">
        <v>88</v>
      </c>
      <c r="AN17" s="277"/>
      <c r="AO17" s="277"/>
      <c r="AP17" s="277"/>
      <c r="AQ17" s="277"/>
      <c r="AR17" s="277"/>
      <c r="AS17" s="280"/>
      <c r="AT17" s="277"/>
      <c r="AU17" s="278"/>
      <c r="AV17" s="285">
        <f t="shared" si="33"/>
        <v>88</v>
      </c>
      <c r="AW17" s="296" t="str">
        <f t="shared" si="34"/>
        <v>B</v>
      </c>
      <c r="AX17" s="1220">
        <f t="shared" si="16"/>
        <v>88.01</v>
      </c>
      <c r="AY17" s="1221">
        <f t="shared" si="16"/>
        <v>88.02</v>
      </c>
      <c r="AZ17" s="1221" t="str">
        <f t="shared" si="16"/>
        <v/>
      </c>
      <c r="BA17" s="1221" t="str">
        <f t="shared" si="16"/>
        <v/>
      </c>
      <c r="BB17" s="1221" t="str">
        <f t="shared" si="16"/>
        <v/>
      </c>
      <c r="BC17" s="1221" t="str">
        <f t="shared" si="16"/>
        <v/>
      </c>
      <c r="BD17" s="1221" t="str">
        <f t="shared" si="16"/>
        <v/>
      </c>
      <c r="BE17" s="1222" t="str">
        <f t="shared" si="16"/>
        <v/>
      </c>
      <c r="BF17" s="1221" t="str">
        <f t="shared" si="16"/>
        <v/>
      </c>
      <c r="BG17" s="1223" t="str">
        <f t="shared" si="16"/>
        <v/>
      </c>
      <c r="BH17" s="286">
        <f t="shared" si="35"/>
        <v>88.02</v>
      </c>
      <c r="BI17" s="286">
        <f t="shared" si="36"/>
        <v>88.01</v>
      </c>
      <c r="BJ17" s="287" t="str">
        <f t="shared" si="37"/>
        <v>baik</v>
      </c>
      <c r="BK17" s="287" t="str">
        <f t="shared" si="37"/>
        <v>baik</v>
      </c>
      <c r="BL17" s="286">
        <f t="shared" si="38"/>
        <v>2</v>
      </c>
      <c r="BM17" s="288">
        <f t="shared" si="39"/>
        <v>1</v>
      </c>
      <c r="BN17" s="289" t="str">
        <f t="shared" si="40"/>
        <v>Memiliki keterampilan baik dalam mengembangkan permasalahan isu dan berbagai sudut pandang dan Menyampaikan penawaran dalam teks negosiasi secara lisan.</v>
      </c>
      <c r="BO17" s="67"/>
    </row>
    <row r="18" spans="1:67" ht="33" customHeight="1">
      <c r="A18" s="67"/>
      <c r="B18" s="272">
        <f t="shared" si="23"/>
        <v>5</v>
      </c>
      <c r="C18" s="273">
        <f>IF(Data!F9="","",Data!F9)</f>
        <v>0</v>
      </c>
      <c r="D18" s="274" t="str">
        <f>IF(Data!H9="","",Data!H9)</f>
        <v>Aulya Noviyanti Mbura</v>
      </c>
      <c r="E18" s="275" t="str">
        <f>IF(Data!I9="","",Data!I9)</f>
        <v>P</v>
      </c>
      <c r="F18" s="276">
        <v>85</v>
      </c>
      <c r="G18" s="276">
        <v>85</v>
      </c>
      <c r="H18" s="276">
        <v>85</v>
      </c>
      <c r="I18" s="276">
        <v>85</v>
      </c>
      <c r="J18" s="277"/>
      <c r="K18" s="277"/>
      <c r="L18" s="277"/>
      <c r="M18" s="280"/>
      <c r="N18" s="277"/>
      <c r="O18" s="278"/>
      <c r="P18" s="279">
        <f t="shared" si="24"/>
        <v>85</v>
      </c>
      <c r="Q18" s="277">
        <v>100</v>
      </c>
      <c r="R18" s="1482">
        <v>56</v>
      </c>
      <c r="S18" s="281">
        <f t="shared" si="25"/>
        <v>82</v>
      </c>
      <c r="T18" s="295" t="str">
        <f t="shared" si="26"/>
        <v>C</v>
      </c>
      <c r="U18" s="1215">
        <f t="shared" si="7"/>
        <v>85.01</v>
      </c>
      <c r="V18" s="1216">
        <f t="shared" si="7"/>
        <v>85.02</v>
      </c>
      <c r="W18" s="1216">
        <f t="shared" si="7"/>
        <v>85.03</v>
      </c>
      <c r="X18" s="1216">
        <f t="shared" si="7"/>
        <v>85.04</v>
      </c>
      <c r="Y18" s="1216" t="str">
        <f t="shared" si="7"/>
        <v/>
      </c>
      <c r="Z18" s="1216" t="str">
        <f t="shared" si="7"/>
        <v/>
      </c>
      <c r="AA18" s="1216" t="str">
        <f t="shared" si="7"/>
        <v/>
      </c>
      <c r="AB18" s="1217" t="str">
        <f t="shared" si="7"/>
        <v/>
      </c>
      <c r="AC18" s="1216" t="str">
        <f t="shared" si="7"/>
        <v/>
      </c>
      <c r="AD18" s="1218" t="str">
        <f t="shared" si="7"/>
        <v/>
      </c>
      <c r="AE18" s="1219">
        <f t="shared" si="27"/>
        <v>85.04</v>
      </c>
      <c r="AF18" s="282">
        <f t="shared" si="28"/>
        <v>85.01</v>
      </c>
      <c r="AG18" s="282" t="str">
        <f t="shared" si="29"/>
        <v>baik</v>
      </c>
      <c r="AH18" s="282" t="str">
        <f t="shared" si="10"/>
        <v>baik</v>
      </c>
      <c r="AI18" s="282">
        <f t="shared" si="30"/>
        <v>4</v>
      </c>
      <c r="AJ18" s="283">
        <f t="shared" si="31"/>
        <v>1</v>
      </c>
      <c r="AK18" s="284" t="str">
        <f t="shared" si="32"/>
        <v>Memiliki kemampuan baik dalam Menganalisis  unsur pembangun puisi. dan Menganalisis  isi, struktur dan kebahasaan teks  negosiasi.</v>
      </c>
      <c r="AL18" s="276">
        <v>88</v>
      </c>
      <c r="AM18" s="276">
        <v>88</v>
      </c>
      <c r="AN18" s="277"/>
      <c r="AO18" s="277"/>
      <c r="AP18" s="277"/>
      <c r="AQ18" s="277"/>
      <c r="AR18" s="277"/>
      <c r="AS18" s="280"/>
      <c r="AT18" s="277"/>
      <c r="AU18" s="278"/>
      <c r="AV18" s="285">
        <f t="shared" si="33"/>
        <v>88</v>
      </c>
      <c r="AW18" s="296" t="str">
        <f t="shared" si="34"/>
        <v>B</v>
      </c>
      <c r="AX18" s="1220">
        <f t="shared" si="16"/>
        <v>88.01</v>
      </c>
      <c r="AY18" s="1221">
        <f t="shared" si="16"/>
        <v>88.02</v>
      </c>
      <c r="AZ18" s="1221" t="str">
        <f t="shared" si="16"/>
        <v/>
      </c>
      <c r="BA18" s="1221" t="str">
        <f t="shared" si="16"/>
        <v/>
      </c>
      <c r="BB18" s="1221" t="str">
        <f t="shared" si="16"/>
        <v/>
      </c>
      <c r="BC18" s="1221" t="str">
        <f t="shared" si="16"/>
        <v/>
      </c>
      <c r="BD18" s="1221" t="str">
        <f t="shared" si="16"/>
        <v/>
      </c>
      <c r="BE18" s="1222" t="str">
        <f t="shared" si="16"/>
        <v/>
      </c>
      <c r="BF18" s="1221" t="str">
        <f t="shared" si="16"/>
        <v/>
      </c>
      <c r="BG18" s="1223" t="str">
        <f t="shared" si="16"/>
        <v/>
      </c>
      <c r="BH18" s="286">
        <f t="shared" si="35"/>
        <v>88.02</v>
      </c>
      <c r="BI18" s="286">
        <f t="shared" si="36"/>
        <v>88.01</v>
      </c>
      <c r="BJ18" s="287" t="str">
        <f t="shared" si="37"/>
        <v>baik</v>
      </c>
      <c r="BK18" s="287" t="str">
        <f t="shared" si="37"/>
        <v>baik</v>
      </c>
      <c r="BL18" s="286">
        <f t="shared" si="38"/>
        <v>2</v>
      </c>
      <c r="BM18" s="288">
        <f t="shared" si="39"/>
        <v>1</v>
      </c>
      <c r="BN18" s="289" t="str">
        <f t="shared" si="40"/>
        <v>Memiliki keterampilan baik dalam mengembangkan permasalahan isu dan berbagai sudut pandang dan Menyampaikan penawaran dalam teks negosiasi secara lisan.</v>
      </c>
      <c r="BO18" s="67"/>
    </row>
    <row r="19" spans="1:67" ht="33" customHeight="1">
      <c r="A19" s="67"/>
      <c r="B19" s="272">
        <f t="shared" si="23"/>
        <v>6</v>
      </c>
      <c r="C19" s="273">
        <f>IF(Data!F10="","",Data!F10)</f>
        <v>0</v>
      </c>
      <c r="D19" s="274" t="str">
        <f>IF(Data!H10="","",Data!H10)</f>
        <v>Ayu Oliberta Ranboki</v>
      </c>
      <c r="E19" s="275" t="str">
        <f>IF(Data!I10="","",Data!I10)</f>
        <v>P</v>
      </c>
      <c r="F19" s="276">
        <v>85</v>
      </c>
      <c r="G19" s="276">
        <v>85</v>
      </c>
      <c r="H19" s="276">
        <v>85</v>
      </c>
      <c r="I19" s="276">
        <v>85</v>
      </c>
      <c r="J19" s="277"/>
      <c r="K19" s="277"/>
      <c r="L19" s="277"/>
      <c r="M19" s="280"/>
      <c r="N19" s="277"/>
      <c r="O19" s="278"/>
      <c r="P19" s="279">
        <f t="shared" si="24"/>
        <v>85</v>
      </c>
      <c r="Q19" s="277">
        <v>100</v>
      </c>
      <c r="R19" s="1482">
        <v>45</v>
      </c>
      <c r="S19" s="281">
        <f t="shared" si="25"/>
        <v>79</v>
      </c>
      <c r="T19" s="295" t="str">
        <f t="shared" si="26"/>
        <v>C</v>
      </c>
      <c r="U19" s="1215">
        <f t="shared" si="7"/>
        <v>85.01</v>
      </c>
      <c r="V19" s="1216">
        <f t="shared" si="7"/>
        <v>85.02</v>
      </c>
      <c r="W19" s="1216">
        <f t="shared" si="7"/>
        <v>85.03</v>
      </c>
      <c r="X19" s="1216">
        <f t="shared" si="7"/>
        <v>85.04</v>
      </c>
      <c r="Y19" s="1216" t="str">
        <f t="shared" si="7"/>
        <v/>
      </c>
      <c r="Z19" s="1216" t="str">
        <f t="shared" si="7"/>
        <v/>
      </c>
      <c r="AA19" s="1216" t="str">
        <f t="shared" si="7"/>
        <v/>
      </c>
      <c r="AB19" s="1217" t="str">
        <f t="shared" si="7"/>
        <v/>
      </c>
      <c r="AC19" s="1216" t="str">
        <f t="shared" si="7"/>
        <v/>
      </c>
      <c r="AD19" s="1218" t="str">
        <f t="shared" si="7"/>
        <v/>
      </c>
      <c r="AE19" s="1219">
        <f t="shared" si="27"/>
        <v>85.04</v>
      </c>
      <c r="AF19" s="282">
        <f t="shared" si="28"/>
        <v>85.01</v>
      </c>
      <c r="AG19" s="282" t="str">
        <f t="shared" si="29"/>
        <v>baik</v>
      </c>
      <c r="AH19" s="282" t="str">
        <f t="shared" si="10"/>
        <v>baik</v>
      </c>
      <c r="AI19" s="282">
        <f t="shared" si="30"/>
        <v>4</v>
      </c>
      <c r="AJ19" s="283">
        <f t="shared" si="31"/>
        <v>1</v>
      </c>
      <c r="AK19" s="284" t="str">
        <f t="shared" si="32"/>
        <v>Memiliki kemampuan baik dalam Menganalisis  unsur pembangun puisi. dan Menganalisis  isi, struktur dan kebahasaan teks  negosiasi.</v>
      </c>
      <c r="AL19" s="276">
        <v>88</v>
      </c>
      <c r="AM19" s="276">
        <v>88</v>
      </c>
      <c r="AN19" s="277"/>
      <c r="AO19" s="277"/>
      <c r="AP19" s="277"/>
      <c r="AQ19" s="277"/>
      <c r="AR19" s="277"/>
      <c r="AS19" s="280"/>
      <c r="AT19" s="277"/>
      <c r="AU19" s="278"/>
      <c r="AV19" s="285">
        <f t="shared" si="33"/>
        <v>88</v>
      </c>
      <c r="AW19" s="296" t="str">
        <f t="shared" si="34"/>
        <v>B</v>
      </c>
      <c r="AX19" s="1220">
        <f t="shared" si="16"/>
        <v>88.01</v>
      </c>
      <c r="AY19" s="1221">
        <f t="shared" si="16"/>
        <v>88.02</v>
      </c>
      <c r="AZ19" s="1221" t="str">
        <f t="shared" si="16"/>
        <v/>
      </c>
      <c r="BA19" s="1221" t="str">
        <f t="shared" si="16"/>
        <v/>
      </c>
      <c r="BB19" s="1221" t="str">
        <f t="shared" si="16"/>
        <v/>
      </c>
      <c r="BC19" s="1221" t="str">
        <f t="shared" si="16"/>
        <v/>
      </c>
      <c r="BD19" s="1221" t="str">
        <f t="shared" si="16"/>
        <v/>
      </c>
      <c r="BE19" s="1222" t="str">
        <f t="shared" si="16"/>
        <v/>
      </c>
      <c r="BF19" s="1221" t="str">
        <f t="shared" si="16"/>
        <v/>
      </c>
      <c r="BG19" s="1223" t="str">
        <f t="shared" si="16"/>
        <v/>
      </c>
      <c r="BH19" s="286">
        <f t="shared" si="35"/>
        <v>88.02</v>
      </c>
      <c r="BI19" s="286">
        <f t="shared" si="36"/>
        <v>88.01</v>
      </c>
      <c r="BJ19" s="287" t="str">
        <f t="shared" si="37"/>
        <v>baik</v>
      </c>
      <c r="BK19" s="287" t="str">
        <f t="shared" si="37"/>
        <v>baik</v>
      </c>
      <c r="BL19" s="286">
        <f t="shared" si="38"/>
        <v>2</v>
      </c>
      <c r="BM19" s="288">
        <f t="shared" si="39"/>
        <v>1</v>
      </c>
      <c r="BN19" s="289" t="str">
        <f t="shared" si="40"/>
        <v>Memiliki keterampilan baik dalam mengembangkan permasalahan isu dan berbagai sudut pandang dan Menyampaikan penawaran dalam teks negosiasi secara lisan.</v>
      </c>
      <c r="BO19" s="67"/>
    </row>
    <row r="20" spans="1:67" ht="33" customHeight="1">
      <c r="A20" s="67"/>
      <c r="B20" s="272">
        <f t="shared" si="23"/>
        <v>7</v>
      </c>
      <c r="C20" s="273">
        <f>IF(Data!F11="","",Data!F11)</f>
        <v>0</v>
      </c>
      <c r="D20" s="274" t="str">
        <f>IF(Data!H11="","",Data!H11)</f>
        <v>Benediktus Faot</v>
      </c>
      <c r="E20" s="275" t="str">
        <f>IF(Data!I11="","",Data!I11)</f>
        <v>L</v>
      </c>
      <c r="F20" s="276">
        <v>85</v>
      </c>
      <c r="G20" s="276">
        <v>85</v>
      </c>
      <c r="H20" s="276">
        <v>85</v>
      </c>
      <c r="I20" s="276">
        <v>85</v>
      </c>
      <c r="J20" s="277"/>
      <c r="K20" s="277"/>
      <c r="L20" s="277"/>
      <c r="M20" s="280"/>
      <c r="N20" s="277"/>
      <c r="O20" s="278"/>
      <c r="P20" s="279">
        <f t="shared" si="24"/>
        <v>85</v>
      </c>
      <c r="Q20" s="277">
        <v>100</v>
      </c>
      <c r="R20" s="1482">
        <v>45</v>
      </c>
      <c r="S20" s="281">
        <f t="shared" si="25"/>
        <v>79</v>
      </c>
      <c r="T20" s="295" t="str">
        <f t="shared" si="26"/>
        <v>C</v>
      </c>
      <c r="U20" s="1215">
        <f t="shared" si="7"/>
        <v>85.01</v>
      </c>
      <c r="V20" s="1216">
        <f t="shared" si="7"/>
        <v>85.02</v>
      </c>
      <c r="W20" s="1216">
        <f t="shared" si="7"/>
        <v>85.03</v>
      </c>
      <c r="X20" s="1216">
        <f t="shared" si="7"/>
        <v>85.04</v>
      </c>
      <c r="Y20" s="1216" t="str">
        <f t="shared" si="7"/>
        <v/>
      </c>
      <c r="Z20" s="1216" t="str">
        <f t="shared" si="7"/>
        <v/>
      </c>
      <c r="AA20" s="1216" t="str">
        <f t="shared" si="7"/>
        <v/>
      </c>
      <c r="AB20" s="1217" t="str">
        <f t="shared" si="7"/>
        <v/>
      </c>
      <c r="AC20" s="1216" t="str">
        <f t="shared" si="7"/>
        <v/>
      </c>
      <c r="AD20" s="1218" t="str">
        <f t="shared" si="7"/>
        <v/>
      </c>
      <c r="AE20" s="1219">
        <f t="shared" si="27"/>
        <v>85.04</v>
      </c>
      <c r="AF20" s="282">
        <f t="shared" si="28"/>
        <v>85.01</v>
      </c>
      <c r="AG20" s="282" t="str">
        <f t="shared" si="29"/>
        <v>baik</v>
      </c>
      <c r="AH20" s="282" t="str">
        <f t="shared" si="10"/>
        <v>baik</v>
      </c>
      <c r="AI20" s="282">
        <f t="shared" si="30"/>
        <v>4</v>
      </c>
      <c r="AJ20" s="283">
        <f t="shared" si="31"/>
        <v>1</v>
      </c>
      <c r="AK20" s="284" t="str">
        <f t="shared" si="32"/>
        <v>Memiliki kemampuan baik dalam Menganalisis  unsur pembangun puisi. dan Menganalisis  isi, struktur dan kebahasaan teks  negosiasi.</v>
      </c>
      <c r="AL20" s="276">
        <v>88</v>
      </c>
      <c r="AM20" s="276">
        <v>88</v>
      </c>
      <c r="AN20" s="277"/>
      <c r="AO20" s="277"/>
      <c r="AP20" s="277"/>
      <c r="AQ20" s="277"/>
      <c r="AR20" s="277"/>
      <c r="AS20" s="280"/>
      <c r="AT20" s="277"/>
      <c r="AU20" s="278"/>
      <c r="AV20" s="285">
        <f t="shared" si="33"/>
        <v>88</v>
      </c>
      <c r="AW20" s="296" t="str">
        <f t="shared" si="34"/>
        <v>B</v>
      </c>
      <c r="AX20" s="1220">
        <f t="shared" si="16"/>
        <v>88.01</v>
      </c>
      <c r="AY20" s="1221">
        <f t="shared" si="16"/>
        <v>88.02</v>
      </c>
      <c r="AZ20" s="1221" t="str">
        <f t="shared" si="16"/>
        <v/>
      </c>
      <c r="BA20" s="1221" t="str">
        <f t="shared" si="16"/>
        <v/>
      </c>
      <c r="BB20" s="1221" t="str">
        <f t="shared" si="16"/>
        <v/>
      </c>
      <c r="BC20" s="1221" t="str">
        <f t="shared" si="16"/>
        <v/>
      </c>
      <c r="BD20" s="1221" t="str">
        <f t="shared" si="16"/>
        <v/>
      </c>
      <c r="BE20" s="1222" t="str">
        <f t="shared" si="16"/>
        <v/>
      </c>
      <c r="BF20" s="1221" t="str">
        <f t="shared" si="16"/>
        <v/>
      </c>
      <c r="BG20" s="1223" t="str">
        <f t="shared" si="16"/>
        <v/>
      </c>
      <c r="BH20" s="286">
        <f t="shared" si="35"/>
        <v>88.02</v>
      </c>
      <c r="BI20" s="286">
        <f t="shared" si="36"/>
        <v>88.01</v>
      </c>
      <c r="BJ20" s="287" t="str">
        <f t="shared" si="37"/>
        <v>baik</v>
      </c>
      <c r="BK20" s="287" t="str">
        <f t="shared" si="37"/>
        <v>baik</v>
      </c>
      <c r="BL20" s="286">
        <f t="shared" si="38"/>
        <v>2</v>
      </c>
      <c r="BM20" s="288">
        <f t="shared" si="39"/>
        <v>1</v>
      </c>
      <c r="BN20" s="289" t="str">
        <f t="shared" si="40"/>
        <v>Memiliki keterampilan baik dalam mengembangkan permasalahan isu dan berbagai sudut pandang dan Menyampaikan penawaran dalam teks negosiasi secara lisan.</v>
      </c>
      <c r="BO20" s="67"/>
    </row>
    <row r="21" spans="1:67" ht="33" customHeight="1">
      <c r="A21" s="67"/>
      <c r="B21" s="272">
        <f t="shared" si="23"/>
        <v>8</v>
      </c>
      <c r="C21" s="273">
        <f>IF(Data!F12="","",Data!F12)</f>
        <v>0</v>
      </c>
      <c r="D21" s="274" t="str">
        <f>IF(Data!H12="","",Data!H12)</f>
        <v>Betron Imanuel Kuni</v>
      </c>
      <c r="E21" s="275" t="str">
        <f>IF(Data!I12="","",Data!I12)</f>
        <v>L</v>
      </c>
      <c r="F21" s="276">
        <v>85</v>
      </c>
      <c r="G21" s="276">
        <v>85</v>
      </c>
      <c r="H21" s="276">
        <v>85</v>
      </c>
      <c r="I21" s="276">
        <v>85</v>
      </c>
      <c r="J21" s="277"/>
      <c r="K21" s="277"/>
      <c r="L21" s="277"/>
      <c r="M21" s="280"/>
      <c r="N21" s="277"/>
      <c r="O21" s="278"/>
      <c r="P21" s="279">
        <f t="shared" si="24"/>
        <v>85</v>
      </c>
      <c r="Q21" s="277">
        <v>72</v>
      </c>
      <c r="R21" s="1482">
        <v>17</v>
      </c>
      <c r="S21" s="281">
        <f t="shared" si="25"/>
        <v>65</v>
      </c>
      <c r="T21" s="295" t="str">
        <f t="shared" si="26"/>
        <v>D</v>
      </c>
      <c r="U21" s="1215">
        <f t="shared" si="7"/>
        <v>85.01</v>
      </c>
      <c r="V21" s="1216">
        <f t="shared" si="7"/>
        <v>85.02</v>
      </c>
      <c r="W21" s="1216">
        <f t="shared" si="7"/>
        <v>85.03</v>
      </c>
      <c r="X21" s="1216">
        <f t="shared" si="7"/>
        <v>85.04</v>
      </c>
      <c r="Y21" s="1216" t="str">
        <f t="shared" si="7"/>
        <v/>
      </c>
      <c r="Z21" s="1216" t="str">
        <f t="shared" si="7"/>
        <v/>
      </c>
      <c r="AA21" s="1216" t="str">
        <f t="shared" si="7"/>
        <v/>
      </c>
      <c r="AB21" s="1217" t="str">
        <f t="shared" si="7"/>
        <v/>
      </c>
      <c r="AC21" s="1216" t="str">
        <f t="shared" si="7"/>
        <v/>
      </c>
      <c r="AD21" s="1218" t="str">
        <f t="shared" si="7"/>
        <v/>
      </c>
      <c r="AE21" s="1219">
        <f t="shared" si="27"/>
        <v>85.04</v>
      </c>
      <c r="AF21" s="282">
        <f t="shared" si="28"/>
        <v>85.01</v>
      </c>
      <c r="AG21" s="282" t="str">
        <f t="shared" si="29"/>
        <v>baik</v>
      </c>
      <c r="AH21" s="282" t="str">
        <f t="shared" si="10"/>
        <v>baik</v>
      </c>
      <c r="AI21" s="282">
        <f t="shared" si="30"/>
        <v>4</v>
      </c>
      <c r="AJ21" s="283">
        <f t="shared" si="31"/>
        <v>1</v>
      </c>
      <c r="AK21" s="284" t="str">
        <f t="shared" si="32"/>
        <v>Memiliki kemampuan baik dalam Menganalisis  unsur pembangun puisi. dan Menganalisis  isi, struktur dan kebahasaan teks  negosiasi.</v>
      </c>
      <c r="AL21" s="276">
        <v>88</v>
      </c>
      <c r="AM21" s="276">
        <v>88</v>
      </c>
      <c r="AN21" s="277"/>
      <c r="AO21" s="277"/>
      <c r="AP21" s="277"/>
      <c r="AQ21" s="277"/>
      <c r="AR21" s="277"/>
      <c r="AS21" s="280"/>
      <c r="AT21" s="277"/>
      <c r="AU21" s="278"/>
      <c r="AV21" s="285">
        <f t="shared" si="33"/>
        <v>88</v>
      </c>
      <c r="AW21" s="296" t="str">
        <f t="shared" si="34"/>
        <v>B</v>
      </c>
      <c r="AX21" s="1220">
        <f t="shared" si="16"/>
        <v>88.01</v>
      </c>
      <c r="AY21" s="1221">
        <f t="shared" si="16"/>
        <v>88.02</v>
      </c>
      <c r="AZ21" s="1221" t="str">
        <f t="shared" si="16"/>
        <v/>
      </c>
      <c r="BA21" s="1221" t="str">
        <f t="shared" si="16"/>
        <v/>
      </c>
      <c r="BB21" s="1221" t="str">
        <f t="shared" si="16"/>
        <v/>
      </c>
      <c r="BC21" s="1221" t="str">
        <f t="shared" si="16"/>
        <v/>
      </c>
      <c r="BD21" s="1221" t="str">
        <f t="shared" si="16"/>
        <v/>
      </c>
      <c r="BE21" s="1222" t="str">
        <f t="shared" si="16"/>
        <v/>
      </c>
      <c r="BF21" s="1221" t="str">
        <f t="shared" si="16"/>
        <v/>
      </c>
      <c r="BG21" s="1223" t="str">
        <f t="shared" si="16"/>
        <v/>
      </c>
      <c r="BH21" s="286">
        <f t="shared" si="35"/>
        <v>88.02</v>
      </c>
      <c r="BI21" s="286">
        <f t="shared" si="36"/>
        <v>88.01</v>
      </c>
      <c r="BJ21" s="287" t="str">
        <f t="shared" si="37"/>
        <v>baik</v>
      </c>
      <c r="BK21" s="287" t="str">
        <f t="shared" si="37"/>
        <v>baik</v>
      </c>
      <c r="BL21" s="286">
        <f t="shared" si="38"/>
        <v>2</v>
      </c>
      <c r="BM21" s="288">
        <f t="shared" si="39"/>
        <v>1</v>
      </c>
      <c r="BN21" s="289" t="str">
        <f t="shared" si="40"/>
        <v>Memiliki keterampilan baik dalam mengembangkan permasalahan isu dan berbagai sudut pandang dan Menyampaikan penawaran dalam teks negosiasi secara lisan.</v>
      </c>
      <c r="BO21" s="67"/>
    </row>
    <row r="22" spans="1:67" ht="33" customHeight="1">
      <c r="A22" s="67"/>
      <c r="B22" s="272">
        <f t="shared" si="23"/>
        <v>9</v>
      </c>
      <c r="C22" s="273">
        <f>IF(Data!F13="","",Data!F13)</f>
        <v>0</v>
      </c>
      <c r="D22" s="274" t="str">
        <f>IF(Data!H13="","",Data!H13)</f>
        <v>Demrianus Ton</v>
      </c>
      <c r="E22" s="275" t="str">
        <f>IF(Data!I13="","",Data!I13)</f>
        <v>L</v>
      </c>
      <c r="F22" s="276">
        <v>85</v>
      </c>
      <c r="G22" s="276">
        <v>85</v>
      </c>
      <c r="H22" s="276">
        <v>85</v>
      </c>
      <c r="I22" s="276">
        <v>85</v>
      </c>
      <c r="J22" s="277"/>
      <c r="K22" s="277"/>
      <c r="L22" s="277"/>
      <c r="M22" s="280"/>
      <c r="N22" s="277"/>
      <c r="O22" s="278"/>
      <c r="P22" s="279">
        <f t="shared" si="24"/>
        <v>85</v>
      </c>
      <c r="Q22" s="277">
        <v>55</v>
      </c>
      <c r="R22" s="1482">
        <v>15</v>
      </c>
      <c r="S22" s="281">
        <f t="shared" si="25"/>
        <v>60</v>
      </c>
      <c r="T22" s="295" t="str">
        <f t="shared" si="26"/>
        <v>D</v>
      </c>
      <c r="U22" s="1215">
        <f t="shared" si="7"/>
        <v>85.01</v>
      </c>
      <c r="V22" s="1216">
        <f t="shared" si="7"/>
        <v>85.02</v>
      </c>
      <c r="W22" s="1216">
        <f t="shared" si="7"/>
        <v>85.03</v>
      </c>
      <c r="X22" s="1216">
        <f t="shared" si="7"/>
        <v>85.04</v>
      </c>
      <c r="Y22" s="1216" t="str">
        <f t="shared" si="7"/>
        <v/>
      </c>
      <c r="Z22" s="1216" t="str">
        <f t="shared" si="7"/>
        <v/>
      </c>
      <c r="AA22" s="1216" t="str">
        <f t="shared" si="7"/>
        <v/>
      </c>
      <c r="AB22" s="1217" t="str">
        <f t="shared" si="7"/>
        <v/>
      </c>
      <c r="AC22" s="1216" t="str">
        <f t="shared" si="7"/>
        <v/>
      </c>
      <c r="AD22" s="1218" t="str">
        <f t="shared" si="7"/>
        <v/>
      </c>
      <c r="AE22" s="1219">
        <f t="shared" si="27"/>
        <v>85.04</v>
      </c>
      <c r="AF22" s="282">
        <f t="shared" si="28"/>
        <v>85.01</v>
      </c>
      <c r="AG22" s="282" t="str">
        <f t="shared" si="29"/>
        <v>baik</v>
      </c>
      <c r="AH22" s="282" t="str">
        <f t="shared" si="10"/>
        <v>baik</v>
      </c>
      <c r="AI22" s="282">
        <f t="shared" si="30"/>
        <v>4</v>
      </c>
      <c r="AJ22" s="283">
        <f t="shared" si="31"/>
        <v>1</v>
      </c>
      <c r="AK22" s="284" t="str">
        <f t="shared" si="32"/>
        <v>Memiliki kemampuan baik dalam Menganalisis  unsur pembangun puisi. dan Menganalisis  isi, struktur dan kebahasaan teks  negosiasi.</v>
      </c>
      <c r="AL22" s="276">
        <v>88</v>
      </c>
      <c r="AM22" s="276">
        <v>88</v>
      </c>
      <c r="AN22" s="277"/>
      <c r="AO22" s="277"/>
      <c r="AP22" s="277"/>
      <c r="AQ22" s="277"/>
      <c r="AR22" s="277"/>
      <c r="AS22" s="280"/>
      <c r="AT22" s="277"/>
      <c r="AU22" s="278"/>
      <c r="AV22" s="285">
        <f t="shared" si="33"/>
        <v>88</v>
      </c>
      <c r="AW22" s="296" t="str">
        <f t="shared" si="34"/>
        <v>B</v>
      </c>
      <c r="AX22" s="1220">
        <f t="shared" si="16"/>
        <v>88.01</v>
      </c>
      <c r="AY22" s="1221">
        <f t="shared" si="16"/>
        <v>88.02</v>
      </c>
      <c r="AZ22" s="1221" t="str">
        <f t="shared" si="16"/>
        <v/>
      </c>
      <c r="BA22" s="1221" t="str">
        <f t="shared" si="16"/>
        <v/>
      </c>
      <c r="BB22" s="1221" t="str">
        <f t="shared" si="16"/>
        <v/>
      </c>
      <c r="BC22" s="1221" t="str">
        <f t="shared" si="16"/>
        <v/>
      </c>
      <c r="BD22" s="1221" t="str">
        <f t="shared" si="16"/>
        <v/>
      </c>
      <c r="BE22" s="1222" t="str">
        <f t="shared" si="16"/>
        <v/>
      </c>
      <c r="BF22" s="1221" t="str">
        <f t="shared" si="16"/>
        <v/>
      </c>
      <c r="BG22" s="1223" t="str">
        <f t="shared" si="16"/>
        <v/>
      </c>
      <c r="BH22" s="286">
        <f t="shared" si="35"/>
        <v>88.02</v>
      </c>
      <c r="BI22" s="286">
        <f t="shared" si="36"/>
        <v>88.01</v>
      </c>
      <c r="BJ22" s="287" t="str">
        <f t="shared" si="37"/>
        <v>baik</v>
      </c>
      <c r="BK22" s="287" t="str">
        <f t="shared" si="37"/>
        <v>baik</v>
      </c>
      <c r="BL22" s="286">
        <f t="shared" si="38"/>
        <v>2</v>
      </c>
      <c r="BM22" s="288">
        <f t="shared" si="39"/>
        <v>1</v>
      </c>
      <c r="BN22" s="289" t="str">
        <f t="shared" si="40"/>
        <v>Memiliki keterampilan baik dalam mengembangkan permasalahan isu dan berbagai sudut pandang dan Menyampaikan penawaran dalam teks negosiasi secara lisan.</v>
      </c>
      <c r="BO22" s="67"/>
    </row>
    <row r="23" spans="1:67" ht="33" customHeight="1">
      <c r="A23" s="67"/>
      <c r="B23" s="272">
        <f t="shared" si="23"/>
        <v>10</v>
      </c>
      <c r="C23" s="273">
        <f>IF(Data!F14="","",Data!F14)</f>
        <v>0</v>
      </c>
      <c r="D23" s="274" t="str">
        <f>IF(Data!H14="","",Data!H14)</f>
        <v>Desti Manggoa</v>
      </c>
      <c r="E23" s="275" t="str">
        <f>IF(Data!I14="","",Data!I14)</f>
        <v>P</v>
      </c>
      <c r="F23" s="276">
        <v>85</v>
      </c>
      <c r="G23" s="276">
        <v>85</v>
      </c>
      <c r="H23" s="276">
        <v>85</v>
      </c>
      <c r="I23" s="276">
        <v>85</v>
      </c>
      <c r="J23" s="277"/>
      <c r="K23" s="277"/>
      <c r="L23" s="277"/>
      <c r="M23" s="280"/>
      <c r="N23" s="277"/>
      <c r="O23" s="278"/>
      <c r="P23" s="279">
        <f t="shared" si="24"/>
        <v>85</v>
      </c>
      <c r="Q23" s="277">
        <v>93</v>
      </c>
      <c r="R23" s="1482">
        <v>40</v>
      </c>
      <c r="S23" s="281">
        <f t="shared" si="25"/>
        <v>76</v>
      </c>
      <c r="T23" s="295" t="str">
        <f t="shared" si="26"/>
        <v>C</v>
      </c>
      <c r="U23" s="1215">
        <f t="shared" si="7"/>
        <v>85.01</v>
      </c>
      <c r="V23" s="1216">
        <f t="shared" si="7"/>
        <v>85.02</v>
      </c>
      <c r="W23" s="1216">
        <f t="shared" si="7"/>
        <v>85.03</v>
      </c>
      <c r="X23" s="1216">
        <f t="shared" si="7"/>
        <v>85.04</v>
      </c>
      <c r="Y23" s="1216" t="str">
        <f t="shared" si="7"/>
        <v/>
      </c>
      <c r="Z23" s="1216" t="str">
        <f t="shared" si="7"/>
        <v/>
      </c>
      <c r="AA23" s="1216" t="str">
        <f t="shared" si="7"/>
        <v/>
      </c>
      <c r="AB23" s="1217" t="str">
        <f t="shared" si="7"/>
        <v/>
      </c>
      <c r="AC23" s="1216" t="str">
        <f t="shared" si="7"/>
        <v/>
      </c>
      <c r="AD23" s="1218" t="str">
        <f t="shared" si="7"/>
        <v/>
      </c>
      <c r="AE23" s="1219">
        <f t="shared" si="27"/>
        <v>85.04</v>
      </c>
      <c r="AF23" s="282">
        <f t="shared" si="28"/>
        <v>85.01</v>
      </c>
      <c r="AG23" s="282" t="str">
        <f t="shared" si="29"/>
        <v>baik</v>
      </c>
      <c r="AH23" s="282" t="str">
        <f t="shared" si="10"/>
        <v>baik</v>
      </c>
      <c r="AI23" s="282">
        <f t="shared" si="30"/>
        <v>4</v>
      </c>
      <c r="AJ23" s="283">
        <f t="shared" si="31"/>
        <v>1</v>
      </c>
      <c r="AK23" s="284" t="str">
        <f t="shared" si="32"/>
        <v>Memiliki kemampuan baik dalam Menganalisis  unsur pembangun puisi. dan Menganalisis  isi, struktur dan kebahasaan teks  negosiasi.</v>
      </c>
      <c r="AL23" s="276">
        <v>88</v>
      </c>
      <c r="AM23" s="276">
        <v>88</v>
      </c>
      <c r="AN23" s="277"/>
      <c r="AO23" s="277"/>
      <c r="AP23" s="277"/>
      <c r="AQ23" s="277"/>
      <c r="AR23" s="277"/>
      <c r="AS23" s="280"/>
      <c r="AT23" s="277"/>
      <c r="AU23" s="278"/>
      <c r="AV23" s="285">
        <f t="shared" si="33"/>
        <v>88</v>
      </c>
      <c r="AW23" s="296" t="str">
        <f t="shared" si="34"/>
        <v>B</v>
      </c>
      <c r="AX23" s="1220">
        <f t="shared" si="16"/>
        <v>88.01</v>
      </c>
      <c r="AY23" s="1221">
        <f t="shared" si="16"/>
        <v>88.02</v>
      </c>
      <c r="AZ23" s="1221" t="str">
        <f t="shared" si="16"/>
        <v/>
      </c>
      <c r="BA23" s="1221" t="str">
        <f t="shared" si="16"/>
        <v/>
      </c>
      <c r="BB23" s="1221" t="str">
        <f t="shared" si="16"/>
        <v/>
      </c>
      <c r="BC23" s="1221" t="str">
        <f t="shared" si="16"/>
        <v/>
      </c>
      <c r="BD23" s="1221" t="str">
        <f t="shared" si="16"/>
        <v/>
      </c>
      <c r="BE23" s="1222" t="str">
        <f t="shared" si="16"/>
        <v/>
      </c>
      <c r="BF23" s="1221" t="str">
        <f t="shared" si="16"/>
        <v/>
      </c>
      <c r="BG23" s="1223" t="str">
        <f t="shared" si="16"/>
        <v/>
      </c>
      <c r="BH23" s="286">
        <f t="shared" si="35"/>
        <v>88.02</v>
      </c>
      <c r="BI23" s="286">
        <f t="shared" si="36"/>
        <v>88.01</v>
      </c>
      <c r="BJ23" s="287" t="str">
        <f t="shared" si="37"/>
        <v>baik</v>
      </c>
      <c r="BK23" s="287" t="str">
        <f t="shared" si="37"/>
        <v>baik</v>
      </c>
      <c r="BL23" s="286">
        <f t="shared" si="38"/>
        <v>2</v>
      </c>
      <c r="BM23" s="288">
        <f t="shared" si="39"/>
        <v>1</v>
      </c>
      <c r="BN23" s="289" t="str">
        <f t="shared" si="40"/>
        <v>Memiliki keterampilan baik dalam mengembangkan permasalahan isu dan berbagai sudut pandang dan Menyampaikan penawaran dalam teks negosiasi secara lisan.</v>
      </c>
      <c r="BO23" s="67"/>
    </row>
    <row r="24" spans="1:67" ht="33" customHeight="1">
      <c r="A24" s="67"/>
      <c r="B24" s="272">
        <f t="shared" si="23"/>
        <v>11</v>
      </c>
      <c r="C24" s="273">
        <f>IF(Data!F15="","",Data!F15)</f>
        <v>0</v>
      </c>
      <c r="D24" s="274" t="str">
        <f>IF(Data!H15="","",Data!H15)</f>
        <v>Dorkas Meliana Talita Kesnay</v>
      </c>
      <c r="E24" s="275" t="str">
        <f>IF(Data!I15="","",Data!I15)</f>
        <v>P</v>
      </c>
      <c r="F24" s="276">
        <v>85</v>
      </c>
      <c r="G24" s="276">
        <v>85</v>
      </c>
      <c r="H24" s="276">
        <v>85</v>
      </c>
      <c r="I24" s="276">
        <v>85</v>
      </c>
      <c r="J24" s="277"/>
      <c r="K24" s="277"/>
      <c r="L24" s="277"/>
      <c r="M24" s="280"/>
      <c r="N24" s="277"/>
      <c r="O24" s="278"/>
      <c r="P24" s="279">
        <f t="shared" si="24"/>
        <v>85</v>
      </c>
      <c r="Q24" s="277">
        <v>80</v>
      </c>
      <c r="R24" s="1482">
        <v>56</v>
      </c>
      <c r="S24" s="281">
        <f t="shared" si="25"/>
        <v>77</v>
      </c>
      <c r="T24" s="295" t="str">
        <f t="shared" si="26"/>
        <v>C</v>
      </c>
      <c r="U24" s="1215">
        <f t="shared" si="7"/>
        <v>85.01</v>
      </c>
      <c r="V24" s="1216">
        <f t="shared" si="7"/>
        <v>85.02</v>
      </c>
      <c r="W24" s="1216">
        <f t="shared" si="7"/>
        <v>85.03</v>
      </c>
      <c r="X24" s="1216">
        <f t="shared" si="7"/>
        <v>85.04</v>
      </c>
      <c r="Y24" s="1216" t="str">
        <f t="shared" si="7"/>
        <v/>
      </c>
      <c r="Z24" s="1216" t="str">
        <f t="shared" si="7"/>
        <v/>
      </c>
      <c r="AA24" s="1216" t="str">
        <f t="shared" si="7"/>
        <v/>
      </c>
      <c r="AB24" s="1217" t="str">
        <f t="shared" si="7"/>
        <v/>
      </c>
      <c r="AC24" s="1216" t="str">
        <f t="shared" si="7"/>
        <v/>
      </c>
      <c r="AD24" s="1218" t="str">
        <f t="shared" si="7"/>
        <v/>
      </c>
      <c r="AE24" s="1219">
        <f t="shared" si="27"/>
        <v>85.04</v>
      </c>
      <c r="AF24" s="282">
        <f t="shared" si="28"/>
        <v>85.01</v>
      </c>
      <c r="AG24" s="282" t="str">
        <f t="shared" si="29"/>
        <v>baik</v>
      </c>
      <c r="AH24" s="282" t="str">
        <f t="shared" si="10"/>
        <v>baik</v>
      </c>
      <c r="AI24" s="282">
        <f t="shared" si="30"/>
        <v>4</v>
      </c>
      <c r="AJ24" s="283">
        <f t="shared" si="31"/>
        <v>1</v>
      </c>
      <c r="AK24" s="284" t="str">
        <f t="shared" si="32"/>
        <v>Memiliki kemampuan baik dalam Menganalisis  unsur pembangun puisi. dan Menganalisis  isi, struktur dan kebahasaan teks  negosiasi.</v>
      </c>
      <c r="AL24" s="276">
        <v>88</v>
      </c>
      <c r="AM24" s="276">
        <v>88</v>
      </c>
      <c r="AN24" s="277"/>
      <c r="AO24" s="277"/>
      <c r="AP24" s="277"/>
      <c r="AQ24" s="277"/>
      <c r="AR24" s="277"/>
      <c r="AS24" s="280"/>
      <c r="AT24" s="277"/>
      <c r="AU24" s="278"/>
      <c r="AV24" s="285">
        <f t="shared" si="33"/>
        <v>88</v>
      </c>
      <c r="AW24" s="296" t="str">
        <f t="shared" si="34"/>
        <v>B</v>
      </c>
      <c r="AX24" s="1220">
        <f t="shared" si="16"/>
        <v>88.01</v>
      </c>
      <c r="AY24" s="1221">
        <f t="shared" si="16"/>
        <v>88.02</v>
      </c>
      <c r="AZ24" s="1221" t="str">
        <f t="shared" si="16"/>
        <v/>
      </c>
      <c r="BA24" s="1221" t="str">
        <f t="shared" si="16"/>
        <v/>
      </c>
      <c r="BB24" s="1221" t="str">
        <f t="shared" si="16"/>
        <v/>
      </c>
      <c r="BC24" s="1221" t="str">
        <f t="shared" si="16"/>
        <v/>
      </c>
      <c r="BD24" s="1221" t="str">
        <f t="shared" si="16"/>
        <v/>
      </c>
      <c r="BE24" s="1222" t="str">
        <f t="shared" si="16"/>
        <v/>
      </c>
      <c r="BF24" s="1221" t="str">
        <f t="shared" si="16"/>
        <v/>
      </c>
      <c r="BG24" s="1223" t="str">
        <f t="shared" si="16"/>
        <v/>
      </c>
      <c r="BH24" s="286">
        <f t="shared" si="35"/>
        <v>88.02</v>
      </c>
      <c r="BI24" s="286">
        <f t="shared" si="36"/>
        <v>88.01</v>
      </c>
      <c r="BJ24" s="287" t="str">
        <f t="shared" si="37"/>
        <v>baik</v>
      </c>
      <c r="BK24" s="287" t="str">
        <f t="shared" si="37"/>
        <v>baik</v>
      </c>
      <c r="BL24" s="286">
        <f t="shared" si="38"/>
        <v>2</v>
      </c>
      <c r="BM24" s="288">
        <f t="shared" si="39"/>
        <v>1</v>
      </c>
      <c r="BN24" s="289" t="str">
        <f t="shared" si="40"/>
        <v>Memiliki keterampilan baik dalam mengembangkan permasalahan isu dan berbagai sudut pandang dan Menyampaikan penawaran dalam teks negosiasi secara lisan.</v>
      </c>
      <c r="BO24" s="67"/>
    </row>
    <row r="25" spans="1:67" ht="33" customHeight="1">
      <c r="A25" s="67"/>
      <c r="B25" s="272">
        <f t="shared" si="23"/>
        <v>12</v>
      </c>
      <c r="C25" s="273">
        <f>IF(Data!F16="","",Data!F16)</f>
        <v>0</v>
      </c>
      <c r="D25" s="274" t="str">
        <f>IF(Data!H16="","",Data!H16)</f>
        <v>Erto Seprianto Leukune</v>
      </c>
      <c r="E25" s="275" t="str">
        <f>IF(Data!I16="","",Data!I16)</f>
        <v>L</v>
      </c>
      <c r="F25" s="276">
        <v>85</v>
      </c>
      <c r="G25" s="276">
        <v>85</v>
      </c>
      <c r="H25" s="276">
        <v>85</v>
      </c>
      <c r="I25" s="276">
        <v>85</v>
      </c>
      <c r="J25" s="277"/>
      <c r="K25" s="277"/>
      <c r="L25" s="277"/>
      <c r="M25" s="280"/>
      <c r="N25" s="277"/>
      <c r="O25" s="278"/>
      <c r="P25" s="279">
        <f t="shared" si="24"/>
        <v>85</v>
      </c>
      <c r="Q25" s="277">
        <v>93</v>
      </c>
      <c r="R25" s="1482">
        <v>54</v>
      </c>
      <c r="S25" s="281">
        <f t="shared" si="25"/>
        <v>79</v>
      </c>
      <c r="T25" s="295" t="str">
        <f t="shared" si="26"/>
        <v>C</v>
      </c>
      <c r="U25" s="1215">
        <f t="shared" si="7"/>
        <v>85.01</v>
      </c>
      <c r="V25" s="1216">
        <f t="shared" si="7"/>
        <v>85.02</v>
      </c>
      <c r="W25" s="1216">
        <f t="shared" si="7"/>
        <v>85.03</v>
      </c>
      <c r="X25" s="1216">
        <f t="shared" si="7"/>
        <v>85.04</v>
      </c>
      <c r="Y25" s="1216" t="str">
        <f t="shared" si="7"/>
        <v/>
      </c>
      <c r="Z25" s="1216" t="str">
        <f t="shared" si="7"/>
        <v/>
      </c>
      <c r="AA25" s="1216" t="str">
        <f t="shared" si="7"/>
        <v/>
      </c>
      <c r="AB25" s="1217" t="str">
        <f t="shared" si="7"/>
        <v/>
      </c>
      <c r="AC25" s="1216" t="str">
        <f t="shared" si="7"/>
        <v/>
      </c>
      <c r="AD25" s="1218" t="str">
        <f t="shared" si="7"/>
        <v/>
      </c>
      <c r="AE25" s="1219">
        <f t="shared" si="27"/>
        <v>85.04</v>
      </c>
      <c r="AF25" s="282">
        <f t="shared" si="28"/>
        <v>85.01</v>
      </c>
      <c r="AG25" s="282" t="str">
        <f t="shared" si="29"/>
        <v>baik</v>
      </c>
      <c r="AH25" s="282" t="str">
        <f t="shared" si="10"/>
        <v>baik</v>
      </c>
      <c r="AI25" s="282">
        <f t="shared" si="30"/>
        <v>4</v>
      </c>
      <c r="AJ25" s="283">
        <f t="shared" si="31"/>
        <v>1</v>
      </c>
      <c r="AK25" s="284" t="str">
        <f t="shared" si="32"/>
        <v>Memiliki kemampuan baik dalam Menganalisis  unsur pembangun puisi. dan Menganalisis  isi, struktur dan kebahasaan teks  negosiasi.</v>
      </c>
      <c r="AL25" s="276">
        <v>88</v>
      </c>
      <c r="AM25" s="276">
        <v>88</v>
      </c>
      <c r="AN25" s="277"/>
      <c r="AO25" s="277"/>
      <c r="AP25" s="277"/>
      <c r="AQ25" s="277"/>
      <c r="AR25" s="277"/>
      <c r="AS25" s="280"/>
      <c r="AT25" s="277"/>
      <c r="AU25" s="278"/>
      <c r="AV25" s="285">
        <f t="shared" si="33"/>
        <v>88</v>
      </c>
      <c r="AW25" s="296" t="str">
        <f t="shared" si="34"/>
        <v>B</v>
      </c>
      <c r="AX25" s="1220">
        <f t="shared" si="16"/>
        <v>88.01</v>
      </c>
      <c r="AY25" s="1221">
        <f t="shared" si="16"/>
        <v>88.02</v>
      </c>
      <c r="AZ25" s="1221" t="str">
        <f t="shared" si="16"/>
        <v/>
      </c>
      <c r="BA25" s="1221" t="str">
        <f t="shared" si="16"/>
        <v/>
      </c>
      <c r="BB25" s="1221" t="str">
        <f t="shared" si="16"/>
        <v/>
      </c>
      <c r="BC25" s="1221" t="str">
        <f t="shared" si="16"/>
        <v/>
      </c>
      <c r="BD25" s="1221" t="str">
        <f t="shared" si="16"/>
        <v/>
      </c>
      <c r="BE25" s="1222" t="str">
        <f t="shared" si="16"/>
        <v/>
      </c>
      <c r="BF25" s="1221" t="str">
        <f t="shared" si="16"/>
        <v/>
      </c>
      <c r="BG25" s="1223" t="str">
        <f t="shared" si="16"/>
        <v/>
      </c>
      <c r="BH25" s="286">
        <f t="shared" si="35"/>
        <v>88.02</v>
      </c>
      <c r="BI25" s="286">
        <f t="shared" si="36"/>
        <v>88.01</v>
      </c>
      <c r="BJ25" s="287" t="str">
        <f t="shared" si="37"/>
        <v>baik</v>
      </c>
      <c r="BK25" s="287" t="str">
        <f t="shared" si="37"/>
        <v>baik</v>
      </c>
      <c r="BL25" s="286">
        <f t="shared" si="38"/>
        <v>2</v>
      </c>
      <c r="BM25" s="288">
        <f t="shared" si="39"/>
        <v>1</v>
      </c>
      <c r="BN25" s="289" t="str">
        <f t="shared" si="40"/>
        <v>Memiliki keterampilan baik dalam mengembangkan permasalahan isu dan berbagai sudut pandang dan Menyampaikan penawaran dalam teks negosiasi secara lisan.</v>
      </c>
      <c r="BO25" s="67"/>
    </row>
    <row r="26" spans="1:67" ht="33" customHeight="1">
      <c r="A26" s="67"/>
      <c r="B26" s="272">
        <f t="shared" si="23"/>
        <v>13</v>
      </c>
      <c r="C26" s="273">
        <f>IF(Data!F17="","",Data!F17)</f>
        <v>0</v>
      </c>
      <c r="D26" s="274" t="str">
        <f>IF(Data!H17="","",Data!H17)</f>
        <v>Feli Tipnoni</v>
      </c>
      <c r="E26" s="275" t="str">
        <f>IF(Data!I17="","",Data!I17)</f>
        <v>P</v>
      </c>
      <c r="F26" s="276">
        <v>85</v>
      </c>
      <c r="G26" s="276">
        <v>85</v>
      </c>
      <c r="H26" s="276">
        <v>85</v>
      </c>
      <c r="I26" s="276">
        <v>85</v>
      </c>
      <c r="J26" s="277"/>
      <c r="K26" s="277"/>
      <c r="L26" s="277"/>
      <c r="M26" s="280"/>
      <c r="N26" s="277"/>
      <c r="O26" s="278"/>
      <c r="P26" s="279">
        <f t="shared" si="24"/>
        <v>85</v>
      </c>
      <c r="Q26" s="277">
        <v>93</v>
      </c>
      <c r="R26" s="1482">
        <v>54</v>
      </c>
      <c r="S26" s="281">
        <f t="shared" si="25"/>
        <v>79</v>
      </c>
      <c r="T26" s="295" t="str">
        <f t="shared" si="26"/>
        <v>C</v>
      </c>
      <c r="U26" s="1215">
        <f t="shared" si="7"/>
        <v>85.01</v>
      </c>
      <c r="V26" s="1216">
        <f t="shared" si="7"/>
        <v>85.02</v>
      </c>
      <c r="W26" s="1216">
        <f t="shared" si="7"/>
        <v>85.03</v>
      </c>
      <c r="X26" s="1216">
        <f t="shared" si="7"/>
        <v>85.04</v>
      </c>
      <c r="Y26" s="1216" t="str">
        <f t="shared" si="7"/>
        <v/>
      </c>
      <c r="Z26" s="1216" t="str">
        <f t="shared" si="7"/>
        <v/>
      </c>
      <c r="AA26" s="1216" t="str">
        <f t="shared" si="7"/>
        <v/>
      </c>
      <c r="AB26" s="1217" t="str">
        <f t="shared" si="7"/>
        <v/>
      </c>
      <c r="AC26" s="1216" t="str">
        <f t="shared" si="7"/>
        <v/>
      </c>
      <c r="AD26" s="1218" t="str">
        <f t="shared" si="7"/>
        <v/>
      </c>
      <c r="AE26" s="1219">
        <f t="shared" si="27"/>
        <v>85.04</v>
      </c>
      <c r="AF26" s="282">
        <f t="shared" si="28"/>
        <v>85.01</v>
      </c>
      <c r="AG26" s="282" t="str">
        <f t="shared" si="29"/>
        <v>baik</v>
      </c>
      <c r="AH26" s="282" t="str">
        <f t="shared" si="10"/>
        <v>baik</v>
      </c>
      <c r="AI26" s="282">
        <f t="shared" si="30"/>
        <v>4</v>
      </c>
      <c r="AJ26" s="283">
        <f t="shared" si="31"/>
        <v>1</v>
      </c>
      <c r="AK26" s="284" t="str">
        <f t="shared" si="32"/>
        <v>Memiliki kemampuan baik dalam Menganalisis  unsur pembangun puisi. dan Menganalisis  isi, struktur dan kebahasaan teks  negosiasi.</v>
      </c>
      <c r="AL26" s="276">
        <v>88</v>
      </c>
      <c r="AM26" s="276">
        <v>88</v>
      </c>
      <c r="AN26" s="277"/>
      <c r="AO26" s="277"/>
      <c r="AP26" s="277"/>
      <c r="AQ26" s="277"/>
      <c r="AR26" s="277"/>
      <c r="AS26" s="280"/>
      <c r="AT26" s="277"/>
      <c r="AU26" s="278"/>
      <c r="AV26" s="285">
        <f t="shared" si="33"/>
        <v>88</v>
      </c>
      <c r="AW26" s="296" t="str">
        <f t="shared" si="34"/>
        <v>B</v>
      </c>
      <c r="AX26" s="1220">
        <f t="shared" si="16"/>
        <v>88.01</v>
      </c>
      <c r="AY26" s="1221">
        <f t="shared" si="16"/>
        <v>88.02</v>
      </c>
      <c r="AZ26" s="1221" t="str">
        <f t="shared" si="16"/>
        <v/>
      </c>
      <c r="BA26" s="1221" t="str">
        <f t="shared" si="16"/>
        <v/>
      </c>
      <c r="BB26" s="1221" t="str">
        <f t="shared" si="16"/>
        <v/>
      </c>
      <c r="BC26" s="1221" t="str">
        <f t="shared" si="16"/>
        <v/>
      </c>
      <c r="BD26" s="1221" t="str">
        <f t="shared" si="16"/>
        <v/>
      </c>
      <c r="BE26" s="1222" t="str">
        <f t="shared" si="16"/>
        <v/>
      </c>
      <c r="BF26" s="1221" t="str">
        <f t="shared" si="16"/>
        <v/>
      </c>
      <c r="BG26" s="1223" t="str">
        <f t="shared" si="16"/>
        <v/>
      </c>
      <c r="BH26" s="286">
        <f t="shared" si="35"/>
        <v>88.02</v>
      </c>
      <c r="BI26" s="286">
        <f t="shared" si="36"/>
        <v>88.01</v>
      </c>
      <c r="BJ26" s="287" t="str">
        <f t="shared" si="37"/>
        <v>baik</v>
      </c>
      <c r="BK26" s="287" t="str">
        <f t="shared" si="37"/>
        <v>baik</v>
      </c>
      <c r="BL26" s="286">
        <f t="shared" si="38"/>
        <v>2</v>
      </c>
      <c r="BM26" s="288">
        <f t="shared" si="39"/>
        <v>1</v>
      </c>
      <c r="BN26" s="289" t="str">
        <f t="shared" si="40"/>
        <v>Memiliki keterampilan baik dalam mengembangkan permasalahan isu dan berbagai sudut pandang dan Menyampaikan penawaran dalam teks negosiasi secara lisan.</v>
      </c>
      <c r="BO26" s="67"/>
    </row>
    <row r="27" spans="1:67" ht="33" customHeight="1">
      <c r="A27" s="67"/>
      <c r="B27" s="272">
        <f t="shared" si="23"/>
        <v>14</v>
      </c>
      <c r="C27" s="273">
        <f>IF(Data!F18="","",Data!F18)</f>
        <v>0</v>
      </c>
      <c r="D27" s="274" t="str">
        <f>IF(Data!H18="","",Data!H18)</f>
        <v xml:space="preserve">Ferdinandes Sakbana </v>
      </c>
      <c r="E27" s="275" t="str">
        <f>IF(Data!I18="","",Data!I18)</f>
        <v>L</v>
      </c>
      <c r="F27" s="276">
        <v>85</v>
      </c>
      <c r="G27" s="276">
        <v>85</v>
      </c>
      <c r="H27" s="276">
        <v>85</v>
      </c>
      <c r="I27" s="276">
        <v>85</v>
      </c>
      <c r="J27" s="277"/>
      <c r="K27" s="277"/>
      <c r="L27" s="277"/>
      <c r="M27" s="280"/>
      <c r="N27" s="277"/>
      <c r="O27" s="278"/>
      <c r="P27" s="279">
        <f t="shared" si="24"/>
        <v>85</v>
      </c>
      <c r="Q27" s="277">
        <v>72</v>
      </c>
      <c r="R27" s="1482">
        <v>64</v>
      </c>
      <c r="S27" s="281">
        <f t="shared" si="25"/>
        <v>77</v>
      </c>
      <c r="T27" s="295" t="str">
        <f t="shared" si="26"/>
        <v>C</v>
      </c>
      <c r="U27" s="1215">
        <f t="shared" si="7"/>
        <v>85.01</v>
      </c>
      <c r="V27" s="1216">
        <f t="shared" si="7"/>
        <v>85.02</v>
      </c>
      <c r="W27" s="1216">
        <f t="shared" si="7"/>
        <v>85.03</v>
      </c>
      <c r="X27" s="1216">
        <f t="shared" si="7"/>
        <v>85.04</v>
      </c>
      <c r="Y27" s="1216" t="str">
        <f t="shared" si="7"/>
        <v/>
      </c>
      <c r="Z27" s="1216" t="str">
        <f t="shared" si="7"/>
        <v/>
      </c>
      <c r="AA27" s="1216" t="str">
        <f t="shared" si="7"/>
        <v/>
      </c>
      <c r="AB27" s="1217" t="str">
        <f t="shared" si="7"/>
        <v/>
      </c>
      <c r="AC27" s="1216" t="str">
        <f t="shared" si="7"/>
        <v/>
      </c>
      <c r="AD27" s="1218" t="str">
        <f t="shared" si="7"/>
        <v/>
      </c>
      <c r="AE27" s="1219">
        <f t="shared" si="27"/>
        <v>85.04</v>
      </c>
      <c r="AF27" s="282">
        <f t="shared" si="28"/>
        <v>85.01</v>
      </c>
      <c r="AG27" s="282" t="str">
        <f t="shared" si="29"/>
        <v>baik</v>
      </c>
      <c r="AH27" s="282" t="str">
        <f t="shared" si="10"/>
        <v>baik</v>
      </c>
      <c r="AI27" s="282">
        <f t="shared" si="30"/>
        <v>4</v>
      </c>
      <c r="AJ27" s="283">
        <f t="shared" si="31"/>
        <v>1</v>
      </c>
      <c r="AK27" s="284" t="str">
        <f t="shared" si="32"/>
        <v>Memiliki kemampuan baik dalam Menganalisis  unsur pembangun puisi. dan Menganalisis  isi, struktur dan kebahasaan teks  negosiasi.</v>
      </c>
      <c r="AL27" s="276">
        <v>88</v>
      </c>
      <c r="AM27" s="276">
        <v>88</v>
      </c>
      <c r="AN27" s="277"/>
      <c r="AO27" s="277"/>
      <c r="AP27" s="277"/>
      <c r="AQ27" s="277"/>
      <c r="AR27" s="277"/>
      <c r="AS27" s="280"/>
      <c r="AT27" s="277"/>
      <c r="AU27" s="278"/>
      <c r="AV27" s="285">
        <f t="shared" si="33"/>
        <v>88</v>
      </c>
      <c r="AW27" s="296" t="str">
        <f t="shared" si="34"/>
        <v>B</v>
      </c>
      <c r="AX27" s="1220">
        <f t="shared" si="16"/>
        <v>88.01</v>
      </c>
      <c r="AY27" s="1221">
        <f t="shared" si="16"/>
        <v>88.02</v>
      </c>
      <c r="AZ27" s="1221" t="str">
        <f t="shared" si="16"/>
        <v/>
      </c>
      <c r="BA27" s="1221" t="str">
        <f t="shared" si="16"/>
        <v/>
      </c>
      <c r="BB27" s="1221" t="str">
        <f t="shared" si="16"/>
        <v/>
      </c>
      <c r="BC27" s="1221" t="str">
        <f t="shared" si="16"/>
        <v/>
      </c>
      <c r="BD27" s="1221" t="str">
        <f t="shared" si="16"/>
        <v/>
      </c>
      <c r="BE27" s="1222" t="str">
        <f t="shared" si="16"/>
        <v/>
      </c>
      <c r="BF27" s="1221" t="str">
        <f t="shared" si="16"/>
        <v/>
      </c>
      <c r="BG27" s="1223" t="str">
        <f t="shared" si="16"/>
        <v/>
      </c>
      <c r="BH27" s="286">
        <f t="shared" si="35"/>
        <v>88.02</v>
      </c>
      <c r="BI27" s="286">
        <f t="shared" si="36"/>
        <v>88.01</v>
      </c>
      <c r="BJ27" s="287" t="str">
        <f t="shared" si="37"/>
        <v>baik</v>
      </c>
      <c r="BK27" s="287" t="str">
        <f t="shared" si="37"/>
        <v>baik</v>
      </c>
      <c r="BL27" s="286">
        <f t="shared" si="38"/>
        <v>2</v>
      </c>
      <c r="BM27" s="288">
        <f t="shared" si="39"/>
        <v>1</v>
      </c>
      <c r="BN27" s="289" t="str">
        <f t="shared" si="40"/>
        <v>Memiliki keterampilan baik dalam mengembangkan permasalahan isu dan berbagai sudut pandang dan Menyampaikan penawaran dalam teks negosiasi secara lisan.</v>
      </c>
      <c r="BO27" s="67"/>
    </row>
    <row r="28" spans="1:67" ht="33" customHeight="1">
      <c r="A28" s="67"/>
      <c r="B28" s="272">
        <f t="shared" si="23"/>
        <v>15</v>
      </c>
      <c r="C28" s="273">
        <f>IF(Data!F19="","",Data!F19)</f>
        <v>0</v>
      </c>
      <c r="D28" s="274" t="str">
        <f>IF(Data!H19="","",Data!H19)</f>
        <v>Fitri Novani Nitbani</v>
      </c>
      <c r="E28" s="275" t="str">
        <f>IF(Data!I19="","",Data!I19)</f>
        <v>P</v>
      </c>
      <c r="F28" s="276">
        <v>85</v>
      </c>
      <c r="G28" s="276">
        <v>85</v>
      </c>
      <c r="H28" s="276">
        <v>85</v>
      </c>
      <c r="I28" s="276">
        <v>85</v>
      </c>
      <c r="J28" s="277"/>
      <c r="K28" s="277"/>
      <c r="L28" s="277"/>
      <c r="M28" s="280"/>
      <c r="N28" s="277"/>
      <c r="O28" s="278"/>
      <c r="P28" s="279">
        <f t="shared" si="24"/>
        <v>85</v>
      </c>
      <c r="Q28" s="277">
        <v>86</v>
      </c>
      <c r="R28" s="1482">
        <v>58</v>
      </c>
      <c r="S28" s="281">
        <f t="shared" si="25"/>
        <v>79</v>
      </c>
      <c r="T28" s="295" t="str">
        <f t="shared" si="26"/>
        <v>C</v>
      </c>
      <c r="U28" s="1215">
        <f t="shared" si="7"/>
        <v>85.01</v>
      </c>
      <c r="V28" s="1216">
        <f t="shared" si="7"/>
        <v>85.02</v>
      </c>
      <c r="W28" s="1216">
        <f t="shared" si="7"/>
        <v>85.03</v>
      </c>
      <c r="X28" s="1216">
        <f t="shared" si="7"/>
        <v>85.04</v>
      </c>
      <c r="Y28" s="1216" t="str">
        <f t="shared" si="7"/>
        <v/>
      </c>
      <c r="Z28" s="1216" t="str">
        <f t="shared" si="7"/>
        <v/>
      </c>
      <c r="AA28" s="1216" t="str">
        <f t="shared" si="7"/>
        <v/>
      </c>
      <c r="AB28" s="1217" t="str">
        <f t="shared" si="7"/>
        <v/>
      </c>
      <c r="AC28" s="1216" t="str">
        <f t="shared" si="7"/>
        <v/>
      </c>
      <c r="AD28" s="1218" t="str">
        <f t="shared" si="7"/>
        <v/>
      </c>
      <c r="AE28" s="1219">
        <f t="shared" si="27"/>
        <v>85.04</v>
      </c>
      <c r="AF28" s="282">
        <f t="shared" si="28"/>
        <v>85.01</v>
      </c>
      <c r="AG28" s="282" t="str">
        <f t="shared" si="29"/>
        <v>baik</v>
      </c>
      <c r="AH28" s="282" t="str">
        <f t="shared" si="10"/>
        <v>baik</v>
      </c>
      <c r="AI28" s="282">
        <f t="shared" si="30"/>
        <v>4</v>
      </c>
      <c r="AJ28" s="283">
        <f t="shared" si="31"/>
        <v>1</v>
      </c>
      <c r="AK28" s="284" t="str">
        <f t="shared" si="32"/>
        <v>Memiliki kemampuan baik dalam Menganalisis  unsur pembangun puisi. dan Menganalisis  isi, struktur dan kebahasaan teks  negosiasi.</v>
      </c>
      <c r="AL28" s="276">
        <v>88</v>
      </c>
      <c r="AM28" s="276">
        <v>88</v>
      </c>
      <c r="AN28" s="277"/>
      <c r="AO28" s="277"/>
      <c r="AP28" s="277"/>
      <c r="AQ28" s="277"/>
      <c r="AR28" s="277"/>
      <c r="AS28" s="280"/>
      <c r="AT28" s="277"/>
      <c r="AU28" s="278"/>
      <c r="AV28" s="285">
        <f t="shared" si="33"/>
        <v>88</v>
      </c>
      <c r="AW28" s="296" t="str">
        <f t="shared" si="34"/>
        <v>B</v>
      </c>
      <c r="AX28" s="1220">
        <f t="shared" si="16"/>
        <v>88.01</v>
      </c>
      <c r="AY28" s="1221">
        <f t="shared" si="16"/>
        <v>88.02</v>
      </c>
      <c r="AZ28" s="1221" t="str">
        <f t="shared" si="16"/>
        <v/>
      </c>
      <c r="BA28" s="1221" t="str">
        <f t="shared" si="16"/>
        <v/>
      </c>
      <c r="BB28" s="1221" t="str">
        <f t="shared" si="16"/>
        <v/>
      </c>
      <c r="BC28" s="1221" t="str">
        <f t="shared" si="16"/>
        <v/>
      </c>
      <c r="BD28" s="1221" t="str">
        <f t="shared" si="16"/>
        <v/>
      </c>
      <c r="BE28" s="1222" t="str">
        <f t="shared" si="16"/>
        <v/>
      </c>
      <c r="BF28" s="1221" t="str">
        <f t="shared" si="16"/>
        <v/>
      </c>
      <c r="BG28" s="1223" t="str">
        <f t="shared" si="16"/>
        <v/>
      </c>
      <c r="BH28" s="286">
        <f t="shared" si="35"/>
        <v>88.02</v>
      </c>
      <c r="BI28" s="286">
        <f t="shared" si="36"/>
        <v>88.01</v>
      </c>
      <c r="BJ28" s="287" t="str">
        <f t="shared" si="37"/>
        <v>baik</v>
      </c>
      <c r="BK28" s="287" t="str">
        <f t="shared" si="37"/>
        <v>baik</v>
      </c>
      <c r="BL28" s="286">
        <f t="shared" si="38"/>
        <v>2</v>
      </c>
      <c r="BM28" s="288">
        <f t="shared" si="39"/>
        <v>1</v>
      </c>
      <c r="BN28" s="289" t="str">
        <f t="shared" si="40"/>
        <v>Memiliki keterampilan baik dalam mengembangkan permasalahan isu dan berbagai sudut pandang dan Menyampaikan penawaran dalam teks negosiasi secara lisan.</v>
      </c>
      <c r="BO28" s="67"/>
    </row>
    <row r="29" spans="1:67" ht="33" customHeight="1">
      <c r="A29" s="67"/>
      <c r="B29" s="272">
        <f t="shared" si="23"/>
        <v>16</v>
      </c>
      <c r="C29" s="273">
        <f>IF(Data!F20="","",Data!F20)</f>
        <v>0</v>
      </c>
      <c r="D29" s="274" t="str">
        <f>IF(Data!H20="","",Data!H20)</f>
        <v>Helsina Benu</v>
      </c>
      <c r="E29" s="275" t="str">
        <f>IF(Data!I20="","",Data!I20)</f>
        <v>P</v>
      </c>
      <c r="F29" s="276">
        <v>85</v>
      </c>
      <c r="G29" s="276">
        <v>85</v>
      </c>
      <c r="H29" s="276">
        <v>85</v>
      </c>
      <c r="I29" s="276">
        <v>85</v>
      </c>
      <c r="J29" s="277"/>
      <c r="K29" s="277"/>
      <c r="L29" s="277"/>
      <c r="M29" s="280"/>
      <c r="N29" s="277"/>
      <c r="O29" s="278"/>
      <c r="P29" s="279">
        <f t="shared" si="24"/>
        <v>85</v>
      </c>
      <c r="Q29" s="277">
        <v>93</v>
      </c>
      <c r="R29" s="1482">
        <v>60</v>
      </c>
      <c r="S29" s="281">
        <f t="shared" si="25"/>
        <v>81</v>
      </c>
      <c r="T29" s="295" t="str">
        <f t="shared" si="26"/>
        <v>C</v>
      </c>
      <c r="U29" s="1215">
        <f t="shared" si="7"/>
        <v>85.01</v>
      </c>
      <c r="V29" s="1216">
        <f t="shared" si="7"/>
        <v>85.02</v>
      </c>
      <c r="W29" s="1216">
        <f t="shared" si="7"/>
        <v>85.03</v>
      </c>
      <c r="X29" s="1216">
        <f t="shared" si="7"/>
        <v>85.04</v>
      </c>
      <c r="Y29" s="1216" t="str">
        <f t="shared" si="7"/>
        <v/>
      </c>
      <c r="Z29" s="1216" t="str">
        <f t="shared" si="7"/>
        <v/>
      </c>
      <c r="AA29" s="1216" t="str">
        <f t="shared" si="7"/>
        <v/>
      </c>
      <c r="AB29" s="1217" t="str">
        <f t="shared" si="7"/>
        <v/>
      </c>
      <c r="AC29" s="1216" t="str">
        <f t="shared" si="7"/>
        <v/>
      </c>
      <c r="AD29" s="1218" t="str">
        <f t="shared" si="7"/>
        <v/>
      </c>
      <c r="AE29" s="1219">
        <f t="shared" si="27"/>
        <v>85.04</v>
      </c>
      <c r="AF29" s="282">
        <f t="shared" si="28"/>
        <v>85.01</v>
      </c>
      <c r="AG29" s="282" t="str">
        <f t="shared" si="29"/>
        <v>baik</v>
      </c>
      <c r="AH29" s="282" t="str">
        <f t="shared" si="10"/>
        <v>baik</v>
      </c>
      <c r="AI29" s="282">
        <f t="shared" si="30"/>
        <v>4</v>
      </c>
      <c r="AJ29" s="283">
        <f t="shared" si="31"/>
        <v>1</v>
      </c>
      <c r="AK29" s="284" t="str">
        <f t="shared" si="32"/>
        <v>Memiliki kemampuan baik dalam Menganalisis  unsur pembangun puisi. dan Menganalisis  isi, struktur dan kebahasaan teks  negosiasi.</v>
      </c>
      <c r="AL29" s="276">
        <v>88</v>
      </c>
      <c r="AM29" s="276">
        <v>88</v>
      </c>
      <c r="AN29" s="277"/>
      <c r="AO29" s="277"/>
      <c r="AP29" s="277"/>
      <c r="AQ29" s="277"/>
      <c r="AR29" s="277"/>
      <c r="AS29" s="280"/>
      <c r="AT29" s="277"/>
      <c r="AU29" s="278"/>
      <c r="AV29" s="285">
        <f t="shared" si="33"/>
        <v>88</v>
      </c>
      <c r="AW29" s="296" t="str">
        <f t="shared" si="34"/>
        <v>B</v>
      </c>
      <c r="AX29" s="1220">
        <f t="shared" si="16"/>
        <v>88.01</v>
      </c>
      <c r="AY29" s="1221">
        <f t="shared" si="16"/>
        <v>88.02</v>
      </c>
      <c r="AZ29" s="1221" t="str">
        <f t="shared" si="16"/>
        <v/>
      </c>
      <c r="BA29" s="1221" t="str">
        <f t="shared" si="16"/>
        <v/>
      </c>
      <c r="BB29" s="1221" t="str">
        <f t="shared" si="16"/>
        <v/>
      </c>
      <c r="BC29" s="1221" t="str">
        <f t="shared" si="16"/>
        <v/>
      </c>
      <c r="BD29" s="1221" t="str">
        <f t="shared" si="16"/>
        <v/>
      </c>
      <c r="BE29" s="1222" t="str">
        <f t="shared" si="16"/>
        <v/>
      </c>
      <c r="BF29" s="1221" t="str">
        <f t="shared" si="16"/>
        <v/>
      </c>
      <c r="BG29" s="1223" t="str">
        <f t="shared" si="16"/>
        <v/>
      </c>
      <c r="BH29" s="286">
        <f t="shared" si="35"/>
        <v>88.02</v>
      </c>
      <c r="BI29" s="286">
        <f t="shared" si="36"/>
        <v>88.01</v>
      </c>
      <c r="BJ29" s="287" t="str">
        <f t="shared" si="37"/>
        <v>baik</v>
      </c>
      <c r="BK29" s="287" t="str">
        <f t="shared" si="37"/>
        <v>baik</v>
      </c>
      <c r="BL29" s="286">
        <f t="shared" si="38"/>
        <v>2</v>
      </c>
      <c r="BM29" s="288">
        <f t="shared" si="39"/>
        <v>1</v>
      </c>
      <c r="BN29" s="289" t="str">
        <f t="shared" si="40"/>
        <v>Memiliki keterampilan baik dalam mengembangkan permasalahan isu dan berbagai sudut pandang dan Menyampaikan penawaran dalam teks negosiasi secara lisan.</v>
      </c>
      <c r="BO29" s="67"/>
    </row>
    <row r="30" spans="1:67" ht="33" customHeight="1">
      <c r="A30" s="67"/>
      <c r="B30" s="272">
        <f t="shared" si="23"/>
        <v>17</v>
      </c>
      <c r="C30" s="273">
        <f>IF(Data!F21="","",Data!F21)</f>
        <v>0</v>
      </c>
      <c r="D30" s="274" t="str">
        <f>IF(Data!H21="","",Data!H21)</f>
        <v xml:space="preserve">Hezron Nubatonis </v>
      </c>
      <c r="E30" s="275" t="str">
        <f>IF(Data!I21="","",Data!I21)</f>
        <v>L</v>
      </c>
      <c r="F30" s="276">
        <v>85</v>
      </c>
      <c r="G30" s="276">
        <v>85</v>
      </c>
      <c r="H30" s="276">
        <v>85</v>
      </c>
      <c r="I30" s="276">
        <v>85</v>
      </c>
      <c r="J30" s="277"/>
      <c r="K30" s="277"/>
      <c r="L30" s="277"/>
      <c r="M30" s="280"/>
      <c r="N30" s="277"/>
      <c r="O30" s="278"/>
      <c r="P30" s="279">
        <f t="shared" si="24"/>
        <v>85</v>
      </c>
      <c r="Q30" s="277">
        <v>82</v>
      </c>
      <c r="R30" s="1482">
        <v>50</v>
      </c>
      <c r="S30" s="281">
        <f t="shared" si="25"/>
        <v>76</v>
      </c>
      <c r="T30" s="295" t="str">
        <f t="shared" si="26"/>
        <v>C</v>
      </c>
      <c r="U30" s="1215">
        <f t="shared" ref="U30:AD55" si="41">IF(F30="","",F30+U$13)</f>
        <v>85.01</v>
      </c>
      <c r="V30" s="1216">
        <f t="shared" si="41"/>
        <v>85.02</v>
      </c>
      <c r="W30" s="1216">
        <f t="shared" si="41"/>
        <v>85.03</v>
      </c>
      <c r="X30" s="1216">
        <f t="shared" si="41"/>
        <v>85.04</v>
      </c>
      <c r="Y30" s="1216" t="str">
        <f t="shared" si="41"/>
        <v/>
      </c>
      <c r="Z30" s="1216" t="str">
        <f t="shared" si="41"/>
        <v/>
      </c>
      <c r="AA30" s="1216" t="str">
        <f t="shared" si="41"/>
        <v/>
      </c>
      <c r="AB30" s="1217" t="str">
        <f t="shared" si="41"/>
        <v/>
      </c>
      <c r="AC30" s="1216" t="str">
        <f t="shared" si="41"/>
        <v/>
      </c>
      <c r="AD30" s="1218" t="str">
        <f t="shared" si="41"/>
        <v/>
      </c>
      <c r="AE30" s="1219">
        <f t="shared" si="27"/>
        <v>85.04</v>
      </c>
      <c r="AF30" s="282">
        <f t="shared" si="28"/>
        <v>85.01</v>
      </c>
      <c r="AG30" s="282" t="str">
        <f t="shared" si="29"/>
        <v>baik</v>
      </c>
      <c r="AH30" s="282" t="str">
        <f t="shared" si="29"/>
        <v>baik</v>
      </c>
      <c r="AI30" s="282">
        <f t="shared" si="30"/>
        <v>4</v>
      </c>
      <c r="AJ30" s="283">
        <f t="shared" si="31"/>
        <v>1</v>
      </c>
      <c r="AK30" s="284" t="str">
        <f t="shared" si="32"/>
        <v>Memiliki kemampuan baik dalam Menganalisis  unsur pembangun puisi. dan Menganalisis  isi, struktur dan kebahasaan teks  negosiasi.</v>
      </c>
      <c r="AL30" s="276">
        <v>88</v>
      </c>
      <c r="AM30" s="276">
        <v>88</v>
      </c>
      <c r="AN30" s="277"/>
      <c r="AO30" s="277"/>
      <c r="AP30" s="277"/>
      <c r="AQ30" s="277"/>
      <c r="AR30" s="277"/>
      <c r="AS30" s="280"/>
      <c r="AT30" s="277"/>
      <c r="AU30" s="278"/>
      <c r="AV30" s="285">
        <f t="shared" si="33"/>
        <v>88</v>
      </c>
      <c r="AW30" s="296" t="str">
        <f t="shared" si="34"/>
        <v>B</v>
      </c>
      <c r="AX30" s="1220">
        <f t="shared" ref="AX30:BG55" si="42">IF(AL30="","",AL30+AX$12)</f>
        <v>88.01</v>
      </c>
      <c r="AY30" s="1221">
        <f t="shared" si="42"/>
        <v>88.02</v>
      </c>
      <c r="AZ30" s="1221" t="str">
        <f t="shared" si="42"/>
        <v/>
      </c>
      <c r="BA30" s="1221" t="str">
        <f t="shared" si="42"/>
        <v/>
      </c>
      <c r="BB30" s="1221" t="str">
        <f t="shared" si="42"/>
        <v/>
      </c>
      <c r="BC30" s="1221" t="str">
        <f t="shared" si="42"/>
        <v/>
      </c>
      <c r="BD30" s="1221" t="str">
        <f t="shared" si="42"/>
        <v/>
      </c>
      <c r="BE30" s="1222" t="str">
        <f t="shared" si="42"/>
        <v/>
      </c>
      <c r="BF30" s="1221" t="str">
        <f t="shared" si="42"/>
        <v/>
      </c>
      <c r="BG30" s="1223" t="str">
        <f t="shared" si="42"/>
        <v/>
      </c>
      <c r="BH30" s="286">
        <f t="shared" si="35"/>
        <v>88.02</v>
      </c>
      <c r="BI30" s="286">
        <f t="shared" si="36"/>
        <v>88.01</v>
      </c>
      <c r="BJ30" s="287" t="str">
        <f t="shared" si="37"/>
        <v>baik</v>
      </c>
      <c r="BK30" s="287" t="str">
        <f t="shared" si="37"/>
        <v>baik</v>
      </c>
      <c r="BL30" s="286">
        <f t="shared" si="38"/>
        <v>2</v>
      </c>
      <c r="BM30" s="288">
        <f t="shared" si="39"/>
        <v>1</v>
      </c>
      <c r="BN30" s="289" t="str">
        <f t="shared" si="40"/>
        <v>Memiliki keterampilan baik dalam mengembangkan permasalahan isu dan berbagai sudut pandang dan Menyampaikan penawaran dalam teks negosiasi secara lisan.</v>
      </c>
      <c r="BO30" s="67"/>
    </row>
    <row r="31" spans="1:67" ht="33" customHeight="1">
      <c r="A31" s="67"/>
      <c r="B31" s="272">
        <f t="shared" si="23"/>
        <v>18</v>
      </c>
      <c r="C31" s="273">
        <f>IF(Data!F22="","",Data!F22)</f>
        <v>0</v>
      </c>
      <c r="D31" s="274" t="str">
        <f>IF(Data!H22="","",Data!H22)</f>
        <v>Jelita Anita Boimau</v>
      </c>
      <c r="E31" s="275" t="str">
        <f>IF(Data!I22="","",Data!I22)</f>
        <v>P</v>
      </c>
      <c r="F31" s="276">
        <v>85</v>
      </c>
      <c r="G31" s="276">
        <v>85</v>
      </c>
      <c r="H31" s="276">
        <v>85</v>
      </c>
      <c r="I31" s="276">
        <v>85</v>
      </c>
      <c r="J31" s="277"/>
      <c r="K31" s="277"/>
      <c r="L31" s="277"/>
      <c r="M31" s="280"/>
      <c r="N31" s="277"/>
      <c r="O31" s="278"/>
      <c r="P31" s="279">
        <f t="shared" si="24"/>
        <v>85</v>
      </c>
      <c r="Q31" s="277">
        <v>100</v>
      </c>
      <c r="R31" s="1482">
        <v>45</v>
      </c>
      <c r="S31" s="281">
        <f t="shared" si="25"/>
        <v>79</v>
      </c>
      <c r="T31" s="295" t="str">
        <f t="shared" si="26"/>
        <v>C</v>
      </c>
      <c r="U31" s="1215">
        <f t="shared" si="41"/>
        <v>85.01</v>
      </c>
      <c r="V31" s="1216">
        <f t="shared" si="41"/>
        <v>85.02</v>
      </c>
      <c r="W31" s="1216">
        <f t="shared" si="41"/>
        <v>85.03</v>
      </c>
      <c r="X31" s="1216">
        <f t="shared" si="41"/>
        <v>85.04</v>
      </c>
      <c r="Y31" s="1216" t="str">
        <f t="shared" si="41"/>
        <v/>
      </c>
      <c r="Z31" s="1216" t="str">
        <f t="shared" si="41"/>
        <v/>
      </c>
      <c r="AA31" s="1216" t="str">
        <f t="shared" si="41"/>
        <v/>
      </c>
      <c r="AB31" s="1217" t="str">
        <f t="shared" si="41"/>
        <v/>
      </c>
      <c r="AC31" s="1216" t="str">
        <f t="shared" si="41"/>
        <v/>
      </c>
      <c r="AD31" s="1218" t="str">
        <f t="shared" si="41"/>
        <v/>
      </c>
      <c r="AE31" s="1219">
        <f t="shared" si="27"/>
        <v>85.04</v>
      </c>
      <c r="AF31" s="282">
        <f t="shared" si="28"/>
        <v>85.01</v>
      </c>
      <c r="AG31" s="282" t="str">
        <f t="shared" si="29"/>
        <v>baik</v>
      </c>
      <c r="AH31" s="282" t="str">
        <f t="shared" si="29"/>
        <v>baik</v>
      </c>
      <c r="AI31" s="282">
        <f t="shared" si="30"/>
        <v>4</v>
      </c>
      <c r="AJ31" s="283">
        <f t="shared" si="31"/>
        <v>1</v>
      </c>
      <c r="AK31" s="284" t="str">
        <f t="shared" si="32"/>
        <v>Memiliki kemampuan baik dalam Menganalisis  unsur pembangun puisi. dan Menganalisis  isi, struktur dan kebahasaan teks  negosiasi.</v>
      </c>
      <c r="AL31" s="276">
        <v>88</v>
      </c>
      <c r="AM31" s="276">
        <v>88</v>
      </c>
      <c r="AN31" s="277"/>
      <c r="AO31" s="277"/>
      <c r="AP31" s="277"/>
      <c r="AQ31" s="277"/>
      <c r="AR31" s="277"/>
      <c r="AS31" s="280"/>
      <c r="AT31" s="277"/>
      <c r="AU31" s="278"/>
      <c r="AV31" s="285">
        <f t="shared" si="33"/>
        <v>88</v>
      </c>
      <c r="AW31" s="296" t="str">
        <f t="shared" si="34"/>
        <v>B</v>
      </c>
      <c r="AX31" s="1220">
        <f t="shared" si="42"/>
        <v>88.01</v>
      </c>
      <c r="AY31" s="1221">
        <f t="shared" si="42"/>
        <v>88.02</v>
      </c>
      <c r="AZ31" s="1221" t="str">
        <f t="shared" si="42"/>
        <v/>
      </c>
      <c r="BA31" s="1221" t="str">
        <f t="shared" si="42"/>
        <v/>
      </c>
      <c r="BB31" s="1221" t="str">
        <f t="shared" si="42"/>
        <v/>
      </c>
      <c r="BC31" s="1221" t="str">
        <f t="shared" si="42"/>
        <v/>
      </c>
      <c r="BD31" s="1221" t="str">
        <f t="shared" si="42"/>
        <v/>
      </c>
      <c r="BE31" s="1222" t="str">
        <f t="shared" si="42"/>
        <v/>
      </c>
      <c r="BF31" s="1221" t="str">
        <f t="shared" si="42"/>
        <v/>
      </c>
      <c r="BG31" s="1223" t="str">
        <f t="shared" si="42"/>
        <v/>
      </c>
      <c r="BH31" s="286">
        <f t="shared" si="35"/>
        <v>88.02</v>
      </c>
      <c r="BI31" s="286">
        <f t="shared" si="36"/>
        <v>88.01</v>
      </c>
      <c r="BJ31" s="287" t="str">
        <f t="shared" si="37"/>
        <v>baik</v>
      </c>
      <c r="BK31" s="287" t="str">
        <f t="shared" si="37"/>
        <v>baik</v>
      </c>
      <c r="BL31" s="286">
        <f t="shared" si="38"/>
        <v>2</v>
      </c>
      <c r="BM31" s="288">
        <f t="shared" si="39"/>
        <v>1</v>
      </c>
      <c r="BN31" s="289" t="str">
        <f t="shared" si="40"/>
        <v>Memiliki keterampilan baik dalam mengembangkan permasalahan isu dan berbagai sudut pandang dan Menyampaikan penawaran dalam teks negosiasi secara lisan.</v>
      </c>
      <c r="BO31" s="67"/>
    </row>
    <row r="32" spans="1:67" ht="33" customHeight="1">
      <c r="A32" s="67"/>
      <c r="B32" s="272">
        <f t="shared" si="23"/>
        <v>19</v>
      </c>
      <c r="C32" s="273">
        <f>IF(Data!F23="","",Data!F23)</f>
        <v>0</v>
      </c>
      <c r="D32" s="274" t="str">
        <f>IF(Data!H23="","",Data!H23)</f>
        <v>Jidon Nubatonis</v>
      </c>
      <c r="E32" s="275" t="str">
        <f>IF(Data!I23="","",Data!I23)</f>
        <v>L</v>
      </c>
      <c r="F32" s="276">
        <v>85</v>
      </c>
      <c r="G32" s="276">
        <v>85</v>
      </c>
      <c r="H32" s="276">
        <v>85</v>
      </c>
      <c r="I32" s="276">
        <v>85</v>
      </c>
      <c r="J32" s="277"/>
      <c r="K32" s="277"/>
      <c r="L32" s="277"/>
      <c r="M32" s="280"/>
      <c r="N32" s="277"/>
      <c r="O32" s="278"/>
      <c r="P32" s="279">
        <f t="shared" si="24"/>
        <v>85</v>
      </c>
      <c r="Q32" s="277">
        <v>90</v>
      </c>
      <c r="R32" s="1482">
        <v>62</v>
      </c>
      <c r="S32" s="281">
        <f t="shared" si="25"/>
        <v>81</v>
      </c>
      <c r="T32" s="295" t="str">
        <f t="shared" si="26"/>
        <v>C</v>
      </c>
      <c r="U32" s="1215">
        <f t="shared" si="41"/>
        <v>85.01</v>
      </c>
      <c r="V32" s="1216">
        <f t="shared" si="41"/>
        <v>85.02</v>
      </c>
      <c r="W32" s="1216">
        <f t="shared" si="41"/>
        <v>85.03</v>
      </c>
      <c r="X32" s="1216">
        <f t="shared" si="41"/>
        <v>85.04</v>
      </c>
      <c r="Y32" s="1216" t="str">
        <f t="shared" si="41"/>
        <v/>
      </c>
      <c r="Z32" s="1216" t="str">
        <f t="shared" si="41"/>
        <v/>
      </c>
      <c r="AA32" s="1216" t="str">
        <f t="shared" si="41"/>
        <v/>
      </c>
      <c r="AB32" s="1217" t="str">
        <f t="shared" si="41"/>
        <v/>
      </c>
      <c r="AC32" s="1216" t="str">
        <f t="shared" si="41"/>
        <v/>
      </c>
      <c r="AD32" s="1218" t="str">
        <f t="shared" si="41"/>
        <v/>
      </c>
      <c r="AE32" s="1219">
        <f t="shared" si="27"/>
        <v>85.04</v>
      </c>
      <c r="AF32" s="282">
        <f t="shared" si="28"/>
        <v>85.01</v>
      </c>
      <c r="AG32" s="282" t="str">
        <f t="shared" si="29"/>
        <v>baik</v>
      </c>
      <c r="AH32" s="282" t="str">
        <f t="shared" si="29"/>
        <v>baik</v>
      </c>
      <c r="AI32" s="282">
        <f t="shared" si="30"/>
        <v>4</v>
      </c>
      <c r="AJ32" s="283">
        <f t="shared" si="31"/>
        <v>1</v>
      </c>
      <c r="AK32" s="284" t="str">
        <f t="shared" si="32"/>
        <v>Memiliki kemampuan baik dalam Menganalisis  unsur pembangun puisi. dan Menganalisis  isi, struktur dan kebahasaan teks  negosiasi.</v>
      </c>
      <c r="AL32" s="276">
        <v>88</v>
      </c>
      <c r="AM32" s="276">
        <v>88</v>
      </c>
      <c r="AN32" s="277"/>
      <c r="AO32" s="277"/>
      <c r="AP32" s="277"/>
      <c r="AQ32" s="277"/>
      <c r="AR32" s="277"/>
      <c r="AS32" s="280"/>
      <c r="AT32" s="277"/>
      <c r="AU32" s="278"/>
      <c r="AV32" s="285">
        <f t="shared" si="33"/>
        <v>88</v>
      </c>
      <c r="AW32" s="296" t="str">
        <f t="shared" si="34"/>
        <v>B</v>
      </c>
      <c r="AX32" s="1220">
        <f t="shared" si="42"/>
        <v>88.01</v>
      </c>
      <c r="AY32" s="1221">
        <f t="shared" si="42"/>
        <v>88.02</v>
      </c>
      <c r="AZ32" s="1221" t="str">
        <f t="shared" si="42"/>
        <v/>
      </c>
      <c r="BA32" s="1221" t="str">
        <f t="shared" si="42"/>
        <v/>
      </c>
      <c r="BB32" s="1221" t="str">
        <f t="shared" si="42"/>
        <v/>
      </c>
      <c r="BC32" s="1221" t="str">
        <f t="shared" si="42"/>
        <v/>
      </c>
      <c r="BD32" s="1221" t="str">
        <f t="shared" si="42"/>
        <v/>
      </c>
      <c r="BE32" s="1222" t="str">
        <f t="shared" si="42"/>
        <v/>
      </c>
      <c r="BF32" s="1221" t="str">
        <f t="shared" si="42"/>
        <v/>
      </c>
      <c r="BG32" s="1223" t="str">
        <f t="shared" si="42"/>
        <v/>
      </c>
      <c r="BH32" s="286">
        <f t="shared" si="35"/>
        <v>88.02</v>
      </c>
      <c r="BI32" s="286">
        <f t="shared" si="36"/>
        <v>88.01</v>
      </c>
      <c r="BJ32" s="287" t="str">
        <f t="shared" si="37"/>
        <v>baik</v>
      </c>
      <c r="BK32" s="287" t="str">
        <f t="shared" si="37"/>
        <v>baik</v>
      </c>
      <c r="BL32" s="286">
        <f t="shared" si="38"/>
        <v>2</v>
      </c>
      <c r="BM32" s="288">
        <f t="shared" si="39"/>
        <v>1</v>
      </c>
      <c r="BN32" s="289" t="str">
        <f t="shared" si="40"/>
        <v>Memiliki keterampilan baik dalam mengembangkan permasalahan isu dan berbagai sudut pandang dan Menyampaikan penawaran dalam teks negosiasi secara lisan.</v>
      </c>
      <c r="BO32" s="67"/>
    </row>
    <row r="33" spans="1:67" ht="33" customHeight="1">
      <c r="A33" s="67"/>
      <c r="B33" s="272">
        <f t="shared" si="23"/>
        <v>20</v>
      </c>
      <c r="C33" s="273">
        <f>IF(Data!F24="","",Data!F24)</f>
        <v>0</v>
      </c>
      <c r="D33" s="274" t="str">
        <f>IF(Data!H24="","",Data!H24)</f>
        <v>Jitro Andro Baran</v>
      </c>
      <c r="E33" s="275" t="str">
        <f>IF(Data!I24="","",Data!I24)</f>
        <v>L</v>
      </c>
      <c r="F33" s="276">
        <v>85</v>
      </c>
      <c r="G33" s="276">
        <v>85</v>
      </c>
      <c r="H33" s="276">
        <v>85</v>
      </c>
      <c r="I33" s="276">
        <v>85</v>
      </c>
      <c r="J33" s="277"/>
      <c r="K33" s="277"/>
      <c r="L33" s="277"/>
      <c r="M33" s="280"/>
      <c r="N33" s="277"/>
      <c r="O33" s="278"/>
      <c r="P33" s="279">
        <f t="shared" si="24"/>
        <v>85</v>
      </c>
      <c r="Q33" s="277">
        <v>100</v>
      </c>
      <c r="R33" s="1482">
        <v>35</v>
      </c>
      <c r="S33" s="281">
        <f t="shared" si="25"/>
        <v>76</v>
      </c>
      <c r="T33" s="295" t="str">
        <f t="shared" si="26"/>
        <v>C</v>
      </c>
      <c r="U33" s="1215">
        <f t="shared" si="41"/>
        <v>85.01</v>
      </c>
      <c r="V33" s="1216">
        <f t="shared" si="41"/>
        <v>85.02</v>
      </c>
      <c r="W33" s="1216">
        <f t="shared" si="41"/>
        <v>85.03</v>
      </c>
      <c r="X33" s="1216">
        <f t="shared" si="41"/>
        <v>85.04</v>
      </c>
      <c r="Y33" s="1216" t="str">
        <f t="shared" si="41"/>
        <v/>
      </c>
      <c r="Z33" s="1216" t="str">
        <f t="shared" si="41"/>
        <v/>
      </c>
      <c r="AA33" s="1216" t="str">
        <f t="shared" si="41"/>
        <v/>
      </c>
      <c r="AB33" s="1217" t="str">
        <f t="shared" si="41"/>
        <v/>
      </c>
      <c r="AC33" s="1216" t="str">
        <f t="shared" si="41"/>
        <v/>
      </c>
      <c r="AD33" s="1218" t="str">
        <f t="shared" si="41"/>
        <v/>
      </c>
      <c r="AE33" s="1219">
        <f t="shared" si="27"/>
        <v>85.04</v>
      </c>
      <c r="AF33" s="282">
        <f t="shared" si="28"/>
        <v>85.01</v>
      </c>
      <c r="AG33" s="282" t="str">
        <f t="shared" si="29"/>
        <v>baik</v>
      </c>
      <c r="AH33" s="282" t="str">
        <f t="shared" si="29"/>
        <v>baik</v>
      </c>
      <c r="AI33" s="282">
        <f t="shared" si="30"/>
        <v>4</v>
      </c>
      <c r="AJ33" s="283">
        <f t="shared" si="31"/>
        <v>1</v>
      </c>
      <c r="AK33" s="284" t="str">
        <f t="shared" si="32"/>
        <v>Memiliki kemampuan baik dalam Menganalisis  unsur pembangun puisi. dan Menganalisis  isi, struktur dan kebahasaan teks  negosiasi.</v>
      </c>
      <c r="AL33" s="276">
        <v>88</v>
      </c>
      <c r="AM33" s="276">
        <v>88</v>
      </c>
      <c r="AN33" s="277"/>
      <c r="AO33" s="277"/>
      <c r="AP33" s="277"/>
      <c r="AQ33" s="277"/>
      <c r="AR33" s="277"/>
      <c r="AS33" s="280"/>
      <c r="AT33" s="277"/>
      <c r="AU33" s="278"/>
      <c r="AV33" s="285">
        <f t="shared" si="33"/>
        <v>88</v>
      </c>
      <c r="AW33" s="296" t="str">
        <f t="shared" si="34"/>
        <v>B</v>
      </c>
      <c r="AX33" s="1220">
        <f t="shared" si="42"/>
        <v>88.01</v>
      </c>
      <c r="AY33" s="1221">
        <f t="shared" si="42"/>
        <v>88.02</v>
      </c>
      <c r="AZ33" s="1221" t="str">
        <f t="shared" si="42"/>
        <v/>
      </c>
      <c r="BA33" s="1221" t="str">
        <f t="shared" si="42"/>
        <v/>
      </c>
      <c r="BB33" s="1221" t="str">
        <f t="shared" si="42"/>
        <v/>
      </c>
      <c r="BC33" s="1221" t="str">
        <f t="shared" si="42"/>
        <v/>
      </c>
      <c r="BD33" s="1221" t="str">
        <f t="shared" si="42"/>
        <v/>
      </c>
      <c r="BE33" s="1222" t="str">
        <f t="shared" si="42"/>
        <v/>
      </c>
      <c r="BF33" s="1221" t="str">
        <f t="shared" si="42"/>
        <v/>
      </c>
      <c r="BG33" s="1223" t="str">
        <f t="shared" si="42"/>
        <v/>
      </c>
      <c r="BH33" s="286">
        <f t="shared" si="35"/>
        <v>88.02</v>
      </c>
      <c r="BI33" s="286">
        <f t="shared" si="36"/>
        <v>88.01</v>
      </c>
      <c r="BJ33" s="287" t="str">
        <f t="shared" si="37"/>
        <v>baik</v>
      </c>
      <c r="BK33" s="287" t="str">
        <f t="shared" si="37"/>
        <v>baik</v>
      </c>
      <c r="BL33" s="286">
        <f t="shared" si="38"/>
        <v>2</v>
      </c>
      <c r="BM33" s="288">
        <f t="shared" si="39"/>
        <v>1</v>
      </c>
      <c r="BN33" s="289" t="str">
        <f t="shared" si="40"/>
        <v>Memiliki keterampilan baik dalam mengembangkan permasalahan isu dan berbagai sudut pandang dan Menyampaikan penawaran dalam teks negosiasi secara lisan.</v>
      </c>
      <c r="BO33" s="67"/>
    </row>
    <row r="34" spans="1:67" ht="33" customHeight="1">
      <c r="A34" s="67"/>
      <c r="B34" s="272">
        <f t="shared" si="23"/>
        <v>21</v>
      </c>
      <c r="C34" s="273">
        <f>IF(Data!F25="","",Data!F25)</f>
        <v>0</v>
      </c>
      <c r="D34" s="274" t="str">
        <f>IF(Data!H25="","",Data!H25)</f>
        <v>Juan Manuel Boys</v>
      </c>
      <c r="E34" s="275" t="str">
        <f>IF(Data!I25="","",Data!I25)</f>
        <v>L</v>
      </c>
      <c r="F34" s="276">
        <v>85</v>
      </c>
      <c r="G34" s="276">
        <v>85</v>
      </c>
      <c r="H34" s="276">
        <v>85</v>
      </c>
      <c r="I34" s="276">
        <v>85</v>
      </c>
      <c r="J34" s="277"/>
      <c r="K34" s="277"/>
      <c r="L34" s="277"/>
      <c r="M34" s="280"/>
      <c r="N34" s="277"/>
      <c r="O34" s="278"/>
      <c r="P34" s="279">
        <f t="shared" si="24"/>
        <v>85</v>
      </c>
      <c r="Q34" s="277">
        <v>86</v>
      </c>
      <c r="R34" s="1482">
        <v>62</v>
      </c>
      <c r="S34" s="281">
        <f t="shared" si="25"/>
        <v>80</v>
      </c>
      <c r="T34" s="295" t="str">
        <f t="shared" si="26"/>
        <v>C</v>
      </c>
      <c r="U34" s="1215">
        <f t="shared" si="41"/>
        <v>85.01</v>
      </c>
      <c r="V34" s="1216">
        <f t="shared" si="41"/>
        <v>85.02</v>
      </c>
      <c r="W34" s="1216">
        <f t="shared" si="41"/>
        <v>85.03</v>
      </c>
      <c r="X34" s="1216">
        <f t="shared" si="41"/>
        <v>85.04</v>
      </c>
      <c r="Y34" s="1216" t="str">
        <f t="shared" si="41"/>
        <v/>
      </c>
      <c r="Z34" s="1216" t="str">
        <f t="shared" si="41"/>
        <v/>
      </c>
      <c r="AA34" s="1216" t="str">
        <f t="shared" si="41"/>
        <v/>
      </c>
      <c r="AB34" s="1217" t="str">
        <f t="shared" si="41"/>
        <v/>
      </c>
      <c r="AC34" s="1216" t="str">
        <f t="shared" si="41"/>
        <v/>
      </c>
      <c r="AD34" s="1218" t="str">
        <f t="shared" si="41"/>
        <v/>
      </c>
      <c r="AE34" s="1219">
        <f t="shared" si="27"/>
        <v>85.04</v>
      </c>
      <c r="AF34" s="282">
        <f t="shared" si="28"/>
        <v>85.01</v>
      </c>
      <c r="AG34" s="282" t="str">
        <f t="shared" si="29"/>
        <v>baik</v>
      </c>
      <c r="AH34" s="282" t="str">
        <f t="shared" si="29"/>
        <v>baik</v>
      </c>
      <c r="AI34" s="282">
        <f t="shared" si="30"/>
        <v>4</v>
      </c>
      <c r="AJ34" s="283">
        <f t="shared" si="31"/>
        <v>1</v>
      </c>
      <c r="AK34" s="284" t="str">
        <f t="shared" si="32"/>
        <v>Memiliki kemampuan baik dalam Menganalisis  unsur pembangun puisi. dan Menganalisis  isi, struktur dan kebahasaan teks  negosiasi.</v>
      </c>
      <c r="AL34" s="276">
        <v>88</v>
      </c>
      <c r="AM34" s="276">
        <v>88</v>
      </c>
      <c r="AN34" s="277"/>
      <c r="AO34" s="277"/>
      <c r="AP34" s="277"/>
      <c r="AQ34" s="277"/>
      <c r="AR34" s="277"/>
      <c r="AS34" s="280"/>
      <c r="AT34" s="277"/>
      <c r="AU34" s="278"/>
      <c r="AV34" s="285">
        <f t="shared" si="33"/>
        <v>88</v>
      </c>
      <c r="AW34" s="296" t="str">
        <f t="shared" si="34"/>
        <v>B</v>
      </c>
      <c r="AX34" s="1220">
        <f t="shared" si="42"/>
        <v>88.01</v>
      </c>
      <c r="AY34" s="1221">
        <f t="shared" si="42"/>
        <v>88.02</v>
      </c>
      <c r="AZ34" s="1221" t="str">
        <f t="shared" si="42"/>
        <v/>
      </c>
      <c r="BA34" s="1221" t="str">
        <f t="shared" si="42"/>
        <v/>
      </c>
      <c r="BB34" s="1221" t="str">
        <f t="shared" si="42"/>
        <v/>
      </c>
      <c r="BC34" s="1221" t="str">
        <f t="shared" si="42"/>
        <v/>
      </c>
      <c r="BD34" s="1221" t="str">
        <f t="shared" si="42"/>
        <v/>
      </c>
      <c r="BE34" s="1222" t="str">
        <f t="shared" si="42"/>
        <v/>
      </c>
      <c r="BF34" s="1221" t="str">
        <f t="shared" si="42"/>
        <v/>
      </c>
      <c r="BG34" s="1223" t="str">
        <f t="shared" si="42"/>
        <v/>
      </c>
      <c r="BH34" s="286">
        <f t="shared" si="35"/>
        <v>88.02</v>
      </c>
      <c r="BI34" s="286">
        <f t="shared" si="36"/>
        <v>88.01</v>
      </c>
      <c r="BJ34" s="287" t="str">
        <f t="shared" si="37"/>
        <v>baik</v>
      </c>
      <c r="BK34" s="287" t="str">
        <f t="shared" si="37"/>
        <v>baik</v>
      </c>
      <c r="BL34" s="286">
        <f t="shared" si="38"/>
        <v>2</v>
      </c>
      <c r="BM34" s="288">
        <f t="shared" si="39"/>
        <v>1</v>
      </c>
      <c r="BN34" s="289" t="str">
        <f t="shared" si="40"/>
        <v>Memiliki keterampilan baik dalam mengembangkan permasalahan isu dan berbagai sudut pandang dan Menyampaikan penawaran dalam teks negosiasi secara lisan.</v>
      </c>
      <c r="BO34" s="67"/>
    </row>
    <row r="35" spans="1:67" ht="33" customHeight="1">
      <c r="A35" s="67"/>
      <c r="B35" s="272">
        <f t="shared" si="23"/>
        <v>22</v>
      </c>
      <c r="C35" s="273">
        <f>IF(Data!F26="","",Data!F26)</f>
        <v>0</v>
      </c>
      <c r="D35" s="274" t="str">
        <f>IF(Data!H26="","",Data!H26)</f>
        <v>Krisyanti Ernela Kesnay</v>
      </c>
      <c r="E35" s="275" t="str">
        <f>IF(Data!I26="","",Data!I26)</f>
        <v>P</v>
      </c>
      <c r="F35" s="276">
        <v>85</v>
      </c>
      <c r="G35" s="276">
        <v>85</v>
      </c>
      <c r="H35" s="276">
        <v>85</v>
      </c>
      <c r="I35" s="276">
        <v>85</v>
      </c>
      <c r="J35" s="277"/>
      <c r="K35" s="277"/>
      <c r="L35" s="277"/>
      <c r="M35" s="280"/>
      <c r="N35" s="277"/>
      <c r="O35" s="278"/>
      <c r="P35" s="279">
        <f t="shared" si="24"/>
        <v>85</v>
      </c>
      <c r="Q35" s="277">
        <v>93</v>
      </c>
      <c r="R35" s="1482">
        <v>52</v>
      </c>
      <c r="S35" s="281">
        <f t="shared" si="25"/>
        <v>79</v>
      </c>
      <c r="T35" s="295" t="str">
        <f t="shared" si="26"/>
        <v>C</v>
      </c>
      <c r="U35" s="1215">
        <f t="shared" si="41"/>
        <v>85.01</v>
      </c>
      <c r="V35" s="1216">
        <f t="shared" si="41"/>
        <v>85.02</v>
      </c>
      <c r="W35" s="1216">
        <f t="shared" si="41"/>
        <v>85.03</v>
      </c>
      <c r="X35" s="1216">
        <f t="shared" si="41"/>
        <v>85.04</v>
      </c>
      <c r="Y35" s="1216" t="str">
        <f t="shared" si="41"/>
        <v/>
      </c>
      <c r="Z35" s="1216" t="str">
        <f t="shared" si="41"/>
        <v/>
      </c>
      <c r="AA35" s="1216" t="str">
        <f t="shared" si="41"/>
        <v/>
      </c>
      <c r="AB35" s="1217" t="str">
        <f t="shared" si="41"/>
        <v/>
      </c>
      <c r="AC35" s="1216" t="str">
        <f t="shared" si="41"/>
        <v/>
      </c>
      <c r="AD35" s="1218" t="str">
        <f t="shared" si="41"/>
        <v/>
      </c>
      <c r="AE35" s="1219">
        <f t="shared" si="27"/>
        <v>85.04</v>
      </c>
      <c r="AF35" s="282">
        <f t="shared" si="28"/>
        <v>85.01</v>
      </c>
      <c r="AG35" s="282" t="str">
        <f t="shared" si="29"/>
        <v>baik</v>
      </c>
      <c r="AH35" s="282" t="str">
        <f t="shared" si="29"/>
        <v>baik</v>
      </c>
      <c r="AI35" s="282">
        <f t="shared" si="30"/>
        <v>4</v>
      </c>
      <c r="AJ35" s="283">
        <f t="shared" si="31"/>
        <v>1</v>
      </c>
      <c r="AK35" s="284" t="str">
        <f t="shared" si="32"/>
        <v>Memiliki kemampuan baik dalam Menganalisis  unsur pembangun puisi. dan Menganalisis  isi, struktur dan kebahasaan teks  negosiasi.</v>
      </c>
      <c r="AL35" s="276">
        <v>88</v>
      </c>
      <c r="AM35" s="276">
        <v>88</v>
      </c>
      <c r="AN35" s="277"/>
      <c r="AO35" s="277"/>
      <c r="AP35" s="277"/>
      <c r="AQ35" s="277"/>
      <c r="AR35" s="277"/>
      <c r="AS35" s="280"/>
      <c r="AT35" s="277"/>
      <c r="AU35" s="278"/>
      <c r="AV35" s="285">
        <f t="shared" si="33"/>
        <v>88</v>
      </c>
      <c r="AW35" s="296" t="str">
        <f t="shared" si="34"/>
        <v>B</v>
      </c>
      <c r="AX35" s="1220">
        <f t="shared" si="42"/>
        <v>88.01</v>
      </c>
      <c r="AY35" s="1221">
        <f t="shared" si="42"/>
        <v>88.02</v>
      </c>
      <c r="AZ35" s="1221" t="str">
        <f t="shared" si="42"/>
        <v/>
      </c>
      <c r="BA35" s="1221" t="str">
        <f t="shared" si="42"/>
        <v/>
      </c>
      <c r="BB35" s="1221" t="str">
        <f t="shared" si="42"/>
        <v/>
      </c>
      <c r="BC35" s="1221" t="str">
        <f t="shared" si="42"/>
        <v/>
      </c>
      <c r="BD35" s="1221" t="str">
        <f t="shared" si="42"/>
        <v/>
      </c>
      <c r="BE35" s="1222" t="str">
        <f t="shared" si="42"/>
        <v/>
      </c>
      <c r="BF35" s="1221" t="str">
        <f t="shared" si="42"/>
        <v/>
      </c>
      <c r="BG35" s="1223" t="str">
        <f t="shared" si="42"/>
        <v/>
      </c>
      <c r="BH35" s="286">
        <f t="shared" si="35"/>
        <v>88.02</v>
      </c>
      <c r="BI35" s="286">
        <f t="shared" si="36"/>
        <v>88.01</v>
      </c>
      <c r="BJ35" s="287" t="str">
        <f t="shared" si="37"/>
        <v>baik</v>
      </c>
      <c r="BK35" s="287" t="str">
        <f t="shared" si="37"/>
        <v>baik</v>
      </c>
      <c r="BL35" s="286">
        <f t="shared" si="38"/>
        <v>2</v>
      </c>
      <c r="BM35" s="288">
        <f t="shared" si="39"/>
        <v>1</v>
      </c>
      <c r="BN35" s="289" t="str">
        <f t="shared" si="40"/>
        <v>Memiliki keterampilan baik dalam mengembangkan permasalahan isu dan berbagai sudut pandang dan Menyampaikan penawaran dalam teks negosiasi secara lisan.</v>
      </c>
      <c r="BO35" s="67"/>
    </row>
    <row r="36" spans="1:67" ht="33" customHeight="1">
      <c r="A36" s="67"/>
      <c r="B36" s="272">
        <f t="shared" si="23"/>
        <v>23</v>
      </c>
      <c r="C36" s="273">
        <f>IF(Data!F27="","",Data!F27)</f>
        <v>0</v>
      </c>
      <c r="D36" s="274" t="str">
        <f>IF(Data!H27="","",Data!H27)</f>
        <v>Leni Aknesia Knoan</v>
      </c>
      <c r="E36" s="275" t="str">
        <f>IF(Data!I27="","",Data!I27)</f>
        <v>P</v>
      </c>
      <c r="F36" s="276">
        <v>85</v>
      </c>
      <c r="G36" s="276">
        <v>85</v>
      </c>
      <c r="H36" s="276">
        <v>85</v>
      </c>
      <c r="I36" s="276">
        <v>85</v>
      </c>
      <c r="J36" s="277"/>
      <c r="K36" s="277"/>
      <c r="L36" s="277"/>
      <c r="M36" s="280"/>
      <c r="N36" s="277"/>
      <c r="O36" s="278"/>
      <c r="P36" s="279">
        <f t="shared" si="24"/>
        <v>85</v>
      </c>
      <c r="Q36" s="277">
        <v>100</v>
      </c>
      <c r="R36" s="1482">
        <v>45</v>
      </c>
      <c r="S36" s="281">
        <f t="shared" si="25"/>
        <v>79</v>
      </c>
      <c r="T36" s="295" t="str">
        <f t="shared" si="26"/>
        <v>C</v>
      </c>
      <c r="U36" s="1215">
        <f t="shared" si="41"/>
        <v>85.01</v>
      </c>
      <c r="V36" s="1216">
        <f t="shared" si="41"/>
        <v>85.02</v>
      </c>
      <c r="W36" s="1216">
        <f t="shared" si="41"/>
        <v>85.03</v>
      </c>
      <c r="X36" s="1216">
        <f t="shared" si="41"/>
        <v>85.04</v>
      </c>
      <c r="Y36" s="1216" t="str">
        <f t="shared" si="41"/>
        <v/>
      </c>
      <c r="Z36" s="1216" t="str">
        <f t="shared" si="41"/>
        <v/>
      </c>
      <c r="AA36" s="1216" t="str">
        <f t="shared" si="41"/>
        <v/>
      </c>
      <c r="AB36" s="1217" t="str">
        <f t="shared" si="41"/>
        <v/>
      </c>
      <c r="AC36" s="1216" t="str">
        <f t="shared" si="41"/>
        <v/>
      </c>
      <c r="AD36" s="1218" t="str">
        <f t="shared" si="41"/>
        <v/>
      </c>
      <c r="AE36" s="1219">
        <f t="shared" si="27"/>
        <v>85.04</v>
      </c>
      <c r="AF36" s="282">
        <f t="shared" si="28"/>
        <v>85.01</v>
      </c>
      <c r="AG36" s="282" t="str">
        <f t="shared" si="29"/>
        <v>baik</v>
      </c>
      <c r="AH36" s="282" t="str">
        <f t="shared" si="29"/>
        <v>baik</v>
      </c>
      <c r="AI36" s="282">
        <f t="shared" si="30"/>
        <v>4</v>
      </c>
      <c r="AJ36" s="283">
        <f t="shared" si="31"/>
        <v>1</v>
      </c>
      <c r="AK36" s="284" t="str">
        <f t="shared" si="32"/>
        <v>Memiliki kemampuan baik dalam Menganalisis  unsur pembangun puisi. dan Menganalisis  isi, struktur dan kebahasaan teks  negosiasi.</v>
      </c>
      <c r="AL36" s="276">
        <v>88</v>
      </c>
      <c r="AM36" s="276">
        <v>88</v>
      </c>
      <c r="AN36" s="277"/>
      <c r="AO36" s="277"/>
      <c r="AP36" s="277"/>
      <c r="AQ36" s="277"/>
      <c r="AR36" s="277"/>
      <c r="AS36" s="280"/>
      <c r="AT36" s="277"/>
      <c r="AU36" s="278"/>
      <c r="AV36" s="285">
        <f t="shared" si="33"/>
        <v>88</v>
      </c>
      <c r="AW36" s="296" t="str">
        <f t="shared" si="34"/>
        <v>B</v>
      </c>
      <c r="AX36" s="1220">
        <f t="shared" si="42"/>
        <v>88.01</v>
      </c>
      <c r="AY36" s="1221">
        <f t="shared" si="42"/>
        <v>88.02</v>
      </c>
      <c r="AZ36" s="1221" t="str">
        <f t="shared" si="42"/>
        <v/>
      </c>
      <c r="BA36" s="1221" t="str">
        <f t="shared" si="42"/>
        <v/>
      </c>
      <c r="BB36" s="1221" t="str">
        <f t="shared" si="42"/>
        <v/>
      </c>
      <c r="BC36" s="1221" t="str">
        <f t="shared" si="42"/>
        <v/>
      </c>
      <c r="BD36" s="1221" t="str">
        <f t="shared" si="42"/>
        <v/>
      </c>
      <c r="BE36" s="1222" t="str">
        <f t="shared" si="42"/>
        <v/>
      </c>
      <c r="BF36" s="1221" t="str">
        <f t="shared" si="42"/>
        <v/>
      </c>
      <c r="BG36" s="1223" t="str">
        <f t="shared" si="42"/>
        <v/>
      </c>
      <c r="BH36" s="286">
        <f t="shared" si="35"/>
        <v>88.02</v>
      </c>
      <c r="BI36" s="286">
        <f t="shared" si="36"/>
        <v>88.01</v>
      </c>
      <c r="BJ36" s="287" t="str">
        <f t="shared" si="37"/>
        <v>baik</v>
      </c>
      <c r="BK36" s="287" t="str">
        <f t="shared" si="37"/>
        <v>baik</v>
      </c>
      <c r="BL36" s="286">
        <f t="shared" si="38"/>
        <v>2</v>
      </c>
      <c r="BM36" s="288">
        <f t="shared" si="39"/>
        <v>1</v>
      </c>
      <c r="BN36" s="289" t="str">
        <f t="shared" si="40"/>
        <v>Memiliki keterampilan baik dalam mengembangkan permasalahan isu dan berbagai sudut pandang dan Menyampaikan penawaran dalam teks negosiasi secara lisan.</v>
      </c>
      <c r="BO36" s="67"/>
    </row>
    <row r="37" spans="1:67" ht="33" customHeight="1">
      <c r="A37" s="67"/>
      <c r="B37" s="272">
        <f t="shared" si="23"/>
        <v>24</v>
      </c>
      <c r="C37" s="273">
        <f>IF(Data!F28="","",Data!F28)</f>
        <v>0</v>
      </c>
      <c r="D37" s="274" t="str">
        <f>IF(Data!H28="","",Data!H28)</f>
        <v>Marlon Dioninsius Lalus</v>
      </c>
      <c r="E37" s="275" t="str">
        <f>IF(Data!I28="","",Data!I28)</f>
        <v>L</v>
      </c>
      <c r="F37" s="276">
        <v>85</v>
      </c>
      <c r="G37" s="276">
        <v>85</v>
      </c>
      <c r="H37" s="276">
        <v>85</v>
      </c>
      <c r="I37" s="276">
        <v>85</v>
      </c>
      <c r="J37" s="277"/>
      <c r="K37" s="277"/>
      <c r="L37" s="277"/>
      <c r="M37" s="280"/>
      <c r="N37" s="277"/>
      <c r="O37" s="278"/>
      <c r="P37" s="279">
        <f t="shared" si="24"/>
        <v>85</v>
      </c>
      <c r="Q37" s="277">
        <v>100</v>
      </c>
      <c r="R37" s="1482">
        <v>45</v>
      </c>
      <c r="S37" s="281">
        <f t="shared" si="25"/>
        <v>79</v>
      </c>
      <c r="T37" s="295" t="str">
        <f t="shared" si="26"/>
        <v>C</v>
      </c>
      <c r="U37" s="1215">
        <f t="shared" si="41"/>
        <v>85.01</v>
      </c>
      <c r="V37" s="1216">
        <f t="shared" si="41"/>
        <v>85.02</v>
      </c>
      <c r="W37" s="1216">
        <f t="shared" si="41"/>
        <v>85.03</v>
      </c>
      <c r="X37" s="1216">
        <f t="shared" si="41"/>
        <v>85.04</v>
      </c>
      <c r="Y37" s="1216" t="str">
        <f t="shared" si="41"/>
        <v/>
      </c>
      <c r="Z37" s="1216" t="str">
        <f t="shared" si="41"/>
        <v/>
      </c>
      <c r="AA37" s="1216" t="str">
        <f t="shared" si="41"/>
        <v/>
      </c>
      <c r="AB37" s="1217" t="str">
        <f t="shared" si="41"/>
        <v/>
      </c>
      <c r="AC37" s="1216" t="str">
        <f t="shared" si="41"/>
        <v/>
      </c>
      <c r="AD37" s="1218" t="str">
        <f t="shared" si="41"/>
        <v/>
      </c>
      <c r="AE37" s="1219">
        <f t="shared" si="27"/>
        <v>85.04</v>
      </c>
      <c r="AF37" s="282">
        <f t="shared" si="28"/>
        <v>85.01</v>
      </c>
      <c r="AG37" s="282" t="str">
        <f t="shared" si="29"/>
        <v>baik</v>
      </c>
      <c r="AH37" s="282" t="str">
        <f t="shared" si="29"/>
        <v>baik</v>
      </c>
      <c r="AI37" s="282">
        <f t="shared" si="30"/>
        <v>4</v>
      </c>
      <c r="AJ37" s="283">
        <f t="shared" si="31"/>
        <v>1</v>
      </c>
      <c r="AK37" s="284" t="str">
        <f t="shared" si="32"/>
        <v>Memiliki kemampuan baik dalam Menganalisis  unsur pembangun puisi. dan Menganalisis  isi, struktur dan kebahasaan teks  negosiasi.</v>
      </c>
      <c r="AL37" s="276">
        <v>88</v>
      </c>
      <c r="AM37" s="276">
        <v>88</v>
      </c>
      <c r="AN37" s="277"/>
      <c r="AO37" s="277"/>
      <c r="AP37" s="277"/>
      <c r="AQ37" s="277"/>
      <c r="AR37" s="277"/>
      <c r="AS37" s="280"/>
      <c r="AT37" s="277"/>
      <c r="AU37" s="278"/>
      <c r="AV37" s="285">
        <f t="shared" si="33"/>
        <v>88</v>
      </c>
      <c r="AW37" s="296" t="str">
        <f t="shared" si="34"/>
        <v>B</v>
      </c>
      <c r="AX37" s="1220">
        <f t="shared" si="42"/>
        <v>88.01</v>
      </c>
      <c r="AY37" s="1221">
        <f t="shared" si="42"/>
        <v>88.02</v>
      </c>
      <c r="AZ37" s="1221" t="str">
        <f t="shared" si="42"/>
        <v/>
      </c>
      <c r="BA37" s="1221" t="str">
        <f t="shared" si="42"/>
        <v/>
      </c>
      <c r="BB37" s="1221" t="str">
        <f t="shared" si="42"/>
        <v/>
      </c>
      <c r="BC37" s="1221" t="str">
        <f t="shared" si="42"/>
        <v/>
      </c>
      <c r="BD37" s="1221" t="str">
        <f t="shared" si="42"/>
        <v/>
      </c>
      <c r="BE37" s="1222" t="str">
        <f t="shared" si="42"/>
        <v/>
      </c>
      <c r="BF37" s="1221" t="str">
        <f t="shared" si="42"/>
        <v/>
      </c>
      <c r="BG37" s="1223" t="str">
        <f t="shared" si="42"/>
        <v/>
      </c>
      <c r="BH37" s="286">
        <f t="shared" si="35"/>
        <v>88.02</v>
      </c>
      <c r="BI37" s="286">
        <f t="shared" si="36"/>
        <v>88.01</v>
      </c>
      <c r="BJ37" s="287" t="str">
        <f t="shared" si="37"/>
        <v>baik</v>
      </c>
      <c r="BK37" s="287" t="str">
        <f t="shared" si="37"/>
        <v>baik</v>
      </c>
      <c r="BL37" s="286">
        <f t="shared" si="38"/>
        <v>2</v>
      </c>
      <c r="BM37" s="288">
        <f t="shared" si="39"/>
        <v>1</v>
      </c>
      <c r="BN37" s="289" t="str">
        <f t="shared" si="40"/>
        <v>Memiliki keterampilan baik dalam mengembangkan permasalahan isu dan berbagai sudut pandang dan Menyampaikan penawaran dalam teks negosiasi secara lisan.</v>
      </c>
      <c r="BO37" s="67"/>
    </row>
    <row r="38" spans="1:67" ht="33" customHeight="1">
      <c r="A38" s="67"/>
      <c r="B38" s="272">
        <f t="shared" ref="B38:B46" si="43">IF(D38="","",B37+1)</f>
        <v>25</v>
      </c>
      <c r="C38" s="273">
        <f>IF(Data!F29="","",Data!F29)</f>
        <v>0</v>
      </c>
      <c r="D38" s="274" t="str">
        <f>IF(Data!H29="","",Data!H29)</f>
        <v>Maya Trifena Niobe</v>
      </c>
      <c r="E38" s="275" t="str">
        <f>IF(Data!I29="","",Data!I29)</f>
        <v>P</v>
      </c>
      <c r="F38" s="276">
        <v>85</v>
      </c>
      <c r="G38" s="276">
        <v>85</v>
      </c>
      <c r="H38" s="276">
        <v>85</v>
      </c>
      <c r="I38" s="276">
        <v>85</v>
      </c>
      <c r="J38" s="277"/>
      <c r="K38" s="277"/>
      <c r="L38" s="277"/>
      <c r="M38" s="280"/>
      <c r="N38" s="277"/>
      <c r="O38" s="278"/>
      <c r="P38" s="279">
        <f t="shared" si="24"/>
        <v>85</v>
      </c>
      <c r="Q38" s="277">
        <v>90</v>
      </c>
      <c r="R38" s="1482">
        <v>55</v>
      </c>
      <c r="S38" s="281">
        <f t="shared" si="25"/>
        <v>79</v>
      </c>
      <c r="T38" s="295" t="str">
        <f t="shared" si="26"/>
        <v>C</v>
      </c>
      <c r="U38" s="1215">
        <f t="shared" si="41"/>
        <v>85.01</v>
      </c>
      <c r="V38" s="1216">
        <f t="shared" si="41"/>
        <v>85.02</v>
      </c>
      <c r="W38" s="1216">
        <f t="shared" si="41"/>
        <v>85.03</v>
      </c>
      <c r="X38" s="1216">
        <f t="shared" si="41"/>
        <v>85.04</v>
      </c>
      <c r="Y38" s="1216" t="str">
        <f t="shared" si="41"/>
        <v/>
      </c>
      <c r="Z38" s="1216" t="str">
        <f t="shared" si="41"/>
        <v/>
      </c>
      <c r="AA38" s="1216" t="str">
        <f t="shared" si="41"/>
        <v/>
      </c>
      <c r="AB38" s="1217" t="str">
        <f t="shared" si="41"/>
        <v/>
      </c>
      <c r="AC38" s="1216" t="str">
        <f t="shared" si="41"/>
        <v/>
      </c>
      <c r="AD38" s="1218" t="str">
        <f t="shared" si="41"/>
        <v/>
      </c>
      <c r="AE38" s="1219">
        <f t="shared" si="27"/>
        <v>85.04</v>
      </c>
      <c r="AF38" s="282">
        <f t="shared" si="28"/>
        <v>85.01</v>
      </c>
      <c r="AG38" s="282" t="str">
        <f t="shared" si="29"/>
        <v>baik</v>
      </c>
      <c r="AH38" s="282" t="str">
        <f t="shared" si="29"/>
        <v>baik</v>
      </c>
      <c r="AI38" s="282">
        <f t="shared" si="30"/>
        <v>4</v>
      </c>
      <c r="AJ38" s="283">
        <f t="shared" si="31"/>
        <v>1</v>
      </c>
      <c r="AK38" s="284" t="str">
        <f t="shared" si="32"/>
        <v>Memiliki kemampuan baik dalam Menganalisis  unsur pembangun puisi. dan Menganalisis  isi, struktur dan kebahasaan teks  negosiasi.</v>
      </c>
      <c r="AL38" s="276">
        <v>88</v>
      </c>
      <c r="AM38" s="276">
        <v>88</v>
      </c>
      <c r="AN38" s="277"/>
      <c r="AO38" s="277"/>
      <c r="AP38" s="277"/>
      <c r="AQ38" s="277"/>
      <c r="AR38" s="277"/>
      <c r="AS38" s="280"/>
      <c r="AT38" s="277"/>
      <c r="AU38" s="278"/>
      <c r="AV38" s="285">
        <f t="shared" si="33"/>
        <v>88</v>
      </c>
      <c r="AW38" s="296" t="str">
        <f t="shared" si="34"/>
        <v>B</v>
      </c>
      <c r="AX38" s="1220">
        <f t="shared" si="42"/>
        <v>88.01</v>
      </c>
      <c r="AY38" s="1221">
        <f t="shared" si="42"/>
        <v>88.02</v>
      </c>
      <c r="AZ38" s="1221" t="str">
        <f t="shared" si="42"/>
        <v/>
      </c>
      <c r="BA38" s="1221" t="str">
        <f t="shared" si="42"/>
        <v/>
      </c>
      <c r="BB38" s="1221" t="str">
        <f t="shared" si="42"/>
        <v/>
      </c>
      <c r="BC38" s="1221" t="str">
        <f t="shared" si="42"/>
        <v/>
      </c>
      <c r="BD38" s="1221" t="str">
        <f t="shared" si="42"/>
        <v/>
      </c>
      <c r="BE38" s="1222" t="str">
        <f t="shared" si="42"/>
        <v/>
      </c>
      <c r="BF38" s="1221" t="str">
        <f t="shared" si="42"/>
        <v/>
      </c>
      <c r="BG38" s="1223" t="str">
        <f t="shared" si="42"/>
        <v/>
      </c>
      <c r="BH38" s="286">
        <f t="shared" si="35"/>
        <v>88.02</v>
      </c>
      <c r="BI38" s="286">
        <f t="shared" si="36"/>
        <v>88.01</v>
      </c>
      <c r="BJ38" s="287" t="str">
        <f t="shared" si="37"/>
        <v>baik</v>
      </c>
      <c r="BK38" s="287" t="str">
        <f t="shared" si="37"/>
        <v>baik</v>
      </c>
      <c r="BL38" s="286">
        <f t="shared" si="38"/>
        <v>2</v>
      </c>
      <c r="BM38" s="288">
        <f t="shared" si="39"/>
        <v>1</v>
      </c>
      <c r="BN38" s="289" t="str">
        <f t="shared" si="40"/>
        <v>Memiliki keterampilan baik dalam mengembangkan permasalahan isu dan berbagai sudut pandang dan Menyampaikan penawaran dalam teks negosiasi secara lisan.</v>
      </c>
      <c r="BO38" s="67"/>
    </row>
    <row r="39" spans="1:67" ht="33" customHeight="1">
      <c r="A39" s="67"/>
      <c r="B39" s="272">
        <f t="shared" si="43"/>
        <v>26</v>
      </c>
      <c r="C39" s="273">
        <f>IF(Data!F30="","",Data!F30)</f>
        <v>0</v>
      </c>
      <c r="D39" s="274" t="str">
        <f>IF(Data!H30="","",Data!H30)</f>
        <v>Misel Miranda Sora</v>
      </c>
      <c r="E39" s="275" t="str">
        <f>IF(Data!I30="","",Data!I30)</f>
        <v>P</v>
      </c>
      <c r="F39" s="276">
        <v>85</v>
      </c>
      <c r="G39" s="276">
        <v>85</v>
      </c>
      <c r="H39" s="276">
        <v>85</v>
      </c>
      <c r="I39" s="276">
        <v>85</v>
      </c>
      <c r="J39" s="277"/>
      <c r="K39" s="277"/>
      <c r="L39" s="277"/>
      <c r="M39" s="280"/>
      <c r="N39" s="277"/>
      <c r="O39" s="278"/>
      <c r="P39" s="279">
        <f t="shared" si="24"/>
        <v>85</v>
      </c>
      <c r="Q39" s="277">
        <v>90</v>
      </c>
      <c r="R39" s="1482">
        <v>55</v>
      </c>
      <c r="S39" s="281">
        <f t="shared" si="25"/>
        <v>79</v>
      </c>
      <c r="T39" s="295" t="str">
        <f t="shared" si="26"/>
        <v>C</v>
      </c>
      <c r="U39" s="1215">
        <f t="shared" si="41"/>
        <v>85.01</v>
      </c>
      <c r="V39" s="1216">
        <f t="shared" si="41"/>
        <v>85.02</v>
      </c>
      <c r="W39" s="1216">
        <f t="shared" si="41"/>
        <v>85.03</v>
      </c>
      <c r="X39" s="1216">
        <f t="shared" si="41"/>
        <v>85.04</v>
      </c>
      <c r="Y39" s="1216" t="str">
        <f t="shared" si="41"/>
        <v/>
      </c>
      <c r="Z39" s="1216" t="str">
        <f t="shared" si="41"/>
        <v/>
      </c>
      <c r="AA39" s="1216" t="str">
        <f t="shared" si="41"/>
        <v/>
      </c>
      <c r="AB39" s="1217" t="str">
        <f t="shared" si="41"/>
        <v/>
      </c>
      <c r="AC39" s="1216" t="str">
        <f t="shared" si="41"/>
        <v/>
      </c>
      <c r="AD39" s="1218" t="str">
        <f t="shared" si="41"/>
        <v/>
      </c>
      <c r="AE39" s="1219">
        <f t="shared" si="27"/>
        <v>85.04</v>
      </c>
      <c r="AF39" s="282">
        <f t="shared" si="28"/>
        <v>85.01</v>
      </c>
      <c r="AG39" s="282" t="str">
        <f t="shared" si="29"/>
        <v>baik</v>
      </c>
      <c r="AH39" s="282" t="str">
        <f t="shared" si="29"/>
        <v>baik</v>
      </c>
      <c r="AI39" s="282">
        <f t="shared" si="30"/>
        <v>4</v>
      </c>
      <c r="AJ39" s="283">
        <f t="shared" si="31"/>
        <v>1</v>
      </c>
      <c r="AK39" s="284" t="str">
        <f t="shared" si="32"/>
        <v>Memiliki kemampuan baik dalam Menganalisis  unsur pembangun puisi. dan Menganalisis  isi, struktur dan kebahasaan teks  negosiasi.</v>
      </c>
      <c r="AL39" s="276">
        <v>88</v>
      </c>
      <c r="AM39" s="276">
        <v>88</v>
      </c>
      <c r="AN39" s="277"/>
      <c r="AO39" s="277"/>
      <c r="AP39" s="277"/>
      <c r="AQ39" s="277"/>
      <c r="AR39" s="277"/>
      <c r="AS39" s="280"/>
      <c r="AT39" s="277"/>
      <c r="AU39" s="278"/>
      <c r="AV39" s="285">
        <f t="shared" si="33"/>
        <v>88</v>
      </c>
      <c r="AW39" s="296" t="str">
        <f t="shared" si="34"/>
        <v>B</v>
      </c>
      <c r="AX39" s="1220">
        <f t="shared" si="42"/>
        <v>88.01</v>
      </c>
      <c r="AY39" s="1221">
        <f t="shared" si="42"/>
        <v>88.02</v>
      </c>
      <c r="AZ39" s="1221" t="str">
        <f t="shared" si="42"/>
        <v/>
      </c>
      <c r="BA39" s="1221" t="str">
        <f t="shared" si="42"/>
        <v/>
      </c>
      <c r="BB39" s="1221" t="str">
        <f t="shared" si="42"/>
        <v/>
      </c>
      <c r="BC39" s="1221" t="str">
        <f t="shared" si="42"/>
        <v/>
      </c>
      <c r="BD39" s="1221" t="str">
        <f t="shared" si="42"/>
        <v/>
      </c>
      <c r="BE39" s="1222" t="str">
        <f t="shared" si="42"/>
        <v/>
      </c>
      <c r="BF39" s="1221" t="str">
        <f t="shared" si="42"/>
        <v/>
      </c>
      <c r="BG39" s="1223" t="str">
        <f t="shared" si="42"/>
        <v/>
      </c>
      <c r="BH39" s="286">
        <f t="shared" si="35"/>
        <v>88.02</v>
      </c>
      <c r="BI39" s="286">
        <f t="shared" si="36"/>
        <v>88.01</v>
      </c>
      <c r="BJ39" s="287" t="str">
        <f t="shared" si="37"/>
        <v>baik</v>
      </c>
      <c r="BK39" s="287" t="str">
        <f t="shared" si="37"/>
        <v>baik</v>
      </c>
      <c r="BL39" s="286">
        <f t="shared" si="38"/>
        <v>2</v>
      </c>
      <c r="BM39" s="288">
        <f t="shared" si="39"/>
        <v>1</v>
      </c>
      <c r="BN39" s="289" t="str">
        <f t="shared" si="40"/>
        <v>Memiliki keterampilan baik dalam mengembangkan permasalahan isu dan berbagai sudut pandang dan Menyampaikan penawaran dalam teks negosiasi secara lisan.</v>
      </c>
      <c r="BO39" s="67"/>
    </row>
    <row r="40" spans="1:67" ht="33" customHeight="1">
      <c r="A40" s="67"/>
      <c r="B40" s="272">
        <f t="shared" si="43"/>
        <v>27</v>
      </c>
      <c r="C40" s="273">
        <f>IF(Data!F31="","",Data!F31)</f>
        <v>0</v>
      </c>
      <c r="D40" s="274" t="str">
        <f>IF(Data!H31="","",Data!H31)</f>
        <v>Nofianti Tainmeta</v>
      </c>
      <c r="E40" s="275" t="str">
        <f>IF(Data!I31="","",Data!I31)</f>
        <v>P</v>
      </c>
      <c r="F40" s="276">
        <v>85</v>
      </c>
      <c r="G40" s="276">
        <v>85</v>
      </c>
      <c r="H40" s="276">
        <v>85</v>
      </c>
      <c r="I40" s="276">
        <v>85</v>
      </c>
      <c r="J40" s="277"/>
      <c r="K40" s="277"/>
      <c r="L40" s="277"/>
      <c r="M40" s="280"/>
      <c r="N40" s="277"/>
      <c r="O40" s="278"/>
      <c r="P40" s="279">
        <f t="shared" si="24"/>
        <v>85</v>
      </c>
      <c r="Q40" s="277">
        <v>93</v>
      </c>
      <c r="R40" s="1482">
        <v>45</v>
      </c>
      <c r="S40" s="281">
        <f t="shared" si="25"/>
        <v>77</v>
      </c>
      <c r="T40" s="295" t="str">
        <f t="shared" si="26"/>
        <v>C</v>
      </c>
      <c r="U40" s="1215">
        <f t="shared" si="41"/>
        <v>85.01</v>
      </c>
      <c r="V40" s="1216">
        <f t="shared" si="41"/>
        <v>85.02</v>
      </c>
      <c r="W40" s="1216">
        <f t="shared" si="41"/>
        <v>85.03</v>
      </c>
      <c r="X40" s="1216">
        <f t="shared" si="41"/>
        <v>85.04</v>
      </c>
      <c r="Y40" s="1216" t="str">
        <f t="shared" si="41"/>
        <v/>
      </c>
      <c r="Z40" s="1216" t="str">
        <f t="shared" si="41"/>
        <v/>
      </c>
      <c r="AA40" s="1216" t="str">
        <f t="shared" si="41"/>
        <v/>
      </c>
      <c r="AB40" s="1217" t="str">
        <f t="shared" si="41"/>
        <v/>
      </c>
      <c r="AC40" s="1216" t="str">
        <f t="shared" si="41"/>
        <v/>
      </c>
      <c r="AD40" s="1218" t="str">
        <f t="shared" si="41"/>
        <v/>
      </c>
      <c r="AE40" s="1219">
        <f t="shared" si="27"/>
        <v>85.04</v>
      </c>
      <c r="AF40" s="282">
        <f t="shared" si="28"/>
        <v>85.01</v>
      </c>
      <c r="AG40" s="282" t="str">
        <f t="shared" si="29"/>
        <v>baik</v>
      </c>
      <c r="AH40" s="282" t="str">
        <f t="shared" si="29"/>
        <v>baik</v>
      </c>
      <c r="AI40" s="282">
        <f t="shared" si="30"/>
        <v>4</v>
      </c>
      <c r="AJ40" s="283">
        <f t="shared" si="31"/>
        <v>1</v>
      </c>
      <c r="AK40" s="284" t="str">
        <f t="shared" si="32"/>
        <v>Memiliki kemampuan baik dalam Menganalisis  unsur pembangun puisi. dan Menganalisis  isi, struktur dan kebahasaan teks  negosiasi.</v>
      </c>
      <c r="AL40" s="276">
        <v>88</v>
      </c>
      <c r="AM40" s="276">
        <v>88</v>
      </c>
      <c r="AN40" s="277"/>
      <c r="AO40" s="277"/>
      <c r="AP40" s="277"/>
      <c r="AQ40" s="277"/>
      <c r="AR40" s="277"/>
      <c r="AS40" s="280"/>
      <c r="AT40" s="277"/>
      <c r="AU40" s="278"/>
      <c r="AV40" s="285">
        <f t="shared" si="33"/>
        <v>88</v>
      </c>
      <c r="AW40" s="296" t="str">
        <f t="shared" si="34"/>
        <v>B</v>
      </c>
      <c r="AX40" s="1220">
        <f t="shared" si="42"/>
        <v>88.01</v>
      </c>
      <c r="AY40" s="1221">
        <f t="shared" si="42"/>
        <v>88.02</v>
      </c>
      <c r="AZ40" s="1221" t="str">
        <f t="shared" si="42"/>
        <v/>
      </c>
      <c r="BA40" s="1221" t="str">
        <f t="shared" si="42"/>
        <v/>
      </c>
      <c r="BB40" s="1221" t="str">
        <f t="shared" si="42"/>
        <v/>
      </c>
      <c r="BC40" s="1221" t="str">
        <f t="shared" si="42"/>
        <v/>
      </c>
      <c r="BD40" s="1221" t="str">
        <f t="shared" si="42"/>
        <v/>
      </c>
      <c r="BE40" s="1222" t="str">
        <f t="shared" si="42"/>
        <v/>
      </c>
      <c r="BF40" s="1221" t="str">
        <f t="shared" si="42"/>
        <v/>
      </c>
      <c r="BG40" s="1223" t="str">
        <f t="shared" si="42"/>
        <v/>
      </c>
      <c r="BH40" s="286">
        <f t="shared" si="35"/>
        <v>88.02</v>
      </c>
      <c r="BI40" s="286">
        <f t="shared" si="36"/>
        <v>88.01</v>
      </c>
      <c r="BJ40" s="287" t="str">
        <f t="shared" si="37"/>
        <v>baik</v>
      </c>
      <c r="BK40" s="287" t="str">
        <f t="shared" si="37"/>
        <v>baik</v>
      </c>
      <c r="BL40" s="286">
        <f t="shared" si="38"/>
        <v>2</v>
      </c>
      <c r="BM40" s="288">
        <f t="shared" si="39"/>
        <v>1</v>
      </c>
      <c r="BN40" s="289" t="str">
        <f t="shared" si="40"/>
        <v>Memiliki keterampilan baik dalam mengembangkan permasalahan isu dan berbagai sudut pandang dan Menyampaikan penawaran dalam teks negosiasi secara lisan.</v>
      </c>
      <c r="BO40" s="67"/>
    </row>
    <row r="41" spans="1:67" ht="33" customHeight="1">
      <c r="A41" s="67"/>
      <c r="B41" s="272">
        <f t="shared" si="43"/>
        <v>28</v>
      </c>
      <c r="C41" s="273">
        <f>IF(Data!F32="","",Data!F32)</f>
        <v>0</v>
      </c>
      <c r="D41" s="274" t="str">
        <f>IF(Data!H32="","",Data!H32)</f>
        <v>Ofni Antrikus Banun</v>
      </c>
      <c r="E41" s="275" t="str">
        <f>IF(Data!I32="","",Data!I32)</f>
        <v>L</v>
      </c>
      <c r="F41" s="276">
        <v>85</v>
      </c>
      <c r="G41" s="276">
        <v>85</v>
      </c>
      <c r="H41" s="276">
        <v>85</v>
      </c>
      <c r="I41" s="276">
        <v>85</v>
      </c>
      <c r="J41" s="277"/>
      <c r="K41" s="277"/>
      <c r="L41" s="277"/>
      <c r="M41" s="280"/>
      <c r="N41" s="277"/>
      <c r="O41" s="278"/>
      <c r="P41" s="279">
        <f t="shared" si="24"/>
        <v>85</v>
      </c>
      <c r="Q41" s="277">
        <v>82</v>
      </c>
      <c r="R41" s="1482">
        <v>55</v>
      </c>
      <c r="S41" s="281">
        <f t="shared" si="25"/>
        <v>77</v>
      </c>
      <c r="T41" s="295" t="str">
        <f t="shared" si="26"/>
        <v>C</v>
      </c>
      <c r="U41" s="1215">
        <f t="shared" si="41"/>
        <v>85.01</v>
      </c>
      <c r="V41" s="1216">
        <f t="shared" si="41"/>
        <v>85.02</v>
      </c>
      <c r="W41" s="1216">
        <f t="shared" si="41"/>
        <v>85.03</v>
      </c>
      <c r="X41" s="1216">
        <f t="shared" si="41"/>
        <v>85.04</v>
      </c>
      <c r="Y41" s="1216" t="str">
        <f t="shared" si="41"/>
        <v/>
      </c>
      <c r="Z41" s="1216" t="str">
        <f t="shared" si="41"/>
        <v/>
      </c>
      <c r="AA41" s="1216" t="str">
        <f t="shared" si="41"/>
        <v/>
      </c>
      <c r="AB41" s="1217" t="str">
        <f t="shared" si="41"/>
        <v/>
      </c>
      <c r="AC41" s="1216" t="str">
        <f t="shared" si="41"/>
        <v/>
      </c>
      <c r="AD41" s="1218" t="str">
        <f t="shared" si="41"/>
        <v/>
      </c>
      <c r="AE41" s="1219">
        <f t="shared" si="27"/>
        <v>85.04</v>
      </c>
      <c r="AF41" s="282">
        <f t="shared" si="28"/>
        <v>85.01</v>
      </c>
      <c r="AG41" s="282" t="str">
        <f t="shared" si="29"/>
        <v>baik</v>
      </c>
      <c r="AH41" s="282" t="str">
        <f t="shared" si="29"/>
        <v>baik</v>
      </c>
      <c r="AI41" s="282">
        <f t="shared" si="30"/>
        <v>4</v>
      </c>
      <c r="AJ41" s="283">
        <f t="shared" si="31"/>
        <v>1</v>
      </c>
      <c r="AK41" s="284" t="str">
        <f t="shared" si="32"/>
        <v>Memiliki kemampuan baik dalam Menganalisis  unsur pembangun puisi. dan Menganalisis  isi, struktur dan kebahasaan teks  negosiasi.</v>
      </c>
      <c r="AL41" s="276">
        <v>88</v>
      </c>
      <c r="AM41" s="276">
        <v>88</v>
      </c>
      <c r="AN41" s="277"/>
      <c r="AO41" s="277"/>
      <c r="AP41" s="277"/>
      <c r="AQ41" s="277"/>
      <c r="AR41" s="277"/>
      <c r="AS41" s="280"/>
      <c r="AT41" s="277"/>
      <c r="AU41" s="278"/>
      <c r="AV41" s="285">
        <f t="shared" si="33"/>
        <v>88</v>
      </c>
      <c r="AW41" s="296" t="str">
        <f t="shared" si="34"/>
        <v>B</v>
      </c>
      <c r="AX41" s="1220">
        <f t="shared" si="42"/>
        <v>88.01</v>
      </c>
      <c r="AY41" s="1221">
        <f t="shared" si="42"/>
        <v>88.02</v>
      </c>
      <c r="AZ41" s="1221" t="str">
        <f t="shared" si="42"/>
        <v/>
      </c>
      <c r="BA41" s="1221" t="str">
        <f t="shared" si="42"/>
        <v/>
      </c>
      <c r="BB41" s="1221" t="str">
        <f t="shared" si="42"/>
        <v/>
      </c>
      <c r="BC41" s="1221" t="str">
        <f t="shared" si="42"/>
        <v/>
      </c>
      <c r="BD41" s="1221" t="str">
        <f t="shared" si="42"/>
        <v/>
      </c>
      <c r="BE41" s="1222" t="str">
        <f t="shared" si="42"/>
        <v/>
      </c>
      <c r="BF41" s="1221" t="str">
        <f t="shared" si="42"/>
        <v/>
      </c>
      <c r="BG41" s="1223" t="str">
        <f t="shared" si="42"/>
        <v/>
      </c>
      <c r="BH41" s="286">
        <f t="shared" si="35"/>
        <v>88.02</v>
      </c>
      <c r="BI41" s="286">
        <f t="shared" si="36"/>
        <v>88.01</v>
      </c>
      <c r="BJ41" s="287" t="str">
        <f t="shared" si="37"/>
        <v>baik</v>
      </c>
      <c r="BK41" s="287" t="str">
        <f t="shared" si="37"/>
        <v>baik</v>
      </c>
      <c r="BL41" s="286">
        <f t="shared" si="38"/>
        <v>2</v>
      </c>
      <c r="BM41" s="288">
        <f t="shared" si="39"/>
        <v>1</v>
      </c>
      <c r="BN41" s="289" t="str">
        <f t="shared" si="40"/>
        <v>Memiliki keterampilan baik dalam mengembangkan permasalahan isu dan berbagai sudut pandang dan Menyampaikan penawaran dalam teks negosiasi secara lisan.</v>
      </c>
      <c r="BO41" s="67"/>
    </row>
    <row r="42" spans="1:67" ht="33" customHeight="1">
      <c r="A42" s="67"/>
      <c r="B42" s="272">
        <f t="shared" si="43"/>
        <v>29</v>
      </c>
      <c r="C42" s="273">
        <f>IF(Data!F33="","",Data!F33)</f>
        <v>0</v>
      </c>
      <c r="D42" s="274" t="str">
        <f>IF(Data!H33="","",Data!H33)</f>
        <v>Roiyandi Saebesi</v>
      </c>
      <c r="E42" s="275" t="str">
        <f>IF(Data!I33="","",Data!I33)</f>
        <v>L</v>
      </c>
      <c r="F42" s="276">
        <v>85</v>
      </c>
      <c r="G42" s="276">
        <v>85</v>
      </c>
      <c r="H42" s="276">
        <v>85</v>
      </c>
      <c r="I42" s="276">
        <v>85</v>
      </c>
      <c r="J42" s="277"/>
      <c r="K42" s="277"/>
      <c r="L42" s="277"/>
      <c r="M42" s="280"/>
      <c r="N42" s="277"/>
      <c r="O42" s="278"/>
      <c r="P42" s="279">
        <f t="shared" si="24"/>
        <v>85</v>
      </c>
      <c r="Q42" s="277">
        <v>88</v>
      </c>
      <c r="R42" s="1482">
        <v>56</v>
      </c>
      <c r="S42" s="281">
        <f t="shared" si="25"/>
        <v>79</v>
      </c>
      <c r="T42" s="295" t="str">
        <f t="shared" si="26"/>
        <v>C</v>
      </c>
      <c r="U42" s="1215">
        <f t="shared" si="41"/>
        <v>85.01</v>
      </c>
      <c r="V42" s="1216">
        <f t="shared" si="41"/>
        <v>85.02</v>
      </c>
      <c r="W42" s="1216">
        <f t="shared" si="41"/>
        <v>85.03</v>
      </c>
      <c r="X42" s="1216">
        <f t="shared" si="41"/>
        <v>85.04</v>
      </c>
      <c r="Y42" s="1216" t="str">
        <f t="shared" si="41"/>
        <v/>
      </c>
      <c r="Z42" s="1216" t="str">
        <f t="shared" si="41"/>
        <v/>
      </c>
      <c r="AA42" s="1216" t="str">
        <f t="shared" si="41"/>
        <v/>
      </c>
      <c r="AB42" s="1217" t="str">
        <f t="shared" si="41"/>
        <v/>
      </c>
      <c r="AC42" s="1216" t="str">
        <f t="shared" si="41"/>
        <v/>
      </c>
      <c r="AD42" s="1218" t="str">
        <f t="shared" si="41"/>
        <v/>
      </c>
      <c r="AE42" s="1219">
        <f t="shared" si="27"/>
        <v>85.04</v>
      </c>
      <c r="AF42" s="282">
        <f t="shared" si="28"/>
        <v>85.01</v>
      </c>
      <c r="AG42" s="282" t="str">
        <f t="shared" si="29"/>
        <v>baik</v>
      </c>
      <c r="AH42" s="282" t="str">
        <f t="shared" si="29"/>
        <v>baik</v>
      </c>
      <c r="AI42" s="282">
        <f t="shared" si="30"/>
        <v>4</v>
      </c>
      <c r="AJ42" s="283">
        <f t="shared" si="31"/>
        <v>1</v>
      </c>
      <c r="AK42" s="284" t="str">
        <f t="shared" si="32"/>
        <v>Memiliki kemampuan baik dalam Menganalisis  unsur pembangun puisi. dan Menganalisis  isi, struktur dan kebahasaan teks  negosiasi.</v>
      </c>
      <c r="AL42" s="276">
        <v>88</v>
      </c>
      <c r="AM42" s="276">
        <v>88</v>
      </c>
      <c r="AN42" s="277"/>
      <c r="AO42" s="277"/>
      <c r="AP42" s="277"/>
      <c r="AQ42" s="277"/>
      <c r="AR42" s="277"/>
      <c r="AS42" s="280"/>
      <c r="AT42" s="277"/>
      <c r="AU42" s="278"/>
      <c r="AV42" s="285">
        <f t="shared" si="33"/>
        <v>88</v>
      </c>
      <c r="AW42" s="296" t="str">
        <f t="shared" si="34"/>
        <v>B</v>
      </c>
      <c r="AX42" s="1220">
        <f t="shared" si="42"/>
        <v>88.01</v>
      </c>
      <c r="AY42" s="1221">
        <f t="shared" si="42"/>
        <v>88.02</v>
      </c>
      <c r="AZ42" s="1221" t="str">
        <f t="shared" si="42"/>
        <v/>
      </c>
      <c r="BA42" s="1221" t="str">
        <f t="shared" si="42"/>
        <v/>
      </c>
      <c r="BB42" s="1221" t="str">
        <f t="shared" si="42"/>
        <v/>
      </c>
      <c r="BC42" s="1221" t="str">
        <f t="shared" si="42"/>
        <v/>
      </c>
      <c r="BD42" s="1221" t="str">
        <f t="shared" si="42"/>
        <v/>
      </c>
      <c r="BE42" s="1222" t="str">
        <f t="shared" si="42"/>
        <v/>
      </c>
      <c r="BF42" s="1221" t="str">
        <f t="shared" si="42"/>
        <v/>
      </c>
      <c r="BG42" s="1223" t="str">
        <f t="shared" si="42"/>
        <v/>
      </c>
      <c r="BH42" s="286">
        <f t="shared" si="35"/>
        <v>88.02</v>
      </c>
      <c r="BI42" s="286">
        <f t="shared" si="36"/>
        <v>88.01</v>
      </c>
      <c r="BJ42" s="287" t="str">
        <f t="shared" si="37"/>
        <v>baik</v>
      </c>
      <c r="BK42" s="287" t="str">
        <f t="shared" si="37"/>
        <v>baik</v>
      </c>
      <c r="BL42" s="286">
        <f t="shared" si="38"/>
        <v>2</v>
      </c>
      <c r="BM42" s="288">
        <f t="shared" si="39"/>
        <v>1</v>
      </c>
      <c r="BN42" s="289" t="str">
        <f t="shared" si="40"/>
        <v>Memiliki keterampilan baik dalam mengembangkan permasalahan isu dan berbagai sudut pandang dan Menyampaikan penawaran dalam teks negosiasi secara lisan.</v>
      </c>
      <c r="BO42" s="67"/>
    </row>
    <row r="43" spans="1:67" ht="33" customHeight="1">
      <c r="A43" s="67"/>
      <c r="B43" s="272">
        <f t="shared" si="43"/>
        <v>30</v>
      </c>
      <c r="C43" s="273">
        <f>IF(Data!F34="","",Data!F34)</f>
        <v>0</v>
      </c>
      <c r="D43" s="274" t="str">
        <f>IF(Data!H34="","",Data!H34)</f>
        <v>Roni Yohanis Bira</v>
      </c>
      <c r="E43" s="275" t="str">
        <f>IF(Data!I34="","",Data!I34)</f>
        <v>L</v>
      </c>
      <c r="F43" s="276">
        <v>85</v>
      </c>
      <c r="G43" s="276">
        <v>85</v>
      </c>
      <c r="H43" s="276">
        <v>85</v>
      </c>
      <c r="I43" s="276">
        <v>85</v>
      </c>
      <c r="J43" s="277"/>
      <c r="K43" s="277"/>
      <c r="L43" s="277"/>
      <c r="M43" s="280"/>
      <c r="N43" s="277"/>
      <c r="O43" s="278"/>
      <c r="P43" s="279">
        <f t="shared" si="24"/>
        <v>85</v>
      </c>
      <c r="Q43" s="277">
        <v>90</v>
      </c>
      <c r="R43" s="1482">
        <v>55</v>
      </c>
      <c r="S43" s="281">
        <f t="shared" si="25"/>
        <v>79</v>
      </c>
      <c r="T43" s="295" t="str">
        <f t="shared" si="26"/>
        <v>C</v>
      </c>
      <c r="U43" s="1215">
        <f t="shared" si="41"/>
        <v>85.01</v>
      </c>
      <c r="V43" s="1216">
        <f t="shared" si="41"/>
        <v>85.02</v>
      </c>
      <c r="W43" s="1216">
        <f t="shared" si="41"/>
        <v>85.03</v>
      </c>
      <c r="X43" s="1216">
        <f t="shared" si="41"/>
        <v>85.04</v>
      </c>
      <c r="Y43" s="1216" t="str">
        <f t="shared" si="41"/>
        <v/>
      </c>
      <c r="Z43" s="1216" t="str">
        <f t="shared" si="41"/>
        <v/>
      </c>
      <c r="AA43" s="1216" t="str">
        <f t="shared" si="41"/>
        <v/>
      </c>
      <c r="AB43" s="1217" t="str">
        <f t="shared" si="41"/>
        <v/>
      </c>
      <c r="AC43" s="1216" t="str">
        <f t="shared" si="41"/>
        <v/>
      </c>
      <c r="AD43" s="1218" t="str">
        <f t="shared" si="41"/>
        <v/>
      </c>
      <c r="AE43" s="1219">
        <f t="shared" si="27"/>
        <v>85.04</v>
      </c>
      <c r="AF43" s="282">
        <f t="shared" si="28"/>
        <v>85.01</v>
      </c>
      <c r="AG43" s="282" t="str">
        <f t="shared" si="29"/>
        <v>baik</v>
      </c>
      <c r="AH43" s="282" t="str">
        <f t="shared" si="29"/>
        <v>baik</v>
      </c>
      <c r="AI43" s="282">
        <f t="shared" si="30"/>
        <v>4</v>
      </c>
      <c r="AJ43" s="283">
        <f t="shared" si="31"/>
        <v>1</v>
      </c>
      <c r="AK43" s="284" t="str">
        <f t="shared" si="32"/>
        <v>Memiliki kemampuan baik dalam Menganalisis  unsur pembangun puisi. dan Menganalisis  isi, struktur dan kebahasaan teks  negosiasi.</v>
      </c>
      <c r="AL43" s="276">
        <v>88</v>
      </c>
      <c r="AM43" s="276">
        <v>88</v>
      </c>
      <c r="AN43" s="277"/>
      <c r="AO43" s="277"/>
      <c r="AP43" s="277"/>
      <c r="AQ43" s="277"/>
      <c r="AR43" s="277"/>
      <c r="AS43" s="280"/>
      <c r="AT43" s="277"/>
      <c r="AU43" s="278"/>
      <c r="AV43" s="285">
        <f t="shared" si="33"/>
        <v>88</v>
      </c>
      <c r="AW43" s="296" t="str">
        <f t="shared" si="34"/>
        <v>B</v>
      </c>
      <c r="AX43" s="1220">
        <f t="shared" si="42"/>
        <v>88.01</v>
      </c>
      <c r="AY43" s="1221">
        <f t="shared" si="42"/>
        <v>88.02</v>
      </c>
      <c r="AZ43" s="1221" t="str">
        <f t="shared" si="42"/>
        <v/>
      </c>
      <c r="BA43" s="1221" t="str">
        <f t="shared" si="42"/>
        <v/>
      </c>
      <c r="BB43" s="1221" t="str">
        <f t="shared" si="42"/>
        <v/>
      </c>
      <c r="BC43" s="1221" t="str">
        <f t="shared" si="42"/>
        <v/>
      </c>
      <c r="BD43" s="1221" t="str">
        <f t="shared" si="42"/>
        <v/>
      </c>
      <c r="BE43" s="1222" t="str">
        <f t="shared" si="42"/>
        <v/>
      </c>
      <c r="BF43" s="1221" t="str">
        <f t="shared" si="42"/>
        <v/>
      </c>
      <c r="BG43" s="1223" t="str">
        <f t="shared" si="42"/>
        <v/>
      </c>
      <c r="BH43" s="286">
        <f t="shared" si="35"/>
        <v>88.02</v>
      </c>
      <c r="BI43" s="286">
        <f t="shared" si="36"/>
        <v>88.01</v>
      </c>
      <c r="BJ43" s="287" t="str">
        <f t="shared" si="37"/>
        <v>baik</v>
      </c>
      <c r="BK43" s="287" t="str">
        <f t="shared" si="37"/>
        <v>baik</v>
      </c>
      <c r="BL43" s="286">
        <f t="shared" si="38"/>
        <v>2</v>
      </c>
      <c r="BM43" s="288">
        <f t="shared" si="39"/>
        <v>1</v>
      </c>
      <c r="BN43" s="289" t="str">
        <f t="shared" si="40"/>
        <v>Memiliki keterampilan baik dalam mengembangkan permasalahan isu dan berbagai sudut pandang dan Menyampaikan penawaran dalam teks negosiasi secara lisan.</v>
      </c>
      <c r="BO43" s="67"/>
    </row>
    <row r="44" spans="1:67" ht="33" customHeight="1">
      <c r="A44" s="67"/>
      <c r="B44" s="272">
        <f t="shared" si="43"/>
        <v>31</v>
      </c>
      <c r="C44" s="273">
        <f>IF(Data!F35="","",Data!F35)</f>
        <v>0</v>
      </c>
      <c r="D44" s="274" t="str">
        <f>IF(Data!H35="","",Data!H35)</f>
        <v>Sinta Norliana Funan</v>
      </c>
      <c r="E44" s="275" t="str">
        <f>IF(Data!I35="","",Data!I35)</f>
        <v>P</v>
      </c>
      <c r="F44" s="276">
        <v>85</v>
      </c>
      <c r="G44" s="276">
        <v>85</v>
      </c>
      <c r="H44" s="276">
        <v>85</v>
      </c>
      <c r="I44" s="276">
        <v>85</v>
      </c>
      <c r="J44" s="277"/>
      <c r="K44" s="277"/>
      <c r="L44" s="277"/>
      <c r="M44" s="280"/>
      <c r="N44" s="277"/>
      <c r="O44" s="278"/>
      <c r="P44" s="279">
        <f t="shared" si="24"/>
        <v>85</v>
      </c>
      <c r="Q44" s="277">
        <v>90</v>
      </c>
      <c r="R44" s="1482">
        <v>55</v>
      </c>
      <c r="S44" s="281">
        <f t="shared" si="25"/>
        <v>79</v>
      </c>
      <c r="T44" s="295" t="str">
        <f t="shared" si="26"/>
        <v>C</v>
      </c>
      <c r="U44" s="1215">
        <f t="shared" si="41"/>
        <v>85.01</v>
      </c>
      <c r="V44" s="1216">
        <f t="shared" si="41"/>
        <v>85.02</v>
      </c>
      <c r="W44" s="1216">
        <f t="shared" si="41"/>
        <v>85.03</v>
      </c>
      <c r="X44" s="1216">
        <f t="shared" si="41"/>
        <v>85.04</v>
      </c>
      <c r="Y44" s="1216" t="str">
        <f t="shared" si="41"/>
        <v/>
      </c>
      <c r="Z44" s="1216" t="str">
        <f t="shared" si="41"/>
        <v/>
      </c>
      <c r="AA44" s="1216" t="str">
        <f t="shared" si="41"/>
        <v/>
      </c>
      <c r="AB44" s="1217" t="str">
        <f t="shared" si="41"/>
        <v/>
      </c>
      <c r="AC44" s="1216" t="str">
        <f t="shared" si="41"/>
        <v/>
      </c>
      <c r="AD44" s="1218" t="str">
        <f t="shared" si="41"/>
        <v/>
      </c>
      <c r="AE44" s="1219">
        <f t="shared" si="27"/>
        <v>85.04</v>
      </c>
      <c r="AF44" s="282">
        <f t="shared" si="28"/>
        <v>85.01</v>
      </c>
      <c r="AG44" s="282" t="str">
        <f t="shared" si="29"/>
        <v>baik</v>
      </c>
      <c r="AH44" s="282" t="str">
        <f t="shared" si="29"/>
        <v>baik</v>
      </c>
      <c r="AI44" s="282">
        <f t="shared" si="30"/>
        <v>4</v>
      </c>
      <c r="AJ44" s="283">
        <f t="shared" si="31"/>
        <v>1</v>
      </c>
      <c r="AK44" s="284" t="str">
        <f t="shared" si="32"/>
        <v>Memiliki kemampuan baik dalam Menganalisis  unsur pembangun puisi. dan Menganalisis  isi, struktur dan kebahasaan teks  negosiasi.</v>
      </c>
      <c r="AL44" s="276">
        <v>88</v>
      </c>
      <c r="AM44" s="276">
        <v>88</v>
      </c>
      <c r="AN44" s="277"/>
      <c r="AO44" s="277"/>
      <c r="AP44" s="277"/>
      <c r="AQ44" s="277"/>
      <c r="AR44" s="277"/>
      <c r="AS44" s="280"/>
      <c r="AT44" s="277"/>
      <c r="AU44" s="278"/>
      <c r="AV44" s="285">
        <f t="shared" si="33"/>
        <v>88</v>
      </c>
      <c r="AW44" s="296" t="str">
        <f t="shared" si="34"/>
        <v>B</v>
      </c>
      <c r="AX44" s="1220">
        <f t="shared" si="42"/>
        <v>88.01</v>
      </c>
      <c r="AY44" s="1221">
        <f t="shared" si="42"/>
        <v>88.02</v>
      </c>
      <c r="AZ44" s="1221" t="str">
        <f t="shared" si="42"/>
        <v/>
      </c>
      <c r="BA44" s="1221" t="str">
        <f t="shared" si="42"/>
        <v/>
      </c>
      <c r="BB44" s="1221" t="str">
        <f t="shared" si="42"/>
        <v/>
      </c>
      <c r="BC44" s="1221" t="str">
        <f t="shared" si="42"/>
        <v/>
      </c>
      <c r="BD44" s="1221" t="str">
        <f t="shared" si="42"/>
        <v/>
      </c>
      <c r="BE44" s="1222" t="str">
        <f t="shared" si="42"/>
        <v/>
      </c>
      <c r="BF44" s="1221" t="str">
        <f t="shared" si="42"/>
        <v/>
      </c>
      <c r="BG44" s="1223" t="str">
        <f t="shared" si="42"/>
        <v/>
      </c>
      <c r="BH44" s="286">
        <f t="shared" si="35"/>
        <v>88.02</v>
      </c>
      <c r="BI44" s="286">
        <f t="shared" si="36"/>
        <v>88.01</v>
      </c>
      <c r="BJ44" s="287" t="str">
        <f t="shared" si="37"/>
        <v>baik</v>
      </c>
      <c r="BK44" s="287" t="str">
        <f t="shared" si="37"/>
        <v>baik</v>
      </c>
      <c r="BL44" s="286">
        <f t="shared" si="38"/>
        <v>2</v>
      </c>
      <c r="BM44" s="288">
        <f t="shared" si="39"/>
        <v>1</v>
      </c>
      <c r="BN44" s="289" t="str">
        <f t="shared" si="40"/>
        <v>Memiliki keterampilan baik dalam mengembangkan permasalahan isu dan berbagai sudut pandang dan Menyampaikan penawaran dalam teks negosiasi secara lisan.</v>
      </c>
      <c r="BO44" s="67"/>
    </row>
    <row r="45" spans="1:67" ht="33" customHeight="1">
      <c r="A45" s="67"/>
      <c r="B45" s="272">
        <f t="shared" si="43"/>
        <v>32</v>
      </c>
      <c r="C45" s="273">
        <f>IF(Data!F36="","",Data!F36)</f>
        <v>0</v>
      </c>
      <c r="D45" s="274" t="str">
        <f>IF(Data!H36="","",Data!H36)</f>
        <v>Stevi Otnial Loemnanu</v>
      </c>
      <c r="E45" s="275" t="str">
        <f>IF(Data!I36="","",Data!I36)</f>
        <v>L</v>
      </c>
      <c r="F45" s="276">
        <v>85</v>
      </c>
      <c r="G45" s="276">
        <v>85</v>
      </c>
      <c r="H45" s="276">
        <v>85</v>
      </c>
      <c r="I45" s="276">
        <v>85</v>
      </c>
      <c r="J45" s="277"/>
      <c r="K45" s="277"/>
      <c r="L45" s="277"/>
      <c r="M45" s="280"/>
      <c r="N45" s="277"/>
      <c r="O45" s="278"/>
      <c r="P45" s="279">
        <f t="shared" si="24"/>
        <v>85</v>
      </c>
      <c r="Q45" s="277">
        <v>93</v>
      </c>
      <c r="R45" s="1482">
        <v>60</v>
      </c>
      <c r="S45" s="281">
        <f t="shared" si="25"/>
        <v>81</v>
      </c>
      <c r="T45" s="295" t="str">
        <f t="shared" si="26"/>
        <v>C</v>
      </c>
      <c r="U45" s="1215">
        <f t="shared" si="41"/>
        <v>85.01</v>
      </c>
      <c r="V45" s="1216">
        <f t="shared" si="41"/>
        <v>85.02</v>
      </c>
      <c r="W45" s="1216">
        <f t="shared" si="41"/>
        <v>85.03</v>
      </c>
      <c r="X45" s="1216">
        <f t="shared" si="41"/>
        <v>85.04</v>
      </c>
      <c r="Y45" s="1216" t="str">
        <f t="shared" si="41"/>
        <v/>
      </c>
      <c r="Z45" s="1216" t="str">
        <f t="shared" si="41"/>
        <v/>
      </c>
      <c r="AA45" s="1216" t="str">
        <f t="shared" si="41"/>
        <v/>
      </c>
      <c r="AB45" s="1217" t="str">
        <f t="shared" si="41"/>
        <v/>
      </c>
      <c r="AC45" s="1216" t="str">
        <f t="shared" si="41"/>
        <v/>
      </c>
      <c r="AD45" s="1218" t="str">
        <f t="shared" si="41"/>
        <v/>
      </c>
      <c r="AE45" s="1219">
        <f t="shared" si="27"/>
        <v>85.04</v>
      </c>
      <c r="AF45" s="282">
        <f t="shared" si="28"/>
        <v>85.01</v>
      </c>
      <c r="AG45" s="282" t="str">
        <f t="shared" si="29"/>
        <v>baik</v>
      </c>
      <c r="AH45" s="282" t="str">
        <f t="shared" si="29"/>
        <v>baik</v>
      </c>
      <c r="AI45" s="282">
        <f t="shared" si="30"/>
        <v>4</v>
      </c>
      <c r="AJ45" s="283">
        <f t="shared" si="31"/>
        <v>1</v>
      </c>
      <c r="AK45" s="284" t="str">
        <f t="shared" si="32"/>
        <v>Memiliki kemampuan baik dalam Menganalisis  unsur pembangun puisi. dan Menganalisis  isi, struktur dan kebahasaan teks  negosiasi.</v>
      </c>
      <c r="AL45" s="276">
        <v>88</v>
      </c>
      <c r="AM45" s="276">
        <v>88</v>
      </c>
      <c r="AN45" s="277"/>
      <c r="AO45" s="277"/>
      <c r="AP45" s="277"/>
      <c r="AQ45" s="277"/>
      <c r="AR45" s="277"/>
      <c r="AS45" s="280"/>
      <c r="AT45" s="277"/>
      <c r="AU45" s="278"/>
      <c r="AV45" s="285">
        <f t="shared" si="33"/>
        <v>88</v>
      </c>
      <c r="AW45" s="296" t="str">
        <f t="shared" si="34"/>
        <v>B</v>
      </c>
      <c r="AX45" s="1220">
        <f t="shared" si="42"/>
        <v>88.01</v>
      </c>
      <c r="AY45" s="1221">
        <f t="shared" si="42"/>
        <v>88.02</v>
      </c>
      <c r="AZ45" s="1221" t="str">
        <f t="shared" si="42"/>
        <v/>
      </c>
      <c r="BA45" s="1221" t="str">
        <f t="shared" si="42"/>
        <v/>
      </c>
      <c r="BB45" s="1221" t="str">
        <f t="shared" si="42"/>
        <v/>
      </c>
      <c r="BC45" s="1221" t="str">
        <f t="shared" si="42"/>
        <v/>
      </c>
      <c r="BD45" s="1221" t="str">
        <f t="shared" si="42"/>
        <v/>
      </c>
      <c r="BE45" s="1222" t="str">
        <f t="shared" si="42"/>
        <v/>
      </c>
      <c r="BF45" s="1221" t="str">
        <f t="shared" si="42"/>
        <v/>
      </c>
      <c r="BG45" s="1223" t="str">
        <f t="shared" si="42"/>
        <v/>
      </c>
      <c r="BH45" s="286">
        <f t="shared" si="35"/>
        <v>88.02</v>
      </c>
      <c r="BI45" s="286">
        <f t="shared" si="36"/>
        <v>88.01</v>
      </c>
      <c r="BJ45" s="287" t="str">
        <f t="shared" si="37"/>
        <v>baik</v>
      </c>
      <c r="BK45" s="287" t="str">
        <f t="shared" si="37"/>
        <v>baik</v>
      </c>
      <c r="BL45" s="286">
        <f t="shared" si="38"/>
        <v>2</v>
      </c>
      <c r="BM45" s="288">
        <f t="shared" si="39"/>
        <v>1</v>
      </c>
      <c r="BN45" s="289" t="str">
        <f t="shared" si="40"/>
        <v>Memiliki keterampilan baik dalam mengembangkan permasalahan isu dan berbagai sudut pandang dan Menyampaikan penawaran dalam teks negosiasi secara lisan.</v>
      </c>
      <c r="BO45" s="67"/>
    </row>
    <row r="46" spans="1:67" ht="33" customHeight="1">
      <c r="A46" s="67"/>
      <c r="B46" s="272">
        <f t="shared" si="43"/>
        <v>33</v>
      </c>
      <c r="C46" s="273">
        <f>IF(Data!F37="","",Data!F37)</f>
        <v>0</v>
      </c>
      <c r="D46" s="274" t="str">
        <f>IF(Data!H37="","",Data!H37)</f>
        <v>Venciani Sefrianti Sufnera</v>
      </c>
      <c r="E46" s="275" t="str">
        <f>IF(Data!I37="","",Data!I37)</f>
        <v>P</v>
      </c>
      <c r="F46" s="276">
        <v>85</v>
      </c>
      <c r="G46" s="276">
        <v>85</v>
      </c>
      <c r="H46" s="276">
        <v>85</v>
      </c>
      <c r="I46" s="276">
        <v>85</v>
      </c>
      <c r="J46" s="277"/>
      <c r="K46" s="277"/>
      <c r="L46" s="277"/>
      <c r="M46" s="280"/>
      <c r="N46" s="277"/>
      <c r="O46" s="278"/>
      <c r="P46" s="279">
        <f t="shared" si="24"/>
        <v>85</v>
      </c>
      <c r="Q46" s="277">
        <v>90</v>
      </c>
      <c r="R46" s="1482">
        <v>55</v>
      </c>
      <c r="S46" s="281">
        <f t="shared" si="25"/>
        <v>79</v>
      </c>
      <c r="T46" s="295" t="str">
        <f t="shared" si="26"/>
        <v>C</v>
      </c>
      <c r="U46" s="1215">
        <f t="shared" si="41"/>
        <v>85.01</v>
      </c>
      <c r="V46" s="1216">
        <f t="shared" si="41"/>
        <v>85.02</v>
      </c>
      <c r="W46" s="1216">
        <f t="shared" si="41"/>
        <v>85.03</v>
      </c>
      <c r="X46" s="1216">
        <f t="shared" si="41"/>
        <v>85.04</v>
      </c>
      <c r="Y46" s="1216" t="str">
        <f t="shared" si="41"/>
        <v/>
      </c>
      <c r="Z46" s="1216" t="str">
        <f t="shared" si="41"/>
        <v/>
      </c>
      <c r="AA46" s="1216" t="str">
        <f t="shared" si="41"/>
        <v/>
      </c>
      <c r="AB46" s="1217" t="str">
        <f t="shared" si="41"/>
        <v/>
      </c>
      <c r="AC46" s="1216" t="str">
        <f t="shared" si="41"/>
        <v/>
      </c>
      <c r="AD46" s="1218" t="str">
        <f t="shared" si="41"/>
        <v/>
      </c>
      <c r="AE46" s="1219">
        <f t="shared" si="27"/>
        <v>85.04</v>
      </c>
      <c r="AF46" s="282">
        <f t="shared" si="28"/>
        <v>85.01</v>
      </c>
      <c r="AG46" s="282" t="str">
        <f t="shared" si="29"/>
        <v>baik</v>
      </c>
      <c r="AH46" s="282" t="str">
        <f t="shared" si="29"/>
        <v>baik</v>
      </c>
      <c r="AI46" s="282">
        <f t="shared" si="30"/>
        <v>4</v>
      </c>
      <c r="AJ46" s="283">
        <f t="shared" si="31"/>
        <v>1</v>
      </c>
      <c r="AK46" s="284" t="str">
        <f t="shared" si="32"/>
        <v>Memiliki kemampuan baik dalam Menganalisis  unsur pembangun puisi. dan Menganalisis  isi, struktur dan kebahasaan teks  negosiasi.</v>
      </c>
      <c r="AL46" s="276">
        <v>88</v>
      </c>
      <c r="AM46" s="276">
        <v>88</v>
      </c>
      <c r="AN46" s="277"/>
      <c r="AO46" s="277"/>
      <c r="AP46" s="277"/>
      <c r="AQ46" s="277"/>
      <c r="AR46" s="277"/>
      <c r="AS46" s="280"/>
      <c r="AT46" s="277"/>
      <c r="AU46" s="278"/>
      <c r="AV46" s="285">
        <f t="shared" si="33"/>
        <v>88</v>
      </c>
      <c r="AW46" s="296" t="str">
        <f t="shared" si="34"/>
        <v>B</v>
      </c>
      <c r="AX46" s="1220">
        <f t="shared" si="42"/>
        <v>88.01</v>
      </c>
      <c r="AY46" s="1221">
        <f t="shared" si="42"/>
        <v>88.02</v>
      </c>
      <c r="AZ46" s="1221" t="str">
        <f t="shared" si="42"/>
        <v/>
      </c>
      <c r="BA46" s="1221" t="str">
        <f t="shared" si="42"/>
        <v/>
      </c>
      <c r="BB46" s="1221" t="str">
        <f t="shared" si="42"/>
        <v/>
      </c>
      <c r="BC46" s="1221" t="str">
        <f t="shared" si="42"/>
        <v/>
      </c>
      <c r="BD46" s="1221" t="str">
        <f t="shared" si="42"/>
        <v/>
      </c>
      <c r="BE46" s="1222" t="str">
        <f t="shared" si="42"/>
        <v/>
      </c>
      <c r="BF46" s="1221" t="str">
        <f t="shared" si="42"/>
        <v/>
      </c>
      <c r="BG46" s="1223" t="str">
        <f t="shared" si="42"/>
        <v/>
      </c>
      <c r="BH46" s="286">
        <f t="shared" si="35"/>
        <v>88.02</v>
      </c>
      <c r="BI46" s="286">
        <f t="shared" si="36"/>
        <v>88.01</v>
      </c>
      <c r="BJ46" s="287" t="str">
        <f t="shared" si="37"/>
        <v>baik</v>
      </c>
      <c r="BK46" s="287" t="str">
        <f t="shared" si="37"/>
        <v>baik</v>
      </c>
      <c r="BL46" s="286">
        <f t="shared" si="38"/>
        <v>2</v>
      </c>
      <c r="BM46" s="288">
        <f t="shared" si="39"/>
        <v>1</v>
      </c>
      <c r="BN46" s="289" t="str">
        <f t="shared" si="40"/>
        <v>Memiliki keterampilan baik dalam mengembangkan permasalahan isu dan berbagai sudut pandang dan Menyampaikan penawaran dalam teks negosiasi secara lisan.</v>
      </c>
      <c r="BO46" s="67"/>
    </row>
    <row r="47" spans="1:67" ht="33" customHeight="1">
      <c r="A47" s="67"/>
      <c r="B47" s="272">
        <f t="shared" ref="B47:B63" si="44">IF(D47="","",B46+1)</f>
        <v>34</v>
      </c>
      <c r="C47" s="273">
        <f>IF(Data!F38="","",Data!F38)</f>
        <v>0</v>
      </c>
      <c r="D47" s="274" t="str">
        <f>IF(Data!H38="","",Data!H38)</f>
        <v>Yangres Nitti</v>
      </c>
      <c r="E47" s="275" t="str">
        <f>IF(Data!I38="","",Data!I38)</f>
        <v>L</v>
      </c>
      <c r="F47" s="276">
        <v>85</v>
      </c>
      <c r="G47" s="276">
        <v>85</v>
      </c>
      <c r="H47" s="276">
        <v>85</v>
      </c>
      <c r="I47" s="276">
        <v>85</v>
      </c>
      <c r="J47" s="277"/>
      <c r="K47" s="277"/>
      <c r="L47" s="277"/>
      <c r="M47" s="280"/>
      <c r="N47" s="277"/>
      <c r="O47" s="278"/>
      <c r="P47" s="279">
        <f t="shared" si="24"/>
        <v>85</v>
      </c>
      <c r="Q47" s="277">
        <v>90</v>
      </c>
      <c r="R47" s="1482">
        <v>55</v>
      </c>
      <c r="S47" s="281">
        <f t="shared" si="25"/>
        <v>79</v>
      </c>
      <c r="T47" s="295" t="str">
        <f t="shared" si="26"/>
        <v>C</v>
      </c>
      <c r="U47" s="1215">
        <f t="shared" si="41"/>
        <v>85.01</v>
      </c>
      <c r="V47" s="1216">
        <f t="shared" si="41"/>
        <v>85.02</v>
      </c>
      <c r="W47" s="1216">
        <f t="shared" si="41"/>
        <v>85.03</v>
      </c>
      <c r="X47" s="1216">
        <f t="shared" si="41"/>
        <v>85.04</v>
      </c>
      <c r="Y47" s="1216" t="str">
        <f t="shared" si="41"/>
        <v/>
      </c>
      <c r="Z47" s="1216" t="str">
        <f t="shared" si="41"/>
        <v/>
      </c>
      <c r="AA47" s="1216" t="str">
        <f t="shared" si="41"/>
        <v/>
      </c>
      <c r="AB47" s="1217" t="str">
        <f t="shared" si="41"/>
        <v/>
      </c>
      <c r="AC47" s="1216" t="str">
        <f t="shared" si="41"/>
        <v/>
      </c>
      <c r="AD47" s="1218" t="str">
        <f t="shared" si="41"/>
        <v/>
      </c>
      <c r="AE47" s="1219">
        <f t="shared" si="27"/>
        <v>85.04</v>
      </c>
      <c r="AF47" s="282">
        <f t="shared" si="28"/>
        <v>85.01</v>
      </c>
      <c r="AG47" s="282" t="str">
        <f t="shared" si="29"/>
        <v>baik</v>
      </c>
      <c r="AH47" s="282" t="str">
        <f t="shared" si="29"/>
        <v>baik</v>
      </c>
      <c r="AI47" s="282">
        <f t="shared" si="30"/>
        <v>4</v>
      </c>
      <c r="AJ47" s="283">
        <f t="shared" si="31"/>
        <v>1</v>
      </c>
      <c r="AK47" s="284" t="str">
        <f t="shared" si="32"/>
        <v>Memiliki kemampuan baik dalam Menganalisis  unsur pembangun puisi. dan Menganalisis  isi, struktur dan kebahasaan teks  negosiasi.</v>
      </c>
      <c r="AL47" s="276">
        <v>88</v>
      </c>
      <c r="AM47" s="276">
        <v>88</v>
      </c>
      <c r="AN47" s="277"/>
      <c r="AO47" s="277"/>
      <c r="AP47" s="277"/>
      <c r="AQ47" s="277"/>
      <c r="AR47" s="277"/>
      <c r="AS47" s="280"/>
      <c r="AT47" s="277"/>
      <c r="AU47" s="278"/>
      <c r="AV47" s="285">
        <f t="shared" si="33"/>
        <v>88</v>
      </c>
      <c r="AW47" s="296" t="str">
        <f t="shared" si="34"/>
        <v>B</v>
      </c>
      <c r="AX47" s="1220">
        <f t="shared" si="42"/>
        <v>88.01</v>
      </c>
      <c r="AY47" s="1221">
        <f t="shared" si="42"/>
        <v>88.02</v>
      </c>
      <c r="AZ47" s="1221" t="str">
        <f t="shared" si="42"/>
        <v/>
      </c>
      <c r="BA47" s="1221" t="str">
        <f t="shared" si="42"/>
        <v/>
      </c>
      <c r="BB47" s="1221" t="str">
        <f t="shared" si="42"/>
        <v/>
      </c>
      <c r="BC47" s="1221" t="str">
        <f t="shared" si="42"/>
        <v/>
      </c>
      <c r="BD47" s="1221" t="str">
        <f t="shared" si="42"/>
        <v/>
      </c>
      <c r="BE47" s="1222" t="str">
        <f t="shared" si="42"/>
        <v/>
      </c>
      <c r="BF47" s="1221" t="str">
        <f t="shared" si="42"/>
        <v/>
      </c>
      <c r="BG47" s="1223" t="str">
        <f t="shared" si="42"/>
        <v/>
      </c>
      <c r="BH47" s="286">
        <f t="shared" si="35"/>
        <v>88.02</v>
      </c>
      <c r="BI47" s="286">
        <f t="shared" si="36"/>
        <v>88.01</v>
      </c>
      <c r="BJ47" s="287" t="str">
        <f t="shared" si="37"/>
        <v>baik</v>
      </c>
      <c r="BK47" s="287" t="str">
        <f t="shared" si="37"/>
        <v>baik</v>
      </c>
      <c r="BL47" s="286">
        <f t="shared" si="38"/>
        <v>2</v>
      </c>
      <c r="BM47" s="288">
        <f t="shared" si="39"/>
        <v>1</v>
      </c>
      <c r="BN47" s="289" t="str">
        <f t="shared" si="40"/>
        <v>Memiliki keterampilan baik dalam mengembangkan permasalahan isu dan berbagai sudut pandang dan Menyampaikan penawaran dalam teks negosiasi secara lisan.</v>
      </c>
      <c r="BO47" s="67"/>
    </row>
    <row r="48" spans="1:67" ht="33" customHeight="1">
      <c r="A48" s="67"/>
      <c r="B48" s="272">
        <f t="shared" si="44"/>
        <v>35</v>
      </c>
      <c r="C48" s="273">
        <f>IF(Data!F39="","",Data!F39)</f>
        <v>0</v>
      </c>
      <c r="D48" s="274" t="str">
        <f>IF(Data!H39="","",Data!H39)</f>
        <v>Yefta Trianus Mau</v>
      </c>
      <c r="E48" s="275" t="str">
        <f>IF(Data!I39="","",Data!I39)</f>
        <v>L</v>
      </c>
      <c r="F48" s="276">
        <v>85</v>
      </c>
      <c r="G48" s="276">
        <v>85</v>
      </c>
      <c r="H48" s="276">
        <v>85</v>
      </c>
      <c r="I48" s="276">
        <v>85</v>
      </c>
      <c r="J48" s="277"/>
      <c r="K48" s="277"/>
      <c r="L48" s="277"/>
      <c r="M48" s="280"/>
      <c r="N48" s="277"/>
      <c r="O48" s="278"/>
      <c r="P48" s="279">
        <f t="shared" si="24"/>
        <v>85</v>
      </c>
      <c r="Q48" s="277">
        <v>90</v>
      </c>
      <c r="R48" s="1482">
        <v>62</v>
      </c>
      <c r="S48" s="281">
        <f t="shared" si="25"/>
        <v>81</v>
      </c>
      <c r="T48" s="295" t="str">
        <f t="shared" si="26"/>
        <v>C</v>
      </c>
      <c r="U48" s="1215">
        <f t="shared" si="41"/>
        <v>85.01</v>
      </c>
      <c r="V48" s="1216">
        <f t="shared" si="41"/>
        <v>85.02</v>
      </c>
      <c r="W48" s="1216">
        <f t="shared" si="41"/>
        <v>85.03</v>
      </c>
      <c r="X48" s="1216">
        <f t="shared" si="41"/>
        <v>85.04</v>
      </c>
      <c r="Y48" s="1216" t="str">
        <f t="shared" si="41"/>
        <v/>
      </c>
      <c r="Z48" s="1216" t="str">
        <f t="shared" si="41"/>
        <v/>
      </c>
      <c r="AA48" s="1216" t="str">
        <f t="shared" si="41"/>
        <v/>
      </c>
      <c r="AB48" s="1217" t="str">
        <f t="shared" si="41"/>
        <v/>
      </c>
      <c r="AC48" s="1216" t="str">
        <f t="shared" si="41"/>
        <v/>
      </c>
      <c r="AD48" s="1218" t="str">
        <f t="shared" si="41"/>
        <v/>
      </c>
      <c r="AE48" s="1219">
        <f t="shared" si="27"/>
        <v>85.04</v>
      </c>
      <c r="AF48" s="282">
        <f t="shared" si="28"/>
        <v>85.01</v>
      </c>
      <c r="AG48" s="282" t="str">
        <f t="shared" si="29"/>
        <v>baik</v>
      </c>
      <c r="AH48" s="282" t="str">
        <f t="shared" si="29"/>
        <v>baik</v>
      </c>
      <c r="AI48" s="282">
        <f t="shared" si="30"/>
        <v>4</v>
      </c>
      <c r="AJ48" s="283">
        <f t="shared" si="31"/>
        <v>1</v>
      </c>
      <c r="AK48" s="284" t="str">
        <f t="shared" si="32"/>
        <v>Memiliki kemampuan baik dalam Menganalisis  unsur pembangun puisi. dan Menganalisis  isi, struktur dan kebahasaan teks  negosiasi.</v>
      </c>
      <c r="AL48" s="276">
        <v>88</v>
      </c>
      <c r="AM48" s="276">
        <v>88</v>
      </c>
      <c r="AN48" s="277"/>
      <c r="AO48" s="277"/>
      <c r="AP48" s="277"/>
      <c r="AQ48" s="277"/>
      <c r="AR48" s="277"/>
      <c r="AS48" s="280"/>
      <c r="AT48" s="277"/>
      <c r="AU48" s="278"/>
      <c r="AV48" s="285">
        <f t="shared" si="33"/>
        <v>88</v>
      </c>
      <c r="AW48" s="296" t="str">
        <f t="shared" si="34"/>
        <v>B</v>
      </c>
      <c r="AX48" s="1220">
        <f t="shared" si="42"/>
        <v>88.01</v>
      </c>
      <c r="AY48" s="1221">
        <f t="shared" si="42"/>
        <v>88.02</v>
      </c>
      <c r="AZ48" s="1221" t="str">
        <f t="shared" si="42"/>
        <v/>
      </c>
      <c r="BA48" s="1221" t="str">
        <f t="shared" si="42"/>
        <v/>
      </c>
      <c r="BB48" s="1221" t="str">
        <f t="shared" si="42"/>
        <v/>
      </c>
      <c r="BC48" s="1221" t="str">
        <f t="shared" si="42"/>
        <v/>
      </c>
      <c r="BD48" s="1221" t="str">
        <f t="shared" si="42"/>
        <v/>
      </c>
      <c r="BE48" s="1222" t="str">
        <f t="shared" si="42"/>
        <v/>
      </c>
      <c r="BF48" s="1221" t="str">
        <f t="shared" si="42"/>
        <v/>
      </c>
      <c r="BG48" s="1223" t="str">
        <f t="shared" si="42"/>
        <v/>
      </c>
      <c r="BH48" s="286">
        <f t="shared" si="35"/>
        <v>88.02</v>
      </c>
      <c r="BI48" s="286">
        <f t="shared" si="36"/>
        <v>88.01</v>
      </c>
      <c r="BJ48" s="287" t="str">
        <f t="shared" si="37"/>
        <v>baik</v>
      </c>
      <c r="BK48" s="287" t="str">
        <f t="shared" si="37"/>
        <v>baik</v>
      </c>
      <c r="BL48" s="286">
        <f t="shared" si="38"/>
        <v>2</v>
      </c>
      <c r="BM48" s="288">
        <f t="shared" si="39"/>
        <v>1</v>
      </c>
      <c r="BN48" s="289" t="str">
        <f t="shared" si="40"/>
        <v>Memiliki keterampilan baik dalam mengembangkan permasalahan isu dan berbagai sudut pandang dan Menyampaikan penawaran dalam teks negosiasi secara lisan.</v>
      </c>
      <c r="BO48" s="67"/>
    </row>
    <row r="49" spans="1:67" ht="33" customHeight="1">
      <c r="A49" s="67"/>
      <c r="B49" s="272">
        <f t="shared" si="44"/>
        <v>36</v>
      </c>
      <c r="C49" s="273">
        <f>IF(Data!F40="","",Data!F40)</f>
        <v>0</v>
      </c>
      <c r="D49" s="274" t="str">
        <f>IF(Data!H40="","",Data!H40)</f>
        <v>Yuliana Febriyanti Nggeon</v>
      </c>
      <c r="E49" s="275" t="str">
        <f>IF(Data!I40="","",Data!I40)</f>
        <v>P</v>
      </c>
      <c r="F49" s="276">
        <v>85</v>
      </c>
      <c r="G49" s="276">
        <v>85</v>
      </c>
      <c r="H49" s="276">
        <v>85</v>
      </c>
      <c r="I49" s="276">
        <v>85</v>
      </c>
      <c r="J49" s="277"/>
      <c r="K49" s="277"/>
      <c r="L49" s="277"/>
      <c r="M49" s="280"/>
      <c r="N49" s="277"/>
      <c r="O49" s="278"/>
      <c r="P49" s="279">
        <f t="shared" si="24"/>
        <v>85</v>
      </c>
      <c r="Q49" s="277">
        <v>90</v>
      </c>
      <c r="R49" s="1482">
        <v>60</v>
      </c>
      <c r="S49" s="281">
        <f t="shared" si="25"/>
        <v>80</v>
      </c>
      <c r="T49" s="295" t="str">
        <f t="shared" si="26"/>
        <v>C</v>
      </c>
      <c r="U49" s="1215">
        <f t="shared" si="41"/>
        <v>85.01</v>
      </c>
      <c r="V49" s="1216">
        <f t="shared" si="41"/>
        <v>85.02</v>
      </c>
      <c r="W49" s="1216">
        <f t="shared" si="41"/>
        <v>85.03</v>
      </c>
      <c r="X49" s="1216">
        <f t="shared" si="41"/>
        <v>85.04</v>
      </c>
      <c r="Y49" s="1216" t="str">
        <f t="shared" si="41"/>
        <v/>
      </c>
      <c r="Z49" s="1216" t="str">
        <f t="shared" si="41"/>
        <v/>
      </c>
      <c r="AA49" s="1216" t="str">
        <f t="shared" si="41"/>
        <v/>
      </c>
      <c r="AB49" s="1217" t="str">
        <f t="shared" si="41"/>
        <v/>
      </c>
      <c r="AC49" s="1216" t="str">
        <f t="shared" si="41"/>
        <v/>
      </c>
      <c r="AD49" s="1218" t="str">
        <f t="shared" si="41"/>
        <v/>
      </c>
      <c r="AE49" s="1219">
        <f t="shared" si="27"/>
        <v>85.04</v>
      </c>
      <c r="AF49" s="282">
        <f t="shared" si="28"/>
        <v>85.01</v>
      </c>
      <c r="AG49" s="282" t="str">
        <f t="shared" si="29"/>
        <v>baik</v>
      </c>
      <c r="AH49" s="282" t="str">
        <f t="shared" si="29"/>
        <v>baik</v>
      </c>
      <c r="AI49" s="282">
        <f t="shared" si="30"/>
        <v>4</v>
      </c>
      <c r="AJ49" s="283">
        <f t="shared" si="31"/>
        <v>1</v>
      </c>
      <c r="AK49" s="284" t="str">
        <f t="shared" si="32"/>
        <v>Memiliki kemampuan baik dalam Menganalisis  unsur pembangun puisi. dan Menganalisis  isi, struktur dan kebahasaan teks  negosiasi.</v>
      </c>
      <c r="AL49" s="276">
        <v>88</v>
      </c>
      <c r="AM49" s="276">
        <v>88</v>
      </c>
      <c r="AN49" s="277"/>
      <c r="AO49" s="277"/>
      <c r="AP49" s="277"/>
      <c r="AQ49" s="277"/>
      <c r="AR49" s="277"/>
      <c r="AS49" s="280"/>
      <c r="AT49" s="277"/>
      <c r="AU49" s="278"/>
      <c r="AV49" s="285">
        <f t="shared" si="33"/>
        <v>88</v>
      </c>
      <c r="AW49" s="296" t="str">
        <f t="shared" si="34"/>
        <v>B</v>
      </c>
      <c r="AX49" s="1220">
        <f t="shared" si="42"/>
        <v>88.01</v>
      </c>
      <c r="AY49" s="1221">
        <f t="shared" si="42"/>
        <v>88.02</v>
      </c>
      <c r="AZ49" s="1221" t="str">
        <f t="shared" si="42"/>
        <v/>
      </c>
      <c r="BA49" s="1221" t="str">
        <f t="shared" si="42"/>
        <v/>
      </c>
      <c r="BB49" s="1221" t="str">
        <f t="shared" si="42"/>
        <v/>
      </c>
      <c r="BC49" s="1221" t="str">
        <f t="shared" si="42"/>
        <v/>
      </c>
      <c r="BD49" s="1221" t="str">
        <f t="shared" si="42"/>
        <v/>
      </c>
      <c r="BE49" s="1222" t="str">
        <f t="shared" si="42"/>
        <v/>
      </c>
      <c r="BF49" s="1221" t="str">
        <f t="shared" si="42"/>
        <v/>
      </c>
      <c r="BG49" s="1223" t="str">
        <f t="shared" si="42"/>
        <v/>
      </c>
      <c r="BH49" s="286">
        <f t="shared" si="35"/>
        <v>88.02</v>
      </c>
      <c r="BI49" s="286">
        <f t="shared" si="36"/>
        <v>88.01</v>
      </c>
      <c r="BJ49" s="287" t="str">
        <f t="shared" si="37"/>
        <v>baik</v>
      </c>
      <c r="BK49" s="287" t="str">
        <f t="shared" si="37"/>
        <v>baik</v>
      </c>
      <c r="BL49" s="286">
        <f t="shared" si="38"/>
        <v>2</v>
      </c>
      <c r="BM49" s="288">
        <f t="shared" si="39"/>
        <v>1</v>
      </c>
      <c r="BN49" s="289" t="str">
        <f t="shared" si="40"/>
        <v>Memiliki keterampilan baik dalam mengembangkan permasalahan isu dan berbagai sudut pandang dan Menyampaikan penawaran dalam teks negosiasi secara lisan.</v>
      </c>
      <c r="BO49" s="67"/>
    </row>
    <row r="50" spans="1:67" ht="33" customHeight="1">
      <c r="A50" s="67"/>
      <c r="B50" s="272">
        <f t="shared" si="44"/>
        <v>37</v>
      </c>
      <c r="C50" s="273">
        <f>IF(Data!F41="","",Data!F41)</f>
        <v>0</v>
      </c>
      <c r="D50" s="274" t="str">
        <f>IF(Data!H41="","",Data!H41)</f>
        <v>Yuninda Pono</v>
      </c>
      <c r="E50" s="275" t="str">
        <f>IF(Data!I41="","",Data!I41)</f>
        <v>P</v>
      </c>
      <c r="F50" s="276">
        <v>85</v>
      </c>
      <c r="G50" s="276">
        <v>85</v>
      </c>
      <c r="H50" s="276">
        <v>85</v>
      </c>
      <c r="I50" s="276">
        <v>85</v>
      </c>
      <c r="J50" s="277"/>
      <c r="K50" s="277"/>
      <c r="L50" s="277"/>
      <c r="M50" s="280"/>
      <c r="N50" s="277"/>
      <c r="O50" s="278"/>
      <c r="P50" s="279">
        <f t="shared" si="24"/>
        <v>85</v>
      </c>
      <c r="Q50" s="277">
        <v>90</v>
      </c>
      <c r="R50" s="1482">
        <v>65</v>
      </c>
      <c r="S50" s="281">
        <f t="shared" si="25"/>
        <v>81</v>
      </c>
      <c r="T50" s="295" t="str">
        <f t="shared" si="26"/>
        <v>C</v>
      </c>
      <c r="U50" s="1215">
        <f t="shared" si="41"/>
        <v>85.01</v>
      </c>
      <c r="V50" s="1216">
        <f t="shared" si="41"/>
        <v>85.02</v>
      </c>
      <c r="W50" s="1216">
        <f t="shared" si="41"/>
        <v>85.03</v>
      </c>
      <c r="X50" s="1216">
        <f t="shared" si="41"/>
        <v>85.04</v>
      </c>
      <c r="Y50" s="1216" t="str">
        <f t="shared" si="41"/>
        <v/>
      </c>
      <c r="Z50" s="1216" t="str">
        <f t="shared" si="41"/>
        <v/>
      </c>
      <c r="AA50" s="1216" t="str">
        <f t="shared" si="41"/>
        <v/>
      </c>
      <c r="AB50" s="1217" t="str">
        <f t="shared" si="41"/>
        <v/>
      </c>
      <c r="AC50" s="1216" t="str">
        <f t="shared" si="41"/>
        <v/>
      </c>
      <c r="AD50" s="1218" t="str">
        <f t="shared" si="41"/>
        <v/>
      </c>
      <c r="AE50" s="1219">
        <f t="shared" si="27"/>
        <v>85.04</v>
      </c>
      <c r="AF50" s="282">
        <f t="shared" si="28"/>
        <v>85.01</v>
      </c>
      <c r="AG50" s="282" t="str">
        <f t="shared" si="29"/>
        <v>baik</v>
      </c>
      <c r="AH50" s="282" t="str">
        <f t="shared" si="29"/>
        <v>baik</v>
      </c>
      <c r="AI50" s="282">
        <f t="shared" si="30"/>
        <v>4</v>
      </c>
      <c r="AJ50" s="283">
        <f t="shared" si="31"/>
        <v>1</v>
      </c>
      <c r="AK50" s="284" t="str">
        <f t="shared" si="32"/>
        <v>Memiliki kemampuan baik dalam Menganalisis  unsur pembangun puisi. dan Menganalisis  isi, struktur dan kebahasaan teks  negosiasi.</v>
      </c>
      <c r="AL50" s="276">
        <v>88</v>
      </c>
      <c r="AM50" s="276">
        <v>88</v>
      </c>
      <c r="AN50" s="277"/>
      <c r="AO50" s="277"/>
      <c r="AP50" s="277"/>
      <c r="AQ50" s="277"/>
      <c r="AR50" s="277"/>
      <c r="AS50" s="280"/>
      <c r="AT50" s="277"/>
      <c r="AU50" s="278"/>
      <c r="AV50" s="285">
        <f t="shared" si="33"/>
        <v>88</v>
      </c>
      <c r="AW50" s="296" t="str">
        <f t="shared" si="34"/>
        <v>B</v>
      </c>
      <c r="AX50" s="1220">
        <f t="shared" si="42"/>
        <v>88.01</v>
      </c>
      <c r="AY50" s="1221">
        <f t="shared" si="42"/>
        <v>88.02</v>
      </c>
      <c r="AZ50" s="1221" t="str">
        <f t="shared" si="42"/>
        <v/>
      </c>
      <c r="BA50" s="1221" t="str">
        <f t="shared" si="42"/>
        <v/>
      </c>
      <c r="BB50" s="1221" t="str">
        <f t="shared" si="42"/>
        <v/>
      </c>
      <c r="BC50" s="1221" t="str">
        <f t="shared" si="42"/>
        <v/>
      </c>
      <c r="BD50" s="1221" t="str">
        <f t="shared" si="42"/>
        <v/>
      </c>
      <c r="BE50" s="1222" t="str">
        <f t="shared" si="42"/>
        <v/>
      </c>
      <c r="BF50" s="1221" t="str">
        <f t="shared" si="42"/>
        <v/>
      </c>
      <c r="BG50" s="1223" t="str">
        <f t="shared" si="42"/>
        <v/>
      </c>
      <c r="BH50" s="286">
        <f t="shared" si="35"/>
        <v>88.02</v>
      </c>
      <c r="BI50" s="286">
        <f t="shared" si="36"/>
        <v>88.01</v>
      </c>
      <c r="BJ50" s="287" t="str">
        <f t="shared" si="37"/>
        <v>baik</v>
      </c>
      <c r="BK50" s="287" t="str">
        <f t="shared" si="37"/>
        <v>baik</v>
      </c>
      <c r="BL50" s="286">
        <f t="shared" si="38"/>
        <v>2</v>
      </c>
      <c r="BM50" s="288">
        <f t="shared" si="39"/>
        <v>1</v>
      </c>
      <c r="BN50" s="289" t="str">
        <f t="shared" si="40"/>
        <v>Memiliki keterampilan baik dalam mengembangkan permasalahan isu dan berbagai sudut pandang dan Menyampaikan penawaran dalam teks negosiasi secara lisan.</v>
      </c>
      <c r="BO50" s="67"/>
    </row>
    <row r="51" spans="1:67" ht="33" customHeight="1">
      <c r="A51" s="67"/>
      <c r="B51" s="272" t="str">
        <f t="shared" si="44"/>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44"/>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44"/>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44"/>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44"/>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5">IF(K55="","",K55+Z$13)</f>
        <v/>
      </c>
      <c r="AA55" s="1216" t="str">
        <f t="shared" si="45"/>
        <v/>
      </c>
      <c r="AB55" s="1217" t="str">
        <f t="shared" si="45"/>
        <v/>
      </c>
      <c r="AC55" s="1216" t="str">
        <f t="shared" si="45"/>
        <v/>
      </c>
      <c r="AD55" s="1218" t="str">
        <f t="shared" si="45"/>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6">IF(AQ55="","",AQ55+BC$12)</f>
        <v/>
      </c>
      <c r="BD55" s="1221" t="str">
        <f t="shared" si="46"/>
        <v/>
      </c>
      <c r="BE55" s="1222" t="str">
        <f t="shared" si="46"/>
        <v/>
      </c>
      <c r="BF55" s="1221" t="str">
        <f t="shared" si="46"/>
        <v/>
      </c>
      <c r="BG55" s="1223" t="str">
        <f t="shared" si="46"/>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44"/>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7">IF(F56="","",F56+U$13)</f>
        <v/>
      </c>
      <c r="V56" s="1216" t="str">
        <f t="shared" si="47"/>
        <v/>
      </c>
      <c r="W56" s="1216" t="str">
        <f t="shared" si="47"/>
        <v/>
      </c>
      <c r="X56" s="1216" t="str">
        <f t="shared" si="47"/>
        <v/>
      </c>
      <c r="Y56" s="1216" t="str">
        <f t="shared" si="47"/>
        <v/>
      </c>
      <c r="Z56" s="1216" t="str">
        <f t="shared" si="45"/>
        <v/>
      </c>
      <c r="AA56" s="1216" t="str">
        <f t="shared" si="45"/>
        <v/>
      </c>
      <c r="AB56" s="1217" t="str">
        <f t="shared" si="45"/>
        <v/>
      </c>
      <c r="AC56" s="1216" t="str">
        <f t="shared" si="45"/>
        <v/>
      </c>
      <c r="AD56" s="1218" t="str">
        <f t="shared" si="45"/>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8">IF(AL56="","",AL56+AX$12)</f>
        <v/>
      </c>
      <c r="AY56" s="1221" t="str">
        <f t="shared" si="48"/>
        <v/>
      </c>
      <c r="AZ56" s="1221" t="str">
        <f t="shared" si="48"/>
        <v/>
      </c>
      <c r="BA56" s="1221" t="str">
        <f t="shared" si="48"/>
        <v/>
      </c>
      <c r="BB56" s="1221" t="str">
        <f t="shared" si="48"/>
        <v/>
      </c>
      <c r="BC56" s="1221" t="str">
        <f t="shared" si="46"/>
        <v/>
      </c>
      <c r="BD56" s="1221" t="str">
        <f t="shared" si="46"/>
        <v/>
      </c>
      <c r="BE56" s="1222" t="str">
        <f t="shared" si="46"/>
        <v/>
      </c>
      <c r="BF56" s="1221" t="str">
        <f t="shared" si="46"/>
        <v/>
      </c>
      <c r="BG56" s="1223" t="str">
        <f t="shared" si="46"/>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44"/>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7"/>
        <v/>
      </c>
      <c r="V57" s="1216" t="str">
        <f t="shared" si="47"/>
        <v/>
      </c>
      <c r="W57" s="1216" t="str">
        <f t="shared" si="47"/>
        <v/>
      </c>
      <c r="X57" s="1216" t="str">
        <f t="shared" si="47"/>
        <v/>
      </c>
      <c r="Y57" s="1216" t="str">
        <f t="shared" si="47"/>
        <v/>
      </c>
      <c r="Z57" s="1216" t="str">
        <f t="shared" si="45"/>
        <v/>
      </c>
      <c r="AA57" s="1216" t="str">
        <f t="shared" si="45"/>
        <v/>
      </c>
      <c r="AB57" s="1217" t="str">
        <f t="shared" si="45"/>
        <v/>
      </c>
      <c r="AC57" s="1216" t="str">
        <f t="shared" si="45"/>
        <v/>
      </c>
      <c r="AD57" s="1218" t="str">
        <f t="shared" si="45"/>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8"/>
        <v/>
      </c>
      <c r="AY57" s="1221" t="str">
        <f t="shared" si="48"/>
        <v/>
      </c>
      <c r="AZ57" s="1221" t="str">
        <f t="shared" si="48"/>
        <v/>
      </c>
      <c r="BA57" s="1221" t="str">
        <f t="shared" si="48"/>
        <v/>
      </c>
      <c r="BB57" s="1221" t="str">
        <f t="shared" si="48"/>
        <v/>
      </c>
      <c r="BC57" s="1221" t="str">
        <f t="shared" si="46"/>
        <v/>
      </c>
      <c r="BD57" s="1221" t="str">
        <f t="shared" si="46"/>
        <v/>
      </c>
      <c r="BE57" s="1222" t="str">
        <f t="shared" si="46"/>
        <v/>
      </c>
      <c r="BF57" s="1221" t="str">
        <f t="shared" si="46"/>
        <v/>
      </c>
      <c r="BG57" s="1223" t="str">
        <f t="shared" si="46"/>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44"/>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7"/>
        <v/>
      </c>
      <c r="V58" s="1216" t="str">
        <f t="shared" si="47"/>
        <v/>
      </c>
      <c r="W58" s="1216" t="str">
        <f t="shared" si="47"/>
        <v/>
      </c>
      <c r="X58" s="1216" t="str">
        <f t="shared" si="47"/>
        <v/>
      </c>
      <c r="Y58" s="1216" t="str">
        <f t="shared" si="47"/>
        <v/>
      </c>
      <c r="Z58" s="1216" t="str">
        <f t="shared" si="45"/>
        <v/>
      </c>
      <c r="AA58" s="1216" t="str">
        <f t="shared" si="45"/>
        <v/>
      </c>
      <c r="AB58" s="1217" t="str">
        <f t="shared" si="45"/>
        <v/>
      </c>
      <c r="AC58" s="1216" t="str">
        <f t="shared" si="45"/>
        <v/>
      </c>
      <c r="AD58" s="1218" t="str">
        <f t="shared" si="45"/>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8"/>
        <v/>
      </c>
      <c r="AY58" s="1221" t="str">
        <f t="shared" si="48"/>
        <v/>
      </c>
      <c r="AZ58" s="1221" t="str">
        <f t="shared" si="48"/>
        <v/>
      </c>
      <c r="BA58" s="1221" t="str">
        <f t="shared" si="48"/>
        <v/>
      </c>
      <c r="BB58" s="1221" t="str">
        <f t="shared" si="48"/>
        <v/>
      </c>
      <c r="BC58" s="1221" t="str">
        <f t="shared" si="46"/>
        <v/>
      </c>
      <c r="BD58" s="1221" t="str">
        <f t="shared" si="46"/>
        <v/>
      </c>
      <c r="BE58" s="1222" t="str">
        <f t="shared" si="46"/>
        <v/>
      </c>
      <c r="BF58" s="1221" t="str">
        <f t="shared" si="46"/>
        <v/>
      </c>
      <c r="BG58" s="1223" t="str">
        <f t="shared" si="46"/>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44"/>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7"/>
        <v/>
      </c>
      <c r="V59" s="1216" t="str">
        <f t="shared" si="47"/>
        <v/>
      </c>
      <c r="W59" s="1216" t="str">
        <f t="shared" si="47"/>
        <v/>
      </c>
      <c r="X59" s="1216" t="str">
        <f t="shared" si="47"/>
        <v/>
      </c>
      <c r="Y59" s="1216" t="str">
        <f t="shared" si="47"/>
        <v/>
      </c>
      <c r="Z59" s="1216" t="str">
        <f t="shared" si="45"/>
        <v/>
      </c>
      <c r="AA59" s="1216" t="str">
        <f t="shared" si="45"/>
        <v/>
      </c>
      <c r="AB59" s="1217" t="str">
        <f t="shared" si="45"/>
        <v/>
      </c>
      <c r="AC59" s="1216" t="str">
        <f t="shared" si="45"/>
        <v/>
      </c>
      <c r="AD59" s="1218" t="str">
        <f t="shared" si="45"/>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8"/>
        <v/>
      </c>
      <c r="AY59" s="1221" t="str">
        <f t="shared" si="48"/>
        <v/>
      </c>
      <c r="AZ59" s="1221" t="str">
        <f t="shared" si="48"/>
        <v/>
      </c>
      <c r="BA59" s="1221" t="str">
        <f t="shared" si="48"/>
        <v/>
      </c>
      <c r="BB59" s="1221" t="str">
        <f t="shared" si="48"/>
        <v/>
      </c>
      <c r="BC59" s="1221" t="str">
        <f t="shared" si="46"/>
        <v/>
      </c>
      <c r="BD59" s="1221" t="str">
        <f t="shared" si="46"/>
        <v/>
      </c>
      <c r="BE59" s="1222" t="str">
        <f t="shared" si="46"/>
        <v/>
      </c>
      <c r="BF59" s="1221" t="str">
        <f t="shared" si="46"/>
        <v/>
      </c>
      <c r="BG59" s="1223" t="str">
        <f t="shared" si="46"/>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44"/>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7"/>
        <v/>
      </c>
      <c r="V60" s="1216" t="str">
        <f t="shared" si="47"/>
        <v/>
      </c>
      <c r="W60" s="1216" t="str">
        <f t="shared" si="47"/>
        <v/>
      </c>
      <c r="X60" s="1216" t="str">
        <f t="shared" si="47"/>
        <v/>
      </c>
      <c r="Y60" s="1216" t="str">
        <f t="shared" si="47"/>
        <v/>
      </c>
      <c r="Z60" s="1216" t="str">
        <f t="shared" si="45"/>
        <v/>
      </c>
      <c r="AA60" s="1216" t="str">
        <f t="shared" si="45"/>
        <v/>
      </c>
      <c r="AB60" s="1217" t="str">
        <f t="shared" si="45"/>
        <v/>
      </c>
      <c r="AC60" s="1216" t="str">
        <f t="shared" si="45"/>
        <v/>
      </c>
      <c r="AD60" s="1218" t="str">
        <f t="shared" si="45"/>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8"/>
        <v/>
      </c>
      <c r="AY60" s="1221" t="str">
        <f t="shared" si="48"/>
        <v/>
      </c>
      <c r="AZ60" s="1221" t="str">
        <f t="shared" si="48"/>
        <v/>
      </c>
      <c r="BA60" s="1221" t="str">
        <f t="shared" si="48"/>
        <v/>
      </c>
      <c r="BB60" s="1221" t="str">
        <f t="shared" si="48"/>
        <v/>
      </c>
      <c r="BC60" s="1221" t="str">
        <f t="shared" si="46"/>
        <v/>
      </c>
      <c r="BD60" s="1221" t="str">
        <f t="shared" si="46"/>
        <v/>
      </c>
      <c r="BE60" s="1222" t="str">
        <f t="shared" si="46"/>
        <v/>
      </c>
      <c r="BF60" s="1221" t="str">
        <f t="shared" si="46"/>
        <v/>
      </c>
      <c r="BG60" s="1223" t="str">
        <f t="shared" si="46"/>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44"/>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7"/>
        <v/>
      </c>
      <c r="V61" s="1216" t="str">
        <f t="shared" si="47"/>
        <v/>
      </c>
      <c r="W61" s="1216" t="str">
        <f t="shared" si="47"/>
        <v/>
      </c>
      <c r="X61" s="1216" t="str">
        <f t="shared" si="47"/>
        <v/>
      </c>
      <c r="Y61" s="1216" t="str">
        <f t="shared" si="47"/>
        <v/>
      </c>
      <c r="Z61" s="1216" t="str">
        <f t="shared" si="45"/>
        <v/>
      </c>
      <c r="AA61" s="1216" t="str">
        <f t="shared" si="45"/>
        <v/>
      </c>
      <c r="AB61" s="1217" t="str">
        <f t="shared" si="45"/>
        <v/>
      </c>
      <c r="AC61" s="1216" t="str">
        <f t="shared" si="45"/>
        <v/>
      </c>
      <c r="AD61" s="1218" t="str">
        <f t="shared" si="45"/>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8"/>
        <v/>
      </c>
      <c r="AY61" s="1221" t="str">
        <f t="shared" si="48"/>
        <v/>
      </c>
      <c r="AZ61" s="1221" t="str">
        <f t="shared" si="48"/>
        <v/>
      </c>
      <c r="BA61" s="1221" t="str">
        <f t="shared" si="48"/>
        <v/>
      </c>
      <c r="BB61" s="1221" t="str">
        <f t="shared" si="48"/>
        <v/>
      </c>
      <c r="BC61" s="1221" t="str">
        <f t="shared" si="46"/>
        <v/>
      </c>
      <c r="BD61" s="1221" t="str">
        <f t="shared" si="46"/>
        <v/>
      </c>
      <c r="BE61" s="1222" t="str">
        <f t="shared" si="46"/>
        <v/>
      </c>
      <c r="BF61" s="1221" t="str">
        <f t="shared" si="46"/>
        <v/>
      </c>
      <c r="BG61" s="1223" t="str">
        <f t="shared" si="46"/>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44"/>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7"/>
        <v/>
      </c>
      <c r="V62" s="1216" t="str">
        <f t="shared" si="47"/>
        <v/>
      </c>
      <c r="W62" s="1216" t="str">
        <f t="shared" si="47"/>
        <v/>
      </c>
      <c r="X62" s="1216" t="str">
        <f t="shared" si="47"/>
        <v/>
      </c>
      <c r="Y62" s="1216" t="str">
        <f t="shared" si="47"/>
        <v/>
      </c>
      <c r="Z62" s="1216" t="str">
        <f t="shared" si="45"/>
        <v/>
      </c>
      <c r="AA62" s="1216" t="str">
        <f t="shared" si="45"/>
        <v/>
      </c>
      <c r="AB62" s="1217" t="str">
        <f t="shared" si="45"/>
        <v/>
      </c>
      <c r="AC62" s="1216" t="str">
        <f t="shared" si="45"/>
        <v/>
      </c>
      <c r="AD62" s="1218" t="str">
        <f t="shared" si="45"/>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8"/>
        <v/>
      </c>
      <c r="AY62" s="1221" t="str">
        <f t="shared" si="48"/>
        <v/>
      </c>
      <c r="AZ62" s="1221" t="str">
        <f t="shared" si="48"/>
        <v/>
      </c>
      <c r="BA62" s="1221" t="str">
        <f t="shared" si="48"/>
        <v/>
      </c>
      <c r="BB62" s="1221" t="str">
        <f t="shared" si="48"/>
        <v/>
      </c>
      <c r="BC62" s="1221" t="str">
        <f t="shared" si="46"/>
        <v/>
      </c>
      <c r="BD62" s="1221" t="str">
        <f t="shared" si="46"/>
        <v/>
      </c>
      <c r="BE62" s="1222" t="str">
        <f t="shared" si="46"/>
        <v/>
      </c>
      <c r="BF62" s="1221" t="str">
        <f t="shared" si="46"/>
        <v/>
      </c>
      <c r="BG62" s="1223" t="str">
        <f t="shared" si="46"/>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44"/>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7"/>
        <v/>
      </c>
      <c r="V63" s="1216" t="str">
        <f t="shared" si="47"/>
        <v/>
      </c>
      <c r="W63" s="1216" t="str">
        <f t="shared" si="47"/>
        <v/>
      </c>
      <c r="X63" s="1216" t="str">
        <f t="shared" si="47"/>
        <v/>
      </c>
      <c r="Y63" s="1216" t="str">
        <f t="shared" si="47"/>
        <v/>
      </c>
      <c r="Z63" s="1216" t="str">
        <f t="shared" si="45"/>
        <v/>
      </c>
      <c r="AA63" s="1216" t="str">
        <f t="shared" si="45"/>
        <v/>
      </c>
      <c r="AB63" s="1217" t="str">
        <f t="shared" si="45"/>
        <v/>
      </c>
      <c r="AC63" s="1216" t="str">
        <f t="shared" si="45"/>
        <v/>
      </c>
      <c r="AD63" s="1218" t="str">
        <f t="shared" si="45"/>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8"/>
        <v/>
      </c>
      <c r="AY63" s="1221" t="str">
        <f t="shared" si="48"/>
        <v/>
      </c>
      <c r="AZ63" s="1221" t="str">
        <f t="shared" si="48"/>
        <v/>
      </c>
      <c r="BA63" s="1221" t="str">
        <f t="shared" si="48"/>
        <v/>
      </c>
      <c r="BB63" s="1221" t="str">
        <f t="shared" si="48"/>
        <v/>
      </c>
      <c r="BC63" s="1221" t="str">
        <f t="shared" si="46"/>
        <v/>
      </c>
      <c r="BD63" s="1221" t="str">
        <f t="shared" si="46"/>
        <v/>
      </c>
      <c r="BE63" s="1222" t="str">
        <f t="shared" si="46"/>
        <v/>
      </c>
      <c r="BF63" s="1221" t="str">
        <f t="shared" si="46"/>
        <v/>
      </c>
      <c r="BG63" s="1223" t="str">
        <f t="shared" si="46"/>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ht="12">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9">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9"/>
        <v>85</v>
      </c>
      <c r="AM69" s="349" t="s">
        <v>5</v>
      </c>
      <c r="AN69" s="347">
        <f t="shared" ref="AN69" si="50">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Data2!G6</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51">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2">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3">F76</f>
        <v>85</v>
      </c>
      <c r="AM76" s="7" t="s">
        <v>5</v>
      </c>
      <c r="AN76" s="9">
        <f t="shared" si="53"/>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3"/>
        <v>76</v>
      </c>
      <c r="AM77" s="7" t="s">
        <v>5</v>
      </c>
      <c r="AN77" s="9">
        <f t="shared" si="53"/>
        <v>84.5</v>
      </c>
      <c r="AO77" s="1357" t="str">
        <f t="shared" ref="AO77:AO78" si="54">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3"/>
        <v>0</v>
      </c>
      <c r="AM78" s="7" t="s">
        <v>5</v>
      </c>
      <c r="AN78" s="9">
        <f t="shared" si="53"/>
        <v>75.5</v>
      </c>
      <c r="AO78" s="1357" t="str">
        <f t="shared" si="54"/>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 hidden="1" customHeight="1">
      <c r="C84" s="2"/>
      <c r="AL84" s="10"/>
      <c r="AM84" s="8"/>
      <c r="AN84" s="10"/>
      <c r="AO84" s="108"/>
      <c r="AP84" s="108"/>
      <c r="AQ84" s="108"/>
      <c r="AR84" s="1159"/>
      <c r="AS84" s="1159"/>
      <c r="AT84" s="108"/>
      <c r="AU84" s="108"/>
      <c r="AV84" s="111"/>
    </row>
    <row r="85" spans="3:48" ht="12" hidden="1" customHeight="1">
      <c r="C85" s="2"/>
      <c r="AL85" s="10"/>
      <c r="AM85" s="8"/>
      <c r="AN85" s="10"/>
      <c r="AO85" s="108"/>
      <c r="AP85" s="108"/>
      <c r="AQ85" s="108"/>
      <c r="AR85" s="1159"/>
      <c r="AS85" s="1159"/>
      <c r="AT85" s="108"/>
      <c r="AU85" s="108"/>
      <c r="AV85" s="111"/>
    </row>
    <row r="86" spans="3:48" ht="12" hidden="1" customHeight="1"/>
    <row r="87" spans="3:48" ht="12" hidden="1" customHeight="1"/>
    <row r="88" spans="3:48" ht="12" hidden="1" customHeight="1"/>
    <row r="89" spans="3:48" ht="12" hidden="1" customHeight="1"/>
    <row r="90" spans="3:48" ht="12" hidden="1" customHeight="1"/>
    <row r="91" spans="3:48" ht="12" hidden="1" customHeight="1"/>
    <row r="92" spans="3:48" ht="12" hidden="1" customHeight="1"/>
    <row r="93" spans="3:48" ht="0" hidden="1" customHeight="1"/>
    <row r="94" spans="3:48" ht="0" hidden="1" customHeight="1"/>
    <row r="95" spans="3:48" ht="0" hidden="1" customHeight="1"/>
    <row r="96" spans="3:48" ht="0" hidden="1" customHeight="1"/>
    <row r="97" ht="0" hidden="1" customHeight="1"/>
  </sheetData>
  <mergeCells count="70">
    <mergeCell ref="D10:E11"/>
    <mergeCell ref="B1:C2"/>
    <mergeCell ref="D1:E2"/>
    <mergeCell ref="B3:C4"/>
    <mergeCell ref="D3:E6"/>
    <mergeCell ref="B6:C6"/>
    <mergeCell ref="B7:C7"/>
    <mergeCell ref="D7:E9"/>
    <mergeCell ref="B8:C8"/>
    <mergeCell ref="B9:C9"/>
    <mergeCell ref="B10:C11"/>
    <mergeCell ref="F3:F6"/>
    <mergeCell ref="G3:R6"/>
    <mergeCell ref="AL4:AL5"/>
    <mergeCell ref="AM4:AU5"/>
    <mergeCell ref="AL6:AL7"/>
    <mergeCell ref="AM6:AU7"/>
    <mergeCell ref="F7:F10"/>
    <mergeCell ref="G7:R10"/>
    <mergeCell ref="AL8:AL11"/>
    <mergeCell ref="AM8:AU11"/>
    <mergeCell ref="G11:R11"/>
    <mergeCell ref="G1:R1"/>
    <mergeCell ref="AM1:AU1"/>
    <mergeCell ref="G2:R2"/>
    <mergeCell ref="AL2:AL3"/>
    <mergeCell ref="AM2:AU3"/>
    <mergeCell ref="F67:H67"/>
    <mergeCell ref="AL67:AN67"/>
    <mergeCell ref="AO67:AV67"/>
    <mergeCell ref="BJ13:BK13"/>
    <mergeCell ref="BL13:BM13"/>
    <mergeCell ref="AW12:AW13"/>
    <mergeCell ref="AK12:AK13"/>
    <mergeCell ref="F66:Q66"/>
    <mergeCell ref="F65:Q65"/>
    <mergeCell ref="AL65:AV65"/>
    <mergeCell ref="B12:B13"/>
    <mergeCell ref="C12:C13"/>
    <mergeCell ref="D12:D13"/>
    <mergeCell ref="E12:E13"/>
    <mergeCell ref="AG13:AH13"/>
    <mergeCell ref="F12:O12"/>
    <mergeCell ref="T12:T13"/>
    <mergeCell ref="S12:S13"/>
    <mergeCell ref="I69:Q69"/>
    <mergeCell ref="I67:Q67"/>
    <mergeCell ref="I68:Q68"/>
    <mergeCell ref="BN12:BN13"/>
    <mergeCell ref="AV12:AV13"/>
    <mergeCell ref="AI13:AJ13"/>
    <mergeCell ref="I71:Q71"/>
    <mergeCell ref="AO71:AV71"/>
    <mergeCell ref="F73:Q73"/>
    <mergeCell ref="AL73:AV73"/>
    <mergeCell ref="I70:Q70"/>
    <mergeCell ref="AO70:AV70"/>
    <mergeCell ref="I76:P76"/>
    <mergeCell ref="I77:P77"/>
    <mergeCell ref="I78:P78"/>
    <mergeCell ref="I75:P75"/>
    <mergeCell ref="F74:H74"/>
    <mergeCell ref="I74:Q74"/>
    <mergeCell ref="AO82:AV82"/>
    <mergeCell ref="AO83:AV83"/>
    <mergeCell ref="AO69:AV69"/>
    <mergeCell ref="AO68:AV68"/>
    <mergeCell ref="AL66:AV66"/>
    <mergeCell ref="AL74:AN74"/>
    <mergeCell ref="AO74:AV74"/>
  </mergeCells>
  <conditionalFormatting sqref="B14:E63">
    <cfRule type="expression" dxfId="5706" priority="371">
      <formula>AND($B14&lt;&gt;"",$B15="")</formula>
    </cfRule>
    <cfRule type="expression" dxfId="5705" priority="372">
      <formula>$B14=""</formula>
    </cfRule>
  </conditionalFormatting>
  <conditionalFormatting sqref="B56:E56">
    <cfRule type="expression" dxfId="5704" priority="798">
      <formula>AND($B56&lt;&gt;"",$B63="")</formula>
    </cfRule>
    <cfRule type="expression" dxfId="5703" priority="799">
      <formula>$B56=""</formula>
    </cfRule>
  </conditionalFormatting>
  <conditionalFormatting sqref="B50:E50">
    <cfRule type="expression" dxfId="5702" priority="916">
      <formula>AND($B50&lt;&gt;"",$B63="")</formula>
    </cfRule>
    <cfRule type="expression" dxfId="5701" priority="917">
      <formula>$B50=""</formula>
    </cfRule>
  </conditionalFormatting>
  <conditionalFormatting sqref="B43:E44">
    <cfRule type="expression" dxfId="5700" priority="1054">
      <formula>AND($B43&lt;&gt;"",$B62="")</formula>
    </cfRule>
    <cfRule type="expression" dxfId="5699" priority="1055">
      <formula>$B43=""</formula>
    </cfRule>
  </conditionalFormatting>
  <conditionalFormatting sqref="B63:E63">
    <cfRule type="expression" dxfId="5698" priority="1874">
      <formula>AND($B63&lt;&gt;"",#REF!="")</formula>
    </cfRule>
    <cfRule type="expression" dxfId="5697" priority="1875">
      <formula>$B63=""</formula>
    </cfRule>
  </conditionalFormatting>
  <conditionalFormatting sqref="B61:E61">
    <cfRule type="expression" dxfId="5696" priority="1928">
      <formula>AND($B61&lt;&gt;"",$B64="")</formula>
    </cfRule>
    <cfRule type="expression" dxfId="5695" priority="1929">
      <formula>$B61=""</formula>
    </cfRule>
  </conditionalFormatting>
  <conditionalFormatting sqref="B57:E60">
    <cfRule type="expression" dxfId="5694" priority="1930">
      <formula>AND($B57&lt;&gt;"",#REF!="")</formula>
    </cfRule>
    <cfRule type="expression" dxfId="5693" priority="1931">
      <formula>$B57=""</formula>
    </cfRule>
  </conditionalFormatting>
  <conditionalFormatting sqref="B55:E55">
    <cfRule type="expression" dxfId="5692" priority="1934">
      <formula>AND($B55&lt;&gt;"",$B64="")</formula>
    </cfRule>
    <cfRule type="expression" dxfId="5691" priority="1935">
      <formula>$B55=""</formula>
    </cfRule>
  </conditionalFormatting>
  <conditionalFormatting sqref="B51:E54">
    <cfRule type="expression" dxfId="5690" priority="1936">
      <formula>AND($B51&lt;&gt;"",#REF!="")</formula>
    </cfRule>
    <cfRule type="expression" dxfId="5689" priority="1937">
      <formula>$B51=""</formula>
    </cfRule>
  </conditionalFormatting>
  <conditionalFormatting sqref="B49:E49">
    <cfRule type="expression" dxfId="5688" priority="1940">
      <formula>AND($B49&lt;&gt;"",$B64="")</formula>
    </cfRule>
    <cfRule type="expression" dxfId="5687" priority="1941">
      <formula>$B49=""</formula>
    </cfRule>
  </conditionalFormatting>
  <conditionalFormatting sqref="B45:E63">
    <cfRule type="expression" dxfId="5686" priority="1942">
      <formula>AND($B45&lt;&gt;"",#REF!="")</formula>
    </cfRule>
    <cfRule type="expression" dxfId="5685" priority="1943">
      <formula>$B45=""</formula>
    </cfRule>
  </conditionalFormatting>
  <conditionalFormatting sqref="R70 F66:Q71">
    <cfRule type="expression" dxfId="5684" priority="1946">
      <formula>$F$65="SAMA DENGAN DATA"</formula>
    </cfRule>
  </conditionalFormatting>
  <conditionalFormatting sqref="F66:Q71">
    <cfRule type="expression" dxfId="5683" priority="1948">
      <formula>$F$65="kkm tunggal"</formula>
    </cfRule>
  </conditionalFormatting>
  <conditionalFormatting sqref="AW70:BG70 AL66:AV71">
    <cfRule type="expression" dxfId="5682" priority="1949">
      <formula>$AL$65="SAMA DENGAN DATA"</formula>
    </cfRule>
  </conditionalFormatting>
  <conditionalFormatting sqref="AL66:AV71">
    <cfRule type="expression" dxfId="5681" priority="1951">
      <formula>$AL$65="KKM TUNGGAL"</formula>
    </cfRule>
  </conditionalFormatting>
  <conditionalFormatting sqref="B61:E63">
    <cfRule type="expression" dxfId="5680" priority="2852">
      <formula>AND($B61&lt;&gt;"",$B65="")</formula>
    </cfRule>
    <cfRule type="expression" dxfId="5679" priority="2853">
      <formula>$B61=""</formula>
    </cfRule>
  </conditionalFormatting>
  <conditionalFormatting sqref="B50:E60">
    <cfRule type="expression" dxfId="5678" priority="2854">
      <formula>AND($B50&lt;&gt;"",#REF!="")</formula>
    </cfRule>
    <cfRule type="expression" dxfId="5677" priority="2855">
      <formula>$B50=""</formula>
    </cfRule>
  </conditionalFormatting>
  <conditionalFormatting sqref="U14:AB63 P51:S63 AV14:BE63 AE14:AK63 BH14:BN63 P14:P50 S14:S50">
    <cfRule type="expression" dxfId="5676" priority="186">
      <formula>AND($B14&lt;&gt;"",$B15="")</formula>
    </cfRule>
    <cfRule type="expression" dxfId="5675" priority="187">
      <formula>$B14=""</formula>
    </cfRule>
  </conditionalFormatting>
  <conditionalFormatting sqref="T14:T63">
    <cfRule type="expression" dxfId="5674" priority="184">
      <formula>AND($B14&lt;&gt;"",$B15="")</formula>
    </cfRule>
    <cfRule type="expression" dxfId="5673" priority="185">
      <formula>$B14=""</formula>
    </cfRule>
  </conditionalFormatting>
  <conditionalFormatting sqref="AV14">
    <cfRule type="expression" dxfId="5672" priority="182">
      <formula>AND($B14&lt;&gt;"",$B15="")</formula>
    </cfRule>
    <cfRule type="expression" dxfId="5671" priority="183">
      <formula>$B14=""</formula>
    </cfRule>
  </conditionalFormatting>
  <conditionalFormatting sqref="P56:S56 U56:AB56 BH56:BN56 AE56:AK56 AV56:BE56">
    <cfRule type="expression" dxfId="5670" priority="188">
      <formula>AND($B56&lt;&gt;"",$B63="")</formula>
    </cfRule>
    <cfRule type="expression" dxfId="5669" priority="189">
      <formula>$B56=""</formula>
    </cfRule>
  </conditionalFormatting>
  <conditionalFormatting sqref="P50 U50:AB50 BH50:BN50 AE50:AK50 AV50:BE50 S50">
    <cfRule type="expression" dxfId="5668" priority="190">
      <formula>AND($B50&lt;&gt;"",$B63="")</formula>
    </cfRule>
    <cfRule type="expression" dxfId="5667" priority="191">
      <formula>$B50=""</formula>
    </cfRule>
  </conditionalFormatting>
  <conditionalFormatting sqref="P43:P44 U43:AB44 BH43:BN44 AE43:AK44 AV43:BE44 S43:S44">
    <cfRule type="expression" dxfId="5666" priority="192">
      <formula>AND($B43&lt;&gt;"",$B62="")</formula>
    </cfRule>
    <cfRule type="expression" dxfId="5665" priority="193">
      <formula>$B43=""</formula>
    </cfRule>
  </conditionalFormatting>
  <conditionalFormatting sqref="P63:S63 U63:AB63 BH63:BN63 AE63:AK63 AV63:BE63">
    <cfRule type="expression" dxfId="5664" priority="194">
      <formula>AND($B63&lt;&gt;"",#REF!="")</formula>
    </cfRule>
    <cfRule type="expression" dxfId="5663" priority="195">
      <formula>$B63=""</formula>
    </cfRule>
  </conditionalFormatting>
  <conditionalFormatting sqref="P61:S61 U61:AB61 BH61:BN61 AE61:AK61 AV61:BE61">
    <cfRule type="expression" dxfId="5662" priority="196">
      <formula>AND($B61&lt;&gt;"",$B64="")</formula>
    </cfRule>
    <cfRule type="expression" dxfId="5661" priority="197">
      <formula>$B61=""</formula>
    </cfRule>
  </conditionalFormatting>
  <conditionalFormatting sqref="P57:S60 U57:AB60 BH57:BN60 AE57:AK60 AV57:BE60">
    <cfRule type="expression" dxfId="5660" priority="198">
      <formula>AND($B57&lt;&gt;"",#REF!="")</formula>
    </cfRule>
    <cfRule type="expression" dxfId="5659" priority="199">
      <formula>$B57=""</formula>
    </cfRule>
  </conditionalFormatting>
  <conditionalFormatting sqref="P55:S55 U55:AB55 BH55:BN55 AE55:AK55 AV55:BE55">
    <cfRule type="expression" dxfId="5658" priority="200">
      <formula>AND($B55&lt;&gt;"",$B64="")</formula>
    </cfRule>
    <cfRule type="expression" dxfId="5657" priority="201">
      <formula>$B55=""</formula>
    </cfRule>
  </conditionalFormatting>
  <conditionalFormatting sqref="P51:S54 U51:AB54 BH51:BN54 AE51:AK54 AV51:BE54">
    <cfRule type="expression" dxfId="5656" priority="202">
      <formula>AND($B51&lt;&gt;"",#REF!="")</formula>
    </cfRule>
    <cfRule type="expression" dxfId="5655" priority="203">
      <formula>$B51=""</formula>
    </cfRule>
  </conditionalFormatting>
  <conditionalFormatting sqref="J49:P49 U49:AK49 S49 AN49:BN49">
    <cfRule type="expression" dxfId="5654" priority="204">
      <formula>AND($B49&lt;&gt;"",$B64="")</formula>
    </cfRule>
    <cfRule type="expression" dxfId="5653" priority="205">
      <formula>$B49=""</formula>
    </cfRule>
  </conditionalFormatting>
  <conditionalFormatting sqref="P51:S63 U45:AB63 BH45:BN63 AE45:AK63 AV45:BE63 P45:P50 S45:S50">
    <cfRule type="expression" dxfId="5652" priority="206">
      <formula>AND($B45&lt;&gt;"",#REF!="")</formula>
    </cfRule>
    <cfRule type="expression" dxfId="5651" priority="207">
      <formula>$B45=""</formula>
    </cfRule>
  </conditionalFormatting>
  <conditionalFormatting sqref="T16:T63">
    <cfRule type="expression" dxfId="5650" priority="180">
      <formula>AND($B16&lt;&gt;"",$B17="")</formula>
    </cfRule>
    <cfRule type="expression" dxfId="5649" priority="181">
      <formula>$B16=""</formula>
    </cfRule>
  </conditionalFormatting>
  <conditionalFormatting sqref="U13:AB13 AX12:BG12">
    <cfRule type="expression" dxfId="5648" priority="179">
      <formula>COUNTA(U$14:U$63)&gt;0</formula>
    </cfRule>
  </conditionalFormatting>
  <conditionalFormatting sqref="F51:M63 J14:M50">
    <cfRule type="expression" dxfId="5647" priority="158">
      <formula>AND($B14&lt;&gt;"",$B15="")</formula>
    </cfRule>
    <cfRule type="expression" dxfId="5646" priority="159">
      <formula>$B14=""</formula>
    </cfRule>
  </conditionalFormatting>
  <conditionalFormatting sqref="F56:M56">
    <cfRule type="expression" dxfId="5645" priority="160">
      <formula>AND($B56&lt;&gt;"",$B63="")</formula>
    </cfRule>
    <cfRule type="expression" dxfId="5644" priority="161">
      <formula>$B56=""</formula>
    </cfRule>
  </conditionalFormatting>
  <conditionalFormatting sqref="J50:M50">
    <cfRule type="expression" dxfId="5643" priority="162">
      <formula>AND($B50&lt;&gt;"",$B63="")</formula>
    </cfRule>
    <cfRule type="expression" dxfId="5642" priority="163">
      <formula>$B50=""</formula>
    </cfRule>
  </conditionalFormatting>
  <conditionalFormatting sqref="J43:M44">
    <cfRule type="expression" dxfId="5641" priority="164">
      <formula>AND($B43&lt;&gt;"",$B62="")</formula>
    </cfRule>
    <cfRule type="expression" dxfId="5640" priority="165">
      <formula>$B43=""</formula>
    </cfRule>
  </conditionalFormatting>
  <conditionalFormatting sqref="F63:M63">
    <cfRule type="expression" dxfId="5639" priority="166">
      <formula>AND($B63&lt;&gt;"",#REF!="")</formula>
    </cfRule>
    <cfRule type="expression" dxfId="5638" priority="167">
      <formula>$B63=""</formula>
    </cfRule>
  </conditionalFormatting>
  <conditionalFormatting sqref="F61:M61">
    <cfRule type="expression" dxfId="5637" priority="168">
      <formula>AND($B61&lt;&gt;"",$B64="")</formula>
    </cfRule>
    <cfRule type="expression" dxfId="5636" priority="169">
      <formula>$B61=""</formula>
    </cfRule>
  </conditionalFormatting>
  <conditionalFormatting sqref="F57:M60">
    <cfRule type="expression" dxfId="5635" priority="170">
      <formula>AND($B57&lt;&gt;"",#REF!="")</formula>
    </cfRule>
    <cfRule type="expression" dxfId="5634" priority="171">
      <formula>$B57=""</formula>
    </cfRule>
  </conditionalFormatting>
  <conditionalFormatting sqref="F55:M55">
    <cfRule type="expression" dxfId="5633" priority="172">
      <formula>AND($B55&lt;&gt;"",$B64="")</formula>
    </cfRule>
    <cfRule type="expression" dxfId="5632" priority="173">
      <formula>$B55=""</formula>
    </cfRule>
  </conditionalFormatting>
  <conditionalFormatting sqref="F51:M54">
    <cfRule type="expression" dxfId="5631" priority="174">
      <formula>AND($B51&lt;&gt;"",#REF!="")</formula>
    </cfRule>
    <cfRule type="expression" dxfId="5630" priority="175">
      <formula>$B51=""</formula>
    </cfRule>
  </conditionalFormatting>
  <conditionalFormatting sqref="F51:M63 J45:M50">
    <cfRule type="expression" dxfId="5629" priority="176">
      <formula>AND($B45&lt;&gt;"",#REF!="")</formula>
    </cfRule>
    <cfRule type="expression" dxfId="5628" priority="177">
      <formula>$B45=""</formula>
    </cfRule>
  </conditionalFormatting>
  <conditionalFormatting sqref="F13:M13">
    <cfRule type="expression" dxfId="5627" priority="157">
      <formula>COUNTA(F$14:F$63)&gt;0</formula>
    </cfRule>
  </conditionalFormatting>
  <conditionalFormatting sqref="F51:M63 J14:M50">
    <cfRule type="expression" dxfId="5626" priority="178">
      <formula>COUNTIF($U14:$AB14,F14)&gt;1</formula>
    </cfRule>
  </conditionalFormatting>
  <conditionalFormatting sqref="AC14:AD63">
    <cfRule type="expression" dxfId="5625" priority="137">
      <formula>AND($B14&lt;&gt;"",$B15="")</formula>
    </cfRule>
    <cfRule type="expression" dxfId="5624" priority="138">
      <formula>$B14=""</formula>
    </cfRule>
  </conditionalFormatting>
  <conditionalFormatting sqref="AC56:AD56">
    <cfRule type="expression" dxfId="5623" priority="139">
      <formula>AND($B56&lt;&gt;"",$B63="")</formula>
    </cfRule>
    <cfRule type="expression" dxfId="5622" priority="140">
      <formula>$B56=""</formula>
    </cfRule>
  </conditionalFormatting>
  <conditionalFormatting sqref="AC50:AD50">
    <cfRule type="expression" dxfId="5621" priority="141">
      <formula>AND($B50&lt;&gt;"",$B63="")</formula>
    </cfRule>
    <cfRule type="expression" dxfId="5620" priority="142">
      <formula>$B50=""</formula>
    </cfRule>
  </conditionalFormatting>
  <conditionalFormatting sqref="AC43:AD44">
    <cfRule type="expression" dxfId="5619" priority="143">
      <formula>AND($B43&lt;&gt;"",$B62="")</formula>
    </cfRule>
    <cfRule type="expression" dxfId="5618" priority="144">
      <formula>$B43=""</formula>
    </cfRule>
  </conditionalFormatting>
  <conditionalFormatting sqref="AC63:AD63">
    <cfRule type="expression" dxfId="5617" priority="145">
      <formula>AND($B63&lt;&gt;"",#REF!="")</formula>
    </cfRule>
    <cfRule type="expression" dxfId="5616" priority="146">
      <formula>$B63=""</formula>
    </cfRule>
  </conditionalFormatting>
  <conditionalFormatting sqref="AC61:AD61">
    <cfRule type="expression" dxfId="5615" priority="147">
      <formula>AND($B61&lt;&gt;"",$B64="")</formula>
    </cfRule>
    <cfRule type="expression" dxfId="5614" priority="148">
      <formula>$B61=""</formula>
    </cfRule>
  </conditionalFormatting>
  <conditionalFormatting sqref="AC57:AD60">
    <cfRule type="expression" dxfId="5613" priority="149">
      <formula>AND($B57&lt;&gt;"",#REF!="")</formula>
    </cfRule>
    <cfRule type="expression" dxfId="5612" priority="150">
      <formula>$B57=""</formula>
    </cfRule>
  </conditionalFormatting>
  <conditionalFormatting sqref="AC55:AD55">
    <cfRule type="expression" dxfId="5611" priority="151">
      <formula>AND($B55&lt;&gt;"",$B64="")</formula>
    </cfRule>
    <cfRule type="expression" dxfId="5610" priority="152">
      <formula>$B55=""</formula>
    </cfRule>
  </conditionalFormatting>
  <conditionalFormatting sqref="AC51:AD54">
    <cfRule type="expression" dxfId="5609" priority="153">
      <formula>AND($B51&lt;&gt;"",#REF!="")</formula>
    </cfRule>
    <cfRule type="expression" dxfId="5608" priority="154">
      <formula>$B51=""</formula>
    </cfRule>
  </conditionalFormatting>
  <conditionalFormatting sqref="AC45:AD63">
    <cfRule type="expression" dxfId="5607" priority="155">
      <formula>AND($B45&lt;&gt;"",#REF!="")</formula>
    </cfRule>
    <cfRule type="expression" dxfId="5606" priority="156">
      <formula>$B45=""</formula>
    </cfRule>
  </conditionalFormatting>
  <conditionalFormatting sqref="AC13:AD13">
    <cfRule type="expression" dxfId="5605" priority="136">
      <formula>COUNTA(AC$14:AC$63)&gt;0</formula>
    </cfRule>
  </conditionalFormatting>
  <conditionalFormatting sqref="N14:O63">
    <cfRule type="expression" dxfId="5604" priority="115">
      <formula>AND($B14&lt;&gt;"",$B15="")</formula>
    </cfRule>
    <cfRule type="expression" dxfId="5603" priority="116">
      <formula>$B14=""</formula>
    </cfRule>
  </conditionalFormatting>
  <conditionalFormatting sqref="N56:O56">
    <cfRule type="expression" dxfId="5602" priority="117">
      <formula>AND($B56&lt;&gt;"",$B63="")</formula>
    </cfRule>
    <cfRule type="expression" dxfId="5601" priority="118">
      <formula>$B56=""</formula>
    </cfRule>
  </conditionalFormatting>
  <conditionalFormatting sqref="N50:O50">
    <cfRule type="expression" dxfId="5600" priority="119">
      <formula>AND($B50&lt;&gt;"",$B63="")</formula>
    </cfRule>
    <cfRule type="expression" dxfId="5599" priority="120">
      <formula>$B50=""</formula>
    </cfRule>
  </conditionalFormatting>
  <conditionalFormatting sqref="N43:O44">
    <cfRule type="expression" dxfId="5598" priority="121">
      <formula>AND($B43&lt;&gt;"",$B62="")</formula>
    </cfRule>
    <cfRule type="expression" dxfId="5597" priority="122">
      <formula>$B43=""</formula>
    </cfRule>
  </conditionalFormatting>
  <conditionalFormatting sqref="N63:O63">
    <cfRule type="expression" dxfId="5596" priority="123">
      <formula>AND($B63&lt;&gt;"",#REF!="")</formula>
    </cfRule>
    <cfRule type="expression" dxfId="5595" priority="124">
      <formula>$B63=""</formula>
    </cfRule>
  </conditionalFormatting>
  <conditionalFormatting sqref="N61:O61">
    <cfRule type="expression" dxfId="5594" priority="125">
      <formula>AND($B61&lt;&gt;"",$B64="")</formula>
    </cfRule>
    <cfRule type="expression" dxfId="5593" priority="126">
      <formula>$B61=""</formula>
    </cfRule>
  </conditionalFormatting>
  <conditionalFormatting sqref="N57:O60">
    <cfRule type="expression" dxfId="5592" priority="127">
      <formula>AND($B57&lt;&gt;"",#REF!="")</formula>
    </cfRule>
    <cfRule type="expression" dxfId="5591" priority="128">
      <formula>$B57=""</formula>
    </cfRule>
  </conditionalFormatting>
  <conditionalFormatting sqref="N55:O55">
    <cfRule type="expression" dxfId="5590" priority="129">
      <formula>AND($B55&lt;&gt;"",$B64="")</formula>
    </cfRule>
    <cfRule type="expression" dxfId="5589" priority="130">
      <formula>$B55=""</formula>
    </cfRule>
  </conditionalFormatting>
  <conditionalFormatting sqref="N51:O54">
    <cfRule type="expression" dxfId="5588" priority="131">
      <formula>AND($B51&lt;&gt;"",#REF!="")</formula>
    </cfRule>
    <cfRule type="expression" dxfId="5587" priority="132">
      <formula>$B51=""</formula>
    </cfRule>
  </conditionalFormatting>
  <conditionalFormatting sqref="N45:O63">
    <cfRule type="expression" dxfId="5586" priority="133">
      <formula>AND($B45&lt;&gt;"",#REF!="")</formula>
    </cfRule>
    <cfRule type="expression" dxfId="5585" priority="134">
      <formula>$B45=""</formula>
    </cfRule>
  </conditionalFormatting>
  <conditionalFormatting sqref="N13:O13">
    <cfRule type="expression" dxfId="5584" priority="114">
      <formula>COUNTA(N$14:N$63)&gt;0</formula>
    </cfRule>
  </conditionalFormatting>
  <conditionalFormatting sqref="N14:O63">
    <cfRule type="expression" dxfId="5583" priority="135">
      <formula>COUNTIF($U14:$AB14,N14)&gt;1</formula>
    </cfRule>
  </conditionalFormatting>
  <conditionalFormatting sqref="BF14:BG63">
    <cfRule type="expression" dxfId="5582" priority="94">
      <formula>AND($B14&lt;&gt;"",$B15="")</formula>
    </cfRule>
    <cfRule type="expression" dxfId="5581" priority="95">
      <formula>$B14=""</formula>
    </cfRule>
  </conditionalFormatting>
  <conditionalFormatting sqref="BF56:BG56">
    <cfRule type="expression" dxfId="5580" priority="96">
      <formula>AND($B56&lt;&gt;"",$B63="")</formula>
    </cfRule>
    <cfRule type="expression" dxfId="5579" priority="97">
      <formula>$B56=""</formula>
    </cfRule>
  </conditionalFormatting>
  <conditionalFormatting sqref="BF50:BG50">
    <cfRule type="expression" dxfId="5578" priority="98">
      <formula>AND($B50&lt;&gt;"",$B63="")</formula>
    </cfRule>
    <cfRule type="expression" dxfId="5577" priority="99">
      <formula>$B50=""</formula>
    </cfRule>
  </conditionalFormatting>
  <conditionalFormatting sqref="BF43:BG44">
    <cfRule type="expression" dxfId="5576" priority="100">
      <formula>AND($B43&lt;&gt;"",$B62="")</formula>
    </cfRule>
    <cfRule type="expression" dxfId="5575" priority="101">
      <formula>$B43=""</formula>
    </cfRule>
  </conditionalFormatting>
  <conditionalFormatting sqref="BF63:BG63">
    <cfRule type="expression" dxfId="5574" priority="102">
      <formula>AND($B63&lt;&gt;"",#REF!="")</formula>
    </cfRule>
    <cfRule type="expression" dxfId="5573" priority="103">
      <formula>$B63=""</formula>
    </cfRule>
  </conditionalFormatting>
  <conditionalFormatting sqref="BF61:BG61">
    <cfRule type="expression" dxfId="5572" priority="104">
      <formula>AND($B61&lt;&gt;"",$B64="")</formula>
    </cfRule>
    <cfRule type="expression" dxfId="5571" priority="105">
      <formula>$B61=""</formula>
    </cfRule>
  </conditionalFormatting>
  <conditionalFormatting sqref="BF57:BG60">
    <cfRule type="expression" dxfId="5570" priority="106">
      <formula>AND($B57&lt;&gt;"",#REF!="")</formula>
    </cfRule>
    <cfRule type="expression" dxfId="5569" priority="107">
      <formula>$B57=""</formula>
    </cfRule>
  </conditionalFormatting>
  <conditionalFormatting sqref="BF55:BG55">
    <cfRule type="expression" dxfId="5568" priority="108">
      <formula>AND($B55&lt;&gt;"",$B64="")</formula>
    </cfRule>
    <cfRule type="expression" dxfId="5567" priority="109">
      <formula>$B55=""</formula>
    </cfRule>
  </conditionalFormatting>
  <conditionalFormatting sqref="BF51:BG54">
    <cfRule type="expression" dxfId="5566" priority="110">
      <formula>AND($B51&lt;&gt;"",#REF!="")</formula>
    </cfRule>
    <cfRule type="expression" dxfId="5565" priority="111">
      <formula>$B51=""</formula>
    </cfRule>
  </conditionalFormatting>
  <conditionalFormatting sqref="BF45:BG63">
    <cfRule type="expression" dxfId="5564" priority="112">
      <formula>AND($B45&lt;&gt;"",#REF!="")</formula>
    </cfRule>
    <cfRule type="expression" dxfId="5563" priority="113">
      <formula>$B45=""</formula>
    </cfRule>
  </conditionalFormatting>
  <conditionalFormatting sqref="AL51:AS63 AN14:AS50">
    <cfRule type="expression" dxfId="5562" priority="73">
      <formula>AND($B14&lt;&gt;"",$B15="")</formula>
    </cfRule>
    <cfRule type="expression" dxfId="5561" priority="74">
      <formula>$B14=""</formula>
    </cfRule>
  </conditionalFormatting>
  <conditionalFormatting sqref="AL56:AS56">
    <cfRule type="expression" dxfId="5560" priority="75">
      <formula>AND($B56&lt;&gt;"",$B63="")</formula>
    </cfRule>
    <cfRule type="expression" dxfId="5559" priority="76">
      <formula>$B56=""</formula>
    </cfRule>
  </conditionalFormatting>
  <conditionalFormatting sqref="AN50:AS50">
    <cfRule type="expression" dxfId="5558" priority="77">
      <formula>AND($B50&lt;&gt;"",$B63="")</formula>
    </cfRule>
    <cfRule type="expression" dxfId="5557" priority="78">
      <formula>$B50=""</formula>
    </cfRule>
  </conditionalFormatting>
  <conditionalFormatting sqref="AN43:AS44">
    <cfRule type="expression" dxfId="5556" priority="79">
      <formula>AND($B43&lt;&gt;"",$B62="")</formula>
    </cfRule>
    <cfRule type="expression" dxfId="5555" priority="80">
      <formula>$B43=""</formula>
    </cfRule>
  </conditionalFormatting>
  <conditionalFormatting sqref="AL63:AS63">
    <cfRule type="expression" dxfId="5554" priority="81">
      <formula>AND($B63&lt;&gt;"",#REF!="")</formula>
    </cfRule>
    <cfRule type="expression" dxfId="5553" priority="82">
      <formula>$B63=""</formula>
    </cfRule>
  </conditionalFormatting>
  <conditionalFormatting sqref="AL61:AS61">
    <cfRule type="expression" dxfId="5552" priority="83">
      <formula>AND($B61&lt;&gt;"",$B64="")</formula>
    </cfRule>
    <cfRule type="expression" dxfId="5551" priority="84">
      <formula>$B61=""</formula>
    </cfRule>
  </conditionalFormatting>
  <conditionalFormatting sqref="AL57:AS60">
    <cfRule type="expression" dxfId="5550" priority="85">
      <formula>AND($B57&lt;&gt;"",#REF!="")</formula>
    </cfRule>
    <cfRule type="expression" dxfId="5549" priority="86">
      <formula>$B57=""</formula>
    </cfRule>
  </conditionalFormatting>
  <conditionalFormatting sqref="AL55:AS55">
    <cfRule type="expression" dxfId="5548" priority="87">
      <formula>AND($B55&lt;&gt;"",$B64="")</formula>
    </cfRule>
    <cfRule type="expression" dxfId="5547" priority="88">
      <formula>$B55=""</formula>
    </cfRule>
  </conditionalFormatting>
  <conditionalFormatting sqref="AL51:AS54">
    <cfRule type="expression" dxfId="5546" priority="89">
      <formula>AND($B51&lt;&gt;"",#REF!="")</formula>
    </cfRule>
    <cfRule type="expression" dxfId="5545" priority="90">
      <formula>$B51=""</formula>
    </cfRule>
  </conditionalFormatting>
  <conditionalFormatting sqref="AL51:AS63 AN45:AS50">
    <cfRule type="expression" dxfId="5544" priority="91">
      <formula>AND($B45&lt;&gt;"",#REF!="")</formula>
    </cfRule>
    <cfRule type="expression" dxfId="5543" priority="92">
      <formula>$B45=""</formula>
    </cfRule>
  </conditionalFormatting>
  <conditionalFormatting sqref="AL12:AU12">
    <cfRule type="expression" dxfId="5542" priority="72">
      <formula>COUNTA(AL$14:AL$63)&gt;0</formula>
    </cfRule>
  </conditionalFormatting>
  <conditionalFormatting sqref="AT14:AU63">
    <cfRule type="expression" dxfId="5541" priority="52">
      <formula>AND($B14&lt;&gt;"",$B15="")</formula>
    </cfRule>
    <cfRule type="expression" dxfId="5540" priority="53">
      <formula>$B14=""</formula>
    </cfRule>
  </conditionalFormatting>
  <conditionalFormatting sqref="AT56:AU56">
    <cfRule type="expression" dxfId="5539" priority="54">
      <formula>AND($B56&lt;&gt;"",$B63="")</formula>
    </cfRule>
    <cfRule type="expression" dxfId="5538" priority="55">
      <formula>$B56=""</formula>
    </cfRule>
  </conditionalFormatting>
  <conditionalFormatting sqref="AT50:AU50">
    <cfRule type="expression" dxfId="5537" priority="56">
      <formula>AND($B50&lt;&gt;"",$B63="")</formula>
    </cfRule>
    <cfRule type="expression" dxfId="5536" priority="57">
      <formula>$B50=""</formula>
    </cfRule>
  </conditionalFormatting>
  <conditionalFormatting sqref="AT43:AU44">
    <cfRule type="expression" dxfId="5535" priority="58">
      <formula>AND($B43&lt;&gt;"",$B62="")</formula>
    </cfRule>
    <cfRule type="expression" dxfId="5534" priority="59">
      <formula>$B43=""</formula>
    </cfRule>
  </conditionalFormatting>
  <conditionalFormatting sqref="AT63:AU63">
    <cfRule type="expression" dxfId="5533" priority="60">
      <formula>AND($B63&lt;&gt;"",#REF!="")</formula>
    </cfRule>
    <cfRule type="expression" dxfId="5532" priority="61">
      <formula>$B63=""</formula>
    </cfRule>
  </conditionalFormatting>
  <conditionalFormatting sqref="AT61:AU61">
    <cfRule type="expression" dxfId="5531" priority="62">
      <formula>AND($B61&lt;&gt;"",$B64="")</formula>
    </cfRule>
    <cfRule type="expression" dxfId="5530" priority="63">
      <formula>$B61=""</formula>
    </cfRule>
  </conditionalFormatting>
  <conditionalFormatting sqref="AT57:AU60">
    <cfRule type="expression" dxfId="5529" priority="64">
      <formula>AND($B57&lt;&gt;"",#REF!="")</formula>
    </cfRule>
    <cfRule type="expression" dxfId="5528" priority="65">
      <formula>$B57=""</formula>
    </cfRule>
  </conditionalFormatting>
  <conditionalFormatting sqref="AT55:AU55">
    <cfRule type="expression" dxfId="5527" priority="66">
      <formula>AND($B55&lt;&gt;"",$B64="")</formula>
    </cfRule>
    <cfRule type="expression" dxfId="5526" priority="67">
      <formula>$B55=""</formula>
    </cfRule>
  </conditionalFormatting>
  <conditionalFormatting sqref="AT51:AU54">
    <cfRule type="expression" dxfId="5525" priority="68">
      <formula>AND($B51&lt;&gt;"",#REF!="")</formula>
    </cfRule>
    <cfRule type="expression" dxfId="5524" priority="69">
      <formula>$B51=""</formula>
    </cfRule>
  </conditionalFormatting>
  <conditionalFormatting sqref="AT45:AU63">
    <cfRule type="expression" dxfId="5523" priority="70">
      <formula>AND($B45&lt;&gt;"",#REF!="")</formula>
    </cfRule>
    <cfRule type="expression" dxfId="5522" priority="71">
      <formula>$B45=""</formula>
    </cfRule>
  </conditionalFormatting>
  <conditionalFormatting sqref="AL51:AU63 AN14:AU50">
    <cfRule type="expression" dxfId="5521" priority="93">
      <formula>COUNTIF($AX14:$BE14,AL14)&gt;1</formula>
    </cfRule>
  </conditionalFormatting>
  <conditionalFormatting sqref="F61:S63 U61:BN63">
    <cfRule type="expression" dxfId="5520" priority="208">
      <formula>AND($B61&lt;&gt;"",$B65="")</formula>
    </cfRule>
    <cfRule type="expression" dxfId="5519" priority="209">
      <formula>$B61=""</formula>
    </cfRule>
  </conditionalFormatting>
  <conditionalFormatting sqref="F51:S60 U51:BN60 J50:P50 S50 U50:AK50 AN50:BN50">
    <cfRule type="expression" dxfId="5518" priority="210">
      <formula>AND($B50&lt;&gt;"",#REF!="")</formula>
    </cfRule>
    <cfRule type="expression" dxfId="5517" priority="211">
      <formula>$B50=""</formula>
    </cfRule>
  </conditionalFormatting>
  <conditionalFormatting sqref="T2">
    <cfRule type="expression" dxfId="5516" priority="51">
      <formula>COUNTA(F$14:F$63)&gt;0</formula>
    </cfRule>
  </conditionalFormatting>
  <conditionalFormatting sqref="T3">
    <cfRule type="expression" dxfId="5515" priority="212">
      <formula>COUNTA(G$14:G$63)&gt;0</formula>
    </cfRule>
  </conditionalFormatting>
  <conditionalFormatting sqref="T4">
    <cfRule type="expression" dxfId="5514" priority="213">
      <formula>COUNTA(H$14:H$63)&gt;0</formula>
    </cfRule>
  </conditionalFormatting>
  <conditionalFormatting sqref="T5">
    <cfRule type="expression" dxfId="5513" priority="214">
      <formula>COUNTA(I$14:I$63)&gt;0</formula>
    </cfRule>
  </conditionalFormatting>
  <conditionalFormatting sqref="T7">
    <cfRule type="expression" dxfId="5512" priority="50">
      <formula>COUNTA(K$14:K$63)&gt;0</formula>
    </cfRule>
  </conditionalFormatting>
  <conditionalFormatting sqref="T11">
    <cfRule type="expression" dxfId="5511" priority="215">
      <formula>COUNTA(O$14:O$63)&gt;0</formula>
    </cfRule>
  </conditionalFormatting>
  <conditionalFormatting sqref="T10">
    <cfRule type="expression" dxfId="5510" priority="216">
      <formula>COUNTA(N$14:N$63)&gt;0</formula>
    </cfRule>
  </conditionalFormatting>
  <conditionalFormatting sqref="T9">
    <cfRule type="expression" dxfId="5509" priority="217">
      <formula>COUNTA(M$14:M$63)&gt;0</formula>
    </cfRule>
  </conditionalFormatting>
  <conditionalFormatting sqref="T8">
    <cfRule type="expression" dxfId="5508" priority="218">
      <formula>COUNTA(L$14:L$63)&gt;0</formula>
    </cfRule>
  </conditionalFormatting>
  <conditionalFormatting sqref="T6">
    <cfRule type="expression" dxfId="5507" priority="49">
      <formula>COUNTA(J$14:J$63)&gt;0</formula>
    </cfRule>
  </conditionalFormatting>
  <conditionalFormatting sqref="AW2">
    <cfRule type="expression" dxfId="5506" priority="48">
      <formula>COUNTA(AL$14:AL$63)&gt;0</formula>
    </cfRule>
  </conditionalFormatting>
  <conditionalFormatting sqref="AW3">
    <cfRule type="expression" dxfId="5505" priority="47">
      <formula>COUNTA(AM$14:AM$63)&gt;0</formula>
    </cfRule>
  </conditionalFormatting>
  <conditionalFormatting sqref="AW4">
    <cfRule type="expression" dxfId="5504" priority="46">
      <formula>COUNTA(AN$14:AN$63)&gt;0</formula>
    </cfRule>
  </conditionalFormatting>
  <conditionalFormatting sqref="AW5">
    <cfRule type="expression" dxfId="5503" priority="45">
      <formula>COUNTA(AO$14:AO$63)&gt;0</formula>
    </cfRule>
  </conditionalFormatting>
  <conditionalFormatting sqref="AW6">
    <cfRule type="expression" dxfId="5502" priority="44">
      <formula>COUNTA(AP$14:AP$63)&gt;0</formula>
    </cfRule>
  </conditionalFormatting>
  <conditionalFormatting sqref="AW7">
    <cfRule type="expression" dxfId="5501" priority="43">
      <formula>COUNTA(AQ$14:AQ$63)&gt;0</formula>
    </cfRule>
  </conditionalFormatting>
  <conditionalFormatting sqref="AW8">
    <cfRule type="expression" dxfId="5500" priority="42">
      <formula>COUNTA(AR$14:AR$63)&gt;0</formula>
    </cfRule>
  </conditionalFormatting>
  <conditionalFormatting sqref="AW9">
    <cfRule type="expression" dxfId="5499" priority="41">
      <formula>COUNTA(AS$14:AS$63)&gt;0</formula>
    </cfRule>
  </conditionalFormatting>
  <conditionalFormatting sqref="AW10">
    <cfRule type="expression" dxfId="5498" priority="40">
      <formula>COUNTA(AT$14:AT$63)&gt;0</formula>
    </cfRule>
  </conditionalFormatting>
  <conditionalFormatting sqref="AW11">
    <cfRule type="expression" dxfId="5497" priority="39">
      <formula>COUNTA(AU$14:AU$63)&gt;0</formula>
    </cfRule>
  </conditionalFormatting>
  <conditionalFormatting sqref="F49:I49">
    <cfRule type="expression" dxfId="5496" priority="35">
      <formula>AND($B49&lt;&gt;"",$B64="")</formula>
    </cfRule>
    <cfRule type="expression" dxfId="5495" priority="36">
      <formula>$B49=""</formula>
    </cfRule>
  </conditionalFormatting>
  <conditionalFormatting sqref="F14:I50">
    <cfRule type="expression" dxfId="5494" priority="26">
      <formula>AND($B14&lt;&gt;"",$B15="")</formula>
    </cfRule>
    <cfRule type="expression" dxfId="5493" priority="27">
      <formula>$B14=""</formula>
    </cfRule>
  </conditionalFormatting>
  <conditionalFormatting sqref="F50:I50">
    <cfRule type="expression" dxfId="5492" priority="28">
      <formula>AND($B50&lt;&gt;"",$B63="")</formula>
    </cfRule>
    <cfRule type="expression" dxfId="5491" priority="29">
      <formula>$B50=""</formula>
    </cfRule>
  </conditionalFormatting>
  <conditionalFormatting sqref="F43:I44">
    <cfRule type="expression" dxfId="5490" priority="30">
      <formula>AND($B43&lt;&gt;"",$B62="")</formula>
    </cfRule>
    <cfRule type="expression" dxfId="5489" priority="31">
      <formula>$B43=""</formula>
    </cfRule>
  </conditionalFormatting>
  <conditionalFormatting sqref="F45:I50">
    <cfRule type="expression" dxfId="5488" priority="32">
      <formula>AND($B45&lt;&gt;"",#REF!="")</formula>
    </cfRule>
    <cfRule type="expression" dxfId="5487" priority="33">
      <formula>$B45=""</formula>
    </cfRule>
  </conditionalFormatting>
  <conditionalFormatting sqref="F14:I50">
    <cfRule type="expression" dxfId="5486" priority="34">
      <formula>COUNTIF($U14:$AB14,F14)&gt;1</formula>
    </cfRule>
  </conditionalFormatting>
  <conditionalFormatting sqref="F50:I50">
    <cfRule type="expression" dxfId="5485" priority="37">
      <formula>AND($B50&lt;&gt;"",#REF!="")</formula>
    </cfRule>
    <cfRule type="expression" dxfId="5484" priority="38">
      <formula>$B50=""</formula>
    </cfRule>
  </conditionalFormatting>
  <conditionalFormatting sqref="Q14:Q50">
    <cfRule type="expression" dxfId="5483" priority="14">
      <formula>AND($B14&lt;&gt;"",$B15="")</formula>
    </cfRule>
    <cfRule type="expression" dxfId="5482" priority="15">
      <formula>$B14=""</formula>
    </cfRule>
  </conditionalFormatting>
  <conditionalFormatting sqref="Q50">
    <cfRule type="expression" dxfId="5481" priority="16">
      <formula>AND($B50&lt;&gt;"",$B63="")</formula>
    </cfRule>
    <cfRule type="expression" dxfId="5480" priority="17">
      <formula>$B50=""</formula>
    </cfRule>
  </conditionalFormatting>
  <conditionalFormatting sqref="Q43:Q44">
    <cfRule type="expression" dxfId="5479" priority="18">
      <formula>AND($B43&lt;&gt;"",$B62="")</formula>
    </cfRule>
    <cfRule type="expression" dxfId="5478" priority="19">
      <formula>$B43=""</formula>
    </cfRule>
  </conditionalFormatting>
  <conditionalFormatting sqref="Q49">
    <cfRule type="expression" dxfId="5477" priority="20">
      <formula>AND($B49&lt;&gt;"",$B64="")</formula>
    </cfRule>
    <cfRule type="expression" dxfId="5476" priority="21">
      <formula>$B49=""</formula>
    </cfRule>
  </conditionalFormatting>
  <conditionalFormatting sqref="Q45:Q50">
    <cfRule type="expression" dxfId="5475" priority="22">
      <formula>AND($B45&lt;&gt;"",#REF!="")</formula>
    </cfRule>
    <cfRule type="expression" dxfId="5474" priority="23">
      <formula>$B45=""</formula>
    </cfRule>
  </conditionalFormatting>
  <conditionalFormatting sqref="Q50">
    <cfRule type="expression" dxfId="5473" priority="24">
      <formula>AND($B50&lt;&gt;"",#REF!="")</formula>
    </cfRule>
    <cfRule type="expression" dxfId="5472" priority="25">
      <formula>$B50=""</formula>
    </cfRule>
  </conditionalFormatting>
  <conditionalFormatting sqref="AL49:AM49">
    <cfRule type="expression" dxfId="5471" priority="10">
      <formula>AND($B49&lt;&gt;"",$B64="")</formula>
    </cfRule>
    <cfRule type="expression" dxfId="5470" priority="11">
      <formula>$B49=""</formula>
    </cfRule>
  </conditionalFormatting>
  <conditionalFormatting sqref="AL14:AM50">
    <cfRule type="expression" dxfId="5469" priority="1">
      <formula>AND($B14&lt;&gt;"",$B15="")</formula>
    </cfRule>
    <cfRule type="expression" dxfId="5468" priority="2">
      <formula>$B14=""</formula>
    </cfRule>
  </conditionalFormatting>
  <conditionalFormatting sqref="AL50:AM50">
    <cfRule type="expression" dxfId="5467" priority="3">
      <formula>AND($B50&lt;&gt;"",$B63="")</formula>
    </cfRule>
    <cfRule type="expression" dxfId="5466" priority="4">
      <formula>$B50=""</formula>
    </cfRule>
  </conditionalFormatting>
  <conditionalFormatting sqref="AL43:AM44">
    <cfRule type="expression" dxfId="5465" priority="5">
      <formula>AND($B43&lt;&gt;"",$B62="")</formula>
    </cfRule>
    <cfRule type="expression" dxfId="5464" priority="6">
      <formula>$B43=""</formula>
    </cfRule>
  </conditionalFormatting>
  <conditionalFormatting sqref="AL45:AM50">
    <cfRule type="expression" dxfId="5463" priority="7">
      <formula>AND($B45&lt;&gt;"",#REF!="")</formula>
    </cfRule>
    <cfRule type="expression" dxfId="5462" priority="8">
      <formula>$B45=""</formula>
    </cfRule>
  </conditionalFormatting>
  <conditionalFormatting sqref="AL14:AM50">
    <cfRule type="expression" dxfId="5461" priority="9">
      <formula>COUNTIF($AX14:$BE14,AL14)&gt;1</formula>
    </cfRule>
  </conditionalFormatting>
  <conditionalFormatting sqref="AL50:AM50">
    <cfRule type="expression" dxfId="5460" priority="12">
      <formula>AND($B50&lt;&gt;"",#REF!="")</formula>
    </cfRule>
    <cfRule type="expression" dxfId="5459" priority="13">
      <formula>$B50=""</formula>
    </cfRule>
  </conditionalFormatting>
  <dataValidations count="6">
    <dataValidation allowBlank="1" showInputMessage="1" showErrorMessage="1" promptTitle="Tulis Bobot Nilai" prompt="Berupa Nilai Praktik, Portofolio atau Proyek._x000a_Bobot Praktik disarankan lebih tinggi" sqref="AL13:AU13 AX13:BG13"/>
    <dataValidation allowBlank="1" showInputMessage="1" showErrorMessage="1" prompt="Rata-rata Harian" sqref="P12 AV12"/>
    <dataValidation allowBlank="1" showInputMessage="1" showErrorMessage="1" prompt="Bobot Nilai" sqref="P13:R13 BH11 AE12:AF12"/>
    <dataValidation type="whole" allowBlank="1" showInputMessage="1" showErrorMessage="1" errorTitle="Petunjuk" error="Nilai 0-100" sqref="F14:O63 Q14:R63 AL14:AU63">
      <formula1>0</formula1>
      <formula2>100</formula2>
    </dataValidation>
    <dataValidation allowBlank="1" showInputMessage="1" showErrorMessage="1" prompt="KKM" sqref="H69:H70"/>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0866141732283472" right="0.43307086614173229" top="0.27559055118110237" bottom="0.31496062992125984" header="0.31496062992125984" footer="0.23622047244094491"/>
  <pageSetup paperSize="9" orientation="landscape" blackAndWhite="1"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00FF"/>
  </sheetPr>
  <dimension ref="A1:DG97"/>
  <sheetViews>
    <sheetView showGridLines="0" showRowColHeaders="0" workbookViewId="0">
      <pane xSplit="5" ySplit="13" topLeftCell="F44" activePane="bottomRight" state="frozen"/>
      <selection activeCell="AW5" sqref="AW5:BN7"/>
      <selection pane="topRight" activeCell="AW5" sqref="AW5:BN7"/>
      <selection pane="bottomLeft" activeCell="AW5" sqref="AW5:BN7"/>
      <selection pane="bottomRight" activeCell="AL14" sqref="AL14:AP50"/>
    </sheetView>
  </sheetViews>
  <sheetFormatPr defaultColWidth="0" defaultRowHeight="0" customHeight="1"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t="str">
        <f>Data2!C7</f>
        <v>Matematika</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483" t="s">
        <v>1615</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483" t="s">
        <v>1620</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483" t="s">
        <v>1616</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483" t="s">
        <v>1621</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483" t="s">
        <v>1617</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483" t="s">
        <v>1622</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483" t="s">
        <v>1618</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483" t="s">
        <v>1623</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483" t="s">
        <v>1619</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483" t="s">
        <v>1624</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1170</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1297</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1171</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1298</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1172</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1299</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1173</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1300</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1174</v>
      </c>
      <c r="AL11" s="1800"/>
      <c r="AM11" s="1803"/>
      <c r="AN11" s="1803"/>
      <c r="AO11" s="1803"/>
      <c r="AP11" s="1803"/>
      <c r="AQ11" s="1803"/>
      <c r="AR11" s="1803"/>
      <c r="AS11" s="1803"/>
      <c r="AT11" s="1803"/>
      <c r="AU11" s="1804"/>
      <c r="AV11" s="1196">
        <v>10</v>
      </c>
      <c r="AW11" s="1197" t="s">
        <v>929</v>
      </c>
      <c r="AX11" s="1198">
        <f t="shared" ref="AX11:BG11" si="1">IF(COUNT(AX14:AX63)&gt;0,AX13,"")</f>
        <v>1</v>
      </c>
      <c r="AY11" s="1198">
        <f t="shared" si="1"/>
        <v>1</v>
      </c>
      <c r="AZ11" s="1198">
        <f t="shared" si="1"/>
        <v>1</v>
      </c>
      <c r="BA11" s="1198">
        <f t="shared" si="1"/>
        <v>1</v>
      </c>
      <c r="BB11" s="1198">
        <f t="shared" si="1"/>
        <v>1</v>
      </c>
      <c r="BC11" s="1198" t="str">
        <f t="shared" si="1"/>
        <v/>
      </c>
      <c r="BD11" s="1198" t="str">
        <f t="shared" si="1"/>
        <v/>
      </c>
      <c r="BE11" s="1198" t="str">
        <f t="shared" si="1"/>
        <v/>
      </c>
      <c r="BF11" s="1198" t="str">
        <f t="shared" si="1"/>
        <v/>
      </c>
      <c r="BG11" s="1198" t="str">
        <f t="shared" si="1"/>
        <v/>
      </c>
      <c r="BH11" s="1198">
        <f>SUM(AX11:BG11)</f>
        <v>5</v>
      </c>
      <c r="BI11" s="1199"/>
      <c r="BJ11" s="1199"/>
      <c r="BK11" s="1199"/>
      <c r="BL11" s="1199"/>
      <c r="BM11" s="1199"/>
      <c r="BN11" s="1186" t="s">
        <v>1301</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f t="shared" ref="U12:AD12" si="2">IF(COUNT(U14:U63)&gt;0,1,"")</f>
        <v>1</v>
      </c>
      <c r="V12" s="1201">
        <f t="shared" si="2"/>
        <v>1</v>
      </c>
      <c r="W12" s="1201">
        <f t="shared" si="2"/>
        <v>1</v>
      </c>
      <c r="X12" s="1201">
        <f t="shared" si="2"/>
        <v>1</v>
      </c>
      <c r="Y12" s="1201">
        <f t="shared" si="2"/>
        <v>1</v>
      </c>
      <c r="Z12" s="1201" t="str">
        <f t="shared" si="2"/>
        <v/>
      </c>
      <c r="AA12" s="1201" t="str">
        <f t="shared" si="2"/>
        <v/>
      </c>
      <c r="AB12" s="1201" t="str">
        <f t="shared" si="2"/>
        <v/>
      </c>
      <c r="AC12" s="1201" t="str">
        <f t="shared" si="2"/>
        <v/>
      </c>
      <c r="AD12" s="1201" t="str">
        <f t="shared" si="2"/>
        <v/>
      </c>
      <c r="AE12" s="1202">
        <f>SUM(U12:AD12)</f>
        <v>5</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thickBot="1">
      <c r="A14" s="67"/>
      <c r="B14" s="268">
        <v>1</v>
      </c>
      <c r="C14" s="269">
        <f>IF(Data!F5="","",Data!F5)</f>
        <v>0</v>
      </c>
      <c r="D14" s="270" t="str">
        <f>IF(Data!H5="","",Data!H5)</f>
        <v>Aldo Alfinus Pakae</v>
      </c>
      <c r="E14" s="271" t="str">
        <f>IF(Data!I5="","",Data!I5)</f>
        <v>L</v>
      </c>
      <c r="F14" s="276">
        <v>90</v>
      </c>
      <c r="G14" s="277">
        <v>90</v>
      </c>
      <c r="H14" s="277">
        <v>70</v>
      </c>
      <c r="I14" s="277">
        <v>90</v>
      </c>
      <c r="J14" s="277">
        <v>90</v>
      </c>
      <c r="K14" s="277"/>
      <c r="L14" s="277"/>
      <c r="M14" s="280"/>
      <c r="N14" s="277"/>
      <c r="O14" s="278"/>
      <c r="P14" s="279">
        <f t="shared" ref="P14" si="4">IF(COUNT(U14:AD14)&lt;2,"",ROUND(SUM(U14:AD14)/$AE$12,0))</f>
        <v>86</v>
      </c>
      <c r="Q14" s="1480">
        <v>80</v>
      </c>
      <c r="R14" s="1481">
        <v>80</v>
      </c>
      <c r="S14" s="281">
        <f t="shared" ref="S14" si="5">IFERROR(ROUND(((P14*$P$13)+(Q14*$Q$13)+(R14*$R$13))/$AF$12,0),"")</f>
        <v>83</v>
      </c>
      <c r="T14" s="295" t="str">
        <f t="shared" ref="T14" si="6">IF(S14="","",IF(S14&gt;$H$76,$Q$75,IF(S14&gt;$H$77,$Q$76,IF(S14&gt;$H$78,$Q$77,$Q$78))))</f>
        <v>C</v>
      </c>
      <c r="U14" s="1215">
        <f t="shared" ref="U14:AD29" si="7">IF(F14="","",F14+U$13)</f>
        <v>90.01</v>
      </c>
      <c r="V14" s="1216">
        <f t="shared" si="7"/>
        <v>90.02</v>
      </c>
      <c r="W14" s="1216">
        <f t="shared" si="7"/>
        <v>70.03</v>
      </c>
      <c r="X14" s="1216">
        <f t="shared" si="7"/>
        <v>90.04</v>
      </c>
      <c r="Y14" s="1216">
        <f t="shared" si="7"/>
        <v>90.05</v>
      </c>
      <c r="Z14" s="1216" t="str">
        <f t="shared" si="7"/>
        <v/>
      </c>
      <c r="AA14" s="1216" t="str">
        <f t="shared" si="7"/>
        <v/>
      </c>
      <c r="AB14" s="1217" t="str">
        <f t="shared" si="7"/>
        <v/>
      </c>
      <c r="AC14" s="1216" t="str">
        <f t="shared" si="7"/>
        <v/>
      </c>
      <c r="AD14" s="1218" t="str">
        <f t="shared" si="7"/>
        <v/>
      </c>
      <c r="AE14" s="1219">
        <f t="shared" ref="AE14" si="8">MAX(U14:AD14)</f>
        <v>90.05</v>
      </c>
      <c r="AF14" s="282">
        <f t="shared" ref="AF14" si="9">MIN(U14:AD14)</f>
        <v>70.03</v>
      </c>
      <c r="AG14" s="282" t="str">
        <f t="shared" ref="AG14:AH29" si="10">IF(AE14&gt;$H$76,$I$75,IF(AE14&gt;$H$77,$I$76,IF(AE14&gt;$H$78,$I$77,$I$78)))</f>
        <v>baik</v>
      </c>
      <c r="AH14" s="282" t="str">
        <f t="shared" si="10"/>
        <v>perlu dimaksimalkan</v>
      </c>
      <c r="AI14" s="282">
        <f t="shared" ref="AI14" si="11">IFERROR(MATCH(AE14,U14:AD14,0),"")</f>
        <v>5</v>
      </c>
      <c r="AJ14" s="283">
        <f t="shared" ref="AJ14" si="12">IFERROR(MATCH(AF14,U14:AD14,0),"")</f>
        <v>3</v>
      </c>
      <c r="AK14" s="284" t="str">
        <f t="shared" ref="AK14" si="13">IF(S14="","",IFERROR("Memiliki kemampuan "&amp;IF(AG14=AH14,AG14&amp;" dalam "&amp;VLOOKUP(AI14,$S$2:$AK$11,19)&amp;" dan "&amp;VLOOKUP(AJ14,$S$2:$AK$11,19),AG14&amp;" dalam "&amp;VLOOKUP(AI14,$S$2:$AK$11,19)&amp;", "&amp;AH14&amp;" kemampuan dalam "&amp;VLOOKUP(AJ14,$S$2:$AK$11,19)),""))</f>
        <v>Memiliki kemampuan baik dalam Menjelaskan aturan sinus dan cosinus, perlu dimaksimalkan kemampuan dalam Menjelaskan rasio trigonometri (sinus, cosinus, tangen, cosecan, secan, dan cotangen) pada segitiga siku-siku</v>
      </c>
      <c r="AL14" s="276">
        <v>90</v>
      </c>
      <c r="AM14" s="277">
        <v>90</v>
      </c>
      <c r="AN14" s="277">
        <v>70</v>
      </c>
      <c r="AO14" s="277">
        <v>90</v>
      </c>
      <c r="AP14" s="277">
        <v>90</v>
      </c>
      <c r="AQ14" s="277"/>
      <c r="AR14" s="277"/>
      <c r="AS14" s="280"/>
      <c r="AT14" s="277"/>
      <c r="AU14" s="278"/>
      <c r="AV14" s="285">
        <f t="shared" ref="AV14" si="14">IF(COUNT(AL14:AU14)&lt;2,"",ROUND(((AL14*$AX$13)+(AM14*$AY$13)+(AN14*$AZ$13)+(AO14*$BA$13)+(AP14*$BB$13)+(AQ14*$BC$13)+(AR14*$BD$13)+(AS14*$BE$13)+(AT14*$BF$13)+(AU14*$BG$13))/$BH$11,0))</f>
        <v>86</v>
      </c>
      <c r="AW14" s="296" t="str">
        <f t="shared" ref="AW14" si="15">IF(AV14="","",IF(AV14&gt;$AN$76,$AV$75,IF(AV14&gt;$AN$77,$AV$76,IF(AV14&gt;$AN$78,$AV$77,$AV$78))))</f>
        <v>B</v>
      </c>
      <c r="AX14" s="1220">
        <f t="shared" ref="AX14:BG29" si="16">IF(AL14="","",AL14+AX$12)</f>
        <v>90.01</v>
      </c>
      <c r="AY14" s="1221">
        <f t="shared" si="16"/>
        <v>90.02</v>
      </c>
      <c r="AZ14" s="1221">
        <f t="shared" si="16"/>
        <v>70.03</v>
      </c>
      <c r="BA14" s="1221">
        <f t="shared" si="16"/>
        <v>90.04</v>
      </c>
      <c r="BB14" s="1221">
        <f t="shared" si="16"/>
        <v>90.05</v>
      </c>
      <c r="BC14" s="1221" t="str">
        <f t="shared" si="16"/>
        <v/>
      </c>
      <c r="BD14" s="1221" t="str">
        <f t="shared" si="16"/>
        <v/>
      </c>
      <c r="BE14" s="1222" t="str">
        <f t="shared" si="16"/>
        <v/>
      </c>
      <c r="BF14" s="1221" t="str">
        <f t="shared" si="16"/>
        <v/>
      </c>
      <c r="BG14" s="1223" t="str">
        <f t="shared" si="16"/>
        <v/>
      </c>
      <c r="BH14" s="286">
        <f t="shared" ref="BH14" si="17">MAX(AX14:BG14)</f>
        <v>90.05</v>
      </c>
      <c r="BI14" s="286">
        <f t="shared" ref="BI14" si="18">MIN(AX14:BG14)</f>
        <v>70.03</v>
      </c>
      <c r="BJ14" s="287" t="str">
        <f t="shared" ref="BJ14:BK14" si="19">IF(BH14&gt;$H$76,$AO$75,IF(BH14&gt;$H$77,$AO$76,IF(BH14&gt;$H$78,$AO$77,$AO$78)))</f>
        <v>baik</v>
      </c>
      <c r="BK14" s="287" t="str">
        <f t="shared" si="19"/>
        <v>perlu dimaksimalkan</v>
      </c>
      <c r="BL14" s="286">
        <f t="shared" ref="BL14" si="20">MATCH(BH14,AX14:BG14,0)</f>
        <v>5</v>
      </c>
      <c r="BM14" s="288">
        <f t="shared" ref="BM14" si="21">MATCH(BI14,AX14:BG14,0)</f>
        <v>3</v>
      </c>
      <c r="BN14" s="289" t="str">
        <f t="shared" ref="BN14" si="22">IF(AV14="","",IFERROR("Memiliki keterampilan "&amp;IF(BJ14=BK14,BJ14&amp;" dalam "&amp;VLOOKUP(BL14,$AV$2:$BN$11,19)&amp;" dan "&amp;VLOOKUP(BM14,$AV$2:$BN$11,19),BJ14&amp;" dalam "&amp;VLOOKUP(BL14,$AV$2:$BN$11,19)&amp;", "&amp;BK14&amp;" keterampilan dalam "&amp;VLOOKUP(BM14,$AV$2:$BN$11,19)),""))</f>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14" s="67"/>
    </row>
    <row r="15" spans="1:67" ht="33" customHeight="1" thickBot="1">
      <c r="A15" s="67"/>
      <c r="B15" s="272">
        <f>IF(D15="","",B14+1)</f>
        <v>2</v>
      </c>
      <c r="C15" s="273">
        <f>IF(Data!F6="","",Data!F6)</f>
        <v>0</v>
      </c>
      <c r="D15" s="274" t="str">
        <f>IF(Data!H6="","",Data!H6)</f>
        <v>Aprianus Bira</v>
      </c>
      <c r="E15" s="275" t="str">
        <f>IF(Data!I6="","",Data!I6)</f>
        <v>L</v>
      </c>
      <c r="F15" s="276">
        <v>90</v>
      </c>
      <c r="G15" s="277">
        <v>90</v>
      </c>
      <c r="H15" s="277">
        <v>90</v>
      </c>
      <c r="I15" s="277">
        <v>90</v>
      </c>
      <c r="J15" s="277">
        <v>90</v>
      </c>
      <c r="K15" s="277"/>
      <c r="L15" s="277"/>
      <c r="M15" s="280"/>
      <c r="N15" s="277"/>
      <c r="O15" s="278"/>
      <c r="P15" s="279">
        <f>IF(COUNT(U15:AD15)&lt;2,"",ROUND(SUM(U15:AD15)/$AE$12,0))</f>
        <v>90</v>
      </c>
      <c r="Q15" s="1480">
        <v>80</v>
      </c>
      <c r="R15" s="1481">
        <v>80</v>
      </c>
      <c r="S15" s="281">
        <f>IFERROR(ROUND(((P15*$P$13)+(Q15*$Q$13)+(R15*$R$13))/$AF$12,0),"")</f>
        <v>85</v>
      </c>
      <c r="T15" s="295" t="str">
        <f>IF(S15="","",IF(S15&gt;$H$76,$Q$75,IF(S15&gt;$H$77,$Q$76,IF(S15&gt;$H$78,$Q$77,$Q$78))))</f>
        <v>B</v>
      </c>
      <c r="U15" s="1215">
        <f t="shared" si="7"/>
        <v>90.01</v>
      </c>
      <c r="V15" s="1216">
        <f t="shared" si="7"/>
        <v>90.02</v>
      </c>
      <c r="W15" s="1216">
        <f t="shared" si="7"/>
        <v>90.03</v>
      </c>
      <c r="X15" s="1216">
        <f t="shared" si="7"/>
        <v>90.04</v>
      </c>
      <c r="Y15" s="1216">
        <f t="shared" si="7"/>
        <v>90.05</v>
      </c>
      <c r="Z15" s="1216" t="str">
        <f t="shared" si="7"/>
        <v/>
      </c>
      <c r="AA15" s="1216" t="str">
        <f t="shared" si="7"/>
        <v/>
      </c>
      <c r="AB15" s="1217" t="str">
        <f t="shared" si="7"/>
        <v/>
      </c>
      <c r="AC15" s="1216" t="str">
        <f t="shared" si="7"/>
        <v/>
      </c>
      <c r="AD15" s="1218" t="str">
        <f t="shared" si="7"/>
        <v/>
      </c>
      <c r="AE15" s="1219">
        <f>MAX(U15:AD15)</f>
        <v>90.05</v>
      </c>
      <c r="AF15" s="282">
        <f>MIN(U15:AD15)</f>
        <v>90.01</v>
      </c>
      <c r="AG15" s="282" t="str">
        <f>IF(AE15&gt;$H$76,$I$75,IF(AE15&gt;$H$77,$I$76,IF(AE15&gt;$H$78,$I$77,$I$78)))</f>
        <v>baik</v>
      </c>
      <c r="AH15" s="282" t="str">
        <f t="shared" si="10"/>
        <v>baik</v>
      </c>
      <c r="AI15" s="282">
        <f>IFERROR(MATCH(AE15,U15:AD15,0),"")</f>
        <v>5</v>
      </c>
      <c r="AJ15" s="283">
        <f>IFERROR(MATCH(AF15,U15:AD15,0),"")</f>
        <v>1</v>
      </c>
      <c r="AK15" s="284" t="str">
        <f>IF(S15="","",IFERROR("Memiliki kemampuan "&amp;IF(AG15=AH15,AG15&amp;" dalam "&amp;VLOOKUP(AI15,$S$2:$AK$11,19)&amp;" dan "&amp;VLOOKUP(AJ15,$S$2:$AK$11,19),AG15&amp;" dalam "&amp;VLOOKUP(AI15,$S$2:$AK$11,19)&amp;", "&amp;AH15&amp;" kemampuan dalam "&amp;VLOOKUP(AJ15,$S$2:$AK$11,19)),""))</f>
        <v>Memiliki kemampuan baik dalam Menjelaskan aturan sinus dan cosinus dan Menjelaskan dan menentukan fungsi (terutama fungsi linear, fungsi kuadrat, dan fungsi rasional) secara formal yang meliputi notasi, daerah asal, daerah hasil, dan ekspresi simbolik, serta sketsa grafiknya</v>
      </c>
      <c r="AL15" s="276">
        <v>90</v>
      </c>
      <c r="AM15" s="277">
        <v>90</v>
      </c>
      <c r="AN15" s="277">
        <v>90</v>
      </c>
      <c r="AO15" s="277">
        <v>90</v>
      </c>
      <c r="AP15" s="277">
        <v>90</v>
      </c>
      <c r="AQ15" s="277"/>
      <c r="AR15" s="277"/>
      <c r="AS15" s="280"/>
      <c r="AT15" s="277"/>
      <c r="AU15" s="278"/>
      <c r="AV15" s="285">
        <f>IF(COUNT(AL15:AU15)&lt;2,"",ROUND(((AL15*$AX$13)+(AM15*$AY$13)+(AN15*$AZ$13)+(AO15*$BA$13)+(AP15*$BB$13)+(AQ15*$BC$13)+(AR15*$BD$13)+(AS15*$BE$13)+(AT15*$BF$13)+(AU15*$BG$13))/$BH$11,0))</f>
        <v>90</v>
      </c>
      <c r="AW15" s="296" t="str">
        <f>IF(AV15="","",IF(AV15&gt;$AN$76,$AV$75,IF(AV15&gt;$AN$77,$AV$76,IF(AV15&gt;$AN$78,$AV$77,$AV$78))))</f>
        <v>B</v>
      </c>
      <c r="AX15" s="1220">
        <f t="shared" si="16"/>
        <v>90.01</v>
      </c>
      <c r="AY15" s="1221">
        <f t="shared" si="16"/>
        <v>90.02</v>
      </c>
      <c r="AZ15" s="1221">
        <f>IF(AN15="","",AN15+AZ$12)</f>
        <v>90.03</v>
      </c>
      <c r="BA15" s="1221">
        <f t="shared" si="16"/>
        <v>90.04</v>
      </c>
      <c r="BB15" s="1221">
        <f t="shared" si="16"/>
        <v>90.05</v>
      </c>
      <c r="BC15" s="1221" t="str">
        <f t="shared" si="16"/>
        <v/>
      </c>
      <c r="BD15" s="1221" t="str">
        <f t="shared" si="16"/>
        <v/>
      </c>
      <c r="BE15" s="1222" t="str">
        <f t="shared" si="16"/>
        <v/>
      </c>
      <c r="BF15" s="1221" t="str">
        <f t="shared" si="16"/>
        <v/>
      </c>
      <c r="BG15" s="1223" t="str">
        <f t="shared" si="16"/>
        <v/>
      </c>
      <c r="BH15" s="286">
        <f>MAX(AX15:BG15)</f>
        <v>90.05</v>
      </c>
      <c r="BI15" s="286">
        <f>MIN(AX15:BG15)</f>
        <v>90.01</v>
      </c>
      <c r="BJ15" s="287" t="str">
        <f>IF(BH15&gt;$H$76,$AO$75,IF(BH15&gt;$H$77,$AO$76,IF(BH15&gt;$H$78,$AO$77,$AO$78)))</f>
        <v>baik</v>
      </c>
      <c r="BK15" s="287" t="str">
        <f>IF(BI15&gt;$H$76,$AO$75,IF(BI15&gt;$H$77,$AO$76,IF(BI15&gt;$H$78,$AO$77,$AO$78)))</f>
        <v>baik</v>
      </c>
      <c r="BL15" s="286">
        <f>MATCH(BH15,AX15:BG15,0)</f>
        <v>5</v>
      </c>
      <c r="BM15" s="288">
        <f>MATCH(BI15,AX15:BG15,0)</f>
        <v>1</v>
      </c>
      <c r="BN15" s="289" t="str">
        <f>IF(AV15="","",IFERROR("Memiliki keterampilan "&amp;IF(BJ15=BK15,BJ15&amp;" dalam "&amp;VLOOKUP(BL15,$AV$2:$BN$11,19)&amp;" dan "&amp;VLOOKUP(BM15,$AV$2:$BN$11,19),BJ15&amp;" dalam "&amp;VLOOKUP(BL15,$AV$2:$BN$11,19)&amp;", "&amp;BK15&amp;" keterampilan dalam "&amp;VLOOKUP(BM15,$AV$2:$BN$11,19)),""))</f>
        <v>Memiliki keterampilan baik dalam Menganalisa perubahan grafik fungsi trigonometri akibat perubahan pada konstanta pada fungsi y = a sin b(x + c) + d. dan Menganalisa karakteristik masing – masing grafik (titik potong dengan sumbu, titik puncak, asimtot) dan perubahan grafik fungsinya akibat transformasi f2(x), 1/f(x), |f(x)| dsb</v>
      </c>
      <c r="BO15" s="67"/>
    </row>
    <row r="16" spans="1:67" ht="33" customHeight="1" thickBot="1">
      <c r="A16" s="67"/>
      <c r="B16" s="272">
        <f t="shared" ref="B16:B37" si="23">IF(D16="","",B15+1)</f>
        <v>3</v>
      </c>
      <c r="C16" s="273">
        <f>IF(Data!F7="","",Data!F7)</f>
        <v>0</v>
      </c>
      <c r="D16" s="274" t="str">
        <f>IF(Data!H7="","",Data!H7)</f>
        <v>Asri Aldina Baksuni</v>
      </c>
      <c r="E16" s="275" t="str">
        <f>IF(Data!I7="","",Data!I7)</f>
        <v>P</v>
      </c>
      <c r="F16" s="276">
        <v>90</v>
      </c>
      <c r="G16" s="277">
        <v>90</v>
      </c>
      <c r="H16" s="277">
        <v>70</v>
      </c>
      <c r="I16" s="277">
        <v>90</v>
      </c>
      <c r="J16" s="277">
        <v>90</v>
      </c>
      <c r="K16" s="277"/>
      <c r="L16" s="277"/>
      <c r="M16" s="280"/>
      <c r="N16" s="277"/>
      <c r="O16" s="278"/>
      <c r="P16" s="279">
        <f t="shared" ref="P16:P63" si="24">IF(COUNT(U16:AD16)&lt;2,"",ROUND(SUM(U16:AD16)/$AE$12,0))</f>
        <v>86</v>
      </c>
      <c r="Q16" s="1480">
        <v>90</v>
      </c>
      <c r="R16" s="1481">
        <v>80</v>
      </c>
      <c r="S16" s="281">
        <f t="shared" ref="S16:S63" si="25">IFERROR(ROUND(((P16*$P$13)+(Q16*$Q$13)+(R16*$R$13))/$AF$12,0),"")</f>
        <v>86</v>
      </c>
      <c r="T16" s="295" t="str">
        <f t="shared" ref="T16:T63" si="26">IF(S16="","",IF(S16&gt;$H$76,$Q$75,IF(S16&gt;$H$77,$Q$76,IF(S16&gt;$H$78,$Q$77,$Q$78))))</f>
        <v>B</v>
      </c>
      <c r="U16" s="1215">
        <f t="shared" si="7"/>
        <v>90.01</v>
      </c>
      <c r="V16" s="1216">
        <f t="shared" si="7"/>
        <v>90.02</v>
      </c>
      <c r="W16" s="1216">
        <f t="shared" si="7"/>
        <v>70.03</v>
      </c>
      <c r="X16" s="1216">
        <f t="shared" si="7"/>
        <v>90.04</v>
      </c>
      <c r="Y16" s="1216">
        <f t="shared" si="7"/>
        <v>90.05</v>
      </c>
      <c r="Z16" s="1216" t="str">
        <f t="shared" si="7"/>
        <v/>
      </c>
      <c r="AA16" s="1216" t="str">
        <f t="shared" si="7"/>
        <v/>
      </c>
      <c r="AB16" s="1217" t="str">
        <f t="shared" si="7"/>
        <v/>
      </c>
      <c r="AC16" s="1216" t="str">
        <f t="shared" si="7"/>
        <v/>
      </c>
      <c r="AD16" s="1218" t="str">
        <f t="shared" si="7"/>
        <v/>
      </c>
      <c r="AE16" s="1219">
        <f t="shared" ref="AE16:AE63" si="27">MAX(U16:AD16)</f>
        <v>90.05</v>
      </c>
      <c r="AF16" s="282">
        <f t="shared" ref="AF16:AF63" si="28">MIN(U16:AD16)</f>
        <v>70.03</v>
      </c>
      <c r="AG16" s="282" t="str">
        <f t="shared" ref="AG16:AH63" si="29">IF(AE16&gt;$H$76,$I$75,IF(AE16&gt;$H$77,$I$76,IF(AE16&gt;$H$78,$I$77,$I$78)))</f>
        <v>baik</v>
      </c>
      <c r="AH16" s="282" t="str">
        <f t="shared" si="10"/>
        <v>perlu dimaksimalkan</v>
      </c>
      <c r="AI16" s="282">
        <f t="shared" ref="AI16:AI63" si="30">IFERROR(MATCH(AE16,U16:AD16,0),"")</f>
        <v>5</v>
      </c>
      <c r="AJ16" s="283">
        <f t="shared" ref="AJ16:AJ63" si="31">IFERROR(MATCH(AF16,U16:AD16,0),"")</f>
        <v>3</v>
      </c>
      <c r="AK16" s="284" t="str">
        <f t="shared" ref="AK16:AK63" si="32">IF(S16="","",IFERROR("Memiliki kemampuan "&amp;IF(AG16=AH16,AG16&amp;" dalam "&amp;VLOOKUP(AI16,$S$2:$AK$11,19)&amp;" dan "&amp;VLOOKUP(AJ16,$S$2:$AK$11,19),AG16&amp;" dalam "&amp;VLOOKUP(AI16,$S$2:$AK$11,19)&amp;", "&amp;AH16&amp;" kemampuan dalam "&amp;VLOOKUP(AJ16,$S$2:$AK$11,19)),""))</f>
        <v>Memiliki kemampuan baik dalam Menjelaskan aturan sinus dan cosinus, perlu dimaksimalkan kemampuan dalam Menjelaskan rasio trigonometri (sinus, cosinus, tangen, cosecan, secan, dan cotangen) pada segitiga siku-siku</v>
      </c>
      <c r="AL16" s="276">
        <v>90</v>
      </c>
      <c r="AM16" s="277">
        <v>90</v>
      </c>
      <c r="AN16" s="277">
        <v>70</v>
      </c>
      <c r="AO16" s="277">
        <v>90</v>
      </c>
      <c r="AP16" s="277">
        <v>90</v>
      </c>
      <c r="AQ16" s="277"/>
      <c r="AR16" s="277"/>
      <c r="AS16" s="280"/>
      <c r="AT16" s="277"/>
      <c r="AU16" s="278"/>
      <c r="AV16" s="285">
        <f t="shared" ref="AV16:AV63" si="33">IF(COUNT(AL16:AU16)&lt;2,"",ROUND(((AL16*$AX$13)+(AM16*$AY$13)+(AN16*$AZ$13)+(AO16*$BA$13)+(AP16*$BB$13)+(AQ16*$BC$13)+(AR16*$BD$13)+(AS16*$BE$13)+(AT16*$BF$13)+(AU16*$BG$13))/$BH$11,0))</f>
        <v>86</v>
      </c>
      <c r="AW16" s="296" t="str">
        <f t="shared" ref="AW16:AW63" si="34">IF(AV16="","",IF(AV16&gt;$AN$76,$AV$75,IF(AV16&gt;$AN$77,$AV$76,IF(AV16&gt;$AN$78,$AV$77,$AV$78))))</f>
        <v>B</v>
      </c>
      <c r="AX16" s="1220">
        <f t="shared" si="16"/>
        <v>90.01</v>
      </c>
      <c r="AY16" s="1221">
        <f t="shared" si="16"/>
        <v>90.02</v>
      </c>
      <c r="AZ16" s="1221">
        <f t="shared" si="16"/>
        <v>70.03</v>
      </c>
      <c r="BA16" s="1221">
        <f t="shared" si="16"/>
        <v>90.04</v>
      </c>
      <c r="BB16" s="1221">
        <f t="shared" si="16"/>
        <v>90.05</v>
      </c>
      <c r="BC16" s="1221" t="str">
        <f t="shared" si="16"/>
        <v/>
      </c>
      <c r="BD16" s="1221" t="str">
        <f t="shared" si="16"/>
        <v/>
      </c>
      <c r="BE16" s="1222" t="str">
        <f t="shared" si="16"/>
        <v/>
      </c>
      <c r="BF16" s="1221" t="str">
        <f t="shared" si="16"/>
        <v/>
      </c>
      <c r="BG16" s="1223" t="str">
        <f t="shared" si="16"/>
        <v/>
      </c>
      <c r="BH16" s="286">
        <f t="shared" ref="BH16:BH63" si="35">MAX(AX16:BG16)</f>
        <v>90.05</v>
      </c>
      <c r="BI16" s="286">
        <f t="shared" ref="BI16:BI63" si="36">MIN(AX16:BG16)</f>
        <v>70.03</v>
      </c>
      <c r="BJ16" s="287" t="str">
        <f t="shared" ref="BJ16:BK63" si="37">IF(BH16&gt;$H$76,$AO$75,IF(BH16&gt;$H$77,$AO$76,IF(BH16&gt;$H$78,$AO$77,$AO$78)))</f>
        <v>baik</v>
      </c>
      <c r="BK16" s="287" t="str">
        <f t="shared" si="37"/>
        <v>perlu dimaksimalkan</v>
      </c>
      <c r="BL16" s="286">
        <f t="shared" ref="BL16:BL63" si="38">MATCH(BH16,AX16:BG16,0)</f>
        <v>5</v>
      </c>
      <c r="BM16" s="288">
        <f t="shared" ref="BM16:BM63" si="39">MATCH(BI16,AX16:BG16,0)</f>
        <v>3</v>
      </c>
      <c r="BN16" s="289" t="str">
        <f t="shared" ref="BN16:BN63" si="40">IF(AV16="","",IFERROR("Memiliki keterampilan "&amp;IF(BJ16=BK16,BJ16&amp;" dalam "&amp;VLOOKUP(BL16,$AV$2:$BN$11,19)&amp;" dan "&amp;VLOOKUP(BM16,$AV$2:$BN$11,19),BJ16&amp;" dalam "&amp;VLOOKUP(BL16,$AV$2:$BN$11,19)&amp;", "&amp;BK16&amp;" keterampilan dalam "&amp;VLOOKUP(BM16,$AV$2:$BN$11,19)),""))</f>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16" s="67"/>
    </row>
    <row r="17" spans="1:67" ht="33" customHeight="1" thickBot="1">
      <c r="A17" s="67"/>
      <c r="B17" s="272">
        <f t="shared" si="23"/>
        <v>4</v>
      </c>
      <c r="C17" s="273">
        <f>IF(Data!F8="","",Data!F8)</f>
        <v>0</v>
      </c>
      <c r="D17" s="274" t="str">
        <f>IF(Data!H8="","",Data!H8)</f>
        <v>Asti Welmince Welkis</v>
      </c>
      <c r="E17" s="275" t="str">
        <f>IF(Data!I8="","",Data!I8)</f>
        <v>P</v>
      </c>
      <c r="F17" s="276">
        <v>90</v>
      </c>
      <c r="G17" s="277">
        <v>90</v>
      </c>
      <c r="H17" s="277">
        <v>90</v>
      </c>
      <c r="I17" s="277">
        <v>90</v>
      </c>
      <c r="J17" s="277">
        <v>90</v>
      </c>
      <c r="K17" s="277"/>
      <c r="L17" s="277"/>
      <c r="M17" s="280"/>
      <c r="N17" s="277"/>
      <c r="O17" s="278"/>
      <c r="P17" s="279">
        <f t="shared" si="24"/>
        <v>90</v>
      </c>
      <c r="Q17" s="1480">
        <v>80</v>
      </c>
      <c r="R17" s="1481">
        <v>80</v>
      </c>
      <c r="S17" s="281">
        <f t="shared" si="25"/>
        <v>85</v>
      </c>
      <c r="T17" s="295" t="str">
        <f t="shared" si="26"/>
        <v>B</v>
      </c>
      <c r="U17" s="1215">
        <f t="shared" si="7"/>
        <v>90.01</v>
      </c>
      <c r="V17" s="1216">
        <f t="shared" si="7"/>
        <v>90.02</v>
      </c>
      <c r="W17" s="1216">
        <f t="shared" si="7"/>
        <v>90.03</v>
      </c>
      <c r="X17" s="1216">
        <f t="shared" si="7"/>
        <v>90.04</v>
      </c>
      <c r="Y17" s="1216">
        <f t="shared" si="7"/>
        <v>90.05</v>
      </c>
      <c r="Z17" s="1216" t="str">
        <f t="shared" si="7"/>
        <v/>
      </c>
      <c r="AA17" s="1216" t="str">
        <f t="shared" si="7"/>
        <v/>
      </c>
      <c r="AB17" s="1217" t="str">
        <f t="shared" si="7"/>
        <v/>
      </c>
      <c r="AC17" s="1216" t="str">
        <f t="shared" si="7"/>
        <v/>
      </c>
      <c r="AD17" s="1218" t="str">
        <f t="shared" si="7"/>
        <v/>
      </c>
      <c r="AE17" s="1219">
        <f t="shared" si="27"/>
        <v>90.05</v>
      </c>
      <c r="AF17" s="282">
        <f t="shared" si="28"/>
        <v>90.01</v>
      </c>
      <c r="AG17" s="282" t="str">
        <f t="shared" si="29"/>
        <v>baik</v>
      </c>
      <c r="AH17" s="282" t="str">
        <f t="shared" si="10"/>
        <v>baik</v>
      </c>
      <c r="AI17" s="282">
        <f t="shared" si="30"/>
        <v>5</v>
      </c>
      <c r="AJ17" s="283">
        <f t="shared" si="31"/>
        <v>1</v>
      </c>
      <c r="AK17" s="284" t="str">
        <f t="shared" si="32"/>
        <v>Memiliki kemampuan baik dalam Menjelaskan aturan sinus dan cosinus dan Menjelaskan dan menentukan fungsi (terutama fungsi linear, fungsi kuadrat, dan fungsi rasional) secara formal yang meliputi notasi, daerah asal, daerah hasil, dan ekspresi simbolik, serta sketsa grafiknya</v>
      </c>
      <c r="AL17" s="276">
        <v>90</v>
      </c>
      <c r="AM17" s="277">
        <v>90</v>
      </c>
      <c r="AN17" s="277">
        <v>90</v>
      </c>
      <c r="AO17" s="277">
        <v>90</v>
      </c>
      <c r="AP17" s="277">
        <v>90</v>
      </c>
      <c r="AQ17" s="277"/>
      <c r="AR17" s="277"/>
      <c r="AS17" s="280"/>
      <c r="AT17" s="277"/>
      <c r="AU17" s="278"/>
      <c r="AV17" s="285">
        <f t="shared" si="33"/>
        <v>90</v>
      </c>
      <c r="AW17" s="296" t="str">
        <f t="shared" si="34"/>
        <v>B</v>
      </c>
      <c r="AX17" s="1220">
        <f t="shared" si="16"/>
        <v>90.01</v>
      </c>
      <c r="AY17" s="1221">
        <f t="shared" si="16"/>
        <v>90.02</v>
      </c>
      <c r="AZ17" s="1221">
        <f t="shared" si="16"/>
        <v>90.03</v>
      </c>
      <c r="BA17" s="1221">
        <f t="shared" si="16"/>
        <v>90.04</v>
      </c>
      <c r="BB17" s="1221">
        <f t="shared" si="16"/>
        <v>90.05</v>
      </c>
      <c r="BC17" s="1221" t="str">
        <f t="shared" si="16"/>
        <v/>
      </c>
      <c r="BD17" s="1221" t="str">
        <f t="shared" si="16"/>
        <v/>
      </c>
      <c r="BE17" s="1222" t="str">
        <f t="shared" si="16"/>
        <v/>
      </c>
      <c r="BF17" s="1221" t="str">
        <f t="shared" si="16"/>
        <v/>
      </c>
      <c r="BG17" s="1223" t="str">
        <f t="shared" si="16"/>
        <v/>
      </c>
      <c r="BH17" s="286">
        <f t="shared" si="35"/>
        <v>90.05</v>
      </c>
      <c r="BI17" s="286">
        <f t="shared" si="36"/>
        <v>90.01</v>
      </c>
      <c r="BJ17" s="287" t="str">
        <f t="shared" si="37"/>
        <v>baik</v>
      </c>
      <c r="BK17" s="287" t="str">
        <f t="shared" si="37"/>
        <v>baik</v>
      </c>
      <c r="BL17" s="286">
        <f t="shared" si="38"/>
        <v>5</v>
      </c>
      <c r="BM17" s="288">
        <f t="shared" si="39"/>
        <v>1</v>
      </c>
      <c r="BN17" s="289" t="str">
        <f t="shared" si="40"/>
        <v>Memiliki keterampilan baik dalam Menganalisa perubahan grafik fungsi trigonometri akibat perubahan pada konstanta pada fungsi y = a sin b(x + c) + d. dan Menganalisa karakteristik masing – masing grafik (titik potong dengan sumbu, titik puncak, asimtot) dan perubahan grafik fungsinya akibat transformasi f2(x), 1/f(x), |f(x)| dsb</v>
      </c>
      <c r="BO17" s="67"/>
    </row>
    <row r="18" spans="1:67" ht="33" customHeight="1">
      <c r="A18" s="67"/>
      <c r="B18" s="272">
        <f t="shared" si="23"/>
        <v>5</v>
      </c>
      <c r="C18" s="273">
        <f>IF(Data!F9="","",Data!F9)</f>
        <v>0</v>
      </c>
      <c r="D18" s="274" t="str">
        <f>IF(Data!H9="","",Data!H9)</f>
        <v>Aulya Noviyanti Mbura</v>
      </c>
      <c r="E18" s="275" t="str">
        <f>IF(Data!I9="","",Data!I9)</f>
        <v>P</v>
      </c>
      <c r="F18" s="276">
        <v>90</v>
      </c>
      <c r="G18" s="277">
        <v>90</v>
      </c>
      <c r="H18" s="277">
        <v>80</v>
      </c>
      <c r="I18" s="277">
        <v>90</v>
      </c>
      <c r="J18" s="277">
        <v>90</v>
      </c>
      <c r="K18" s="277"/>
      <c r="L18" s="277"/>
      <c r="M18" s="280"/>
      <c r="N18" s="277"/>
      <c r="O18" s="278"/>
      <c r="P18" s="279">
        <f t="shared" si="24"/>
        <v>88</v>
      </c>
      <c r="Q18" s="1480">
        <v>80</v>
      </c>
      <c r="R18" s="1481">
        <v>70</v>
      </c>
      <c r="S18" s="281">
        <f t="shared" si="25"/>
        <v>82</v>
      </c>
      <c r="T18" s="295" t="str">
        <f t="shared" si="26"/>
        <v>C</v>
      </c>
      <c r="U18" s="1215">
        <f t="shared" si="7"/>
        <v>90.01</v>
      </c>
      <c r="V18" s="1216">
        <f t="shared" si="7"/>
        <v>90.02</v>
      </c>
      <c r="W18" s="1216">
        <f t="shared" si="7"/>
        <v>80.03</v>
      </c>
      <c r="X18" s="1216">
        <f t="shared" si="7"/>
        <v>90.04</v>
      </c>
      <c r="Y18" s="1216">
        <f t="shared" si="7"/>
        <v>90.05</v>
      </c>
      <c r="Z18" s="1216" t="str">
        <f t="shared" si="7"/>
        <v/>
      </c>
      <c r="AA18" s="1216" t="str">
        <f t="shared" si="7"/>
        <v/>
      </c>
      <c r="AB18" s="1217" t="str">
        <f t="shared" si="7"/>
        <v/>
      </c>
      <c r="AC18" s="1216" t="str">
        <f t="shared" si="7"/>
        <v/>
      </c>
      <c r="AD18" s="1218" t="str">
        <f t="shared" si="7"/>
        <v/>
      </c>
      <c r="AE18" s="1219">
        <f t="shared" si="27"/>
        <v>90.05</v>
      </c>
      <c r="AF18" s="282">
        <f t="shared" si="28"/>
        <v>80.03</v>
      </c>
      <c r="AG18" s="282" t="str">
        <f t="shared" si="29"/>
        <v>baik</v>
      </c>
      <c r="AH18" s="282" t="str">
        <f t="shared" si="10"/>
        <v>cukup</v>
      </c>
      <c r="AI18" s="282">
        <f t="shared" si="30"/>
        <v>5</v>
      </c>
      <c r="AJ18" s="283">
        <f t="shared" si="31"/>
        <v>3</v>
      </c>
      <c r="AK18" s="284" t="str">
        <f t="shared" si="32"/>
        <v>Memiliki kemampuan baik dalam Menjelaskan aturan sinus dan cosinus, cukup kemampuan dalam Menjelaskan rasio trigonometri (sinus, cosinus, tangen, cosecan, secan, dan cotangen) pada segitiga siku-siku</v>
      </c>
      <c r="AL18" s="276">
        <v>90</v>
      </c>
      <c r="AM18" s="277">
        <v>90</v>
      </c>
      <c r="AN18" s="277">
        <v>80</v>
      </c>
      <c r="AO18" s="277">
        <v>90</v>
      </c>
      <c r="AP18" s="277">
        <v>90</v>
      </c>
      <c r="AQ18" s="277"/>
      <c r="AR18" s="277"/>
      <c r="AS18" s="280"/>
      <c r="AT18" s="277"/>
      <c r="AU18" s="278"/>
      <c r="AV18" s="285">
        <f t="shared" si="33"/>
        <v>88</v>
      </c>
      <c r="AW18" s="296" t="str">
        <f t="shared" si="34"/>
        <v>B</v>
      </c>
      <c r="AX18" s="1220">
        <f t="shared" si="16"/>
        <v>90.01</v>
      </c>
      <c r="AY18" s="1221">
        <f t="shared" si="16"/>
        <v>90.02</v>
      </c>
      <c r="AZ18" s="1221">
        <f t="shared" si="16"/>
        <v>80.03</v>
      </c>
      <c r="BA18" s="1221">
        <f t="shared" si="16"/>
        <v>90.04</v>
      </c>
      <c r="BB18" s="1221">
        <f t="shared" si="16"/>
        <v>90.05</v>
      </c>
      <c r="BC18" s="1221" t="str">
        <f t="shared" si="16"/>
        <v/>
      </c>
      <c r="BD18" s="1221" t="str">
        <f t="shared" si="16"/>
        <v/>
      </c>
      <c r="BE18" s="1222" t="str">
        <f t="shared" si="16"/>
        <v/>
      </c>
      <c r="BF18" s="1221" t="str">
        <f t="shared" si="16"/>
        <v/>
      </c>
      <c r="BG18" s="1223" t="str">
        <f t="shared" si="16"/>
        <v/>
      </c>
      <c r="BH18" s="286">
        <f t="shared" si="35"/>
        <v>90.05</v>
      </c>
      <c r="BI18" s="286">
        <f t="shared" si="36"/>
        <v>80.03</v>
      </c>
      <c r="BJ18" s="287" t="str">
        <f t="shared" si="37"/>
        <v>baik</v>
      </c>
      <c r="BK18" s="287" t="str">
        <f t="shared" si="37"/>
        <v>cukup</v>
      </c>
      <c r="BL18" s="286">
        <f t="shared" si="38"/>
        <v>5</v>
      </c>
      <c r="BM18" s="288">
        <f t="shared" si="39"/>
        <v>3</v>
      </c>
      <c r="BN18" s="289" t="str">
        <f t="shared" si="40"/>
        <v>Memiliki keterampilan baik dalam Menganalisa perubahan grafik fungsi trigonometri akibat perubahan pada konstanta pada fungsi y = a sin b(x + c) + d., cukup keterampilan dalam Menyelesaikan masalah kontekstual yang berkaitan dengan rasio trigonometri (sinus, cosinus, tangen, cosecan, secan, dan cotangen) pada segitiga siku-siku</v>
      </c>
      <c r="BO18" s="67"/>
    </row>
    <row r="19" spans="1:67" ht="33" customHeight="1">
      <c r="A19" s="67"/>
      <c r="B19" s="272">
        <f t="shared" si="23"/>
        <v>6</v>
      </c>
      <c r="C19" s="273">
        <f>IF(Data!F10="","",Data!F10)</f>
        <v>0</v>
      </c>
      <c r="D19" s="274" t="str">
        <f>IF(Data!H10="","",Data!H10)</f>
        <v>Ayu Oliberta Ranboki</v>
      </c>
      <c r="E19" s="275" t="str">
        <f>IF(Data!I10="","",Data!I10)</f>
        <v>P</v>
      </c>
      <c r="F19" s="276">
        <v>90</v>
      </c>
      <c r="G19" s="277">
        <v>90</v>
      </c>
      <c r="H19" s="277">
        <v>70</v>
      </c>
      <c r="I19" s="277">
        <v>90</v>
      </c>
      <c r="J19" s="277">
        <v>90</v>
      </c>
      <c r="K19" s="277"/>
      <c r="L19" s="277"/>
      <c r="M19" s="280"/>
      <c r="N19" s="277"/>
      <c r="O19" s="278"/>
      <c r="P19" s="279">
        <f t="shared" si="24"/>
        <v>86</v>
      </c>
      <c r="Q19" s="277">
        <v>80</v>
      </c>
      <c r="R19" s="280">
        <v>80</v>
      </c>
      <c r="S19" s="281">
        <f t="shared" si="25"/>
        <v>83</v>
      </c>
      <c r="T19" s="295" t="str">
        <f t="shared" si="26"/>
        <v>C</v>
      </c>
      <c r="U19" s="1215">
        <f t="shared" si="7"/>
        <v>90.01</v>
      </c>
      <c r="V19" s="1216">
        <f t="shared" si="7"/>
        <v>90.02</v>
      </c>
      <c r="W19" s="1216">
        <f t="shared" si="7"/>
        <v>70.03</v>
      </c>
      <c r="X19" s="1216">
        <f t="shared" si="7"/>
        <v>90.04</v>
      </c>
      <c r="Y19" s="1216">
        <f t="shared" si="7"/>
        <v>90.05</v>
      </c>
      <c r="Z19" s="1216" t="str">
        <f t="shared" si="7"/>
        <v/>
      </c>
      <c r="AA19" s="1216" t="str">
        <f t="shared" si="7"/>
        <v/>
      </c>
      <c r="AB19" s="1217" t="str">
        <f t="shared" si="7"/>
        <v/>
      </c>
      <c r="AC19" s="1216" t="str">
        <f t="shared" si="7"/>
        <v/>
      </c>
      <c r="AD19" s="1218" t="str">
        <f t="shared" si="7"/>
        <v/>
      </c>
      <c r="AE19" s="1219">
        <f t="shared" si="27"/>
        <v>90.05</v>
      </c>
      <c r="AF19" s="282">
        <f t="shared" si="28"/>
        <v>70.03</v>
      </c>
      <c r="AG19" s="282" t="str">
        <f t="shared" si="29"/>
        <v>baik</v>
      </c>
      <c r="AH19" s="282" t="str">
        <f t="shared" si="10"/>
        <v>perlu dimaksimalkan</v>
      </c>
      <c r="AI19" s="282">
        <f t="shared" si="30"/>
        <v>5</v>
      </c>
      <c r="AJ19" s="283">
        <f t="shared" si="31"/>
        <v>3</v>
      </c>
      <c r="AK19" s="284" t="str">
        <f t="shared" si="32"/>
        <v>Memiliki kemampuan baik dalam Menjelaskan aturan sinus dan cosinus, perlu dimaksimalkan kemampuan dalam Menjelaskan rasio trigonometri (sinus, cosinus, tangen, cosecan, secan, dan cotangen) pada segitiga siku-siku</v>
      </c>
      <c r="AL19" s="276">
        <v>90</v>
      </c>
      <c r="AM19" s="277">
        <v>90</v>
      </c>
      <c r="AN19" s="277">
        <v>70</v>
      </c>
      <c r="AO19" s="277">
        <v>90</v>
      </c>
      <c r="AP19" s="277">
        <v>90</v>
      </c>
      <c r="AQ19" s="277"/>
      <c r="AR19" s="277"/>
      <c r="AS19" s="280"/>
      <c r="AT19" s="277"/>
      <c r="AU19" s="278"/>
      <c r="AV19" s="285">
        <f t="shared" si="33"/>
        <v>86</v>
      </c>
      <c r="AW19" s="296" t="str">
        <f t="shared" si="34"/>
        <v>B</v>
      </c>
      <c r="AX19" s="1220">
        <f t="shared" si="16"/>
        <v>90.01</v>
      </c>
      <c r="AY19" s="1221">
        <f t="shared" si="16"/>
        <v>90.02</v>
      </c>
      <c r="AZ19" s="1221">
        <f t="shared" si="16"/>
        <v>70.03</v>
      </c>
      <c r="BA19" s="1221">
        <f t="shared" si="16"/>
        <v>90.04</v>
      </c>
      <c r="BB19" s="1221">
        <f t="shared" si="16"/>
        <v>90.05</v>
      </c>
      <c r="BC19" s="1221" t="str">
        <f t="shared" si="16"/>
        <v/>
      </c>
      <c r="BD19" s="1221" t="str">
        <f t="shared" si="16"/>
        <v/>
      </c>
      <c r="BE19" s="1222" t="str">
        <f t="shared" si="16"/>
        <v/>
      </c>
      <c r="BF19" s="1221" t="str">
        <f t="shared" si="16"/>
        <v/>
      </c>
      <c r="BG19" s="1223" t="str">
        <f t="shared" si="16"/>
        <v/>
      </c>
      <c r="BH19" s="286">
        <f t="shared" si="35"/>
        <v>90.05</v>
      </c>
      <c r="BI19" s="286">
        <f t="shared" si="36"/>
        <v>70.03</v>
      </c>
      <c r="BJ19" s="287" t="str">
        <f t="shared" si="37"/>
        <v>baik</v>
      </c>
      <c r="BK19" s="287" t="str">
        <f t="shared" si="37"/>
        <v>perlu dimaksimalkan</v>
      </c>
      <c r="BL19" s="286">
        <f t="shared" si="38"/>
        <v>5</v>
      </c>
      <c r="BM19" s="288">
        <f t="shared" si="39"/>
        <v>3</v>
      </c>
      <c r="BN19"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19" s="67"/>
    </row>
    <row r="20" spans="1:67" ht="33" customHeight="1">
      <c r="A20" s="67"/>
      <c r="B20" s="272">
        <f t="shared" si="23"/>
        <v>7</v>
      </c>
      <c r="C20" s="273">
        <f>IF(Data!F11="","",Data!F11)</f>
        <v>0</v>
      </c>
      <c r="D20" s="274" t="str">
        <f>IF(Data!H11="","",Data!H11)</f>
        <v>Benediktus Faot</v>
      </c>
      <c r="E20" s="275" t="str">
        <f>IF(Data!I11="","",Data!I11)</f>
        <v>L</v>
      </c>
      <c r="F20" s="276">
        <v>90</v>
      </c>
      <c r="G20" s="277">
        <v>90</v>
      </c>
      <c r="H20" s="277">
        <v>90</v>
      </c>
      <c r="I20" s="277">
        <v>90</v>
      </c>
      <c r="J20" s="277">
        <v>90</v>
      </c>
      <c r="K20" s="277"/>
      <c r="L20" s="277"/>
      <c r="M20" s="280"/>
      <c r="N20" s="277"/>
      <c r="O20" s="278"/>
      <c r="P20" s="279">
        <f t="shared" si="24"/>
        <v>90</v>
      </c>
      <c r="Q20" s="277">
        <v>80</v>
      </c>
      <c r="R20" s="280">
        <v>75</v>
      </c>
      <c r="S20" s="281">
        <f t="shared" si="25"/>
        <v>84</v>
      </c>
      <c r="T20" s="295" t="str">
        <f t="shared" si="26"/>
        <v>C</v>
      </c>
      <c r="U20" s="1215">
        <f t="shared" si="7"/>
        <v>90.01</v>
      </c>
      <c r="V20" s="1216">
        <f t="shared" si="7"/>
        <v>90.02</v>
      </c>
      <c r="W20" s="1216">
        <f t="shared" si="7"/>
        <v>90.03</v>
      </c>
      <c r="X20" s="1216">
        <f t="shared" si="7"/>
        <v>90.04</v>
      </c>
      <c r="Y20" s="1216">
        <f t="shared" si="7"/>
        <v>90.05</v>
      </c>
      <c r="Z20" s="1216" t="str">
        <f t="shared" si="7"/>
        <v/>
      </c>
      <c r="AA20" s="1216" t="str">
        <f t="shared" si="7"/>
        <v/>
      </c>
      <c r="AB20" s="1217" t="str">
        <f t="shared" si="7"/>
        <v/>
      </c>
      <c r="AC20" s="1216" t="str">
        <f t="shared" si="7"/>
        <v/>
      </c>
      <c r="AD20" s="1218" t="str">
        <f t="shared" si="7"/>
        <v/>
      </c>
      <c r="AE20" s="1219">
        <f t="shared" si="27"/>
        <v>90.05</v>
      </c>
      <c r="AF20" s="282">
        <f t="shared" si="28"/>
        <v>90.01</v>
      </c>
      <c r="AG20" s="282" t="str">
        <f t="shared" si="29"/>
        <v>baik</v>
      </c>
      <c r="AH20" s="282" t="str">
        <f t="shared" si="10"/>
        <v>baik</v>
      </c>
      <c r="AI20" s="282">
        <f t="shared" si="30"/>
        <v>5</v>
      </c>
      <c r="AJ20" s="283">
        <f t="shared" si="31"/>
        <v>1</v>
      </c>
      <c r="AK20" s="284" t="str">
        <f t="shared" si="32"/>
        <v>Memiliki kemampuan baik dalam Menjelaskan aturan sinus dan cosinus dan Menjelaskan dan menentukan fungsi (terutama fungsi linear, fungsi kuadrat, dan fungsi rasional) secara formal yang meliputi notasi, daerah asal, daerah hasil, dan ekspresi simbolik, serta sketsa grafiknya</v>
      </c>
      <c r="AL20" s="276">
        <v>90</v>
      </c>
      <c r="AM20" s="277">
        <v>90</v>
      </c>
      <c r="AN20" s="277">
        <v>90</v>
      </c>
      <c r="AO20" s="277">
        <v>90</v>
      </c>
      <c r="AP20" s="277">
        <v>90</v>
      </c>
      <c r="AQ20" s="277"/>
      <c r="AR20" s="277"/>
      <c r="AS20" s="280"/>
      <c r="AT20" s="277"/>
      <c r="AU20" s="278"/>
      <c r="AV20" s="285">
        <f t="shared" si="33"/>
        <v>90</v>
      </c>
      <c r="AW20" s="296" t="str">
        <f t="shared" si="34"/>
        <v>B</v>
      </c>
      <c r="AX20" s="1220">
        <f t="shared" si="16"/>
        <v>90.01</v>
      </c>
      <c r="AY20" s="1221">
        <f t="shared" si="16"/>
        <v>90.02</v>
      </c>
      <c r="AZ20" s="1221">
        <f t="shared" si="16"/>
        <v>90.03</v>
      </c>
      <c r="BA20" s="1221">
        <f t="shared" si="16"/>
        <v>90.04</v>
      </c>
      <c r="BB20" s="1221">
        <f t="shared" si="16"/>
        <v>90.05</v>
      </c>
      <c r="BC20" s="1221" t="str">
        <f t="shared" si="16"/>
        <v/>
      </c>
      <c r="BD20" s="1221" t="str">
        <f t="shared" si="16"/>
        <v/>
      </c>
      <c r="BE20" s="1222" t="str">
        <f t="shared" si="16"/>
        <v/>
      </c>
      <c r="BF20" s="1221" t="str">
        <f t="shared" si="16"/>
        <v/>
      </c>
      <c r="BG20" s="1223" t="str">
        <f t="shared" si="16"/>
        <v/>
      </c>
      <c r="BH20" s="286">
        <f t="shared" si="35"/>
        <v>90.05</v>
      </c>
      <c r="BI20" s="286">
        <f t="shared" si="36"/>
        <v>90.01</v>
      </c>
      <c r="BJ20" s="287" t="str">
        <f t="shared" si="37"/>
        <v>baik</v>
      </c>
      <c r="BK20" s="287" t="str">
        <f t="shared" si="37"/>
        <v>baik</v>
      </c>
      <c r="BL20" s="286">
        <f t="shared" si="38"/>
        <v>5</v>
      </c>
      <c r="BM20" s="288">
        <f t="shared" si="39"/>
        <v>1</v>
      </c>
      <c r="BN20" s="289" t="str">
        <f t="shared" si="40"/>
        <v>Memiliki keterampilan baik dalam Menganalisa perubahan grafik fungsi trigonometri akibat perubahan pada konstanta pada fungsi y = a sin b(x + c) + d. dan Menganalisa karakteristik masing – masing grafik (titik potong dengan sumbu, titik puncak, asimtot) dan perubahan grafik fungsinya akibat transformasi f2(x), 1/f(x), |f(x)| dsb</v>
      </c>
      <c r="BO20" s="67"/>
    </row>
    <row r="21" spans="1:67" ht="33" customHeight="1">
      <c r="A21" s="67"/>
      <c r="B21" s="272">
        <f t="shared" si="23"/>
        <v>8</v>
      </c>
      <c r="C21" s="273">
        <f>IF(Data!F12="","",Data!F12)</f>
        <v>0</v>
      </c>
      <c r="D21" s="274" t="str">
        <f>IF(Data!H12="","",Data!H12)</f>
        <v>Betron Imanuel Kuni</v>
      </c>
      <c r="E21" s="275" t="str">
        <f>IF(Data!I12="","",Data!I12)</f>
        <v>L</v>
      </c>
      <c r="F21" s="276">
        <v>90</v>
      </c>
      <c r="G21" s="277">
        <v>90</v>
      </c>
      <c r="H21" s="277">
        <v>75</v>
      </c>
      <c r="I21" s="277">
        <v>75</v>
      </c>
      <c r="J21" s="277">
        <v>90</v>
      </c>
      <c r="K21" s="277"/>
      <c r="L21" s="277"/>
      <c r="M21" s="280"/>
      <c r="N21" s="277"/>
      <c r="O21" s="278"/>
      <c r="P21" s="279">
        <f t="shared" si="24"/>
        <v>84</v>
      </c>
      <c r="Q21" s="277">
        <v>70</v>
      </c>
      <c r="R21" s="280">
        <v>70</v>
      </c>
      <c r="S21" s="281">
        <f t="shared" si="25"/>
        <v>77</v>
      </c>
      <c r="T21" s="295" t="str">
        <f t="shared" si="26"/>
        <v>C</v>
      </c>
      <c r="U21" s="1215">
        <f t="shared" si="7"/>
        <v>90.01</v>
      </c>
      <c r="V21" s="1216">
        <f t="shared" si="7"/>
        <v>90.02</v>
      </c>
      <c r="W21" s="1216">
        <f t="shared" si="7"/>
        <v>75.03</v>
      </c>
      <c r="X21" s="1216">
        <f t="shared" si="7"/>
        <v>75.040000000000006</v>
      </c>
      <c r="Y21" s="1216">
        <f t="shared" si="7"/>
        <v>90.05</v>
      </c>
      <c r="Z21" s="1216" t="str">
        <f t="shared" si="7"/>
        <v/>
      </c>
      <c r="AA21" s="1216" t="str">
        <f t="shared" si="7"/>
        <v/>
      </c>
      <c r="AB21" s="1217" t="str">
        <f t="shared" si="7"/>
        <v/>
      </c>
      <c r="AC21" s="1216" t="str">
        <f t="shared" si="7"/>
        <v/>
      </c>
      <c r="AD21" s="1218" t="str">
        <f t="shared" si="7"/>
        <v/>
      </c>
      <c r="AE21" s="1219">
        <f t="shared" si="27"/>
        <v>90.05</v>
      </c>
      <c r="AF21" s="282">
        <f t="shared" si="28"/>
        <v>75.03</v>
      </c>
      <c r="AG21" s="282" t="str">
        <f t="shared" si="29"/>
        <v>baik</v>
      </c>
      <c r="AH21" s="282" t="str">
        <f t="shared" si="10"/>
        <v>perlu dimaksimalkan</v>
      </c>
      <c r="AI21" s="282">
        <f t="shared" si="30"/>
        <v>5</v>
      </c>
      <c r="AJ21" s="283">
        <f t="shared" si="31"/>
        <v>3</v>
      </c>
      <c r="AK21" s="284" t="str">
        <f t="shared" si="32"/>
        <v>Memiliki kemampuan baik dalam Menjelaskan aturan sinus dan cosinus, perlu dimaksimalkan kemampuan dalam Menjelaskan rasio trigonometri (sinus, cosinus, tangen, cosecan, secan, dan cotangen) pada segitiga siku-siku</v>
      </c>
      <c r="AL21" s="276">
        <v>90</v>
      </c>
      <c r="AM21" s="277">
        <v>90</v>
      </c>
      <c r="AN21" s="277">
        <v>75</v>
      </c>
      <c r="AO21" s="277">
        <v>75</v>
      </c>
      <c r="AP21" s="277">
        <v>90</v>
      </c>
      <c r="AQ21" s="277"/>
      <c r="AR21" s="277"/>
      <c r="AS21" s="280"/>
      <c r="AT21" s="277"/>
      <c r="AU21" s="278"/>
      <c r="AV21" s="285">
        <f t="shared" si="33"/>
        <v>84</v>
      </c>
      <c r="AW21" s="296" t="str">
        <f t="shared" si="34"/>
        <v>C</v>
      </c>
      <c r="AX21" s="1220">
        <f t="shared" si="16"/>
        <v>90.01</v>
      </c>
      <c r="AY21" s="1221">
        <f t="shared" si="16"/>
        <v>90.02</v>
      </c>
      <c r="AZ21" s="1221">
        <f t="shared" si="16"/>
        <v>75.03</v>
      </c>
      <c r="BA21" s="1221">
        <f t="shared" si="16"/>
        <v>75.040000000000006</v>
      </c>
      <c r="BB21" s="1221">
        <f t="shared" si="16"/>
        <v>90.05</v>
      </c>
      <c r="BC21" s="1221" t="str">
        <f t="shared" si="16"/>
        <v/>
      </c>
      <c r="BD21" s="1221" t="str">
        <f t="shared" si="16"/>
        <v/>
      </c>
      <c r="BE21" s="1222" t="str">
        <f t="shared" si="16"/>
        <v/>
      </c>
      <c r="BF21" s="1221" t="str">
        <f t="shared" si="16"/>
        <v/>
      </c>
      <c r="BG21" s="1223" t="str">
        <f t="shared" si="16"/>
        <v/>
      </c>
      <c r="BH21" s="286">
        <f t="shared" si="35"/>
        <v>90.05</v>
      </c>
      <c r="BI21" s="286">
        <f t="shared" si="36"/>
        <v>75.03</v>
      </c>
      <c r="BJ21" s="287" t="str">
        <f t="shared" si="37"/>
        <v>baik</v>
      </c>
      <c r="BK21" s="287" t="str">
        <f t="shared" si="37"/>
        <v>perlu dimaksimalkan</v>
      </c>
      <c r="BL21" s="286">
        <f t="shared" si="38"/>
        <v>5</v>
      </c>
      <c r="BM21" s="288">
        <f t="shared" si="39"/>
        <v>3</v>
      </c>
      <c r="BN21"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21" s="67"/>
    </row>
    <row r="22" spans="1:67" ht="33" customHeight="1">
      <c r="A22" s="67"/>
      <c r="B22" s="272">
        <f t="shared" si="23"/>
        <v>9</v>
      </c>
      <c r="C22" s="273">
        <f>IF(Data!F13="","",Data!F13)</f>
        <v>0</v>
      </c>
      <c r="D22" s="274" t="str">
        <f>IF(Data!H13="","",Data!H13)</f>
        <v>Demrianus Ton</v>
      </c>
      <c r="E22" s="275" t="str">
        <f>IF(Data!I13="","",Data!I13)</f>
        <v>L</v>
      </c>
      <c r="F22" s="276">
        <v>0</v>
      </c>
      <c r="G22" s="277">
        <v>0</v>
      </c>
      <c r="H22" s="277">
        <v>0</v>
      </c>
      <c r="I22" s="277">
        <v>0</v>
      </c>
      <c r="J22" s="277">
        <v>0</v>
      </c>
      <c r="K22" s="277"/>
      <c r="L22" s="277"/>
      <c r="M22" s="280"/>
      <c r="N22" s="277"/>
      <c r="O22" s="278"/>
      <c r="P22" s="279">
        <f t="shared" si="24"/>
        <v>0</v>
      </c>
      <c r="Q22" s="277">
        <v>0</v>
      </c>
      <c r="R22" s="280">
        <v>75</v>
      </c>
      <c r="S22" s="281">
        <f t="shared" si="25"/>
        <v>19</v>
      </c>
      <c r="T22" s="295" t="str">
        <f t="shared" si="26"/>
        <v>D</v>
      </c>
      <c r="U22" s="1215">
        <f t="shared" si="7"/>
        <v>0.01</v>
      </c>
      <c r="V22" s="1216">
        <f t="shared" si="7"/>
        <v>0.02</v>
      </c>
      <c r="W22" s="1216">
        <f t="shared" si="7"/>
        <v>0.03</v>
      </c>
      <c r="X22" s="1216">
        <f t="shared" si="7"/>
        <v>0.04</v>
      </c>
      <c r="Y22" s="1216">
        <f t="shared" si="7"/>
        <v>0.05</v>
      </c>
      <c r="Z22" s="1216" t="str">
        <f t="shared" si="7"/>
        <v/>
      </c>
      <c r="AA22" s="1216" t="str">
        <f t="shared" si="7"/>
        <v/>
      </c>
      <c r="AB22" s="1217" t="str">
        <f t="shared" si="7"/>
        <v/>
      </c>
      <c r="AC22" s="1216" t="str">
        <f t="shared" si="7"/>
        <v/>
      </c>
      <c r="AD22" s="1218" t="str">
        <f t="shared" si="7"/>
        <v/>
      </c>
      <c r="AE22" s="1219">
        <f t="shared" si="27"/>
        <v>0.05</v>
      </c>
      <c r="AF22" s="282">
        <f t="shared" si="28"/>
        <v>0.01</v>
      </c>
      <c r="AG22" s="282" t="str">
        <f t="shared" si="29"/>
        <v>perlu dimaksimalkan</v>
      </c>
      <c r="AH22" s="282" t="str">
        <f t="shared" si="10"/>
        <v>perlu dimaksimalkan</v>
      </c>
      <c r="AI22" s="282">
        <f t="shared" si="30"/>
        <v>5</v>
      </c>
      <c r="AJ22" s="283">
        <f t="shared" si="31"/>
        <v>1</v>
      </c>
      <c r="AK22" s="284" t="str">
        <f t="shared" si="32"/>
        <v>Memiliki kemampuan perlu dimaksimalkan dalam Menjelaskan aturan sinus dan cosinus dan Menjelaskan dan menentukan fungsi (terutama fungsi linear, fungsi kuadrat, dan fungsi rasional) secara formal yang meliputi notasi, daerah asal, daerah hasil, dan ekspresi simbolik, serta sketsa grafiknya</v>
      </c>
      <c r="AL22" s="276">
        <v>0</v>
      </c>
      <c r="AM22" s="277">
        <v>0</v>
      </c>
      <c r="AN22" s="277">
        <v>0</v>
      </c>
      <c r="AO22" s="277">
        <v>0</v>
      </c>
      <c r="AP22" s="277">
        <v>0</v>
      </c>
      <c r="AQ22" s="277"/>
      <c r="AR22" s="277"/>
      <c r="AS22" s="280"/>
      <c r="AT22" s="277"/>
      <c r="AU22" s="278"/>
      <c r="AV22" s="285">
        <f t="shared" si="33"/>
        <v>0</v>
      </c>
      <c r="AW22" s="296" t="str">
        <f t="shared" si="34"/>
        <v>D</v>
      </c>
      <c r="AX22" s="1220">
        <f t="shared" si="16"/>
        <v>0.01</v>
      </c>
      <c r="AY22" s="1221">
        <f t="shared" si="16"/>
        <v>0.02</v>
      </c>
      <c r="AZ22" s="1221">
        <f t="shared" si="16"/>
        <v>0.03</v>
      </c>
      <c r="BA22" s="1221">
        <f t="shared" si="16"/>
        <v>0.04</v>
      </c>
      <c r="BB22" s="1221">
        <f t="shared" si="16"/>
        <v>0.05</v>
      </c>
      <c r="BC22" s="1221" t="str">
        <f t="shared" si="16"/>
        <v/>
      </c>
      <c r="BD22" s="1221" t="str">
        <f t="shared" si="16"/>
        <v/>
      </c>
      <c r="BE22" s="1222" t="str">
        <f t="shared" si="16"/>
        <v/>
      </c>
      <c r="BF22" s="1221" t="str">
        <f t="shared" si="16"/>
        <v/>
      </c>
      <c r="BG22" s="1223" t="str">
        <f t="shared" si="16"/>
        <v/>
      </c>
      <c r="BH22" s="286">
        <f t="shared" si="35"/>
        <v>0.05</v>
      </c>
      <c r="BI22" s="286">
        <f t="shared" si="36"/>
        <v>0.01</v>
      </c>
      <c r="BJ22" s="287" t="str">
        <f t="shared" si="37"/>
        <v>perlu dimaksimalkan</v>
      </c>
      <c r="BK22" s="287" t="str">
        <f t="shared" si="37"/>
        <v>perlu dimaksimalkan</v>
      </c>
      <c r="BL22" s="286">
        <f t="shared" si="38"/>
        <v>5</v>
      </c>
      <c r="BM22" s="288">
        <f t="shared" si="39"/>
        <v>1</v>
      </c>
      <c r="BN22" s="289" t="str">
        <f t="shared" si="40"/>
        <v>Memiliki keterampilan perlu dimaksimalkan dalam Menganalisa perubahan grafik fungsi trigonometri akibat perubahan pada konstanta pada fungsi y = a sin b(x + c) + d. dan Menganalisa karakteristik masing – masing grafik (titik potong dengan sumbu, titik puncak, asimtot) dan perubahan grafik fungsinya akibat transformasi f2(x), 1/f(x), |f(x)| dsb</v>
      </c>
      <c r="BO22" s="67"/>
    </row>
    <row r="23" spans="1:67" ht="33" customHeight="1">
      <c r="A23" s="67"/>
      <c r="B23" s="272">
        <f t="shared" si="23"/>
        <v>10</v>
      </c>
      <c r="C23" s="273">
        <f>IF(Data!F14="","",Data!F14)</f>
        <v>0</v>
      </c>
      <c r="D23" s="274" t="str">
        <f>IF(Data!H14="","",Data!H14)</f>
        <v>Desti Manggoa</v>
      </c>
      <c r="E23" s="275" t="str">
        <f>IF(Data!I14="","",Data!I14)</f>
        <v>P</v>
      </c>
      <c r="F23" s="276">
        <v>90</v>
      </c>
      <c r="G23" s="277">
        <v>90</v>
      </c>
      <c r="H23" s="277">
        <v>75</v>
      </c>
      <c r="I23" s="277">
        <v>75</v>
      </c>
      <c r="J23" s="277">
        <v>90</v>
      </c>
      <c r="K23" s="277"/>
      <c r="L23" s="277"/>
      <c r="M23" s="280"/>
      <c r="N23" s="277"/>
      <c r="O23" s="278"/>
      <c r="P23" s="279">
        <f t="shared" si="24"/>
        <v>84</v>
      </c>
      <c r="Q23" s="277">
        <v>70</v>
      </c>
      <c r="R23" s="280">
        <v>75</v>
      </c>
      <c r="S23" s="281">
        <f t="shared" si="25"/>
        <v>78</v>
      </c>
      <c r="T23" s="295" t="str">
        <f t="shared" si="26"/>
        <v>C</v>
      </c>
      <c r="U23" s="1215">
        <f t="shared" si="7"/>
        <v>90.01</v>
      </c>
      <c r="V23" s="1216">
        <f t="shared" si="7"/>
        <v>90.02</v>
      </c>
      <c r="W23" s="1216">
        <f t="shared" si="7"/>
        <v>75.03</v>
      </c>
      <c r="X23" s="1216">
        <f t="shared" si="7"/>
        <v>75.040000000000006</v>
      </c>
      <c r="Y23" s="1216">
        <f t="shared" si="7"/>
        <v>90.05</v>
      </c>
      <c r="Z23" s="1216" t="str">
        <f t="shared" si="7"/>
        <v/>
      </c>
      <c r="AA23" s="1216" t="str">
        <f t="shared" si="7"/>
        <v/>
      </c>
      <c r="AB23" s="1217" t="str">
        <f t="shared" si="7"/>
        <v/>
      </c>
      <c r="AC23" s="1216" t="str">
        <f t="shared" si="7"/>
        <v/>
      </c>
      <c r="AD23" s="1218" t="str">
        <f t="shared" si="7"/>
        <v/>
      </c>
      <c r="AE23" s="1219">
        <f t="shared" si="27"/>
        <v>90.05</v>
      </c>
      <c r="AF23" s="282">
        <f t="shared" si="28"/>
        <v>75.03</v>
      </c>
      <c r="AG23" s="282" t="str">
        <f t="shared" si="29"/>
        <v>baik</v>
      </c>
      <c r="AH23" s="282" t="str">
        <f t="shared" si="10"/>
        <v>perlu dimaksimalkan</v>
      </c>
      <c r="AI23" s="282">
        <f t="shared" si="30"/>
        <v>5</v>
      </c>
      <c r="AJ23" s="283">
        <f t="shared" si="31"/>
        <v>3</v>
      </c>
      <c r="AK23" s="284" t="str">
        <f t="shared" si="32"/>
        <v>Memiliki kemampuan baik dalam Menjelaskan aturan sinus dan cosinus, perlu dimaksimalkan kemampuan dalam Menjelaskan rasio trigonometri (sinus, cosinus, tangen, cosecan, secan, dan cotangen) pada segitiga siku-siku</v>
      </c>
      <c r="AL23" s="276">
        <v>90</v>
      </c>
      <c r="AM23" s="277">
        <v>90</v>
      </c>
      <c r="AN23" s="277">
        <v>75</v>
      </c>
      <c r="AO23" s="277">
        <v>75</v>
      </c>
      <c r="AP23" s="277">
        <v>90</v>
      </c>
      <c r="AQ23" s="277"/>
      <c r="AR23" s="277"/>
      <c r="AS23" s="280"/>
      <c r="AT23" s="277"/>
      <c r="AU23" s="278"/>
      <c r="AV23" s="285">
        <f t="shared" si="33"/>
        <v>84</v>
      </c>
      <c r="AW23" s="296" t="str">
        <f t="shared" si="34"/>
        <v>C</v>
      </c>
      <c r="AX23" s="1220">
        <f t="shared" si="16"/>
        <v>90.01</v>
      </c>
      <c r="AY23" s="1221">
        <f t="shared" si="16"/>
        <v>90.02</v>
      </c>
      <c r="AZ23" s="1221">
        <f t="shared" si="16"/>
        <v>75.03</v>
      </c>
      <c r="BA23" s="1221">
        <f t="shared" si="16"/>
        <v>75.040000000000006</v>
      </c>
      <c r="BB23" s="1221">
        <f t="shared" si="16"/>
        <v>90.05</v>
      </c>
      <c r="BC23" s="1221" t="str">
        <f t="shared" si="16"/>
        <v/>
      </c>
      <c r="BD23" s="1221" t="str">
        <f t="shared" si="16"/>
        <v/>
      </c>
      <c r="BE23" s="1222" t="str">
        <f t="shared" si="16"/>
        <v/>
      </c>
      <c r="BF23" s="1221" t="str">
        <f t="shared" si="16"/>
        <v/>
      </c>
      <c r="BG23" s="1223" t="str">
        <f t="shared" si="16"/>
        <v/>
      </c>
      <c r="BH23" s="286">
        <f t="shared" si="35"/>
        <v>90.05</v>
      </c>
      <c r="BI23" s="286">
        <f t="shared" si="36"/>
        <v>75.03</v>
      </c>
      <c r="BJ23" s="287" t="str">
        <f t="shared" si="37"/>
        <v>baik</v>
      </c>
      <c r="BK23" s="287" t="str">
        <f t="shared" si="37"/>
        <v>perlu dimaksimalkan</v>
      </c>
      <c r="BL23" s="286">
        <f t="shared" si="38"/>
        <v>5</v>
      </c>
      <c r="BM23" s="288">
        <f t="shared" si="39"/>
        <v>3</v>
      </c>
      <c r="BN23"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23" s="67"/>
    </row>
    <row r="24" spans="1:67" ht="33" customHeight="1">
      <c r="A24" s="67"/>
      <c r="B24" s="272">
        <f t="shared" si="23"/>
        <v>11</v>
      </c>
      <c r="C24" s="273">
        <f>IF(Data!F15="","",Data!F15)</f>
        <v>0</v>
      </c>
      <c r="D24" s="274" t="str">
        <f>IF(Data!H15="","",Data!H15)</f>
        <v>Dorkas Meliana Talita Kesnay</v>
      </c>
      <c r="E24" s="275" t="str">
        <f>IF(Data!I15="","",Data!I15)</f>
        <v>P</v>
      </c>
      <c r="F24" s="276">
        <v>90</v>
      </c>
      <c r="G24" s="277">
        <v>90</v>
      </c>
      <c r="H24" s="277">
        <v>70</v>
      </c>
      <c r="I24" s="277">
        <v>90</v>
      </c>
      <c r="J24" s="277">
        <v>90</v>
      </c>
      <c r="K24" s="277"/>
      <c r="L24" s="277"/>
      <c r="M24" s="280"/>
      <c r="N24" s="277"/>
      <c r="O24" s="278"/>
      <c r="P24" s="279">
        <f t="shared" si="24"/>
        <v>86</v>
      </c>
      <c r="Q24" s="277">
        <v>80</v>
      </c>
      <c r="R24" s="280">
        <v>80</v>
      </c>
      <c r="S24" s="281">
        <f t="shared" si="25"/>
        <v>83</v>
      </c>
      <c r="T24" s="295" t="str">
        <f t="shared" si="26"/>
        <v>C</v>
      </c>
      <c r="U24" s="1215">
        <f t="shared" si="7"/>
        <v>90.01</v>
      </c>
      <c r="V24" s="1216">
        <f t="shared" si="7"/>
        <v>90.02</v>
      </c>
      <c r="W24" s="1216">
        <f t="shared" si="7"/>
        <v>70.03</v>
      </c>
      <c r="X24" s="1216">
        <f t="shared" si="7"/>
        <v>90.04</v>
      </c>
      <c r="Y24" s="1216">
        <f t="shared" si="7"/>
        <v>90.05</v>
      </c>
      <c r="Z24" s="1216" t="str">
        <f t="shared" si="7"/>
        <v/>
      </c>
      <c r="AA24" s="1216" t="str">
        <f t="shared" si="7"/>
        <v/>
      </c>
      <c r="AB24" s="1217" t="str">
        <f t="shared" si="7"/>
        <v/>
      </c>
      <c r="AC24" s="1216" t="str">
        <f t="shared" si="7"/>
        <v/>
      </c>
      <c r="AD24" s="1218" t="str">
        <f t="shared" si="7"/>
        <v/>
      </c>
      <c r="AE24" s="1219">
        <f t="shared" si="27"/>
        <v>90.05</v>
      </c>
      <c r="AF24" s="282">
        <f t="shared" si="28"/>
        <v>70.03</v>
      </c>
      <c r="AG24" s="282" t="str">
        <f t="shared" si="29"/>
        <v>baik</v>
      </c>
      <c r="AH24" s="282" t="str">
        <f t="shared" si="10"/>
        <v>perlu dimaksimalkan</v>
      </c>
      <c r="AI24" s="282">
        <f t="shared" si="30"/>
        <v>5</v>
      </c>
      <c r="AJ24" s="283">
        <f t="shared" si="31"/>
        <v>3</v>
      </c>
      <c r="AK24" s="284" t="str">
        <f t="shared" si="32"/>
        <v>Memiliki kemampuan baik dalam Menjelaskan aturan sinus dan cosinus, perlu dimaksimalkan kemampuan dalam Menjelaskan rasio trigonometri (sinus, cosinus, tangen, cosecan, secan, dan cotangen) pada segitiga siku-siku</v>
      </c>
      <c r="AL24" s="276">
        <v>90</v>
      </c>
      <c r="AM24" s="277">
        <v>90</v>
      </c>
      <c r="AN24" s="277">
        <v>70</v>
      </c>
      <c r="AO24" s="277">
        <v>90</v>
      </c>
      <c r="AP24" s="277">
        <v>90</v>
      </c>
      <c r="AQ24" s="277"/>
      <c r="AR24" s="277"/>
      <c r="AS24" s="280"/>
      <c r="AT24" s="277"/>
      <c r="AU24" s="278"/>
      <c r="AV24" s="285">
        <f t="shared" si="33"/>
        <v>86</v>
      </c>
      <c r="AW24" s="296" t="str">
        <f t="shared" si="34"/>
        <v>B</v>
      </c>
      <c r="AX24" s="1220">
        <f t="shared" si="16"/>
        <v>90.01</v>
      </c>
      <c r="AY24" s="1221">
        <f t="shared" si="16"/>
        <v>90.02</v>
      </c>
      <c r="AZ24" s="1221">
        <f t="shared" si="16"/>
        <v>70.03</v>
      </c>
      <c r="BA24" s="1221">
        <f t="shared" si="16"/>
        <v>90.04</v>
      </c>
      <c r="BB24" s="1221">
        <f t="shared" si="16"/>
        <v>90.05</v>
      </c>
      <c r="BC24" s="1221" t="str">
        <f t="shared" si="16"/>
        <v/>
      </c>
      <c r="BD24" s="1221" t="str">
        <f t="shared" si="16"/>
        <v/>
      </c>
      <c r="BE24" s="1222" t="str">
        <f t="shared" si="16"/>
        <v/>
      </c>
      <c r="BF24" s="1221" t="str">
        <f t="shared" si="16"/>
        <v/>
      </c>
      <c r="BG24" s="1223" t="str">
        <f t="shared" si="16"/>
        <v/>
      </c>
      <c r="BH24" s="286">
        <f t="shared" si="35"/>
        <v>90.05</v>
      </c>
      <c r="BI24" s="286">
        <f t="shared" si="36"/>
        <v>70.03</v>
      </c>
      <c r="BJ24" s="287" t="str">
        <f t="shared" si="37"/>
        <v>baik</v>
      </c>
      <c r="BK24" s="287" t="str">
        <f t="shared" si="37"/>
        <v>perlu dimaksimalkan</v>
      </c>
      <c r="BL24" s="286">
        <f t="shared" si="38"/>
        <v>5</v>
      </c>
      <c r="BM24" s="288">
        <f t="shared" si="39"/>
        <v>3</v>
      </c>
      <c r="BN24"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24" s="67"/>
    </row>
    <row r="25" spans="1:67" ht="33" customHeight="1">
      <c r="A25" s="67"/>
      <c r="B25" s="272">
        <f t="shared" si="23"/>
        <v>12</v>
      </c>
      <c r="C25" s="273">
        <f>IF(Data!F16="","",Data!F16)</f>
        <v>0</v>
      </c>
      <c r="D25" s="274" t="str">
        <f>IF(Data!H16="","",Data!H16)</f>
        <v>Erto Seprianto Leukune</v>
      </c>
      <c r="E25" s="275" t="str">
        <f>IF(Data!I16="","",Data!I16)</f>
        <v>L</v>
      </c>
      <c r="F25" s="276">
        <v>90</v>
      </c>
      <c r="G25" s="277">
        <v>90</v>
      </c>
      <c r="H25" s="277">
        <v>70</v>
      </c>
      <c r="I25" s="277">
        <v>90</v>
      </c>
      <c r="J25" s="277">
        <v>90</v>
      </c>
      <c r="K25" s="277"/>
      <c r="L25" s="277"/>
      <c r="M25" s="280"/>
      <c r="N25" s="277"/>
      <c r="O25" s="278"/>
      <c r="P25" s="279">
        <f t="shared" si="24"/>
        <v>86</v>
      </c>
      <c r="Q25" s="277">
        <v>80</v>
      </c>
      <c r="R25" s="280">
        <v>80</v>
      </c>
      <c r="S25" s="281">
        <f t="shared" si="25"/>
        <v>83</v>
      </c>
      <c r="T25" s="295" t="str">
        <f t="shared" si="26"/>
        <v>C</v>
      </c>
      <c r="U25" s="1215">
        <f t="shared" si="7"/>
        <v>90.01</v>
      </c>
      <c r="V25" s="1216">
        <f t="shared" si="7"/>
        <v>90.02</v>
      </c>
      <c r="W25" s="1216">
        <f t="shared" si="7"/>
        <v>70.03</v>
      </c>
      <c r="X25" s="1216">
        <f t="shared" si="7"/>
        <v>90.04</v>
      </c>
      <c r="Y25" s="1216">
        <f t="shared" si="7"/>
        <v>90.05</v>
      </c>
      <c r="Z25" s="1216" t="str">
        <f t="shared" si="7"/>
        <v/>
      </c>
      <c r="AA25" s="1216" t="str">
        <f t="shared" si="7"/>
        <v/>
      </c>
      <c r="AB25" s="1217" t="str">
        <f t="shared" si="7"/>
        <v/>
      </c>
      <c r="AC25" s="1216" t="str">
        <f t="shared" si="7"/>
        <v/>
      </c>
      <c r="AD25" s="1218" t="str">
        <f t="shared" si="7"/>
        <v/>
      </c>
      <c r="AE25" s="1219">
        <f t="shared" si="27"/>
        <v>90.05</v>
      </c>
      <c r="AF25" s="282">
        <f t="shared" si="28"/>
        <v>70.03</v>
      </c>
      <c r="AG25" s="282" t="str">
        <f t="shared" si="29"/>
        <v>baik</v>
      </c>
      <c r="AH25" s="282" t="str">
        <f t="shared" si="10"/>
        <v>perlu dimaksimalkan</v>
      </c>
      <c r="AI25" s="282">
        <f t="shared" si="30"/>
        <v>5</v>
      </c>
      <c r="AJ25" s="283">
        <f t="shared" si="31"/>
        <v>3</v>
      </c>
      <c r="AK25" s="284" t="str">
        <f t="shared" si="32"/>
        <v>Memiliki kemampuan baik dalam Menjelaskan aturan sinus dan cosinus, perlu dimaksimalkan kemampuan dalam Menjelaskan rasio trigonometri (sinus, cosinus, tangen, cosecan, secan, dan cotangen) pada segitiga siku-siku</v>
      </c>
      <c r="AL25" s="276">
        <v>90</v>
      </c>
      <c r="AM25" s="277">
        <v>90</v>
      </c>
      <c r="AN25" s="277">
        <v>70</v>
      </c>
      <c r="AO25" s="277">
        <v>90</v>
      </c>
      <c r="AP25" s="277">
        <v>90</v>
      </c>
      <c r="AQ25" s="277"/>
      <c r="AR25" s="277"/>
      <c r="AS25" s="280"/>
      <c r="AT25" s="277"/>
      <c r="AU25" s="278"/>
      <c r="AV25" s="285">
        <f t="shared" si="33"/>
        <v>86</v>
      </c>
      <c r="AW25" s="296" t="str">
        <f t="shared" si="34"/>
        <v>B</v>
      </c>
      <c r="AX25" s="1220">
        <f t="shared" si="16"/>
        <v>90.01</v>
      </c>
      <c r="AY25" s="1221">
        <f t="shared" si="16"/>
        <v>90.02</v>
      </c>
      <c r="AZ25" s="1221">
        <f t="shared" si="16"/>
        <v>70.03</v>
      </c>
      <c r="BA25" s="1221">
        <f t="shared" si="16"/>
        <v>90.04</v>
      </c>
      <c r="BB25" s="1221">
        <f t="shared" si="16"/>
        <v>90.05</v>
      </c>
      <c r="BC25" s="1221" t="str">
        <f t="shared" si="16"/>
        <v/>
      </c>
      <c r="BD25" s="1221" t="str">
        <f t="shared" si="16"/>
        <v/>
      </c>
      <c r="BE25" s="1222" t="str">
        <f t="shared" si="16"/>
        <v/>
      </c>
      <c r="BF25" s="1221" t="str">
        <f t="shared" si="16"/>
        <v/>
      </c>
      <c r="BG25" s="1223" t="str">
        <f t="shared" si="16"/>
        <v/>
      </c>
      <c r="BH25" s="286">
        <f t="shared" si="35"/>
        <v>90.05</v>
      </c>
      <c r="BI25" s="286">
        <f t="shared" si="36"/>
        <v>70.03</v>
      </c>
      <c r="BJ25" s="287" t="str">
        <f t="shared" si="37"/>
        <v>baik</v>
      </c>
      <c r="BK25" s="287" t="str">
        <f t="shared" si="37"/>
        <v>perlu dimaksimalkan</v>
      </c>
      <c r="BL25" s="286">
        <f t="shared" si="38"/>
        <v>5</v>
      </c>
      <c r="BM25" s="288">
        <f t="shared" si="39"/>
        <v>3</v>
      </c>
      <c r="BN25"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25" s="67"/>
    </row>
    <row r="26" spans="1:67" ht="33" customHeight="1">
      <c r="A26" s="67"/>
      <c r="B26" s="272">
        <f t="shared" si="23"/>
        <v>13</v>
      </c>
      <c r="C26" s="273">
        <f>IF(Data!F17="","",Data!F17)</f>
        <v>0</v>
      </c>
      <c r="D26" s="274" t="str">
        <f>IF(Data!H17="","",Data!H17)</f>
        <v>Feli Tipnoni</v>
      </c>
      <c r="E26" s="275" t="str">
        <f>IF(Data!I17="","",Data!I17)</f>
        <v>P</v>
      </c>
      <c r="F26" s="276">
        <v>90</v>
      </c>
      <c r="G26" s="277">
        <v>90</v>
      </c>
      <c r="H26" s="277">
        <v>90</v>
      </c>
      <c r="I26" s="277">
        <v>90</v>
      </c>
      <c r="J26" s="277">
        <v>90</v>
      </c>
      <c r="K26" s="277"/>
      <c r="L26" s="277"/>
      <c r="M26" s="280"/>
      <c r="N26" s="277"/>
      <c r="O26" s="278"/>
      <c r="P26" s="279">
        <f t="shared" si="24"/>
        <v>90</v>
      </c>
      <c r="Q26" s="277">
        <v>80</v>
      </c>
      <c r="R26" s="280">
        <v>70</v>
      </c>
      <c r="S26" s="281">
        <f t="shared" si="25"/>
        <v>83</v>
      </c>
      <c r="T26" s="295" t="str">
        <f t="shared" si="26"/>
        <v>C</v>
      </c>
      <c r="U26" s="1215">
        <f t="shared" si="7"/>
        <v>90.01</v>
      </c>
      <c r="V26" s="1216">
        <f t="shared" si="7"/>
        <v>90.02</v>
      </c>
      <c r="W26" s="1216">
        <f t="shared" si="7"/>
        <v>90.03</v>
      </c>
      <c r="X26" s="1216">
        <f t="shared" si="7"/>
        <v>90.04</v>
      </c>
      <c r="Y26" s="1216">
        <f t="shared" si="7"/>
        <v>90.05</v>
      </c>
      <c r="Z26" s="1216" t="str">
        <f t="shared" si="7"/>
        <v/>
      </c>
      <c r="AA26" s="1216" t="str">
        <f t="shared" si="7"/>
        <v/>
      </c>
      <c r="AB26" s="1217" t="str">
        <f t="shared" si="7"/>
        <v/>
      </c>
      <c r="AC26" s="1216" t="str">
        <f t="shared" si="7"/>
        <v/>
      </c>
      <c r="AD26" s="1218" t="str">
        <f t="shared" si="7"/>
        <v/>
      </c>
      <c r="AE26" s="1219">
        <f t="shared" si="27"/>
        <v>90.05</v>
      </c>
      <c r="AF26" s="282">
        <f t="shared" si="28"/>
        <v>90.01</v>
      </c>
      <c r="AG26" s="282" t="str">
        <f t="shared" si="29"/>
        <v>baik</v>
      </c>
      <c r="AH26" s="282" t="str">
        <f t="shared" si="10"/>
        <v>baik</v>
      </c>
      <c r="AI26" s="282">
        <f t="shared" si="30"/>
        <v>5</v>
      </c>
      <c r="AJ26" s="283">
        <f t="shared" si="31"/>
        <v>1</v>
      </c>
      <c r="AK26" s="284" t="str">
        <f t="shared" si="32"/>
        <v>Memiliki kemampuan baik dalam Menjelaskan aturan sinus dan cosinus dan Menjelaskan dan menentukan fungsi (terutama fungsi linear, fungsi kuadrat, dan fungsi rasional) secara formal yang meliputi notasi, daerah asal, daerah hasil, dan ekspresi simbolik, serta sketsa grafiknya</v>
      </c>
      <c r="AL26" s="276">
        <v>90</v>
      </c>
      <c r="AM26" s="277">
        <v>90</v>
      </c>
      <c r="AN26" s="277">
        <v>90</v>
      </c>
      <c r="AO26" s="277">
        <v>90</v>
      </c>
      <c r="AP26" s="277">
        <v>90</v>
      </c>
      <c r="AQ26" s="277"/>
      <c r="AR26" s="277"/>
      <c r="AS26" s="280"/>
      <c r="AT26" s="277"/>
      <c r="AU26" s="278"/>
      <c r="AV26" s="285">
        <f t="shared" si="33"/>
        <v>90</v>
      </c>
      <c r="AW26" s="296" t="str">
        <f t="shared" si="34"/>
        <v>B</v>
      </c>
      <c r="AX26" s="1220">
        <f t="shared" si="16"/>
        <v>90.01</v>
      </c>
      <c r="AY26" s="1221">
        <f t="shared" si="16"/>
        <v>90.02</v>
      </c>
      <c r="AZ26" s="1221">
        <f t="shared" si="16"/>
        <v>90.03</v>
      </c>
      <c r="BA26" s="1221">
        <f t="shared" si="16"/>
        <v>90.04</v>
      </c>
      <c r="BB26" s="1221">
        <f t="shared" si="16"/>
        <v>90.05</v>
      </c>
      <c r="BC26" s="1221" t="str">
        <f t="shared" si="16"/>
        <v/>
      </c>
      <c r="BD26" s="1221" t="str">
        <f t="shared" si="16"/>
        <v/>
      </c>
      <c r="BE26" s="1222" t="str">
        <f t="shared" si="16"/>
        <v/>
      </c>
      <c r="BF26" s="1221" t="str">
        <f t="shared" si="16"/>
        <v/>
      </c>
      <c r="BG26" s="1223" t="str">
        <f t="shared" si="16"/>
        <v/>
      </c>
      <c r="BH26" s="286">
        <f t="shared" si="35"/>
        <v>90.05</v>
      </c>
      <c r="BI26" s="286">
        <f t="shared" si="36"/>
        <v>90.01</v>
      </c>
      <c r="BJ26" s="287" t="str">
        <f t="shared" si="37"/>
        <v>baik</v>
      </c>
      <c r="BK26" s="287" t="str">
        <f t="shared" si="37"/>
        <v>baik</v>
      </c>
      <c r="BL26" s="286">
        <f t="shared" si="38"/>
        <v>5</v>
      </c>
      <c r="BM26" s="288">
        <f t="shared" si="39"/>
        <v>1</v>
      </c>
      <c r="BN26" s="289" t="str">
        <f t="shared" si="40"/>
        <v>Memiliki keterampilan baik dalam Menganalisa perubahan grafik fungsi trigonometri akibat perubahan pada konstanta pada fungsi y = a sin b(x + c) + d. dan Menganalisa karakteristik masing – masing grafik (titik potong dengan sumbu, titik puncak, asimtot) dan perubahan grafik fungsinya akibat transformasi f2(x), 1/f(x), |f(x)| dsb</v>
      </c>
      <c r="BO26" s="67"/>
    </row>
    <row r="27" spans="1:67" ht="33" customHeight="1">
      <c r="A27" s="67"/>
      <c r="B27" s="272">
        <f t="shared" si="23"/>
        <v>14</v>
      </c>
      <c r="C27" s="273">
        <f>IF(Data!F18="","",Data!F18)</f>
        <v>0</v>
      </c>
      <c r="D27" s="274" t="str">
        <f>IF(Data!H18="","",Data!H18)</f>
        <v xml:space="preserve">Ferdinandes Sakbana </v>
      </c>
      <c r="E27" s="275" t="str">
        <f>IF(Data!I18="","",Data!I18)</f>
        <v>L</v>
      </c>
      <c r="F27" s="276">
        <v>90</v>
      </c>
      <c r="G27" s="277">
        <v>70</v>
      </c>
      <c r="H27" s="277">
        <v>70</v>
      </c>
      <c r="I27" s="277">
        <v>75</v>
      </c>
      <c r="J27" s="277">
        <v>90</v>
      </c>
      <c r="K27" s="277"/>
      <c r="L27" s="277"/>
      <c r="M27" s="280"/>
      <c r="N27" s="277"/>
      <c r="O27" s="278"/>
      <c r="P27" s="279">
        <f t="shared" si="24"/>
        <v>79</v>
      </c>
      <c r="Q27" s="277">
        <v>70</v>
      </c>
      <c r="R27" s="280">
        <v>70</v>
      </c>
      <c r="S27" s="281">
        <f t="shared" si="25"/>
        <v>75</v>
      </c>
      <c r="T27" s="295" t="str">
        <f t="shared" si="26"/>
        <v>D</v>
      </c>
      <c r="U27" s="1215">
        <f t="shared" si="7"/>
        <v>90.01</v>
      </c>
      <c r="V27" s="1216">
        <f t="shared" si="7"/>
        <v>70.02</v>
      </c>
      <c r="W27" s="1216">
        <f t="shared" si="7"/>
        <v>70.03</v>
      </c>
      <c r="X27" s="1216">
        <f t="shared" si="7"/>
        <v>75.040000000000006</v>
      </c>
      <c r="Y27" s="1216">
        <f t="shared" si="7"/>
        <v>90.05</v>
      </c>
      <c r="Z27" s="1216" t="str">
        <f t="shared" si="7"/>
        <v/>
      </c>
      <c r="AA27" s="1216" t="str">
        <f t="shared" si="7"/>
        <v/>
      </c>
      <c r="AB27" s="1217" t="str">
        <f t="shared" si="7"/>
        <v/>
      </c>
      <c r="AC27" s="1216" t="str">
        <f t="shared" si="7"/>
        <v/>
      </c>
      <c r="AD27" s="1218" t="str">
        <f t="shared" si="7"/>
        <v/>
      </c>
      <c r="AE27" s="1219">
        <f t="shared" si="27"/>
        <v>90.05</v>
      </c>
      <c r="AF27" s="282">
        <f t="shared" si="28"/>
        <v>70.02</v>
      </c>
      <c r="AG27" s="282" t="str">
        <f t="shared" si="29"/>
        <v>baik</v>
      </c>
      <c r="AH27" s="282" t="str">
        <f t="shared" si="10"/>
        <v>perlu dimaksimalkan</v>
      </c>
      <c r="AI27" s="282">
        <f t="shared" si="30"/>
        <v>5</v>
      </c>
      <c r="AJ27" s="283">
        <f t="shared" si="31"/>
        <v>2</v>
      </c>
      <c r="AK27" s="284" t="str">
        <f t="shared" si="32"/>
        <v>Memiliki kemampuan baik dalam Menjelaskan aturan sinus dan cosinus, perlu dimaksimalkan kemampuan dalam Menjelaskan operasi komposisi pada fungsi dan operasi invers pada fungsi invers serta sifat-sifatnya serta menentukan eksistensinya</v>
      </c>
      <c r="AL27" s="276">
        <v>90</v>
      </c>
      <c r="AM27" s="277">
        <v>70</v>
      </c>
      <c r="AN27" s="277">
        <v>70</v>
      </c>
      <c r="AO27" s="277">
        <v>75</v>
      </c>
      <c r="AP27" s="277">
        <v>90</v>
      </c>
      <c r="AQ27" s="277"/>
      <c r="AR27" s="277"/>
      <c r="AS27" s="280"/>
      <c r="AT27" s="277"/>
      <c r="AU27" s="278"/>
      <c r="AV27" s="285">
        <f t="shared" si="33"/>
        <v>79</v>
      </c>
      <c r="AW27" s="296" t="str">
        <f t="shared" si="34"/>
        <v>C</v>
      </c>
      <c r="AX27" s="1220">
        <f t="shared" si="16"/>
        <v>90.01</v>
      </c>
      <c r="AY27" s="1221">
        <f t="shared" si="16"/>
        <v>70.02</v>
      </c>
      <c r="AZ27" s="1221">
        <f t="shared" si="16"/>
        <v>70.03</v>
      </c>
      <c r="BA27" s="1221">
        <f t="shared" si="16"/>
        <v>75.040000000000006</v>
      </c>
      <c r="BB27" s="1221">
        <f t="shared" si="16"/>
        <v>90.05</v>
      </c>
      <c r="BC27" s="1221" t="str">
        <f t="shared" si="16"/>
        <v/>
      </c>
      <c r="BD27" s="1221" t="str">
        <f t="shared" si="16"/>
        <v/>
      </c>
      <c r="BE27" s="1222" t="str">
        <f t="shared" si="16"/>
        <v/>
      </c>
      <c r="BF27" s="1221" t="str">
        <f t="shared" si="16"/>
        <v/>
      </c>
      <c r="BG27" s="1223" t="str">
        <f t="shared" si="16"/>
        <v/>
      </c>
      <c r="BH27" s="286">
        <f t="shared" si="35"/>
        <v>90.05</v>
      </c>
      <c r="BI27" s="286">
        <f t="shared" si="36"/>
        <v>70.02</v>
      </c>
      <c r="BJ27" s="287" t="str">
        <f t="shared" si="37"/>
        <v>baik</v>
      </c>
      <c r="BK27" s="287" t="str">
        <f t="shared" si="37"/>
        <v>perlu dimaksimalkan</v>
      </c>
      <c r="BL27" s="286">
        <f t="shared" si="38"/>
        <v>5</v>
      </c>
      <c r="BM27" s="288">
        <f t="shared" si="39"/>
        <v>2</v>
      </c>
      <c r="BN27" s="289" t="str">
        <f t="shared" si="40"/>
        <v>Memiliki keterampilan baik dalam Menganalisa perubahan grafik fungsi trigonometri akibat perubahan pada konstanta pada fungsi y = a sin b(x + c) + d., perlu dimaksimalkan keterampilan dalam Menyelesaikan masalah yang berkaitan dengan operasi komposisi dan operasi invers suatu fungsi</v>
      </c>
      <c r="BO27" s="67"/>
    </row>
    <row r="28" spans="1:67" ht="33" customHeight="1">
      <c r="A28" s="67"/>
      <c r="B28" s="272">
        <f t="shared" si="23"/>
        <v>15</v>
      </c>
      <c r="C28" s="273">
        <f>IF(Data!F19="","",Data!F19)</f>
        <v>0</v>
      </c>
      <c r="D28" s="274" t="str">
        <f>IF(Data!H19="","",Data!H19)</f>
        <v>Fitri Novani Nitbani</v>
      </c>
      <c r="E28" s="275" t="str">
        <f>IF(Data!I19="","",Data!I19)</f>
        <v>P</v>
      </c>
      <c r="F28" s="276">
        <v>90</v>
      </c>
      <c r="G28" s="277">
        <v>90</v>
      </c>
      <c r="H28" s="277">
        <v>70</v>
      </c>
      <c r="I28" s="277">
        <v>90</v>
      </c>
      <c r="J28" s="277">
        <v>90</v>
      </c>
      <c r="K28" s="277"/>
      <c r="L28" s="277"/>
      <c r="M28" s="280"/>
      <c r="N28" s="277"/>
      <c r="O28" s="278"/>
      <c r="P28" s="279">
        <f t="shared" si="24"/>
        <v>86</v>
      </c>
      <c r="Q28" s="277">
        <v>80</v>
      </c>
      <c r="R28" s="280">
        <v>70</v>
      </c>
      <c r="S28" s="281">
        <f t="shared" si="25"/>
        <v>81</v>
      </c>
      <c r="T28" s="295" t="str">
        <f t="shared" si="26"/>
        <v>C</v>
      </c>
      <c r="U28" s="1215">
        <f t="shared" si="7"/>
        <v>90.01</v>
      </c>
      <c r="V28" s="1216">
        <f t="shared" si="7"/>
        <v>90.02</v>
      </c>
      <c r="W28" s="1216">
        <f t="shared" si="7"/>
        <v>70.03</v>
      </c>
      <c r="X28" s="1216">
        <f t="shared" si="7"/>
        <v>90.04</v>
      </c>
      <c r="Y28" s="1216">
        <f t="shared" si="7"/>
        <v>90.05</v>
      </c>
      <c r="Z28" s="1216" t="str">
        <f t="shared" si="7"/>
        <v/>
      </c>
      <c r="AA28" s="1216" t="str">
        <f t="shared" si="7"/>
        <v/>
      </c>
      <c r="AB28" s="1217" t="str">
        <f t="shared" si="7"/>
        <v/>
      </c>
      <c r="AC28" s="1216" t="str">
        <f t="shared" si="7"/>
        <v/>
      </c>
      <c r="AD28" s="1218" t="str">
        <f t="shared" si="7"/>
        <v/>
      </c>
      <c r="AE28" s="1219">
        <f t="shared" si="27"/>
        <v>90.05</v>
      </c>
      <c r="AF28" s="282">
        <f t="shared" si="28"/>
        <v>70.03</v>
      </c>
      <c r="AG28" s="282" t="str">
        <f t="shared" si="29"/>
        <v>baik</v>
      </c>
      <c r="AH28" s="282" t="str">
        <f t="shared" si="10"/>
        <v>perlu dimaksimalkan</v>
      </c>
      <c r="AI28" s="282">
        <f t="shared" si="30"/>
        <v>5</v>
      </c>
      <c r="AJ28" s="283">
        <f t="shared" si="31"/>
        <v>3</v>
      </c>
      <c r="AK28" s="284" t="str">
        <f t="shared" si="32"/>
        <v>Memiliki kemampuan baik dalam Menjelaskan aturan sinus dan cosinus, perlu dimaksimalkan kemampuan dalam Menjelaskan rasio trigonometri (sinus, cosinus, tangen, cosecan, secan, dan cotangen) pada segitiga siku-siku</v>
      </c>
      <c r="AL28" s="276">
        <v>90</v>
      </c>
      <c r="AM28" s="277">
        <v>90</v>
      </c>
      <c r="AN28" s="277">
        <v>70</v>
      </c>
      <c r="AO28" s="277">
        <v>90</v>
      </c>
      <c r="AP28" s="277">
        <v>90</v>
      </c>
      <c r="AQ28" s="277"/>
      <c r="AR28" s="277"/>
      <c r="AS28" s="280"/>
      <c r="AT28" s="277"/>
      <c r="AU28" s="278"/>
      <c r="AV28" s="285">
        <f t="shared" si="33"/>
        <v>86</v>
      </c>
      <c r="AW28" s="296" t="str">
        <f t="shared" si="34"/>
        <v>B</v>
      </c>
      <c r="AX28" s="1220">
        <f t="shared" si="16"/>
        <v>90.01</v>
      </c>
      <c r="AY28" s="1221">
        <f t="shared" si="16"/>
        <v>90.02</v>
      </c>
      <c r="AZ28" s="1221">
        <f t="shared" si="16"/>
        <v>70.03</v>
      </c>
      <c r="BA28" s="1221">
        <f t="shared" si="16"/>
        <v>90.04</v>
      </c>
      <c r="BB28" s="1221">
        <f t="shared" si="16"/>
        <v>90.05</v>
      </c>
      <c r="BC28" s="1221" t="str">
        <f t="shared" si="16"/>
        <v/>
      </c>
      <c r="BD28" s="1221" t="str">
        <f t="shared" si="16"/>
        <v/>
      </c>
      <c r="BE28" s="1222" t="str">
        <f t="shared" si="16"/>
        <v/>
      </c>
      <c r="BF28" s="1221" t="str">
        <f t="shared" si="16"/>
        <v/>
      </c>
      <c r="BG28" s="1223" t="str">
        <f t="shared" si="16"/>
        <v/>
      </c>
      <c r="BH28" s="286">
        <f t="shared" si="35"/>
        <v>90.05</v>
      </c>
      <c r="BI28" s="286">
        <f t="shared" si="36"/>
        <v>70.03</v>
      </c>
      <c r="BJ28" s="287" t="str">
        <f t="shared" si="37"/>
        <v>baik</v>
      </c>
      <c r="BK28" s="287" t="str">
        <f t="shared" si="37"/>
        <v>perlu dimaksimalkan</v>
      </c>
      <c r="BL28" s="286">
        <f t="shared" si="38"/>
        <v>5</v>
      </c>
      <c r="BM28" s="288">
        <f t="shared" si="39"/>
        <v>3</v>
      </c>
      <c r="BN28"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28" s="67"/>
    </row>
    <row r="29" spans="1:67" ht="33" customHeight="1">
      <c r="A29" s="67"/>
      <c r="B29" s="272">
        <f t="shared" si="23"/>
        <v>16</v>
      </c>
      <c r="C29" s="273">
        <f>IF(Data!F20="","",Data!F20)</f>
        <v>0</v>
      </c>
      <c r="D29" s="274" t="str">
        <f>IF(Data!H20="","",Data!H20)</f>
        <v>Helsina Benu</v>
      </c>
      <c r="E29" s="275" t="str">
        <f>IF(Data!I20="","",Data!I20)</f>
        <v>P</v>
      </c>
      <c r="F29" s="276">
        <v>90</v>
      </c>
      <c r="G29" s="277">
        <v>90</v>
      </c>
      <c r="H29" s="277">
        <v>70</v>
      </c>
      <c r="I29" s="277">
        <v>90</v>
      </c>
      <c r="J29" s="277">
        <v>90</v>
      </c>
      <c r="K29" s="277"/>
      <c r="L29" s="277"/>
      <c r="M29" s="280"/>
      <c r="N29" s="277"/>
      <c r="O29" s="278"/>
      <c r="P29" s="279">
        <f t="shared" si="24"/>
        <v>86</v>
      </c>
      <c r="Q29" s="277">
        <v>80</v>
      </c>
      <c r="R29" s="280">
        <v>70</v>
      </c>
      <c r="S29" s="281">
        <f t="shared" si="25"/>
        <v>81</v>
      </c>
      <c r="T29" s="295" t="str">
        <f t="shared" si="26"/>
        <v>C</v>
      </c>
      <c r="U29" s="1215">
        <f t="shared" si="7"/>
        <v>90.01</v>
      </c>
      <c r="V29" s="1216">
        <f t="shared" si="7"/>
        <v>90.02</v>
      </c>
      <c r="W29" s="1216">
        <f t="shared" si="7"/>
        <v>70.03</v>
      </c>
      <c r="X29" s="1216">
        <f t="shared" si="7"/>
        <v>90.04</v>
      </c>
      <c r="Y29" s="1216">
        <f t="shared" si="7"/>
        <v>90.05</v>
      </c>
      <c r="Z29" s="1216" t="str">
        <f t="shared" si="7"/>
        <v/>
      </c>
      <c r="AA29" s="1216" t="str">
        <f t="shared" si="7"/>
        <v/>
      </c>
      <c r="AB29" s="1217" t="str">
        <f t="shared" si="7"/>
        <v/>
      </c>
      <c r="AC29" s="1216" t="str">
        <f t="shared" si="7"/>
        <v/>
      </c>
      <c r="AD29" s="1218" t="str">
        <f t="shared" si="7"/>
        <v/>
      </c>
      <c r="AE29" s="1219">
        <f t="shared" si="27"/>
        <v>90.05</v>
      </c>
      <c r="AF29" s="282">
        <f t="shared" si="28"/>
        <v>70.03</v>
      </c>
      <c r="AG29" s="282" t="str">
        <f t="shared" si="29"/>
        <v>baik</v>
      </c>
      <c r="AH29" s="282" t="str">
        <f t="shared" si="10"/>
        <v>perlu dimaksimalkan</v>
      </c>
      <c r="AI29" s="282">
        <f t="shared" si="30"/>
        <v>5</v>
      </c>
      <c r="AJ29" s="283">
        <f t="shared" si="31"/>
        <v>3</v>
      </c>
      <c r="AK29" s="284" t="str">
        <f t="shared" si="32"/>
        <v>Memiliki kemampuan baik dalam Menjelaskan aturan sinus dan cosinus, perlu dimaksimalkan kemampuan dalam Menjelaskan rasio trigonometri (sinus, cosinus, tangen, cosecan, secan, dan cotangen) pada segitiga siku-siku</v>
      </c>
      <c r="AL29" s="276">
        <v>90</v>
      </c>
      <c r="AM29" s="277">
        <v>90</v>
      </c>
      <c r="AN29" s="277">
        <v>70</v>
      </c>
      <c r="AO29" s="277">
        <v>90</v>
      </c>
      <c r="AP29" s="277">
        <v>90</v>
      </c>
      <c r="AQ29" s="277"/>
      <c r="AR29" s="277"/>
      <c r="AS29" s="280"/>
      <c r="AT29" s="277"/>
      <c r="AU29" s="278"/>
      <c r="AV29" s="285">
        <f t="shared" si="33"/>
        <v>86</v>
      </c>
      <c r="AW29" s="296" t="str">
        <f t="shared" si="34"/>
        <v>B</v>
      </c>
      <c r="AX29" s="1220">
        <f t="shared" si="16"/>
        <v>90.01</v>
      </c>
      <c r="AY29" s="1221">
        <f t="shared" si="16"/>
        <v>90.02</v>
      </c>
      <c r="AZ29" s="1221">
        <f t="shared" si="16"/>
        <v>70.03</v>
      </c>
      <c r="BA29" s="1221">
        <f t="shared" si="16"/>
        <v>90.04</v>
      </c>
      <c r="BB29" s="1221">
        <f t="shared" si="16"/>
        <v>90.05</v>
      </c>
      <c r="BC29" s="1221" t="str">
        <f t="shared" si="16"/>
        <v/>
      </c>
      <c r="BD29" s="1221" t="str">
        <f t="shared" si="16"/>
        <v/>
      </c>
      <c r="BE29" s="1222" t="str">
        <f t="shared" si="16"/>
        <v/>
      </c>
      <c r="BF29" s="1221" t="str">
        <f t="shared" si="16"/>
        <v/>
      </c>
      <c r="BG29" s="1223" t="str">
        <f t="shared" si="16"/>
        <v/>
      </c>
      <c r="BH29" s="286">
        <f t="shared" si="35"/>
        <v>90.05</v>
      </c>
      <c r="BI29" s="286">
        <f t="shared" si="36"/>
        <v>70.03</v>
      </c>
      <c r="BJ29" s="287" t="str">
        <f t="shared" si="37"/>
        <v>baik</v>
      </c>
      <c r="BK29" s="287" t="str">
        <f t="shared" si="37"/>
        <v>perlu dimaksimalkan</v>
      </c>
      <c r="BL29" s="286">
        <f t="shared" si="38"/>
        <v>5</v>
      </c>
      <c r="BM29" s="288">
        <f t="shared" si="39"/>
        <v>3</v>
      </c>
      <c r="BN29"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29" s="67"/>
    </row>
    <row r="30" spans="1:67" ht="33" customHeight="1">
      <c r="A30" s="67"/>
      <c r="B30" s="272">
        <f t="shared" si="23"/>
        <v>17</v>
      </c>
      <c r="C30" s="273">
        <f>IF(Data!F21="","",Data!F21)</f>
        <v>0</v>
      </c>
      <c r="D30" s="274" t="str">
        <f>IF(Data!H21="","",Data!H21)</f>
        <v xml:space="preserve">Hezron Nubatonis </v>
      </c>
      <c r="E30" s="275" t="str">
        <f>IF(Data!I21="","",Data!I21)</f>
        <v>L</v>
      </c>
      <c r="F30" s="276">
        <v>90</v>
      </c>
      <c r="G30" s="277">
        <v>75</v>
      </c>
      <c r="H30" s="277">
        <v>70</v>
      </c>
      <c r="I30" s="277">
        <v>80</v>
      </c>
      <c r="J30" s="277">
        <v>90</v>
      </c>
      <c r="K30" s="277"/>
      <c r="L30" s="277"/>
      <c r="M30" s="280"/>
      <c r="N30" s="277"/>
      <c r="O30" s="278"/>
      <c r="P30" s="279">
        <f t="shared" si="24"/>
        <v>81</v>
      </c>
      <c r="Q30" s="277">
        <v>80</v>
      </c>
      <c r="R30" s="280">
        <v>75</v>
      </c>
      <c r="S30" s="281">
        <f t="shared" si="25"/>
        <v>79</v>
      </c>
      <c r="T30" s="295" t="str">
        <f t="shared" si="26"/>
        <v>C</v>
      </c>
      <c r="U30" s="1215">
        <f t="shared" ref="U30:AD55" si="41">IF(F30="","",F30+U$13)</f>
        <v>90.01</v>
      </c>
      <c r="V30" s="1216">
        <f t="shared" si="41"/>
        <v>75.02</v>
      </c>
      <c r="W30" s="1216">
        <f t="shared" si="41"/>
        <v>70.03</v>
      </c>
      <c r="X30" s="1216">
        <f t="shared" si="41"/>
        <v>80.040000000000006</v>
      </c>
      <c r="Y30" s="1216">
        <f t="shared" si="41"/>
        <v>90.05</v>
      </c>
      <c r="Z30" s="1216" t="str">
        <f t="shared" si="41"/>
        <v/>
      </c>
      <c r="AA30" s="1216" t="str">
        <f t="shared" si="41"/>
        <v/>
      </c>
      <c r="AB30" s="1217" t="str">
        <f t="shared" si="41"/>
        <v/>
      </c>
      <c r="AC30" s="1216" t="str">
        <f t="shared" si="41"/>
        <v/>
      </c>
      <c r="AD30" s="1218" t="str">
        <f t="shared" si="41"/>
        <v/>
      </c>
      <c r="AE30" s="1219">
        <f t="shared" si="27"/>
        <v>90.05</v>
      </c>
      <c r="AF30" s="282">
        <f t="shared" si="28"/>
        <v>70.03</v>
      </c>
      <c r="AG30" s="282" t="str">
        <f t="shared" si="29"/>
        <v>baik</v>
      </c>
      <c r="AH30" s="282" t="str">
        <f t="shared" si="29"/>
        <v>perlu dimaksimalkan</v>
      </c>
      <c r="AI30" s="282">
        <f t="shared" si="30"/>
        <v>5</v>
      </c>
      <c r="AJ30" s="283">
        <f t="shared" si="31"/>
        <v>3</v>
      </c>
      <c r="AK30" s="284" t="str">
        <f t="shared" si="32"/>
        <v>Memiliki kemampuan baik dalam Menjelaskan aturan sinus dan cosinus, perlu dimaksimalkan kemampuan dalam Menjelaskan rasio trigonometri (sinus, cosinus, tangen, cosecan, secan, dan cotangen) pada segitiga siku-siku</v>
      </c>
      <c r="AL30" s="276">
        <v>90</v>
      </c>
      <c r="AM30" s="277">
        <v>75</v>
      </c>
      <c r="AN30" s="277">
        <v>70</v>
      </c>
      <c r="AO30" s="277">
        <v>80</v>
      </c>
      <c r="AP30" s="277">
        <v>90</v>
      </c>
      <c r="AQ30" s="277"/>
      <c r="AR30" s="277"/>
      <c r="AS30" s="280"/>
      <c r="AT30" s="277"/>
      <c r="AU30" s="278"/>
      <c r="AV30" s="285">
        <f t="shared" si="33"/>
        <v>81</v>
      </c>
      <c r="AW30" s="296" t="str">
        <f t="shared" si="34"/>
        <v>C</v>
      </c>
      <c r="AX30" s="1220">
        <f t="shared" ref="AX30:BG55" si="42">IF(AL30="","",AL30+AX$12)</f>
        <v>90.01</v>
      </c>
      <c r="AY30" s="1221">
        <f t="shared" si="42"/>
        <v>75.02</v>
      </c>
      <c r="AZ30" s="1221">
        <f t="shared" si="42"/>
        <v>70.03</v>
      </c>
      <c r="BA30" s="1221">
        <f t="shared" si="42"/>
        <v>80.040000000000006</v>
      </c>
      <c r="BB30" s="1221">
        <f t="shared" si="42"/>
        <v>90.05</v>
      </c>
      <c r="BC30" s="1221" t="str">
        <f t="shared" si="42"/>
        <v/>
      </c>
      <c r="BD30" s="1221" t="str">
        <f t="shared" si="42"/>
        <v/>
      </c>
      <c r="BE30" s="1222" t="str">
        <f t="shared" si="42"/>
        <v/>
      </c>
      <c r="BF30" s="1221" t="str">
        <f t="shared" si="42"/>
        <v/>
      </c>
      <c r="BG30" s="1223" t="str">
        <f t="shared" si="42"/>
        <v/>
      </c>
      <c r="BH30" s="286">
        <f t="shared" si="35"/>
        <v>90.05</v>
      </c>
      <c r="BI30" s="286">
        <f t="shared" si="36"/>
        <v>70.03</v>
      </c>
      <c r="BJ30" s="287" t="str">
        <f t="shared" si="37"/>
        <v>baik</v>
      </c>
      <c r="BK30" s="287" t="str">
        <f t="shared" si="37"/>
        <v>perlu dimaksimalkan</v>
      </c>
      <c r="BL30" s="286">
        <f t="shared" si="38"/>
        <v>5</v>
      </c>
      <c r="BM30" s="288">
        <f t="shared" si="39"/>
        <v>3</v>
      </c>
      <c r="BN30"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30" s="67"/>
    </row>
    <row r="31" spans="1:67" ht="33" customHeight="1">
      <c r="A31" s="67"/>
      <c r="B31" s="272">
        <f t="shared" si="23"/>
        <v>18</v>
      </c>
      <c r="C31" s="273">
        <f>IF(Data!F22="","",Data!F22)</f>
        <v>0</v>
      </c>
      <c r="D31" s="274" t="str">
        <f>IF(Data!H22="","",Data!H22)</f>
        <v>Jelita Anita Boimau</v>
      </c>
      <c r="E31" s="275" t="str">
        <f>IF(Data!I22="","",Data!I22)</f>
        <v>P</v>
      </c>
      <c r="F31" s="276">
        <v>90</v>
      </c>
      <c r="G31" s="277">
        <v>90</v>
      </c>
      <c r="H31" s="277">
        <v>70</v>
      </c>
      <c r="I31" s="277">
        <v>90</v>
      </c>
      <c r="J31" s="277">
        <v>90</v>
      </c>
      <c r="K31" s="277"/>
      <c r="L31" s="277"/>
      <c r="M31" s="280"/>
      <c r="N31" s="277"/>
      <c r="O31" s="278"/>
      <c r="P31" s="279">
        <f t="shared" si="24"/>
        <v>86</v>
      </c>
      <c r="Q31" s="277">
        <v>80</v>
      </c>
      <c r="R31" s="280">
        <v>80</v>
      </c>
      <c r="S31" s="281">
        <f t="shared" si="25"/>
        <v>83</v>
      </c>
      <c r="T31" s="295" t="str">
        <f t="shared" si="26"/>
        <v>C</v>
      </c>
      <c r="U31" s="1215">
        <f t="shared" si="41"/>
        <v>90.01</v>
      </c>
      <c r="V31" s="1216">
        <f t="shared" si="41"/>
        <v>90.02</v>
      </c>
      <c r="W31" s="1216">
        <f t="shared" si="41"/>
        <v>70.03</v>
      </c>
      <c r="X31" s="1216">
        <f t="shared" si="41"/>
        <v>90.04</v>
      </c>
      <c r="Y31" s="1216">
        <f t="shared" si="41"/>
        <v>90.05</v>
      </c>
      <c r="Z31" s="1216" t="str">
        <f t="shared" si="41"/>
        <v/>
      </c>
      <c r="AA31" s="1216" t="str">
        <f t="shared" si="41"/>
        <v/>
      </c>
      <c r="AB31" s="1217" t="str">
        <f t="shared" si="41"/>
        <v/>
      </c>
      <c r="AC31" s="1216" t="str">
        <f t="shared" si="41"/>
        <v/>
      </c>
      <c r="AD31" s="1218" t="str">
        <f t="shared" si="41"/>
        <v/>
      </c>
      <c r="AE31" s="1219">
        <f t="shared" si="27"/>
        <v>90.05</v>
      </c>
      <c r="AF31" s="282">
        <f t="shared" si="28"/>
        <v>70.03</v>
      </c>
      <c r="AG31" s="282" t="str">
        <f t="shared" si="29"/>
        <v>baik</v>
      </c>
      <c r="AH31" s="282" t="str">
        <f t="shared" si="29"/>
        <v>perlu dimaksimalkan</v>
      </c>
      <c r="AI31" s="282">
        <f t="shared" si="30"/>
        <v>5</v>
      </c>
      <c r="AJ31" s="283">
        <f t="shared" si="31"/>
        <v>3</v>
      </c>
      <c r="AK31" s="284" t="str">
        <f t="shared" si="32"/>
        <v>Memiliki kemampuan baik dalam Menjelaskan aturan sinus dan cosinus, perlu dimaksimalkan kemampuan dalam Menjelaskan rasio trigonometri (sinus, cosinus, tangen, cosecan, secan, dan cotangen) pada segitiga siku-siku</v>
      </c>
      <c r="AL31" s="276">
        <v>90</v>
      </c>
      <c r="AM31" s="277">
        <v>90</v>
      </c>
      <c r="AN31" s="277">
        <v>70</v>
      </c>
      <c r="AO31" s="277">
        <v>90</v>
      </c>
      <c r="AP31" s="277">
        <v>90</v>
      </c>
      <c r="AQ31" s="277"/>
      <c r="AR31" s="277"/>
      <c r="AS31" s="280"/>
      <c r="AT31" s="277"/>
      <c r="AU31" s="278"/>
      <c r="AV31" s="285">
        <f t="shared" si="33"/>
        <v>86</v>
      </c>
      <c r="AW31" s="296" t="str">
        <f t="shared" si="34"/>
        <v>B</v>
      </c>
      <c r="AX31" s="1220">
        <f t="shared" si="42"/>
        <v>90.01</v>
      </c>
      <c r="AY31" s="1221">
        <f t="shared" si="42"/>
        <v>90.02</v>
      </c>
      <c r="AZ31" s="1221">
        <f t="shared" si="42"/>
        <v>70.03</v>
      </c>
      <c r="BA31" s="1221">
        <f t="shared" si="42"/>
        <v>90.04</v>
      </c>
      <c r="BB31" s="1221">
        <f t="shared" si="42"/>
        <v>90.05</v>
      </c>
      <c r="BC31" s="1221" t="str">
        <f t="shared" si="42"/>
        <v/>
      </c>
      <c r="BD31" s="1221" t="str">
        <f t="shared" si="42"/>
        <v/>
      </c>
      <c r="BE31" s="1222" t="str">
        <f t="shared" si="42"/>
        <v/>
      </c>
      <c r="BF31" s="1221" t="str">
        <f t="shared" si="42"/>
        <v/>
      </c>
      <c r="BG31" s="1223" t="str">
        <f t="shared" si="42"/>
        <v/>
      </c>
      <c r="BH31" s="286">
        <f t="shared" si="35"/>
        <v>90.05</v>
      </c>
      <c r="BI31" s="286">
        <f t="shared" si="36"/>
        <v>70.03</v>
      </c>
      <c r="BJ31" s="287" t="str">
        <f t="shared" si="37"/>
        <v>baik</v>
      </c>
      <c r="BK31" s="287" t="str">
        <f t="shared" si="37"/>
        <v>perlu dimaksimalkan</v>
      </c>
      <c r="BL31" s="286">
        <f t="shared" si="38"/>
        <v>5</v>
      </c>
      <c r="BM31" s="288">
        <f t="shared" si="39"/>
        <v>3</v>
      </c>
      <c r="BN31"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31" s="67"/>
    </row>
    <row r="32" spans="1:67" ht="33" customHeight="1">
      <c r="A32" s="67"/>
      <c r="B32" s="272">
        <f t="shared" si="23"/>
        <v>19</v>
      </c>
      <c r="C32" s="273">
        <f>IF(Data!F23="","",Data!F23)</f>
        <v>0</v>
      </c>
      <c r="D32" s="274" t="str">
        <f>IF(Data!H23="","",Data!H23)</f>
        <v>Jidon Nubatonis</v>
      </c>
      <c r="E32" s="275" t="str">
        <f>IF(Data!I23="","",Data!I23)</f>
        <v>L</v>
      </c>
      <c r="F32" s="276">
        <v>90</v>
      </c>
      <c r="G32" s="277">
        <v>90</v>
      </c>
      <c r="H32" s="277">
        <v>70</v>
      </c>
      <c r="I32" s="277">
        <v>90</v>
      </c>
      <c r="J32" s="277">
        <v>90</v>
      </c>
      <c r="K32" s="277"/>
      <c r="L32" s="277"/>
      <c r="M32" s="280"/>
      <c r="N32" s="277"/>
      <c r="O32" s="278"/>
      <c r="P32" s="279">
        <f t="shared" si="24"/>
        <v>86</v>
      </c>
      <c r="Q32" s="277">
        <v>80</v>
      </c>
      <c r="R32" s="280">
        <v>80</v>
      </c>
      <c r="S32" s="281">
        <f t="shared" si="25"/>
        <v>83</v>
      </c>
      <c r="T32" s="295" t="str">
        <f t="shared" si="26"/>
        <v>C</v>
      </c>
      <c r="U32" s="1215">
        <f t="shared" si="41"/>
        <v>90.01</v>
      </c>
      <c r="V32" s="1216">
        <f t="shared" si="41"/>
        <v>90.02</v>
      </c>
      <c r="W32" s="1216">
        <f t="shared" si="41"/>
        <v>70.03</v>
      </c>
      <c r="X32" s="1216">
        <f t="shared" si="41"/>
        <v>90.04</v>
      </c>
      <c r="Y32" s="1216">
        <f t="shared" si="41"/>
        <v>90.05</v>
      </c>
      <c r="Z32" s="1216" t="str">
        <f t="shared" si="41"/>
        <v/>
      </c>
      <c r="AA32" s="1216" t="str">
        <f t="shared" si="41"/>
        <v/>
      </c>
      <c r="AB32" s="1217" t="str">
        <f t="shared" si="41"/>
        <v/>
      </c>
      <c r="AC32" s="1216" t="str">
        <f t="shared" si="41"/>
        <v/>
      </c>
      <c r="AD32" s="1218" t="str">
        <f t="shared" si="41"/>
        <v/>
      </c>
      <c r="AE32" s="1219">
        <f t="shared" si="27"/>
        <v>90.05</v>
      </c>
      <c r="AF32" s="282">
        <f t="shared" si="28"/>
        <v>70.03</v>
      </c>
      <c r="AG32" s="282" t="str">
        <f t="shared" si="29"/>
        <v>baik</v>
      </c>
      <c r="AH32" s="282" t="str">
        <f t="shared" si="29"/>
        <v>perlu dimaksimalkan</v>
      </c>
      <c r="AI32" s="282">
        <f t="shared" si="30"/>
        <v>5</v>
      </c>
      <c r="AJ32" s="283">
        <f t="shared" si="31"/>
        <v>3</v>
      </c>
      <c r="AK32" s="284" t="str">
        <f t="shared" si="32"/>
        <v>Memiliki kemampuan baik dalam Menjelaskan aturan sinus dan cosinus, perlu dimaksimalkan kemampuan dalam Menjelaskan rasio trigonometri (sinus, cosinus, tangen, cosecan, secan, dan cotangen) pada segitiga siku-siku</v>
      </c>
      <c r="AL32" s="276">
        <v>90</v>
      </c>
      <c r="AM32" s="277">
        <v>90</v>
      </c>
      <c r="AN32" s="277">
        <v>70</v>
      </c>
      <c r="AO32" s="277">
        <v>90</v>
      </c>
      <c r="AP32" s="277">
        <v>90</v>
      </c>
      <c r="AQ32" s="277"/>
      <c r="AR32" s="277"/>
      <c r="AS32" s="280"/>
      <c r="AT32" s="277"/>
      <c r="AU32" s="278"/>
      <c r="AV32" s="285">
        <f t="shared" si="33"/>
        <v>86</v>
      </c>
      <c r="AW32" s="296" t="str">
        <f t="shared" si="34"/>
        <v>B</v>
      </c>
      <c r="AX32" s="1220">
        <f t="shared" si="42"/>
        <v>90.01</v>
      </c>
      <c r="AY32" s="1221">
        <f t="shared" si="42"/>
        <v>90.02</v>
      </c>
      <c r="AZ32" s="1221">
        <f t="shared" si="42"/>
        <v>70.03</v>
      </c>
      <c r="BA32" s="1221">
        <f t="shared" si="42"/>
        <v>90.04</v>
      </c>
      <c r="BB32" s="1221">
        <f t="shared" si="42"/>
        <v>90.05</v>
      </c>
      <c r="BC32" s="1221" t="str">
        <f t="shared" si="42"/>
        <v/>
      </c>
      <c r="BD32" s="1221" t="str">
        <f t="shared" si="42"/>
        <v/>
      </c>
      <c r="BE32" s="1222" t="str">
        <f t="shared" si="42"/>
        <v/>
      </c>
      <c r="BF32" s="1221" t="str">
        <f t="shared" si="42"/>
        <v/>
      </c>
      <c r="BG32" s="1223" t="str">
        <f t="shared" si="42"/>
        <v/>
      </c>
      <c r="BH32" s="286">
        <f t="shared" si="35"/>
        <v>90.05</v>
      </c>
      <c r="BI32" s="286">
        <f t="shared" si="36"/>
        <v>70.03</v>
      </c>
      <c r="BJ32" s="287" t="str">
        <f t="shared" si="37"/>
        <v>baik</v>
      </c>
      <c r="BK32" s="287" t="str">
        <f t="shared" si="37"/>
        <v>perlu dimaksimalkan</v>
      </c>
      <c r="BL32" s="286">
        <f t="shared" si="38"/>
        <v>5</v>
      </c>
      <c r="BM32" s="288">
        <f t="shared" si="39"/>
        <v>3</v>
      </c>
      <c r="BN32"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32" s="67"/>
    </row>
    <row r="33" spans="1:67" ht="33" customHeight="1">
      <c r="A33" s="67"/>
      <c r="B33" s="272">
        <f t="shared" si="23"/>
        <v>20</v>
      </c>
      <c r="C33" s="273">
        <f>IF(Data!F24="","",Data!F24)</f>
        <v>0</v>
      </c>
      <c r="D33" s="274" t="str">
        <f>IF(Data!H24="","",Data!H24)</f>
        <v>Jitro Andro Baran</v>
      </c>
      <c r="E33" s="275" t="str">
        <f>IF(Data!I24="","",Data!I24)</f>
        <v>L</v>
      </c>
      <c r="F33" s="276">
        <v>90</v>
      </c>
      <c r="G33" s="277">
        <v>90</v>
      </c>
      <c r="H33" s="277">
        <v>70</v>
      </c>
      <c r="I33" s="277">
        <v>70</v>
      </c>
      <c r="J33" s="277">
        <v>90</v>
      </c>
      <c r="K33" s="277"/>
      <c r="L33" s="277"/>
      <c r="M33" s="280"/>
      <c r="N33" s="277"/>
      <c r="O33" s="278"/>
      <c r="P33" s="279">
        <f t="shared" si="24"/>
        <v>82</v>
      </c>
      <c r="Q33" s="277">
        <v>80</v>
      </c>
      <c r="R33" s="280">
        <v>75</v>
      </c>
      <c r="S33" s="281">
        <f t="shared" si="25"/>
        <v>80</v>
      </c>
      <c r="T33" s="295" t="str">
        <f t="shared" si="26"/>
        <v>C</v>
      </c>
      <c r="U33" s="1215">
        <f t="shared" si="41"/>
        <v>90.01</v>
      </c>
      <c r="V33" s="1216">
        <f t="shared" si="41"/>
        <v>90.02</v>
      </c>
      <c r="W33" s="1216">
        <f t="shared" si="41"/>
        <v>70.03</v>
      </c>
      <c r="X33" s="1216">
        <f t="shared" si="41"/>
        <v>70.040000000000006</v>
      </c>
      <c r="Y33" s="1216">
        <f t="shared" si="41"/>
        <v>90.05</v>
      </c>
      <c r="Z33" s="1216" t="str">
        <f t="shared" si="41"/>
        <v/>
      </c>
      <c r="AA33" s="1216" t="str">
        <f t="shared" si="41"/>
        <v/>
      </c>
      <c r="AB33" s="1217" t="str">
        <f t="shared" si="41"/>
        <v/>
      </c>
      <c r="AC33" s="1216" t="str">
        <f t="shared" si="41"/>
        <v/>
      </c>
      <c r="AD33" s="1218" t="str">
        <f t="shared" si="41"/>
        <v/>
      </c>
      <c r="AE33" s="1219">
        <f t="shared" si="27"/>
        <v>90.05</v>
      </c>
      <c r="AF33" s="282">
        <f t="shared" si="28"/>
        <v>70.03</v>
      </c>
      <c r="AG33" s="282" t="str">
        <f t="shared" si="29"/>
        <v>baik</v>
      </c>
      <c r="AH33" s="282" t="str">
        <f t="shared" si="29"/>
        <v>perlu dimaksimalkan</v>
      </c>
      <c r="AI33" s="282">
        <f t="shared" si="30"/>
        <v>5</v>
      </c>
      <c r="AJ33" s="283">
        <f t="shared" si="31"/>
        <v>3</v>
      </c>
      <c r="AK33" s="284" t="str">
        <f t="shared" si="32"/>
        <v>Memiliki kemampuan baik dalam Menjelaskan aturan sinus dan cosinus, perlu dimaksimalkan kemampuan dalam Menjelaskan rasio trigonometri (sinus, cosinus, tangen, cosecan, secan, dan cotangen) pada segitiga siku-siku</v>
      </c>
      <c r="AL33" s="276">
        <v>90</v>
      </c>
      <c r="AM33" s="277">
        <v>90</v>
      </c>
      <c r="AN33" s="277">
        <v>70</v>
      </c>
      <c r="AO33" s="277">
        <v>70</v>
      </c>
      <c r="AP33" s="277">
        <v>90</v>
      </c>
      <c r="AQ33" s="277"/>
      <c r="AR33" s="277"/>
      <c r="AS33" s="280"/>
      <c r="AT33" s="277"/>
      <c r="AU33" s="278"/>
      <c r="AV33" s="285">
        <f t="shared" si="33"/>
        <v>82</v>
      </c>
      <c r="AW33" s="296" t="str">
        <f t="shared" si="34"/>
        <v>C</v>
      </c>
      <c r="AX33" s="1220">
        <f t="shared" si="42"/>
        <v>90.01</v>
      </c>
      <c r="AY33" s="1221">
        <f t="shared" si="42"/>
        <v>90.02</v>
      </c>
      <c r="AZ33" s="1221">
        <f t="shared" si="42"/>
        <v>70.03</v>
      </c>
      <c r="BA33" s="1221">
        <f t="shared" si="42"/>
        <v>70.040000000000006</v>
      </c>
      <c r="BB33" s="1221">
        <f t="shared" si="42"/>
        <v>90.05</v>
      </c>
      <c r="BC33" s="1221" t="str">
        <f t="shared" si="42"/>
        <v/>
      </c>
      <c r="BD33" s="1221" t="str">
        <f t="shared" si="42"/>
        <v/>
      </c>
      <c r="BE33" s="1222" t="str">
        <f t="shared" si="42"/>
        <v/>
      </c>
      <c r="BF33" s="1221" t="str">
        <f t="shared" si="42"/>
        <v/>
      </c>
      <c r="BG33" s="1223" t="str">
        <f t="shared" si="42"/>
        <v/>
      </c>
      <c r="BH33" s="286">
        <f t="shared" si="35"/>
        <v>90.05</v>
      </c>
      <c r="BI33" s="286">
        <f t="shared" si="36"/>
        <v>70.03</v>
      </c>
      <c r="BJ33" s="287" t="str">
        <f t="shared" si="37"/>
        <v>baik</v>
      </c>
      <c r="BK33" s="287" t="str">
        <f t="shared" si="37"/>
        <v>perlu dimaksimalkan</v>
      </c>
      <c r="BL33" s="286">
        <f t="shared" si="38"/>
        <v>5</v>
      </c>
      <c r="BM33" s="288">
        <f t="shared" si="39"/>
        <v>3</v>
      </c>
      <c r="BN33"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33" s="67"/>
    </row>
    <row r="34" spans="1:67" ht="33" customHeight="1">
      <c r="A34" s="67"/>
      <c r="B34" s="272">
        <f t="shared" si="23"/>
        <v>21</v>
      </c>
      <c r="C34" s="273">
        <f>IF(Data!F25="","",Data!F25)</f>
        <v>0</v>
      </c>
      <c r="D34" s="274" t="str">
        <f>IF(Data!H25="","",Data!H25)</f>
        <v>Juan Manuel Boys</v>
      </c>
      <c r="E34" s="275" t="str">
        <f>IF(Data!I25="","",Data!I25)</f>
        <v>L</v>
      </c>
      <c r="F34" s="276">
        <v>90</v>
      </c>
      <c r="G34" s="277">
        <v>90</v>
      </c>
      <c r="H34" s="277">
        <v>70</v>
      </c>
      <c r="I34" s="277">
        <v>70</v>
      </c>
      <c r="J34" s="277">
        <v>90</v>
      </c>
      <c r="K34" s="277"/>
      <c r="L34" s="277"/>
      <c r="M34" s="280"/>
      <c r="N34" s="277"/>
      <c r="O34" s="278"/>
      <c r="P34" s="279">
        <f t="shared" si="24"/>
        <v>82</v>
      </c>
      <c r="Q34" s="277">
        <v>80</v>
      </c>
      <c r="R34" s="280">
        <v>75</v>
      </c>
      <c r="S34" s="281">
        <f t="shared" si="25"/>
        <v>80</v>
      </c>
      <c r="T34" s="295" t="str">
        <f t="shared" si="26"/>
        <v>C</v>
      </c>
      <c r="U34" s="1215">
        <f t="shared" si="41"/>
        <v>90.01</v>
      </c>
      <c r="V34" s="1216">
        <f t="shared" si="41"/>
        <v>90.02</v>
      </c>
      <c r="W34" s="1216">
        <f t="shared" si="41"/>
        <v>70.03</v>
      </c>
      <c r="X34" s="1216">
        <f t="shared" si="41"/>
        <v>70.040000000000006</v>
      </c>
      <c r="Y34" s="1216">
        <f t="shared" si="41"/>
        <v>90.05</v>
      </c>
      <c r="Z34" s="1216" t="str">
        <f t="shared" si="41"/>
        <v/>
      </c>
      <c r="AA34" s="1216" t="str">
        <f t="shared" si="41"/>
        <v/>
      </c>
      <c r="AB34" s="1217" t="str">
        <f t="shared" si="41"/>
        <v/>
      </c>
      <c r="AC34" s="1216" t="str">
        <f t="shared" si="41"/>
        <v/>
      </c>
      <c r="AD34" s="1218" t="str">
        <f t="shared" si="41"/>
        <v/>
      </c>
      <c r="AE34" s="1219">
        <f t="shared" si="27"/>
        <v>90.05</v>
      </c>
      <c r="AF34" s="282">
        <f t="shared" si="28"/>
        <v>70.03</v>
      </c>
      <c r="AG34" s="282" t="str">
        <f t="shared" si="29"/>
        <v>baik</v>
      </c>
      <c r="AH34" s="282" t="str">
        <f t="shared" si="29"/>
        <v>perlu dimaksimalkan</v>
      </c>
      <c r="AI34" s="282">
        <f t="shared" si="30"/>
        <v>5</v>
      </c>
      <c r="AJ34" s="283">
        <f t="shared" si="31"/>
        <v>3</v>
      </c>
      <c r="AK34" s="284" t="str">
        <f t="shared" si="32"/>
        <v>Memiliki kemampuan baik dalam Menjelaskan aturan sinus dan cosinus, perlu dimaksimalkan kemampuan dalam Menjelaskan rasio trigonometri (sinus, cosinus, tangen, cosecan, secan, dan cotangen) pada segitiga siku-siku</v>
      </c>
      <c r="AL34" s="276">
        <v>90</v>
      </c>
      <c r="AM34" s="277">
        <v>90</v>
      </c>
      <c r="AN34" s="277">
        <v>70</v>
      </c>
      <c r="AO34" s="277">
        <v>70</v>
      </c>
      <c r="AP34" s="277">
        <v>90</v>
      </c>
      <c r="AQ34" s="277"/>
      <c r="AR34" s="277"/>
      <c r="AS34" s="280"/>
      <c r="AT34" s="277"/>
      <c r="AU34" s="278"/>
      <c r="AV34" s="285">
        <f t="shared" si="33"/>
        <v>82</v>
      </c>
      <c r="AW34" s="296" t="str">
        <f t="shared" si="34"/>
        <v>C</v>
      </c>
      <c r="AX34" s="1220">
        <f t="shared" si="42"/>
        <v>90.01</v>
      </c>
      <c r="AY34" s="1221">
        <f t="shared" si="42"/>
        <v>90.02</v>
      </c>
      <c r="AZ34" s="1221">
        <f t="shared" si="42"/>
        <v>70.03</v>
      </c>
      <c r="BA34" s="1221">
        <f t="shared" si="42"/>
        <v>70.040000000000006</v>
      </c>
      <c r="BB34" s="1221">
        <f t="shared" si="42"/>
        <v>90.05</v>
      </c>
      <c r="BC34" s="1221" t="str">
        <f t="shared" si="42"/>
        <v/>
      </c>
      <c r="BD34" s="1221" t="str">
        <f t="shared" si="42"/>
        <v/>
      </c>
      <c r="BE34" s="1222" t="str">
        <f t="shared" si="42"/>
        <v/>
      </c>
      <c r="BF34" s="1221" t="str">
        <f t="shared" si="42"/>
        <v/>
      </c>
      <c r="BG34" s="1223" t="str">
        <f t="shared" si="42"/>
        <v/>
      </c>
      <c r="BH34" s="286">
        <f t="shared" si="35"/>
        <v>90.05</v>
      </c>
      <c r="BI34" s="286">
        <f t="shared" si="36"/>
        <v>70.03</v>
      </c>
      <c r="BJ34" s="287" t="str">
        <f t="shared" si="37"/>
        <v>baik</v>
      </c>
      <c r="BK34" s="287" t="str">
        <f t="shared" si="37"/>
        <v>perlu dimaksimalkan</v>
      </c>
      <c r="BL34" s="286">
        <f t="shared" si="38"/>
        <v>5</v>
      </c>
      <c r="BM34" s="288">
        <f t="shared" si="39"/>
        <v>3</v>
      </c>
      <c r="BN34"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34" s="67"/>
    </row>
    <row r="35" spans="1:67" ht="33" customHeight="1">
      <c r="A35" s="67"/>
      <c r="B35" s="272">
        <f t="shared" si="23"/>
        <v>22</v>
      </c>
      <c r="C35" s="273">
        <f>IF(Data!F26="","",Data!F26)</f>
        <v>0</v>
      </c>
      <c r="D35" s="274" t="str">
        <f>IF(Data!H26="","",Data!H26)</f>
        <v>Krisyanti Ernela Kesnay</v>
      </c>
      <c r="E35" s="275" t="str">
        <f>IF(Data!I26="","",Data!I26)</f>
        <v>P</v>
      </c>
      <c r="F35" s="276">
        <v>90</v>
      </c>
      <c r="G35" s="277">
        <v>90</v>
      </c>
      <c r="H35" s="277">
        <v>90</v>
      </c>
      <c r="I35" s="277">
        <v>90</v>
      </c>
      <c r="J35" s="277">
        <v>90</v>
      </c>
      <c r="K35" s="277"/>
      <c r="L35" s="277"/>
      <c r="M35" s="280"/>
      <c r="N35" s="277"/>
      <c r="O35" s="278"/>
      <c r="P35" s="279">
        <f t="shared" si="24"/>
        <v>90</v>
      </c>
      <c r="Q35" s="277">
        <v>80</v>
      </c>
      <c r="R35" s="280">
        <v>70</v>
      </c>
      <c r="S35" s="281">
        <f t="shared" si="25"/>
        <v>83</v>
      </c>
      <c r="T35" s="295" t="str">
        <f t="shared" si="26"/>
        <v>C</v>
      </c>
      <c r="U35" s="1215">
        <f t="shared" si="41"/>
        <v>90.01</v>
      </c>
      <c r="V35" s="1216">
        <f t="shared" si="41"/>
        <v>90.02</v>
      </c>
      <c r="W35" s="1216">
        <f t="shared" si="41"/>
        <v>90.03</v>
      </c>
      <c r="X35" s="1216">
        <f t="shared" si="41"/>
        <v>90.04</v>
      </c>
      <c r="Y35" s="1216">
        <f t="shared" si="41"/>
        <v>90.05</v>
      </c>
      <c r="Z35" s="1216" t="str">
        <f t="shared" si="41"/>
        <v/>
      </c>
      <c r="AA35" s="1216" t="str">
        <f t="shared" si="41"/>
        <v/>
      </c>
      <c r="AB35" s="1217" t="str">
        <f t="shared" si="41"/>
        <v/>
      </c>
      <c r="AC35" s="1216" t="str">
        <f t="shared" si="41"/>
        <v/>
      </c>
      <c r="AD35" s="1218" t="str">
        <f t="shared" si="41"/>
        <v/>
      </c>
      <c r="AE35" s="1219">
        <f t="shared" si="27"/>
        <v>90.05</v>
      </c>
      <c r="AF35" s="282">
        <f t="shared" si="28"/>
        <v>90.01</v>
      </c>
      <c r="AG35" s="282" t="str">
        <f t="shared" si="29"/>
        <v>baik</v>
      </c>
      <c r="AH35" s="282" t="str">
        <f t="shared" si="29"/>
        <v>baik</v>
      </c>
      <c r="AI35" s="282">
        <f t="shared" si="30"/>
        <v>5</v>
      </c>
      <c r="AJ35" s="283">
        <f t="shared" si="31"/>
        <v>1</v>
      </c>
      <c r="AK35" s="284" t="str">
        <f t="shared" si="32"/>
        <v>Memiliki kemampuan baik dalam Menjelaskan aturan sinus dan cosinus dan Menjelaskan dan menentukan fungsi (terutama fungsi linear, fungsi kuadrat, dan fungsi rasional) secara formal yang meliputi notasi, daerah asal, daerah hasil, dan ekspresi simbolik, serta sketsa grafiknya</v>
      </c>
      <c r="AL35" s="276">
        <v>90</v>
      </c>
      <c r="AM35" s="277">
        <v>90</v>
      </c>
      <c r="AN35" s="277">
        <v>90</v>
      </c>
      <c r="AO35" s="277">
        <v>90</v>
      </c>
      <c r="AP35" s="277">
        <v>90</v>
      </c>
      <c r="AQ35" s="277"/>
      <c r="AR35" s="277"/>
      <c r="AS35" s="280"/>
      <c r="AT35" s="277"/>
      <c r="AU35" s="278"/>
      <c r="AV35" s="285">
        <f t="shared" si="33"/>
        <v>90</v>
      </c>
      <c r="AW35" s="296" t="str">
        <f t="shared" si="34"/>
        <v>B</v>
      </c>
      <c r="AX35" s="1220">
        <f t="shared" si="42"/>
        <v>90.01</v>
      </c>
      <c r="AY35" s="1221">
        <f t="shared" si="42"/>
        <v>90.02</v>
      </c>
      <c r="AZ35" s="1221">
        <f t="shared" si="42"/>
        <v>90.03</v>
      </c>
      <c r="BA35" s="1221">
        <f t="shared" si="42"/>
        <v>90.04</v>
      </c>
      <c r="BB35" s="1221">
        <f t="shared" si="42"/>
        <v>90.05</v>
      </c>
      <c r="BC35" s="1221" t="str">
        <f t="shared" si="42"/>
        <v/>
      </c>
      <c r="BD35" s="1221" t="str">
        <f t="shared" si="42"/>
        <v/>
      </c>
      <c r="BE35" s="1222" t="str">
        <f t="shared" si="42"/>
        <v/>
      </c>
      <c r="BF35" s="1221" t="str">
        <f t="shared" si="42"/>
        <v/>
      </c>
      <c r="BG35" s="1223" t="str">
        <f t="shared" si="42"/>
        <v/>
      </c>
      <c r="BH35" s="286">
        <f t="shared" si="35"/>
        <v>90.05</v>
      </c>
      <c r="BI35" s="286">
        <f t="shared" si="36"/>
        <v>90.01</v>
      </c>
      <c r="BJ35" s="287" t="str">
        <f t="shared" si="37"/>
        <v>baik</v>
      </c>
      <c r="BK35" s="287" t="str">
        <f t="shared" si="37"/>
        <v>baik</v>
      </c>
      <c r="BL35" s="286">
        <f t="shared" si="38"/>
        <v>5</v>
      </c>
      <c r="BM35" s="288">
        <f t="shared" si="39"/>
        <v>1</v>
      </c>
      <c r="BN35" s="289" t="str">
        <f t="shared" si="40"/>
        <v>Memiliki keterampilan baik dalam Menganalisa perubahan grafik fungsi trigonometri akibat perubahan pada konstanta pada fungsi y = a sin b(x + c) + d. dan Menganalisa karakteristik masing – masing grafik (titik potong dengan sumbu, titik puncak, asimtot) dan perubahan grafik fungsinya akibat transformasi f2(x), 1/f(x), |f(x)| dsb</v>
      </c>
      <c r="BO35" s="67"/>
    </row>
    <row r="36" spans="1:67" ht="33" customHeight="1">
      <c r="A36" s="67"/>
      <c r="B36" s="272">
        <f t="shared" si="23"/>
        <v>23</v>
      </c>
      <c r="C36" s="273">
        <f>IF(Data!F27="","",Data!F27)</f>
        <v>0</v>
      </c>
      <c r="D36" s="274" t="str">
        <f>IF(Data!H27="","",Data!H27)</f>
        <v>Leni Aknesia Knoan</v>
      </c>
      <c r="E36" s="275" t="str">
        <f>IF(Data!I27="","",Data!I27)</f>
        <v>P</v>
      </c>
      <c r="F36" s="276">
        <v>0</v>
      </c>
      <c r="G36" s="277">
        <v>75</v>
      </c>
      <c r="H36" s="277">
        <v>75</v>
      </c>
      <c r="I36" s="277">
        <v>0</v>
      </c>
      <c r="J36" s="277">
        <v>0</v>
      </c>
      <c r="K36" s="277"/>
      <c r="L36" s="277"/>
      <c r="M36" s="280"/>
      <c r="N36" s="277"/>
      <c r="O36" s="278"/>
      <c r="P36" s="279">
        <f t="shared" si="24"/>
        <v>30</v>
      </c>
      <c r="Q36" s="277">
        <v>0</v>
      </c>
      <c r="R36" s="280">
        <v>0</v>
      </c>
      <c r="S36" s="281">
        <f t="shared" si="25"/>
        <v>15</v>
      </c>
      <c r="T36" s="295" t="str">
        <f t="shared" si="26"/>
        <v>D</v>
      </c>
      <c r="U36" s="1215">
        <f t="shared" si="41"/>
        <v>0.01</v>
      </c>
      <c r="V36" s="1216">
        <f t="shared" si="41"/>
        <v>75.02</v>
      </c>
      <c r="W36" s="1216">
        <f t="shared" si="41"/>
        <v>75.03</v>
      </c>
      <c r="X36" s="1216">
        <f t="shared" si="41"/>
        <v>0.04</v>
      </c>
      <c r="Y36" s="1216">
        <f t="shared" si="41"/>
        <v>0.05</v>
      </c>
      <c r="Z36" s="1216" t="str">
        <f t="shared" si="41"/>
        <v/>
      </c>
      <c r="AA36" s="1216" t="str">
        <f t="shared" si="41"/>
        <v/>
      </c>
      <c r="AB36" s="1217" t="str">
        <f t="shared" si="41"/>
        <v/>
      </c>
      <c r="AC36" s="1216" t="str">
        <f t="shared" si="41"/>
        <v/>
      </c>
      <c r="AD36" s="1218" t="str">
        <f t="shared" si="41"/>
        <v/>
      </c>
      <c r="AE36" s="1219">
        <f t="shared" si="27"/>
        <v>75.03</v>
      </c>
      <c r="AF36" s="282">
        <f t="shared" si="28"/>
        <v>0.01</v>
      </c>
      <c r="AG36" s="282" t="str">
        <f t="shared" si="29"/>
        <v>perlu dimaksimalkan</v>
      </c>
      <c r="AH36" s="282" t="str">
        <f t="shared" si="29"/>
        <v>perlu dimaksimalkan</v>
      </c>
      <c r="AI36" s="282">
        <f t="shared" si="30"/>
        <v>3</v>
      </c>
      <c r="AJ36" s="283">
        <f t="shared" si="31"/>
        <v>1</v>
      </c>
      <c r="AK36" s="284" t="str">
        <f t="shared" si="32"/>
        <v>Memiliki kemampuan perlu dimaksimalkan dalam Menjelaskan rasio trigonometri (sinus, cosinus, tangen, cosecan, secan, dan cotangen) pada segitiga siku-siku dan Menjelaskan dan menentukan fungsi (terutama fungsi linear, fungsi kuadrat, dan fungsi rasional) secara formal yang meliputi notasi, daerah asal, daerah hasil, dan ekspresi simbolik, serta sketsa grafiknya</v>
      </c>
      <c r="AL36" s="276">
        <v>0</v>
      </c>
      <c r="AM36" s="277">
        <v>75</v>
      </c>
      <c r="AN36" s="277">
        <v>75</v>
      </c>
      <c r="AO36" s="277">
        <v>0</v>
      </c>
      <c r="AP36" s="277">
        <v>0</v>
      </c>
      <c r="AQ36" s="277"/>
      <c r="AR36" s="277"/>
      <c r="AS36" s="280"/>
      <c r="AT36" s="277"/>
      <c r="AU36" s="278"/>
      <c r="AV36" s="285">
        <f t="shared" si="33"/>
        <v>30</v>
      </c>
      <c r="AW36" s="296" t="str">
        <f t="shared" si="34"/>
        <v>D</v>
      </c>
      <c r="AX36" s="1220">
        <f t="shared" si="42"/>
        <v>0.01</v>
      </c>
      <c r="AY36" s="1221">
        <f t="shared" si="42"/>
        <v>75.02</v>
      </c>
      <c r="AZ36" s="1221">
        <f t="shared" si="42"/>
        <v>75.03</v>
      </c>
      <c r="BA36" s="1221">
        <f t="shared" si="42"/>
        <v>0.04</v>
      </c>
      <c r="BB36" s="1221">
        <f t="shared" si="42"/>
        <v>0.05</v>
      </c>
      <c r="BC36" s="1221" t="str">
        <f t="shared" si="42"/>
        <v/>
      </c>
      <c r="BD36" s="1221" t="str">
        <f t="shared" si="42"/>
        <v/>
      </c>
      <c r="BE36" s="1222" t="str">
        <f t="shared" si="42"/>
        <v/>
      </c>
      <c r="BF36" s="1221" t="str">
        <f t="shared" si="42"/>
        <v/>
      </c>
      <c r="BG36" s="1223" t="str">
        <f t="shared" si="42"/>
        <v/>
      </c>
      <c r="BH36" s="286">
        <f t="shared" si="35"/>
        <v>75.03</v>
      </c>
      <c r="BI36" s="286">
        <f t="shared" si="36"/>
        <v>0.01</v>
      </c>
      <c r="BJ36" s="287" t="str">
        <f t="shared" si="37"/>
        <v>perlu dimaksimalkan</v>
      </c>
      <c r="BK36" s="287" t="str">
        <f t="shared" si="37"/>
        <v>perlu dimaksimalkan</v>
      </c>
      <c r="BL36" s="286">
        <f t="shared" si="38"/>
        <v>3</v>
      </c>
      <c r="BM36" s="288">
        <f t="shared" si="39"/>
        <v>1</v>
      </c>
      <c r="BN36" s="289" t="str">
        <f t="shared" si="40"/>
        <v>Memiliki keterampilan perlu dimaksimalkan dalam Menyelesaikan masalah kontekstual yang berkaitan dengan rasio trigonometri (sinus, cosinus, tangen, cosecan, secan, dan cotangen) pada segitiga siku-siku dan Menganalisa karakteristik masing – masing grafik (titik potong dengan sumbu, titik puncak, asimtot) dan perubahan grafik fungsinya akibat transformasi f2(x), 1/f(x), |f(x)| dsb</v>
      </c>
      <c r="BO36" s="67"/>
    </row>
    <row r="37" spans="1:67" ht="33" customHeight="1">
      <c r="A37" s="67"/>
      <c r="B37" s="272">
        <f t="shared" si="23"/>
        <v>24</v>
      </c>
      <c r="C37" s="273">
        <f>IF(Data!F28="","",Data!F28)</f>
        <v>0</v>
      </c>
      <c r="D37" s="274" t="str">
        <f>IF(Data!H28="","",Data!H28)</f>
        <v>Marlon Dioninsius Lalus</v>
      </c>
      <c r="E37" s="275" t="str">
        <f>IF(Data!I28="","",Data!I28)</f>
        <v>L</v>
      </c>
      <c r="F37" s="276">
        <v>90</v>
      </c>
      <c r="G37" s="277">
        <v>90</v>
      </c>
      <c r="H37" s="277">
        <v>90</v>
      </c>
      <c r="I37" s="277">
        <v>90</v>
      </c>
      <c r="J37" s="277">
        <v>90</v>
      </c>
      <c r="K37" s="277"/>
      <c r="L37" s="277"/>
      <c r="M37" s="280"/>
      <c r="N37" s="277"/>
      <c r="O37" s="278"/>
      <c r="P37" s="279">
        <f t="shared" si="24"/>
        <v>90</v>
      </c>
      <c r="Q37" s="277">
        <v>80</v>
      </c>
      <c r="R37" s="280">
        <v>80</v>
      </c>
      <c r="S37" s="281">
        <f t="shared" si="25"/>
        <v>85</v>
      </c>
      <c r="T37" s="295" t="str">
        <f t="shared" si="26"/>
        <v>B</v>
      </c>
      <c r="U37" s="1215">
        <f t="shared" si="41"/>
        <v>90.01</v>
      </c>
      <c r="V37" s="1216">
        <f t="shared" si="41"/>
        <v>90.02</v>
      </c>
      <c r="W37" s="1216">
        <f t="shared" si="41"/>
        <v>90.03</v>
      </c>
      <c r="X37" s="1216">
        <f t="shared" si="41"/>
        <v>90.04</v>
      </c>
      <c r="Y37" s="1216">
        <f t="shared" si="41"/>
        <v>90.05</v>
      </c>
      <c r="Z37" s="1216" t="str">
        <f t="shared" si="41"/>
        <v/>
      </c>
      <c r="AA37" s="1216" t="str">
        <f t="shared" si="41"/>
        <v/>
      </c>
      <c r="AB37" s="1217" t="str">
        <f t="shared" si="41"/>
        <v/>
      </c>
      <c r="AC37" s="1216" t="str">
        <f t="shared" si="41"/>
        <v/>
      </c>
      <c r="AD37" s="1218" t="str">
        <f t="shared" si="41"/>
        <v/>
      </c>
      <c r="AE37" s="1219">
        <f t="shared" si="27"/>
        <v>90.05</v>
      </c>
      <c r="AF37" s="282">
        <f t="shared" si="28"/>
        <v>90.01</v>
      </c>
      <c r="AG37" s="282" t="str">
        <f t="shared" si="29"/>
        <v>baik</v>
      </c>
      <c r="AH37" s="282" t="str">
        <f t="shared" si="29"/>
        <v>baik</v>
      </c>
      <c r="AI37" s="282">
        <f t="shared" si="30"/>
        <v>5</v>
      </c>
      <c r="AJ37" s="283">
        <f t="shared" si="31"/>
        <v>1</v>
      </c>
      <c r="AK37" s="284" t="str">
        <f t="shared" si="32"/>
        <v>Memiliki kemampuan baik dalam Menjelaskan aturan sinus dan cosinus dan Menjelaskan dan menentukan fungsi (terutama fungsi linear, fungsi kuadrat, dan fungsi rasional) secara formal yang meliputi notasi, daerah asal, daerah hasil, dan ekspresi simbolik, serta sketsa grafiknya</v>
      </c>
      <c r="AL37" s="276">
        <v>90</v>
      </c>
      <c r="AM37" s="277">
        <v>90</v>
      </c>
      <c r="AN37" s="277">
        <v>90</v>
      </c>
      <c r="AO37" s="277">
        <v>90</v>
      </c>
      <c r="AP37" s="277">
        <v>90</v>
      </c>
      <c r="AQ37" s="277"/>
      <c r="AR37" s="277"/>
      <c r="AS37" s="280"/>
      <c r="AT37" s="277"/>
      <c r="AU37" s="278"/>
      <c r="AV37" s="285">
        <f t="shared" si="33"/>
        <v>90</v>
      </c>
      <c r="AW37" s="296" t="str">
        <f t="shared" si="34"/>
        <v>B</v>
      </c>
      <c r="AX37" s="1220">
        <f t="shared" si="42"/>
        <v>90.01</v>
      </c>
      <c r="AY37" s="1221">
        <f t="shared" si="42"/>
        <v>90.02</v>
      </c>
      <c r="AZ37" s="1221">
        <f t="shared" si="42"/>
        <v>90.03</v>
      </c>
      <c r="BA37" s="1221">
        <f t="shared" si="42"/>
        <v>90.04</v>
      </c>
      <c r="BB37" s="1221">
        <f t="shared" si="42"/>
        <v>90.05</v>
      </c>
      <c r="BC37" s="1221" t="str">
        <f t="shared" si="42"/>
        <v/>
      </c>
      <c r="BD37" s="1221" t="str">
        <f t="shared" si="42"/>
        <v/>
      </c>
      <c r="BE37" s="1222" t="str">
        <f t="shared" si="42"/>
        <v/>
      </c>
      <c r="BF37" s="1221" t="str">
        <f t="shared" si="42"/>
        <v/>
      </c>
      <c r="BG37" s="1223" t="str">
        <f t="shared" si="42"/>
        <v/>
      </c>
      <c r="BH37" s="286">
        <f t="shared" si="35"/>
        <v>90.05</v>
      </c>
      <c r="BI37" s="286">
        <f t="shared" si="36"/>
        <v>90.01</v>
      </c>
      <c r="BJ37" s="287" t="str">
        <f t="shared" si="37"/>
        <v>baik</v>
      </c>
      <c r="BK37" s="287" t="str">
        <f t="shared" si="37"/>
        <v>baik</v>
      </c>
      <c r="BL37" s="286">
        <f t="shared" si="38"/>
        <v>5</v>
      </c>
      <c r="BM37" s="288">
        <f t="shared" si="39"/>
        <v>1</v>
      </c>
      <c r="BN37" s="289" t="str">
        <f t="shared" si="40"/>
        <v>Memiliki keterampilan baik dalam Menganalisa perubahan grafik fungsi trigonometri akibat perubahan pada konstanta pada fungsi y = a sin b(x + c) + d. dan Menganalisa karakteristik masing – masing grafik (titik potong dengan sumbu, titik puncak, asimtot) dan perubahan grafik fungsinya akibat transformasi f2(x), 1/f(x), |f(x)| dsb</v>
      </c>
      <c r="BO37" s="67"/>
    </row>
    <row r="38" spans="1:67" ht="33" customHeight="1">
      <c r="A38" s="67"/>
      <c r="B38" s="272">
        <f t="shared" ref="B38:B46" si="43">IF(D38="","",B37+1)</f>
        <v>25</v>
      </c>
      <c r="C38" s="273">
        <f>IF(Data!F29="","",Data!F29)</f>
        <v>0</v>
      </c>
      <c r="D38" s="274" t="str">
        <f>IF(Data!H29="","",Data!H29)</f>
        <v>Maya Trifena Niobe</v>
      </c>
      <c r="E38" s="275" t="str">
        <f>IF(Data!I29="","",Data!I29)</f>
        <v>P</v>
      </c>
      <c r="F38" s="276">
        <v>90</v>
      </c>
      <c r="G38" s="277">
        <v>90</v>
      </c>
      <c r="H38" s="277">
        <v>90</v>
      </c>
      <c r="I38" s="277">
        <v>90</v>
      </c>
      <c r="J38" s="277">
        <v>90</v>
      </c>
      <c r="K38" s="277"/>
      <c r="L38" s="277"/>
      <c r="M38" s="280"/>
      <c r="N38" s="277"/>
      <c r="O38" s="278"/>
      <c r="P38" s="279">
        <f t="shared" si="24"/>
        <v>90</v>
      </c>
      <c r="Q38" s="277">
        <v>80</v>
      </c>
      <c r="R38" s="280">
        <v>75</v>
      </c>
      <c r="S38" s="281">
        <f t="shared" si="25"/>
        <v>84</v>
      </c>
      <c r="T38" s="295" t="str">
        <f t="shared" si="26"/>
        <v>C</v>
      </c>
      <c r="U38" s="1215">
        <f t="shared" si="41"/>
        <v>90.01</v>
      </c>
      <c r="V38" s="1216">
        <f t="shared" si="41"/>
        <v>90.02</v>
      </c>
      <c r="W38" s="1216">
        <f t="shared" si="41"/>
        <v>90.03</v>
      </c>
      <c r="X38" s="1216">
        <f t="shared" si="41"/>
        <v>90.04</v>
      </c>
      <c r="Y38" s="1216">
        <f t="shared" si="41"/>
        <v>90.05</v>
      </c>
      <c r="Z38" s="1216" t="str">
        <f t="shared" si="41"/>
        <v/>
      </c>
      <c r="AA38" s="1216" t="str">
        <f t="shared" si="41"/>
        <v/>
      </c>
      <c r="AB38" s="1217" t="str">
        <f t="shared" si="41"/>
        <v/>
      </c>
      <c r="AC38" s="1216" t="str">
        <f t="shared" si="41"/>
        <v/>
      </c>
      <c r="AD38" s="1218" t="str">
        <f t="shared" si="41"/>
        <v/>
      </c>
      <c r="AE38" s="1219">
        <f t="shared" si="27"/>
        <v>90.05</v>
      </c>
      <c r="AF38" s="282">
        <f t="shared" si="28"/>
        <v>90.01</v>
      </c>
      <c r="AG38" s="282" t="str">
        <f t="shared" si="29"/>
        <v>baik</v>
      </c>
      <c r="AH38" s="282" t="str">
        <f t="shared" si="29"/>
        <v>baik</v>
      </c>
      <c r="AI38" s="282">
        <f t="shared" si="30"/>
        <v>5</v>
      </c>
      <c r="AJ38" s="283">
        <f t="shared" si="31"/>
        <v>1</v>
      </c>
      <c r="AK38" s="284" t="str">
        <f t="shared" si="32"/>
        <v>Memiliki kemampuan baik dalam Menjelaskan aturan sinus dan cosinus dan Menjelaskan dan menentukan fungsi (terutama fungsi linear, fungsi kuadrat, dan fungsi rasional) secara formal yang meliputi notasi, daerah asal, daerah hasil, dan ekspresi simbolik, serta sketsa grafiknya</v>
      </c>
      <c r="AL38" s="276">
        <v>90</v>
      </c>
      <c r="AM38" s="277">
        <v>90</v>
      </c>
      <c r="AN38" s="277">
        <v>90</v>
      </c>
      <c r="AO38" s="277">
        <v>90</v>
      </c>
      <c r="AP38" s="277">
        <v>90</v>
      </c>
      <c r="AQ38" s="277"/>
      <c r="AR38" s="277"/>
      <c r="AS38" s="280"/>
      <c r="AT38" s="277"/>
      <c r="AU38" s="278"/>
      <c r="AV38" s="285">
        <f t="shared" si="33"/>
        <v>90</v>
      </c>
      <c r="AW38" s="296" t="str">
        <f t="shared" si="34"/>
        <v>B</v>
      </c>
      <c r="AX38" s="1220">
        <f t="shared" si="42"/>
        <v>90.01</v>
      </c>
      <c r="AY38" s="1221">
        <f t="shared" si="42"/>
        <v>90.02</v>
      </c>
      <c r="AZ38" s="1221">
        <f t="shared" si="42"/>
        <v>90.03</v>
      </c>
      <c r="BA38" s="1221">
        <f t="shared" si="42"/>
        <v>90.04</v>
      </c>
      <c r="BB38" s="1221">
        <f t="shared" si="42"/>
        <v>90.05</v>
      </c>
      <c r="BC38" s="1221" t="str">
        <f t="shared" si="42"/>
        <v/>
      </c>
      <c r="BD38" s="1221" t="str">
        <f t="shared" si="42"/>
        <v/>
      </c>
      <c r="BE38" s="1222" t="str">
        <f t="shared" si="42"/>
        <v/>
      </c>
      <c r="BF38" s="1221" t="str">
        <f t="shared" si="42"/>
        <v/>
      </c>
      <c r="BG38" s="1223" t="str">
        <f t="shared" si="42"/>
        <v/>
      </c>
      <c r="BH38" s="286">
        <f t="shared" si="35"/>
        <v>90.05</v>
      </c>
      <c r="BI38" s="286">
        <f t="shared" si="36"/>
        <v>90.01</v>
      </c>
      <c r="BJ38" s="287" t="str">
        <f t="shared" si="37"/>
        <v>baik</v>
      </c>
      <c r="BK38" s="287" t="str">
        <f t="shared" si="37"/>
        <v>baik</v>
      </c>
      <c r="BL38" s="286">
        <f t="shared" si="38"/>
        <v>5</v>
      </c>
      <c r="BM38" s="288">
        <f t="shared" si="39"/>
        <v>1</v>
      </c>
      <c r="BN38" s="289" t="str">
        <f t="shared" si="40"/>
        <v>Memiliki keterampilan baik dalam Menganalisa perubahan grafik fungsi trigonometri akibat perubahan pada konstanta pada fungsi y = a sin b(x + c) + d. dan Menganalisa karakteristik masing – masing grafik (titik potong dengan sumbu, titik puncak, asimtot) dan perubahan grafik fungsinya akibat transformasi f2(x), 1/f(x), |f(x)| dsb</v>
      </c>
      <c r="BO38" s="67"/>
    </row>
    <row r="39" spans="1:67" ht="33" customHeight="1">
      <c r="A39" s="67"/>
      <c r="B39" s="272">
        <f t="shared" si="43"/>
        <v>26</v>
      </c>
      <c r="C39" s="273">
        <f>IF(Data!F30="","",Data!F30)</f>
        <v>0</v>
      </c>
      <c r="D39" s="274" t="str">
        <f>IF(Data!H30="","",Data!H30)</f>
        <v>Misel Miranda Sora</v>
      </c>
      <c r="E39" s="275" t="str">
        <f>IF(Data!I30="","",Data!I30)</f>
        <v>P</v>
      </c>
      <c r="F39" s="276">
        <v>90</v>
      </c>
      <c r="G39" s="277">
        <v>90</v>
      </c>
      <c r="H39" s="277">
        <v>70</v>
      </c>
      <c r="I39" s="277">
        <v>90</v>
      </c>
      <c r="J39" s="277">
        <v>90</v>
      </c>
      <c r="K39" s="277"/>
      <c r="L39" s="277"/>
      <c r="M39" s="280"/>
      <c r="N39" s="277"/>
      <c r="O39" s="278"/>
      <c r="P39" s="279">
        <f t="shared" si="24"/>
        <v>86</v>
      </c>
      <c r="Q39" s="277">
        <v>80</v>
      </c>
      <c r="R39" s="280">
        <v>80</v>
      </c>
      <c r="S39" s="281">
        <f t="shared" si="25"/>
        <v>83</v>
      </c>
      <c r="T39" s="295" t="str">
        <f t="shared" si="26"/>
        <v>C</v>
      </c>
      <c r="U39" s="1215">
        <f t="shared" si="41"/>
        <v>90.01</v>
      </c>
      <c r="V39" s="1216">
        <f t="shared" si="41"/>
        <v>90.02</v>
      </c>
      <c r="W39" s="1216">
        <f t="shared" si="41"/>
        <v>70.03</v>
      </c>
      <c r="X39" s="1216">
        <f t="shared" si="41"/>
        <v>90.04</v>
      </c>
      <c r="Y39" s="1216">
        <f t="shared" si="41"/>
        <v>90.05</v>
      </c>
      <c r="Z39" s="1216" t="str">
        <f t="shared" si="41"/>
        <v/>
      </c>
      <c r="AA39" s="1216" t="str">
        <f t="shared" si="41"/>
        <v/>
      </c>
      <c r="AB39" s="1217" t="str">
        <f t="shared" si="41"/>
        <v/>
      </c>
      <c r="AC39" s="1216" t="str">
        <f t="shared" si="41"/>
        <v/>
      </c>
      <c r="AD39" s="1218" t="str">
        <f t="shared" si="41"/>
        <v/>
      </c>
      <c r="AE39" s="1219">
        <f t="shared" si="27"/>
        <v>90.05</v>
      </c>
      <c r="AF39" s="282">
        <f t="shared" si="28"/>
        <v>70.03</v>
      </c>
      <c r="AG39" s="282" t="str">
        <f t="shared" si="29"/>
        <v>baik</v>
      </c>
      <c r="AH39" s="282" t="str">
        <f t="shared" si="29"/>
        <v>perlu dimaksimalkan</v>
      </c>
      <c r="AI39" s="282">
        <f t="shared" si="30"/>
        <v>5</v>
      </c>
      <c r="AJ39" s="283">
        <f t="shared" si="31"/>
        <v>3</v>
      </c>
      <c r="AK39" s="284" t="str">
        <f t="shared" si="32"/>
        <v>Memiliki kemampuan baik dalam Menjelaskan aturan sinus dan cosinus, perlu dimaksimalkan kemampuan dalam Menjelaskan rasio trigonometri (sinus, cosinus, tangen, cosecan, secan, dan cotangen) pada segitiga siku-siku</v>
      </c>
      <c r="AL39" s="276">
        <v>90</v>
      </c>
      <c r="AM39" s="277">
        <v>90</v>
      </c>
      <c r="AN39" s="277">
        <v>70</v>
      </c>
      <c r="AO39" s="277">
        <v>90</v>
      </c>
      <c r="AP39" s="277">
        <v>90</v>
      </c>
      <c r="AQ39" s="277"/>
      <c r="AR39" s="277"/>
      <c r="AS39" s="280"/>
      <c r="AT39" s="277"/>
      <c r="AU39" s="278"/>
      <c r="AV39" s="285">
        <f t="shared" si="33"/>
        <v>86</v>
      </c>
      <c r="AW39" s="296" t="str">
        <f t="shared" si="34"/>
        <v>B</v>
      </c>
      <c r="AX39" s="1220">
        <f t="shared" si="42"/>
        <v>90.01</v>
      </c>
      <c r="AY39" s="1221">
        <f t="shared" si="42"/>
        <v>90.02</v>
      </c>
      <c r="AZ39" s="1221">
        <f t="shared" si="42"/>
        <v>70.03</v>
      </c>
      <c r="BA39" s="1221">
        <f t="shared" si="42"/>
        <v>90.04</v>
      </c>
      <c r="BB39" s="1221">
        <f t="shared" si="42"/>
        <v>90.05</v>
      </c>
      <c r="BC39" s="1221" t="str">
        <f t="shared" si="42"/>
        <v/>
      </c>
      <c r="BD39" s="1221" t="str">
        <f t="shared" si="42"/>
        <v/>
      </c>
      <c r="BE39" s="1222" t="str">
        <f t="shared" si="42"/>
        <v/>
      </c>
      <c r="BF39" s="1221" t="str">
        <f t="shared" si="42"/>
        <v/>
      </c>
      <c r="BG39" s="1223" t="str">
        <f t="shared" si="42"/>
        <v/>
      </c>
      <c r="BH39" s="286">
        <f t="shared" si="35"/>
        <v>90.05</v>
      </c>
      <c r="BI39" s="286">
        <f t="shared" si="36"/>
        <v>70.03</v>
      </c>
      <c r="BJ39" s="287" t="str">
        <f t="shared" si="37"/>
        <v>baik</v>
      </c>
      <c r="BK39" s="287" t="str">
        <f t="shared" si="37"/>
        <v>perlu dimaksimalkan</v>
      </c>
      <c r="BL39" s="286">
        <f t="shared" si="38"/>
        <v>5</v>
      </c>
      <c r="BM39" s="288">
        <f t="shared" si="39"/>
        <v>3</v>
      </c>
      <c r="BN39"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39" s="67"/>
    </row>
    <row r="40" spans="1:67" ht="33" customHeight="1">
      <c r="A40" s="67"/>
      <c r="B40" s="272">
        <f t="shared" si="43"/>
        <v>27</v>
      </c>
      <c r="C40" s="273">
        <f>IF(Data!F31="","",Data!F31)</f>
        <v>0</v>
      </c>
      <c r="D40" s="274" t="str">
        <f>IF(Data!H31="","",Data!H31)</f>
        <v>Nofianti Tainmeta</v>
      </c>
      <c r="E40" s="275" t="str">
        <f>IF(Data!I31="","",Data!I31)</f>
        <v>P</v>
      </c>
      <c r="F40" s="276">
        <v>90</v>
      </c>
      <c r="G40" s="277">
        <v>90</v>
      </c>
      <c r="H40" s="277">
        <v>70</v>
      </c>
      <c r="I40" s="277">
        <v>90</v>
      </c>
      <c r="J40" s="277">
        <v>90</v>
      </c>
      <c r="K40" s="277"/>
      <c r="L40" s="277"/>
      <c r="M40" s="280"/>
      <c r="N40" s="277"/>
      <c r="O40" s="278"/>
      <c r="P40" s="279">
        <f t="shared" si="24"/>
        <v>86</v>
      </c>
      <c r="Q40" s="277">
        <v>80</v>
      </c>
      <c r="R40" s="280">
        <v>80</v>
      </c>
      <c r="S40" s="281">
        <f t="shared" si="25"/>
        <v>83</v>
      </c>
      <c r="T40" s="295" t="str">
        <f t="shared" si="26"/>
        <v>C</v>
      </c>
      <c r="U40" s="1215">
        <f t="shared" si="41"/>
        <v>90.01</v>
      </c>
      <c r="V40" s="1216">
        <f t="shared" si="41"/>
        <v>90.02</v>
      </c>
      <c r="W40" s="1216">
        <f t="shared" si="41"/>
        <v>70.03</v>
      </c>
      <c r="X40" s="1216">
        <f t="shared" si="41"/>
        <v>90.04</v>
      </c>
      <c r="Y40" s="1216">
        <f t="shared" si="41"/>
        <v>90.05</v>
      </c>
      <c r="Z40" s="1216" t="str">
        <f t="shared" si="41"/>
        <v/>
      </c>
      <c r="AA40" s="1216" t="str">
        <f t="shared" si="41"/>
        <v/>
      </c>
      <c r="AB40" s="1217" t="str">
        <f t="shared" si="41"/>
        <v/>
      </c>
      <c r="AC40" s="1216" t="str">
        <f t="shared" si="41"/>
        <v/>
      </c>
      <c r="AD40" s="1218" t="str">
        <f t="shared" si="41"/>
        <v/>
      </c>
      <c r="AE40" s="1219">
        <f t="shared" si="27"/>
        <v>90.05</v>
      </c>
      <c r="AF40" s="282">
        <f t="shared" si="28"/>
        <v>70.03</v>
      </c>
      <c r="AG40" s="282" t="str">
        <f t="shared" si="29"/>
        <v>baik</v>
      </c>
      <c r="AH40" s="282" t="str">
        <f t="shared" si="29"/>
        <v>perlu dimaksimalkan</v>
      </c>
      <c r="AI40" s="282">
        <f t="shared" si="30"/>
        <v>5</v>
      </c>
      <c r="AJ40" s="283">
        <f t="shared" si="31"/>
        <v>3</v>
      </c>
      <c r="AK40" s="284" t="str">
        <f t="shared" si="32"/>
        <v>Memiliki kemampuan baik dalam Menjelaskan aturan sinus dan cosinus, perlu dimaksimalkan kemampuan dalam Menjelaskan rasio trigonometri (sinus, cosinus, tangen, cosecan, secan, dan cotangen) pada segitiga siku-siku</v>
      </c>
      <c r="AL40" s="276">
        <v>90</v>
      </c>
      <c r="AM40" s="277">
        <v>90</v>
      </c>
      <c r="AN40" s="277">
        <v>70</v>
      </c>
      <c r="AO40" s="277">
        <v>90</v>
      </c>
      <c r="AP40" s="277">
        <v>90</v>
      </c>
      <c r="AQ40" s="277"/>
      <c r="AR40" s="277"/>
      <c r="AS40" s="280"/>
      <c r="AT40" s="277"/>
      <c r="AU40" s="278"/>
      <c r="AV40" s="285">
        <f t="shared" si="33"/>
        <v>86</v>
      </c>
      <c r="AW40" s="296" t="str">
        <f t="shared" si="34"/>
        <v>B</v>
      </c>
      <c r="AX40" s="1220">
        <f t="shared" si="42"/>
        <v>90.01</v>
      </c>
      <c r="AY40" s="1221">
        <f t="shared" si="42"/>
        <v>90.02</v>
      </c>
      <c r="AZ40" s="1221">
        <f t="shared" si="42"/>
        <v>70.03</v>
      </c>
      <c r="BA40" s="1221">
        <f t="shared" si="42"/>
        <v>90.04</v>
      </c>
      <c r="BB40" s="1221">
        <f t="shared" si="42"/>
        <v>90.05</v>
      </c>
      <c r="BC40" s="1221" t="str">
        <f t="shared" si="42"/>
        <v/>
      </c>
      <c r="BD40" s="1221" t="str">
        <f t="shared" si="42"/>
        <v/>
      </c>
      <c r="BE40" s="1222" t="str">
        <f t="shared" si="42"/>
        <v/>
      </c>
      <c r="BF40" s="1221" t="str">
        <f t="shared" si="42"/>
        <v/>
      </c>
      <c r="BG40" s="1223" t="str">
        <f t="shared" si="42"/>
        <v/>
      </c>
      <c r="BH40" s="286">
        <f t="shared" si="35"/>
        <v>90.05</v>
      </c>
      <c r="BI40" s="286">
        <f t="shared" si="36"/>
        <v>70.03</v>
      </c>
      <c r="BJ40" s="287" t="str">
        <f t="shared" si="37"/>
        <v>baik</v>
      </c>
      <c r="BK40" s="287" t="str">
        <f t="shared" si="37"/>
        <v>perlu dimaksimalkan</v>
      </c>
      <c r="BL40" s="286">
        <f t="shared" si="38"/>
        <v>5</v>
      </c>
      <c r="BM40" s="288">
        <f t="shared" si="39"/>
        <v>3</v>
      </c>
      <c r="BN40"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40" s="67"/>
    </row>
    <row r="41" spans="1:67" ht="33" customHeight="1">
      <c r="A41" s="67"/>
      <c r="B41" s="272">
        <f t="shared" si="43"/>
        <v>28</v>
      </c>
      <c r="C41" s="273">
        <f>IF(Data!F32="","",Data!F32)</f>
        <v>0</v>
      </c>
      <c r="D41" s="274" t="str">
        <f>IF(Data!H32="","",Data!H32)</f>
        <v>Ofni Antrikus Banun</v>
      </c>
      <c r="E41" s="275" t="str">
        <f>IF(Data!I32="","",Data!I32)</f>
        <v>L</v>
      </c>
      <c r="F41" s="276">
        <v>0</v>
      </c>
      <c r="G41" s="277">
        <v>0</v>
      </c>
      <c r="H41" s="277">
        <v>0</v>
      </c>
      <c r="I41" s="277">
        <v>0</v>
      </c>
      <c r="J41" s="277">
        <v>0</v>
      </c>
      <c r="K41" s="277"/>
      <c r="L41" s="277"/>
      <c r="M41" s="280"/>
      <c r="N41" s="277"/>
      <c r="O41" s="278"/>
      <c r="P41" s="279">
        <f t="shared" si="24"/>
        <v>0</v>
      </c>
      <c r="Q41" s="277">
        <v>0</v>
      </c>
      <c r="R41" s="280">
        <v>75</v>
      </c>
      <c r="S41" s="281">
        <f t="shared" si="25"/>
        <v>19</v>
      </c>
      <c r="T41" s="295" t="str">
        <f t="shared" si="26"/>
        <v>D</v>
      </c>
      <c r="U41" s="1215">
        <f t="shared" si="41"/>
        <v>0.01</v>
      </c>
      <c r="V41" s="1216">
        <f t="shared" si="41"/>
        <v>0.02</v>
      </c>
      <c r="W41" s="1216">
        <f t="shared" si="41"/>
        <v>0.03</v>
      </c>
      <c r="X41" s="1216">
        <f t="shared" si="41"/>
        <v>0.04</v>
      </c>
      <c r="Y41" s="1216">
        <f t="shared" si="41"/>
        <v>0.05</v>
      </c>
      <c r="Z41" s="1216" t="str">
        <f t="shared" si="41"/>
        <v/>
      </c>
      <c r="AA41" s="1216" t="str">
        <f t="shared" si="41"/>
        <v/>
      </c>
      <c r="AB41" s="1217" t="str">
        <f t="shared" si="41"/>
        <v/>
      </c>
      <c r="AC41" s="1216" t="str">
        <f t="shared" si="41"/>
        <v/>
      </c>
      <c r="AD41" s="1218" t="str">
        <f t="shared" si="41"/>
        <v/>
      </c>
      <c r="AE41" s="1219">
        <f t="shared" si="27"/>
        <v>0.05</v>
      </c>
      <c r="AF41" s="282">
        <f t="shared" si="28"/>
        <v>0.01</v>
      </c>
      <c r="AG41" s="282" t="str">
        <f t="shared" si="29"/>
        <v>perlu dimaksimalkan</v>
      </c>
      <c r="AH41" s="282" t="str">
        <f t="shared" si="29"/>
        <v>perlu dimaksimalkan</v>
      </c>
      <c r="AI41" s="282">
        <f t="shared" si="30"/>
        <v>5</v>
      </c>
      <c r="AJ41" s="283">
        <f t="shared" si="31"/>
        <v>1</v>
      </c>
      <c r="AK41" s="284" t="str">
        <f t="shared" si="32"/>
        <v>Memiliki kemampuan perlu dimaksimalkan dalam Menjelaskan aturan sinus dan cosinus dan Menjelaskan dan menentukan fungsi (terutama fungsi linear, fungsi kuadrat, dan fungsi rasional) secara formal yang meliputi notasi, daerah asal, daerah hasil, dan ekspresi simbolik, serta sketsa grafiknya</v>
      </c>
      <c r="AL41" s="276">
        <v>0</v>
      </c>
      <c r="AM41" s="277">
        <v>0</v>
      </c>
      <c r="AN41" s="277">
        <v>0</v>
      </c>
      <c r="AO41" s="277">
        <v>0</v>
      </c>
      <c r="AP41" s="277">
        <v>0</v>
      </c>
      <c r="AQ41" s="277"/>
      <c r="AR41" s="277"/>
      <c r="AS41" s="280"/>
      <c r="AT41" s="277"/>
      <c r="AU41" s="278"/>
      <c r="AV41" s="285">
        <f t="shared" si="33"/>
        <v>0</v>
      </c>
      <c r="AW41" s="296" t="str">
        <f t="shared" si="34"/>
        <v>D</v>
      </c>
      <c r="AX41" s="1220">
        <f t="shared" si="42"/>
        <v>0.01</v>
      </c>
      <c r="AY41" s="1221">
        <f t="shared" si="42"/>
        <v>0.02</v>
      </c>
      <c r="AZ41" s="1221">
        <f t="shared" si="42"/>
        <v>0.03</v>
      </c>
      <c r="BA41" s="1221">
        <f t="shared" si="42"/>
        <v>0.04</v>
      </c>
      <c r="BB41" s="1221">
        <f t="shared" si="42"/>
        <v>0.05</v>
      </c>
      <c r="BC41" s="1221" t="str">
        <f t="shared" si="42"/>
        <v/>
      </c>
      <c r="BD41" s="1221" t="str">
        <f t="shared" si="42"/>
        <v/>
      </c>
      <c r="BE41" s="1222" t="str">
        <f t="shared" si="42"/>
        <v/>
      </c>
      <c r="BF41" s="1221" t="str">
        <f t="shared" si="42"/>
        <v/>
      </c>
      <c r="BG41" s="1223" t="str">
        <f t="shared" si="42"/>
        <v/>
      </c>
      <c r="BH41" s="286">
        <f t="shared" si="35"/>
        <v>0.05</v>
      </c>
      <c r="BI41" s="286">
        <f t="shared" si="36"/>
        <v>0.01</v>
      </c>
      <c r="BJ41" s="287" t="str">
        <f t="shared" si="37"/>
        <v>perlu dimaksimalkan</v>
      </c>
      <c r="BK41" s="287" t="str">
        <f t="shared" si="37"/>
        <v>perlu dimaksimalkan</v>
      </c>
      <c r="BL41" s="286">
        <f t="shared" si="38"/>
        <v>5</v>
      </c>
      <c r="BM41" s="288">
        <f t="shared" si="39"/>
        <v>1</v>
      </c>
      <c r="BN41" s="289" t="str">
        <f t="shared" si="40"/>
        <v>Memiliki keterampilan perlu dimaksimalkan dalam Menganalisa perubahan grafik fungsi trigonometri akibat perubahan pada konstanta pada fungsi y = a sin b(x + c) + d. dan Menganalisa karakteristik masing – masing grafik (titik potong dengan sumbu, titik puncak, asimtot) dan perubahan grafik fungsinya akibat transformasi f2(x), 1/f(x), |f(x)| dsb</v>
      </c>
      <c r="BO41" s="67"/>
    </row>
    <row r="42" spans="1:67" ht="33" customHeight="1">
      <c r="A42" s="67"/>
      <c r="B42" s="272">
        <f t="shared" si="43"/>
        <v>29</v>
      </c>
      <c r="C42" s="273">
        <f>IF(Data!F33="","",Data!F33)</f>
        <v>0</v>
      </c>
      <c r="D42" s="274" t="str">
        <f>IF(Data!H33="","",Data!H33)</f>
        <v>Roiyandi Saebesi</v>
      </c>
      <c r="E42" s="275" t="str">
        <f>IF(Data!I33="","",Data!I33)</f>
        <v>L</v>
      </c>
      <c r="F42" s="276">
        <v>90</v>
      </c>
      <c r="G42" s="277">
        <v>90</v>
      </c>
      <c r="H42" s="277">
        <v>70</v>
      </c>
      <c r="I42" s="277">
        <v>90</v>
      </c>
      <c r="J42" s="277">
        <v>90</v>
      </c>
      <c r="K42" s="277"/>
      <c r="L42" s="277"/>
      <c r="M42" s="280"/>
      <c r="N42" s="277"/>
      <c r="O42" s="278"/>
      <c r="P42" s="279">
        <f t="shared" si="24"/>
        <v>86</v>
      </c>
      <c r="Q42" s="277">
        <v>80</v>
      </c>
      <c r="R42" s="280">
        <v>70</v>
      </c>
      <c r="S42" s="281">
        <f t="shared" si="25"/>
        <v>81</v>
      </c>
      <c r="T42" s="295" t="str">
        <f t="shared" si="26"/>
        <v>C</v>
      </c>
      <c r="U42" s="1215">
        <f t="shared" si="41"/>
        <v>90.01</v>
      </c>
      <c r="V42" s="1216">
        <f t="shared" si="41"/>
        <v>90.02</v>
      </c>
      <c r="W42" s="1216">
        <f t="shared" si="41"/>
        <v>70.03</v>
      </c>
      <c r="X42" s="1216">
        <f t="shared" si="41"/>
        <v>90.04</v>
      </c>
      <c r="Y42" s="1216">
        <f t="shared" si="41"/>
        <v>90.05</v>
      </c>
      <c r="Z42" s="1216" t="str">
        <f t="shared" si="41"/>
        <v/>
      </c>
      <c r="AA42" s="1216" t="str">
        <f t="shared" si="41"/>
        <v/>
      </c>
      <c r="AB42" s="1217" t="str">
        <f t="shared" si="41"/>
        <v/>
      </c>
      <c r="AC42" s="1216" t="str">
        <f t="shared" si="41"/>
        <v/>
      </c>
      <c r="AD42" s="1218" t="str">
        <f t="shared" si="41"/>
        <v/>
      </c>
      <c r="AE42" s="1219">
        <f t="shared" si="27"/>
        <v>90.05</v>
      </c>
      <c r="AF42" s="282">
        <f t="shared" si="28"/>
        <v>70.03</v>
      </c>
      <c r="AG42" s="282" t="str">
        <f t="shared" si="29"/>
        <v>baik</v>
      </c>
      <c r="AH42" s="282" t="str">
        <f t="shared" si="29"/>
        <v>perlu dimaksimalkan</v>
      </c>
      <c r="AI42" s="282">
        <f t="shared" si="30"/>
        <v>5</v>
      </c>
      <c r="AJ42" s="283">
        <f t="shared" si="31"/>
        <v>3</v>
      </c>
      <c r="AK42" s="284" t="str">
        <f t="shared" si="32"/>
        <v>Memiliki kemampuan baik dalam Menjelaskan aturan sinus dan cosinus, perlu dimaksimalkan kemampuan dalam Menjelaskan rasio trigonometri (sinus, cosinus, tangen, cosecan, secan, dan cotangen) pada segitiga siku-siku</v>
      </c>
      <c r="AL42" s="276">
        <v>90</v>
      </c>
      <c r="AM42" s="277">
        <v>90</v>
      </c>
      <c r="AN42" s="277">
        <v>70</v>
      </c>
      <c r="AO42" s="277">
        <v>90</v>
      </c>
      <c r="AP42" s="277">
        <v>90</v>
      </c>
      <c r="AQ42" s="277"/>
      <c r="AR42" s="277"/>
      <c r="AS42" s="280"/>
      <c r="AT42" s="277"/>
      <c r="AU42" s="278"/>
      <c r="AV42" s="285">
        <f t="shared" si="33"/>
        <v>86</v>
      </c>
      <c r="AW42" s="296" t="str">
        <f t="shared" si="34"/>
        <v>B</v>
      </c>
      <c r="AX42" s="1220">
        <f t="shared" si="42"/>
        <v>90.01</v>
      </c>
      <c r="AY42" s="1221">
        <f t="shared" si="42"/>
        <v>90.02</v>
      </c>
      <c r="AZ42" s="1221">
        <f t="shared" si="42"/>
        <v>70.03</v>
      </c>
      <c r="BA42" s="1221">
        <f t="shared" si="42"/>
        <v>90.04</v>
      </c>
      <c r="BB42" s="1221">
        <f t="shared" si="42"/>
        <v>90.05</v>
      </c>
      <c r="BC42" s="1221" t="str">
        <f t="shared" si="42"/>
        <v/>
      </c>
      <c r="BD42" s="1221" t="str">
        <f t="shared" si="42"/>
        <v/>
      </c>
      <c r="BE42" s="1222" t="str">
        <f t="shared" si="42"/>
        <v/>
      </c>
      <c r="BF42" s="1221" t="str">
        <f t="shared" si="42"/>
        <v/>
      </c>
      <c r="BG42" s="1223" t="str">
        <f t="shared" si="42"/>
        <v/>
      </c>
      <c r="BH42" s="286">
        <f t="shared" si="35"/>
        <v>90.05</v>
      </c>
      <c r="BI42" s="286">
        <f t="shared" si="36"/>
        <v>70.03</v>
      </c>
      <c r="BJ42" s="287" t="str">
        <f t="shared" si="37"/>
        <v>baik</v>
      </c>
      <c r="BK42" s="287" t="str">
        <f t="shared" si="37"/>
        <v>perlu dimaksimalkan</v>
      </c>
      <c r="BL42" s="286">
        <f t="shared" si="38"/>
        <v>5</v>
      </c>
      <c r="BM42" s="288">
        <f t="shared" si="39"/>
        <v>3</v>
      </c>
      <c r="BN42"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42" s="67"/>
    </row>
    <row r="43" spans="1:67" ht="33" customHeight="1">
      <c r="A43" s="67"/>
      <c r="B43" s="272">
        <f t="shared" si="43"/>
        <v>30</v>
      </c>
      <c r="C43" s="273">
        <f>IF(Data!F34="","",Data!F34)</f>
        <v>0</v>
      </c>
      <c r="D43" s="274" t="str">
        <f>IF(Data!H34="","",Data!H34)</f>
        <v>Roni Yohanis Bira</v>
      </c>
      <c r="E43" s="275" t="str">
        <f>IF(Data!I34="","",Data!I34)</f>
        <v>L</v>
      </c>
      <c r="F43" s="276">
        <v>90</v>
      </c>
      <c r="G43" s="277">
        <v>90</v>
      </c>
      <c r="H43" s="277">
        <v>90</v>
      </c>
      <c r="I43" s="277">
        <v>90</v>
      </c>
      <c r="J43" s="277">
        <v>90</v>
      </c>
      <c r="K43" s="277"/>
      <c r="L43" s="277"/>
      <c r="M43" s="280"/>
      <c r="N43" s="277"/>
      <c r="O43" s="278"/>
      <c r="P43" s="279">
        <f t="shared" si="24"/>
        <v>90</v>
      </c>
      <c r="Q43" s="277">
        <v>80</v>
      </c>
      <c r="R43" s="280">
        <v>70</v>
      </c>
      <c r="S43" s="281">
        <f t="shared" si="25"/>
        <v>83</v>
      </c>
      <c r="T43" s="295" t="str">
        <f t="shared" si="26"/>
        <v>C</v>
      </c>
      <c r="U43" s="1215">
        <f t="shared" si="41"/>
        <v>90.01</v>
      </c>
      <c r="V43" s="1216">
        <f t="shared" si="41"/>
        <v>90.02</v>
      </c>
      <c r="W43" s="1216">
        <f t="shared" si="41"/>
        <v>90.03</v>
      </c>
      <c r="X43" s="1216">
        <f t="shared" si="41"/>
        <v>90.04</v>
      </c>
      <c r="Y43" s="1216">
        <f t="shared" si="41"/>
        <v>90.05</v>
      </c>
      <c r="Z43" s="1216" t="str">
        <f t="shared" si="41"/>
        <v/>
      </c>
      <c r="AA43" s="1216" t="str">
        <f t="shared" si="41"/>
        <v/>
      </c>
      <c r="AB43" s="1217" t="str">
        <f t="shared" si="41"/>
        <v/>
      </c>
      <c r="AC43" s="1216" t="str">
        <f t="shared" si="41"/>
        <v/>
      </c>
      <c r="AD43" s="1218" t="str">
        <f t="shared" si="41"/>
        <v/>
      </c>
      <c r="AE43" s="1219">
        <f t="shared" si="27"/>
        <v>90.05</v>
      </c>
      <c r="AF43" s="282">
        <f t="shared" si="28"/>
        <v>90.01</v>
      </c>
      <c r="AG43" s="282" t="str">
        <f t="shared" si="29"/>
        <v>baik</v>
      </c>
      <c r="AH43" s="282" t="str">
        <f t="shared" si="29"/>
        <v>baik</v>
      </c>
      <c r="AI43" s="282">
        <f t="shared" si="30"/>
        <v>5</v>
      </c>
      <c r="AJ43" s="283">
        <f t="shared" si="31"/>
        <v>1</v>
      </c>
      <c r="AK43" s="284" t="str">
        <f t="shared" si="32"/>
        <v>Memiliki kemampuan baik dalam Menjelaskan aturan sinus dan cosinus dan Menjelaskan dan menentukan fungsi (terutama fungsi linear, fungsi kuadrat, dan fungsi rasional) secara formal yang meliputi notasi, daerah asal, daerah hasil, dan ekspresi simbolik, serta sketsa grafiknya</v>
      </c>
      <c r="AL43" s="276">
        <v>90</v>
      </c>
      <c r="AM43" s="277">
        <v>90</v>
      </c>
      <c r="AN43" s="277">
        <v>90</v>
      </c>
      <c r="AO43" s="277">
        <v>90</v>
      </c>
      <c r="AP43" s="277">
        <v>90</v>
      </c>
      <c r="AQ43" s="277"/>
      <c r="AR43" s="277"/>
      <c r="AS43" s="280"/>
      <c r="AT43" s="277"/>
      <c r="AU43" s="278"/>
      <c r="AV43" s="285">
        <f t="shared" si="33"/>
        <v>90</v>
      </c>
      <c r="AW43" s="296" t="str">
        <f t="shared" si="34"/>
        <v>B</v>
      </c>
      <c r="AX43" s="1220">
        <f t="shared" si="42"/>
        <v>90.01</v>
      </c>
      <c r="AY43" s="1221">
        <f t="shared" si="42"/>
        <v>90.02</v>
      </c>
      <c r="AZ43" s="1221">
        <f t="shared" si="42"/>
        <v>90.03</v>
      </c>
      <c r="BA43" s="1221">
        <f t="shared" si="42"/>
        <v>90.04</v>
      </c>
      <c r="BB43" s="1221">
        <f t="shared" si="42"/>
        <v>90.05</v>
      </c>
      <c r="BC43" s="1221" t="str">
        <f t="shared" si="42"/>
        <v/>
      </c>
      <c r="BD43" s="1221" t="str">
        <f t="shared" si="42"/>
        <v/>
      </c>
      <c r="BE43" s="1222" t="str">
        <f t="shared" si="42"/>
        <v/>
      </c>
      <c r="BF43" s="1221" t="str">
        <f t="shared" si="42"/>
        <v/>
      </c>
      <c r="BG43" s="1223" t="str">
        <f t="shared" si="42"/>
        <v/>
      </c>
      <c r="BH43" s="286">
        <f t="shared" si="35"/>
        <v>90.05</v>
      </c>
      <c r="BI43" s="286">
        <f t="shared" si="36"/>
        <v>90.01</v>
      </c>
      <c r="BJ43" s="287" t="str">
        <f t="shared" si="37"/>
        <v>baik</v>
      </c>
      <c r="BK43" s="287" t="str">
        <f t="shared" si="37"/>
        <v>baik</v>
      </c>
      <c r="BL43" s="286">
        <f t="shared" si="38"/>
        <v>5</v>
      </c>
      <c r="BM43" s="288">
        <f t="shared" si="39"/>
        <v>1</v>
      </c>
      <c r="BN43" s="289" t="str">
        <f t="shared" si="40"/>
        <v>Memiliki keterampilan baik dalam Menganalisa perubahan grafik fungsi trigonometri akibat perubahan pada konstanta pada fungsi y = a sin b(x + c) + d. dan Menganalisa karakteristik masing – masing grafik (titik potong dengan sumbu, titik puncak, asimtot) dan perubahan grafik fungsinya akibat transformasi f2(x), 1/f(x), |f(x)| dsb</v>
      </c>
      <c r="BO43" s="67"/>
    </row>
    <row r="44" spans="1:67" ht="33" customHeight="1">
      <c r="A44" s="67"/>
      <c r="B44" s="272">
        <f t="shared" si="43"/>
        <v>31</v>
      </c>
      <c r="C44" s="273">
        <f>IF(Data!F35="","",Data!F35)</f>
        <v>0</v>
      </c>
      <c r="D44" s="274" t="str">
        <f>IF(Data!H35="","",Data!H35)</f>
        <v>Sinta Norliana Funan</v>
      </c>
      <c r="E44" s="275" t="str">
        <f>IF(Data!I35="","",Data!I35)</f>
        <v>P</v>
      </c>
      <c r="F44" s="276">
        <v>90</v>
      </c>
      <c r="G44" s="277">
        <v>90</v>
      </c>
      <c r="H44" s="277">
        <v>70</v>
      </c>
      <c r="I44" s="277">
        <v>90</v>
      </c>
      <c r="J44" s="277">
        <v>90</v>
      </c>
      <c r="K44" s="277"/>
      <c r="L44" s="277"/>
      <c r="M44" s="280"/>
      <c r="N44" s="277"/>
      <c r="O44" s="278"/>
      <c r="P44" s="279">
        <f t="shared" si="24"/>
        <v>86</v>
      </c>
      <c r="Q44" s="277">
        <v>80</v>
      </c>
      <c r="R44" s="280">
        <v>80</v>
      </c>
      <c r="S44" s="281">
        <f t="shared" si="25"/>
        <v>83</v>
      </c>
      <c r="T44" s="295" t="str">
        <f t="shared" si="26"/>
        <v>C</v>
      </c>
      <c r="U44" s="1215">
        <f t="shared" si="41"/>
        <v>90.01</v>
      </c>
      <c r="V44" s="1216">
        <f t="shared" si="41"/>
        <v>90.02</v>
      </c>
      <c r="W44" s="1216">
        <f t="shared" si="41"/>
        <v>70.03</v>
      </c>
      <c r="X44" s="1216">
        <f t="shared" si="41"/>
        <v>90.04</v>
      </c>
      <c r="Y44" s="1216">
        <f t="shared" si="41"/>
        <v>90.05</v>
      </c>
      <c r="Z44" s="1216" t="str">
        <f t="shared" si="41"/>
        <v/>
      </c>
      <c r="AA44" s="1216" t="str">
        <f t="shared" si="41"/>
        <v/>
      </c>
      <c r="AB44" s="1217" t="str">
        <f t="shared" si="41"/>
        <v/>
      </c>
      <c r="AC44" s="1216" t="str">
        <f t="shared" si="41"/>
        <v/>
      </c>
      <c r="AD44" s="1218" t="str">
        <f t="shared" si="41"/>
        <v/>
      </c>
      <c r="AE44" s="1219">
        <f t="shared" si="27"/>
        <v>90.05</v>
      </c>
      <c r="AF44" s="282">
        <f t="shared" si="28"/>
        <v>70.03</v>
      </c>
      <c r="AG44" s="282" t="str">
        <f t="shared" si="29"/>
        <v>baik</v>
      </c>
      <c r="AH44" s="282" t="str">
        <f t="shared" si="29"/>
        <v>perlu dimaksimalkan</v>
      </c>
      <c r="AI44" s="282">
        <f t="shared" si="30"/>
        <v>5</v>
      </c>
      <c r="AJ44" s="283">
        <f t="shared" si="31"/>
        <v>3</v>
      </c>
      <c r="AK44" s="284" t="str">
        <f t="shared" si="32"/>
        <v>Memiliki kemampuan baik dalam Menjelaskan aturan sinus dan cosinus, perlu dimaksimalkan kemampuan dalam Menjelaskan rasio trigonometri (sinus, cosinus, tangen, cosecan, secan, dan cotangen) pada segitiga siku-siku</v>
      </c>
      <c r="AL44" s="276">
        <v>90</v>
      </c>
      <c r="AM44" s="277">
        <v>90</v>
      </c>
      <c r="AN44" s="277">
        <v>70</v>
      </c>
      <c r="AO44" s="277">
        <v>90</v>
      </c>
      <c r="AP44" s="277">
        <v>90</v>
      </c>
      <c r="AQ44" s="277"/>
      <c r="AR44" s="277"/>
      <c r="AS44" s="280"/>
      <c r="AT44" s="277"/>
      <c r="AU44" s="278"/>
      <c r="AV44" s="285">
        <f t="shared" si="33"/>
        <v>86</v>
      </c>
      <c r="AW44" s="296" t="str">
        <f t="shared" si="34"/>
        <v>B</v>
      </c>
      <c r="AX44" s="1220">
        <f t="shared" si="42"/>
        <v>90.01</v>
      </c>
      <c r="AY44" s="1221">
        <f t="shared" si="42"/>
        <v>90.02</v>
      </c>
      <c r="AZ44" s="1221">
        <f t="shared" si="42"/>
        <v>70.03</v>
      </c>
      <c r="BA44" s="1221">
        <f t="shared" si="42"/>
        <v>90.04</v>
      </c>
      <c r="BB44" s="1221">
        <f t="shared" si="42"/>
        <v>90.05</v>
      </c>
      <c r="BC44" s="1221" t="str">
        <f t="shared" si="42"/>
        <v/>
      </c>
      <c r="BD44" s="1221" t="str">
        <f t="shared" si="42"/>
        <v/>
      </c>
      <c r="BE44" s="1222" t="str">
        <f t="shared" si="42"/>
        <v/>
      </c>
      <c r="BF44" s="1221" t="str">
        <f t="shared" si="42"/>
        <v/>
      </c>
      <c r="BG44" s="1223" t="str">
        <f t="shared" si="42"/>
        <v/>
      </c>
      <c r="BH44" s="286">
        <f t="shared" si="35"/>
        <v>90.05</v>
      </c>
      <c r="BI44" s="286">
        <f t="shared" si="36"/>
        <v>70.03</v>
      </c>
      <c r="BJ44" s="287" t="str">
        <f t="shared" si="37"/>
        <v>baik</v>
      </c>
      <c r="BK44" s="287" t="str">
        <f t="shared" si="37"/>
        <v>perlu dimaksimalkan</v>
      </c>
      <c r="BL44" s="286">
        <f t="shared" si="38"/>
        <v>5</v>
      </c>
      <c r="BM44" s="288">
        <f t="shared" si="39"/>
        <v>3</v>
      </c>
      <c r="BN44"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44" s="67"/>
    </row>
    <row r="45" spans="1:67" ht="33" customHeight="1">
      <c r="A45" s="67"/>
      <c r="B45" s="272">
        <f t="shared" si="43"/>
        <v>32</v>
      </c>
      <c r="C45" s="273">
        <f>IF(Data!F36="","",Data!F36)</f>
        <v>0</v>
      </c>
      <c r="D45" s="274" t="str">
        <f>IF(Data!H36="","",Data!H36)</f>
        <v>Stevi Otnial Loemnanu</v>
      </c>
      <c r="E45" s="275" t="str">
        <f>IF(Data!I36="","",Data!I36)</f>
        <v>L</v>
      </c>
      <c r="F45" s="276">
        <v>90</v>
      </c>
      <c r="G45" s="277">
        <v>90</v>
      </c>
      <c r="H45" s="277">
        <v>70</v>
      </c>
      <c r="I45" s="277">
        <v>75</v>
      </c>
      <c r="J45" s="277">
        <v>90</v>
      </c>
      <c r="K45" s="277"/>
      <c r="L45" s="277"/>
      <c r="M45" s="280"/>
      <c r="N45" s="277"/>
      <c r="O45" s="278"/>
      <c r="P45" s="279">
        <f t="shared" si="24"/>
        <v>83</v>
      </c>
      <c r="Q45" s="277">
        <v>80</v>
      </c>
      <c r="R45" s="280">
        <v>80</v>
      </c>
      <c r="S45" s="281">
        <f t="shared" si="25"/>
        <v>82</v>
      </c>
      <c r="T45" s="295" t="str">
        <f t="shared" si="26"/>
        <v>C</v>
      </c>
      <c r="U45" s="1215">
        <f t="shared" si="41"/>
        <v>90.01</v>
      </c>
      <c r="V45" s="1216">
        <f t="shared" si="41"/>
        <v>90.02</v>
      </c>
      <c r="W45" s="1216">
        <f t="shared" si="41"/>
        <v>70.03</v>
      </c>
      <c r="X45" s="1216">
        <f t="shared" si="41"/>
        <v>75.040000000000006</v>
      </c>
      <c r="Y45" s="1216">
        <f t="shared" si="41"/>
        <v>90.05</v>
      </c>
      <c r="Z45" s="1216" t="str">
        <f t="shared" si="41"/>
        <v/>
      </c>
      <c r="AA45" s="1216" t="str">
        <f t="shared" si="41"/>
        <v/>
      </c>
      <c r="AB45" s="1217" t="str">
        <f t="shared" si="41"/>
        <v/>
      </c>
      <c r="AC45" s="1216" t="str">
        <f t="shared" si="41"/>
        <v/>
      </c>
      <c r="AD45" s="1218" t="str">
        <f t="shared" si="41"/>
        <v/>
      </c>
      <c r="AE45" s="1219">
        <f t="shared" si="27"/>
        <v>90.05</v>
      </c>
      <c r="AF45" s="282">
        <f t="shared" si="28"/>
        <v>70.03</v>
      </c>
      <c r="AG45" s="282" t="str">
        <f t="shared" si="29"/>
        <v>baik</v>
      </c>
      <c r="AH45" s="282" t="str">
        <f t="shared" si="29"/>
        <v>perlu dimaksimalkan</v>
      </c>
      <c r="AI45" s="282">
        <f t="shared" si="30"/>
        <v>5</v>
      </c>
      <c r="AJ45" s="283">
        <f t="shared" si="31"/>
        <v>3</v>
      </c>
      <c r="AK45" s="284" t="str">
        <f t="shared" si="32"/>
        <v>Memiliki kemampuan baik dalam Menjelaskan aturan sinus dan cosinus, perlu dimaksimalkan kemampuan dalam Menjelaskan rasio trigonometri (sinus, cosinus, tangen, cosecan, secan, dan cotangen) pada segitiga siku-siku</v>
      </c>
      <c r="AL45" s="276">
        <v>90</v>
      </c>
      <c r="AM45" s="277">
        <v>90</v>
      </c>
      <c r="AN45" s="277">
        <v>70</v>
      </c>
      <c r="AO45" s="277">
        <v>75</v>
      </c>
      <c r="AP45" s="277">
        <v>90</v>
      </c>
      <c r="AQ45" s="277"/>
      <c r="AR45" s="277"/>
      <c r="AS45" s="280"/>
      <c r="AT45" s="277"/>
      <c r="AU45" s="278"/>
      <c r="AV45" s="285">
        <f t="shared" si="33"/>
        <v>83</v>
      </c>
      <c r="AW45" s="296" t="str">
        <f t="shared" si="34"/>
        <v>C</v>
      </c>
      <c r="AX45" s="1220">
        <f t="shared" si="42"/>
        <v>90.01</v>
      </c>
      <c r="AY45" s="1221">
        <f t="shared" si="42"/>
        <v>90.02</v>
      </c>
      <c r="AZ45" s="1221">
        <f t="shared" si="42"/>
        <v>70.03</v>
      </c>
      <c r="BA45" s="1221">
        <f t="shared" si="42"/>
        <v>75.040000000000006</v>
      </c>
      <c r="BB45" s="1221">
        <f t="shared" si="42"/>
        <v>90.05</v>
      </c>
      <c r="BC45" s="1221" t="str">
        <f t="shared" si="42"/>
        <v/>
      </c>
      <c r="BD45" s="1221" t="str">
        <f t="shared" si="42"/>
        <v/>
      </c>
      <c r="BE45" s="1222" t="str">
        <f t="shared" si="42"/>
        <v/>
      </c>
      <c r="BF45" s="1221" t="str">
        <f t="shared" si="42"/>
        <v/>
      </c>
      <c r="BG45" s="1223" t="str">
        <f t="shared" si="42"/>
        <v/>
      </c>
      <c r="BH45" s="286">
        <f t="shared" si="35"/>
        <v>90.05</v>
      </c>
      <c r="BI45" s="286">
        <f t="shared" si="36"/>
        <v>70.03</v>
      </c>
      <c r="BJ45" s="287" t="str">
        <f t="shared" si="37"/>
        <v>baik</v>
      </c>
      <c r="BK45" s="287" t="str">
        <f t="shared" si="37"/>
        <v>perlu dimaksimalkan</v>
      </c>
      <c r="BL45" s="286">
        <f t="shared" si="38"/>
        <v>5</v>
      </c>
      <c r="BM45" s="288">
        <f t="shared" si="39"/>
        <v>3</v>
      </c>
      <c r="BN45"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45" s="67"/>
    </row>
    <row r="46" spans="1:67" ht="33" customHeight="1">
      <c r="A46" s="67"/>
      <c r="B46" s="272">
        <f t="shared" si="43"/>
        <v>33</v>
      </c>
      <c r="C46" s="273">
        <f>IF(Data!F37="","",Data!F37)</f>
        <v>0</v>
      </c>
      <c r="D46" s="274" t="str">
        <f>IF(Data!H37="","",Data!H37)</f>
        <v>Venciani Sefrianti Sufnera</v>
      </c>
      <c r="E46" s="275" t="str">
        <f>IF(Data!I37="","",Data!I37)</f>
        <v>P</v>
      </c>
      <c r="F46" s="276">
        <v>90</v>
      </c>
      <c r="G46" s="277">
        <v>90</v>
      </c>
      <c r="H46" s="277">
        <v>70</v>
      </c>
      <c r="I46" s="277">
        <v>90</v>
      </c>
      <c r="J46" s="277">
        <v>90</v>
      </c>
      <c r="K46" s="277"/>
      <c r="L46" s="277"/>
      <c r="M46" s="280"/>
      <c r="N46" s="277"/>
      <c r="O46" s="278"/>
      <c r="P46" s="279">
        <f t="shared" si="24"/>
        <v>86</v>
      </c>
      <c r="Q46" s="277">
        <v>80</v>
      </c>
      <c r="R46" s="280">
        <v>75</v>
      </c>
      <c r="S46" s="281">
        <f t="shared" si="25"/>
        <v>82</v>
      </c>
      <c r="T46" s="295" t="str">
        <f t="shared" si="26"/>
        <v>C</v>
      </c>
      <c r="U46" s="1215">
        <f t="shared" si="41"/>
        <v>90.01</v>
      </c>
      <c r="V46" s="1216">
        <f t="shared" si="41"/>
        <v>90.02</v>
      </c>
      <c r="W46" s="1216">
        <f t="shared" si="41"/>
        <v>70.03</v>
      </c>
      <c r="X46" s="1216">
        <f t="shared" si="41"/>
        <v>90.04</v>
      </c>
      <c r="Y46" s="1216">
        <f t="shared" si="41"/>
        <v>90.05</v>
      </c>
      <c r="Z46" s="1216" t="str">
        <f t="shared" si="41"/>
        <v/>
      </c>
      <c r="AA46" s="1216" t="str">
        <f t="shared" si="41"/>
        <v/>
      </c>
      <c r="AB46" s="1217" t="str">
        <f t="shared" si="41"/>
        <v/>
      </c>
      <c r="AC46" s="1216" t="str">
        <f t="shared" si="41"/>
        <v/>
      </c>
      <c r="AD46" s="1218" t="str">
        <f t="shared" si="41"/>
        <v/>
      </c>
      <c r="AE46" s="1219">
        <f t="shared" si="27"/>
        <v>90.05</v>
      </c>
      <c r="AF46" s="282">
        <f t="shared" si="28"/>
        <v>70.03</v>
      </c>
      <c r="AG46" s="282" t="str">
        <f t="shared" si="29"/>
        <v>baik</v>
      </c>
      <c r="AH46" s="282" t="str">
        <f t="shared" si="29"/>
        <v>perlu dimaksimalkan</v>
      </c>
      <c r="AI46" s="282">
        <f t="shared" si="30"/>
        <v>5</v>
      </c>
      <c r="AJ46" s="283">
        <f t="shared" si="31"/>
        <v>3</v>
      </c>
      <c r="AK46" s="284" t="str">
        <f t="shared" si="32"/>
        <v>Memiliki kemampuan baik dalam Menjelaskan aturan sinus dan cosinus, perlu dimaksimalkan kemampuan dalam Menjelaskan rasio trigonometri (sinus, cosinus, tangen, cosecan, secan, dan cotangen) pada segitiga siku-siku</v>
      </c>
      <c r="AL46" s="276">
        <v>90</v>
      </c>
      <c r="AM46" s="277">
        <v>90</v>
      </c>
      <c r="AN46" s="277">
        <v>70</v>
      </c>
      <c r="AO46" s="277">
        <v>90</v>
      </c>
      <c r="AP46" s="277">
        <v>90</v>
      </c>
      <c r="AQ46" s="277"/>
      <c r="AR46" s="277"/>
      <c r="AS46" s="280"/>
      <c r="AT46" s="277"/>
      <c r="AU46" s="278"/>
      <c r="AV46" s="285">
        <f t="shared" si="33"/>
        <v>86</v>
      </c>
      <c r="AW46" s="296" t="str">
        <f t="shared" si="34"/>
        <v>B</v>
      </c>
      <c r="AX46" s="1220">
        <f t="shared" si="42"/>
        <v>90.01</v>
      </c>
      <c r="AY46" s="1221">
        <f t="shared" si="42"/>
        <v>90.02</v>
      </c>
      <c r="AZ46" s="1221">
        <f t="shared" si="42"/>
        <v>70.03</v>
      </c>
      <c r="BA46" s="1221">
        <f t="shared" si="42"/>
        <v>90.04</v>
      </c>
      <c r="BB46" s="1221">
        <f t="shared" si="42"/>
        <v>90.05</v>
      </c>
      <c r="BC46" s="1221" t="str">
        <f t="shared" si="42"/>
        <v/>
      </c>
      <c r="BD46" s="1221" t="str">
        <f t="shared" si="42"/>
        <v/>
      </c>
      <c r="BE46" s="1222" t="str">
        <f t="shared" si="42"/>
        <v/>
      </c>
      <c r="BF46" s="1221" t="str">
        <f t="shared" si="42"/>
        <v/>
      </c>
      <c r="BG46" s="1223" t="str">
        <f t="shared" si="42"/>
        <v/>
      </c>
      <c r="BH46" s="286">
        <f t="shared" si="35"/>
        <v>90.05</v>
      </c>
      <c r="BI46" s="286">
        <f t="shared" si="36"/>
        <v>70.03</v>
      </c>
      <c r="BJ46" s="287" t="str">
        <f t="shared" si="37"/>
        <v>baik</v>
      </c>
      <c r="BK46" s="287" t="str">
        <f t="shared" si="37"/>
        <v>perlu dimaksimalkan</v>
      </c>
      <c r="BL46" s="286">
        <f t="shared" si="38"/>
        <v>5</v>
      </c>
      <c r="BM46" s="288">
        <f t="shared" si="39"/>
        <v>3</v>
      </c>
      <c r="BN46"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46" s="67"/>
    </row>
    <row r="47" spans="1:67" ht="33" customHeight="1">
      <c r="A47" s="67"/>
      <c r="B47" s="272">
        <f t="shared" ref="B47:B63" si="44">IF(D47="","",B46+1)</f>
        <v>34</v>
      </c>
      <c r="C47" s="273">
        <f>IF(Data!F38="","",Data!F38)</f>
        <v>0</v>
      </c>
      <c r="D47" s="274" t="str">
        <f>IF(Data!H38="","",Data!H38)</f>
        <v>Yangres Nitti</v>
      </c>
      <c r="E47" s="275" t="str">
        <f>IF(Data!I38="","",Data!I38)</f>
        <v>L</v>
      </c>
      <c r="F47" s="276">
        <v>90</v>
      </c>
      <c r="G47" s="277">
        <v>90</v>
      </c>
      <c r="H47" s="277">
        <v>90</v>
      </c>
      <c r="I47" s="277">
        <v>90</v>
      </c>
      <c r="J47" s="277">
        <v>90</v>
      </c>
      <c r="K47" s="277"/>
      <c r="L47" s="277"/>
      <c r="M47" s="280"/>
      <c r="N47" s="277"/>
      <c r="O47" s="278"/>
      <c r="P47" s="279">
        <f t="shared" si="24"/>
        <v>90</v>
      </c>
      <c r="Q47" s="277">
        <v>80</v>
      </c>
      <c r="R47" s="280">
        <v>80</v>
      </c>
      <c r="S47" s="281">
        <f t="shared" si="25"/>
        <v>85</v>
      </c>
      <c r="T47" s="295" t="str">
        <f t="shared" si="26"/>
        <v>B</v>
      </c>
      <c r="U47" s="1215">
        <f t="shared" si="41"/>
        <v>90.01</v>
      </c>
      <c r="V47" s="1216">
        <f t="shared" si="41"/>
        <v>90.02</v>
      </c>
      <c r="W47" s="1216">
        <f t="shared" si="41"/>
        <v>90.03</v>
      </c>
      <c r="X47" s="1216">
        <f t="shared" si="41"/>
        <v>90.04</v>
      </c>
      <c r="Y47" s="1216">
        <f t="shared" si="41"/>
        <v>90.05</v>
      </c>
      <c r="Z47" s="1216" t="str">
        <f t="shared" si="41"/>
        <v/>
      </c>
      <c r="AA47" s="1216" t="str">
        <f t="shared" si="41"/>
        <v/>
      </c>
      <c r="AB47" s="1217" t="str">
        <f t="shared" si="41"/>
        <v/>
      </c>
      <c r="AC47" s="1216" t="str">
        <f t="shared" si="41"/>
        <v/>
      </c>
      <c r="AD47" s="1218" t="str">
        <f t="shared" si="41"/>
        <v/>
      </c>
      <c r="AE47" s="1219">
        <f t="shared" si="27"/>
        <v>90.05</v>
      </c>
      <c r="AF47" s="282">
        <f t="shared" si="28"/>
        <v>90.01</v>
      </c>
      <c r="AG47" s="282" t="str">
        <f t="shared" si="29"/>
        <v>baik</v>
      </c>
      <c r="AH47" s="282" t="str">
        <f t="shared" si="29"/>
        <v>baik</v>
      </c>
      <c r="AI47" s="282">
        <f t="shared" si="30"/>
        <v>5</v>
      </c>
      <c r="AJ47" s="283">
        <f t="shared" si="31"/>
        <v>1</v>
      </c>
      <c r="AK47" s="284" t="str">
        <f t="shared" si="32"/>
        <v>Memiliki kemampuan baik dalam Menjelaskan aturan sinus dan cosinus dan Menjelaskan dan menentukan fungsi (terutama fungsi linear, fungsi kuadrat, dan fungsi rasional) secara formal yang meliputi notasi, daerah asal, daerah hasil, dan ekspresi simbolik, serta sketsa grafiknya</v>
      </c>
      <c r="AL47" s="276">
        <v>90</v>
      </c>
      <c r="AM47" s="277">
        <v>90</v>
      </c>
      <c r="AN47" s="277">
        <v>90</v>
      </c>
      <c r="AO47" s="277">
        <v>90</v>
      </c>
      <c r="AP47" s="277">
        <v>90</v>
      </c>
      <c r="AQ47" s="277"/>
      <c r="AR47" s="277"/>
      <c r="AS47" s="280"/>
      <c r="AT47" s="277"/>
      <c r="AU47" s="278"/>
      <c r="AV47" s="285">
        <f t="shared" si="33"/>
        <v>90</v>
      </c>
      <c r="AW47" s="296" t="str">
        <f t="shared" si="34"/>
        <v>B</v>
      </c>
      <c r="AX47" s="1220">
        <f t="shared" si="42"/>
        <v>90.01</v>
      </c>
      <c r="AY47" s="1221">
        <f t="shared" si="42"/>
        <v>90.02</v>
      </c>
      <c r="AZ47" s="1221">
        <f t="shared" si="42"/>
        <v>90.03</v>
      </c>
      <c r="BA47" s="1221">
        <f t="shared" si="42"/>
        <v>90.04</v>
      </c>
      <c r="BB47" s="1221">
        <f t="shared" si="42"/>
        <v>90.05</v>
      </c>
      <c r="BC47" s="1221" t="str">
        <f t="shared" si="42"/>
        <v/>
      </c>
      <c r="BD47" s="1221" t="str">
        <f t="shared" si="42"/>
        <v/>
      </c>
      <c r="BE47" s="1222" t="str">
        <f t="shared" si="42"/>
        <v/>
      </c>
      <c r="BF47" s="1221" t="str">
        <f t="shared" si="42"/>
        <v/>
      </c>
      <c r="BG47" s="1223" t="str">
        <f t="shared" si="42"/>
        <v/>
      </c>
      <c r="BH47" s="286">
        <f t="shared" si="35"/>
        <v>90.05</v>
      </c>
      <c r="BI47" s="286">
        <f t="shared" si="36"/>
        <v>90.01</v>
      </c>
      <c r="BJ47" s="287" t="str">
        <f t="shared" si="37"/>
        <v>baik</v>
      </c>
      <c r="BK47" s="287" t="str">
        <f t="shared" si="37"/>
        <v>baik</v>
      </c>
      <c r="BL47" s="286">
        <f t="shared" si="38"/>
        <v>5</v>
      </c>
      <c r="BM47" s="288">
        <f t="shared" si="39"/>
        <v>1</v>
      </c>
      <c r="BN47" s="289" t="str">
        <f t="shared" si="40"/>
        <v>Memiliki keterampilan baik dalam Menganalisa perubahan grafik fungsi trigonometri akibat perubahan pada konstanta pada fungsi y = a sin b(x + c) + d. dan Menganalisa karakteristik masing – masing grafik (titik potong dengan sumbu, titik puncak, asimtot) dan perubahan grafik fungsinya akibat transformasi f2(x), 1/f(x), |f(x)| dsb</v>
      </c>
      <c r="BO47" s="67"/>
    </row>
    <row r="48" spans="1:67" ht="33" customHeight="1">
      <c r="A48" s="67"/>
      <c r="B48" s="272">
        <f t="shared" si="44"/>
        <v>35</v>
      </c>
      <c r="C48" s="273">
        <f>IF(Data!F39="","",Data!F39)</f>
        <v>0</v>
      </c>
      <c r="D48" s="274" t="str">
        <f>IF(Data!H39="","",Data!H39)</f>
        <v>Yefta Trianus Mau</v>
      </c>
      <c r="E48" s="275" t="str">
        <f>IF(Data!I39="","",Data!I39)</f>
        <v>L</v>
      </c>
      <c r="F48" s="276">
        <v>90</v>
      </c>
      <c r="G48" s="277">
        <v>90</v>
      </c>
      <c r="H48" s="277">
        <v>90</v>
      </c>
      <c r="I48" s="277">
        <v>90</v>
      </c>
      <c r="J48" s="277">
        <v>90</v>
      </c>
      <c r="K48" s="277"/>
      <c r="L48" s="277"/>
      <c r="M48" s="280"/>
      <c r="N48" s="277"/>
      <c r="O48" s="278"/>
      <c r="P48" s="279">
        <f t="shared" si="24"/>
        <v>90</v>
      </c>
      <c r="Q48" s="277">
        <v>80</v>
      </c>
      <c r="R48" s="280">
        <v>80</v>
      </c>
      <c r="S48" s="281">
        <f t="shared" si="25"/>
        <v>85</v>
      </c>
      <c r="T48" s="295" t="str">
        <f t="shared" si="26"/>
        <v>B</v>
      </c>
      <c r="U48" s="1215">
        <f t="shared" si="41"/>
        <v>90.01</v>
      </c>
      <c r="V48" s="1216">
        <f t="shared" si="41"/>
        <v>90.02</v>
      </c>
      <c r="W48" s="1216">
        <f t="shared" si="41"/>
        <v>90.03</v>
      </c>
      <c r="X48" s="1216">
        <f t="shared" si="41"/>
        <v>90.04</v>
      </c>
      <c r="Y48" s="1216">
        <f t="shared" si="41"/>
        <v>90.05</v>
      </c>
      <c r="Z48" s="1216" t="str">
        <f t="shared" si="41"/>
        <v/>
      </c>
      <c r="AA48" s="1216" t="str">
        <f t="shared" si="41"/>
        <v/>
      </c>
      <c r="AB48" s="1217" t="str">
        <f t="shared" si="41"/>
        <v/>
      </c>
      <c r="AC48" s="1216" t="str">
        <f t="shared" si="41"/>
        <v/>
      </c>
      <c r="AD48" s="1218" t="str">
        <f t="shared" si="41"/>
        <v/>
      </c>
      <c r="AE48" s="1219">
        <f t="shared" si="27"/>
        <v>90.05</v>
      </c>
      <c r="AF48" s="282">
        <f t="shared" si="28"/>
        <v>90.01</v>
      </c>
      <c r="AG48" s="282" t="str">
        <f t="shared" si="29"/>
        <v>baik</v>
      </c>
      <c r="AH48" s="282" t="str">
        <f t="shared" si="29"/>
        <v>baik</v>
      </c>
      <c r="AI48" s="282">
        <f t="shared" si="30"/>
        <v>5</v>
      </c>
      <c r="AJ48" s="283">
        <f t="shared" si="31"/>
        <v>1</v>
      </c>
      <c r="AK48" s="284" t="str">
        <f t="shared" si="32"/>
        <v>Memiliki kemampuan baik dalam Menjelaskan aturan sinus dan cosinus dan Menjelaskan dan menentukan fungsi (terutama fungsi linear, fungsi kuadrat, dan fungsi rasional) secara formal yang meliputi notasi, daerah asal, daerah hasil, dan ekspresi simbolik, serta sketsa grafiknya</v>
      </c>
      <c r="AL48" s="276">
        <v>90</v>
      </c>
      <c r="AM48" s="277">
        <v>90</v>
      </c>
      <c r="AN48" s="277">
        <v>90</v>
      </c>
      <c r="AO48" s="277">
        <v>90</v>
      </c>
      <c r="AP48" s="277">
        <v>90</v>
      </c>
      <c r="AQ48" s="277"/>
      <c r="AR48" s="277"/>
      <c r="AS48" s="280"/>
      <c r="AT48" s="277"/>
      <c r="AU48" s="278"/>
      <c r="AV48" s="285">
        <f t="shared" si="33"/>
        <v>90</v>
      </c>
      <c r="AW48" s="296" t="str">
        <f t="shared" si="34"/>
        <v>B</v>
      </c>
      <c r="AX48" s="1220">
        <f t="shared" si="42"/>
        <v>90.01</v>
      </c>
      <c r="AY48" s="1221">
        <f t="shared" si="42"/>
        <v>90.02</v>
      </c>
      <c r="AZ48" s="1221">
        <f t="shared" si="42"/>
        <v>90.03</v>
      </c>
      <c r="BA48" s="1221">
        <f t="shared" si="42"/>
        <v>90.04</v>
      </c>
      <c r="BB48" s="1221">
        <f t="shared" si="42"/>
        <v>90.05</v>
      </c>
      <c r="BC48" s="1221" t="str">
        <f t="shared" si="42"/>
        <v/>
      </c>
      <c r="BD48" s="1221" t="str">
        <f t="shared" si="42"/>
        <v/>
      </c>
      <c r="BE48" s="1222" t="str">
        <f t="shared" si="42"/>
        <v/>
      </c>
      <c r="BF48" s="1221" t="str">
        <f t="shared" si="42"/>
        <v/>
      </c>
      <c r="BG48" s="1223" t="str">
        <f t="shared" si="42"/>
        <v/>
      </c>
      <c r="BH48" s="286">
        <f t="shared" si="35"/>
        <v>90.05</v>
      </c>
      <c r="BI48" s="286">
        <f t="shared" si="36"/>
        <v>90.01</v>
      </c>
      <c r="BJ48" s="287" t="str">
        <f t="shared" si="37"/>
        <v>baik</v>
      </c>
      <c r="BK48" s="287" t="str">
        <f t="shared" si="37"/>
        <v>baik</v>
      </c>
      <c r="BL48" s="286">
        <f t="shared" si="38"/>
        <v>5</v>
      </c>
      <c r="BM48" s="288">
        <f t="shared" si="39"/>
        <v>1</v>
      </c>
      <c r="BN48" s="289" t="str">
        <f t="shared" si="40"/>
        <v>Memiliki keterampilan baik dalam Menganalisa perubahan grafik fungsi trigonometri akibat perubahan pada konstanta pada fungsi y = a sin b(x + c) + d. dan Menganalisa karakteristik masing – masing grafik (titik potong dengan sumbu, titik puncak, asimtot) dan perubahan grafik fungsinya akibat transformasi f2(x), 1/f(x), |f(x)| dsb</v>
      </c>
      <c r="BO48" s="67"/>
    </row>
    <row r="49" spans="1:67" ht="33" customHeight="1">
      <c r="A49" s="67"/>
      <c r="B49" s="272">
        <f t="shared" si="44"/>
        <v>36</v>
      </c>
      <c r="C49" s="273">
        <f>IF(Data!F40="","",Data!F40)</f>
        <v>0</v>
      </c>
      <c r="D49" s="274" t="str">
        <f>IF(Data!H40="","",Data!H40)</f>
        <v>Yuliana Febriyanti Nggeon</v>
      </c>
      <c r="E49" s="275" t="str">
        <f>IF(Data!I40="","",Data!I40)</f>
        <v>P</v>
      </c>
      <c r="F49" s="276">
        <v>100</v>
      </c>
      <c r="G49" s="277">
        <v>100</v>
      </c>
      <c r="H49" s="277">
        <v>90</v>
      </c>
      <c r="I49" s="277">
        <v>90</v>
      </c>
      <c r="J49" s="277">
        <v>90</v>
      </c>
      <c r="K49" s="277"/>
      <c r="L49" s="277"/>
      <c r="M49" s="280"/>
      <c r="N49" s="277"/>
      <c r="O49" s="278"/>
      <c r="P49" s="279">
        <f t="shared" si="24"/>
        <v>94</v>
      </c>
      <c r="Q49" s="277">
        <v>100</v>
      </c>
      <c r="R49" s="280">
        <v>95</v>
      </c>
      <c r="S49" s="281">
        <f t="shared" si="25"/>
        <v>96</v>
      </c>
      <c r="T49" s="295" t="str">
        <f t="shared" si="26"/>
        <v>A</v>
      </c>
      <c r="U49" s="1215">
        <f t="shared" si="41"/>
        <v>100.01</v>
      </c>
      <c r="V49" s="1216">
        <f t="shared" si="41"/>
        <v>100.02</v>
      </c>
      <c r="W49" s="1216">
        <f t="shared" si="41"/>
        <v>90.03</v>
      </c>
      <c r="X49" s="1216">
        <f t="shared" si="41"/>
        <v>90.04</v>
      </c>
      <c r="Y49" s="1216">
        <f t="shared" si="41"/>
        <v>90.05</v>
      </c>
      <c r="Z49" s="1216" t="str">
        <f t="shared" si="41"/>
        <v/>
      </c>
      <c r="AA49" s="1216" t="str">
        <f t="shared" si="41"/>
        <v/>
      </c>
      <c r="AB49" s="1217" t="str">
        <f t="shared" si="41"/>
        <v/>
      </c>
      <c r="AC49" s="1216" t="str">
        <f t="shared" si="41"/>
        <v/>
      </c>
      <c r="AD49" s="1218" t="str">
        <f t="shared" si="41"/>
        <v/>
      </c>
      <c r="AE49" s="1219">
        <f t="shared" si="27"/>
        <v>100.02</v>
      </c>
      <c r="AF49" s="282">
        <f t="shared" si="28"/>
        <v>90.03</v>
      </c>
      <c r="AG49" s="282" t="str">
        <f t="shared" si="29"/>
        <v>sangat baik</v>
      </c>
      <c r="AH49" s="282" t="str">
        <f t="shared" si="29"/>
        <v>baik</v>
      </c>
      <c r="AI49" s="282">
        <f t="shared" si="30"/>
        <v>2</v>
      </c>
      <c r="AJ49" s="283">
        <f t="shared" si="31"/>
        <v>3</v>
      </c>
      <c r="AK49" s="284" t="str">
        <f t="shared" si="32"/>
        <v>Memiliki kemampuan sangat baik dalam Menjelaskan operasi komposisi pada fungsi dan operasi invers pada fungsi invers serta sifat-sifatnya serta menentukan eksistensinya, baik kemampuan dalam Menjelaskan rasio trigonometri (sinus, cosinus, tangen, cosecan, secan, dan cotangen) pada segitiga siku-siku</v>
      </c>
      <c r="AL49" s="276">
        <v>100</v>
      </c>
      <c r="AM49" s="277">
        <v>100</v>
      </c>
      <c r="AN49" s="277">
        <v>90</v>
      </c>
      <c r="AO49" s="277">
        <v>90</v>
      </c>
      <c r="AP49" s="277">
        <v>90</v>
      </c>
      <c r="AQ49" s="277"/>
      <c r="AR49" s="277"/>
      <c r="AS49" s="280"/>
      <c r="AT49" s="277"/>
      <c r="AU49" s="278"/>
      <c r="AV49" s="285">
        <f t="shared" si="33"/>
        <v>94</v>
      </c>
      <c r="AW49" s="296" t="str">
        <f t="shared" si="34"/>
        <v>A</v>
      </c>
      <c r="AX49" s="1220">
        <f t="shared" si="42"/>
        <v>100.01</v>
      </c>
      <c r="AY49" s="1221">
        <f t="shared" si="42"/>
        <v>100.02</v>
      </c>
      <c r="AZ49" s="1221">
        <f t="shared" si="42"/>
        <v>90.03</v>
      </c>
      <c r="BA49" s="1221">
        <f t="shared" si="42"/>
        <v>90.04</v>
      </c>
      <c r="BB49" s="1221">
        <f t="shared" si="42"/>
        <v>90.05</v>
      </c>
      <c r="BC49" s="1221" t="str">
        <f t="shared" si="42"/>
        <v/>
      </c>
      <c r="BD49" s="1221" t="str">
        <f t="shared" si="42"/>
        <v/>
      </c>
      <c r="BE49" s="1222" t="str">
        <f t="shared" si="42"/>
        <v/>
      </c>
      <c r="BF49" s="1221" t="str">
        <f t="shared" si="42"/>
        <v/>
      </c>
      <c r="BG49" s="1223" t="str">
        <f t="shared" si="42"/>
        <v/>
      </c>
      <c r="BH49" s="286">
        <f t="shared" si="35"/>
        <v>100.02</v>
      </c>
      <c r="BI49" s="286">
        <f t="shared" si="36"/>
        <v>90.03</v>
      </c>
      <c r="BJ49" s="287" t="str">
        <f t="shared" si="37"/>
        <v>sangat baik</v>
      </c>
      <c r="BK49" s="287" t="str">
        <f t="shared" si="37"/>
        <v>baik</v>
      </c>
      <c r="BL49" s="286">
        <f t="shared" si="38"/>
        <v>2</v>
      </c>
      <c r="BM49" s="288">
        <f t="shared" si="39"/>
        <v>3</v>
      </c>
      <c r="BN49" s="289" t="str">
        <f t="shared" si="40"/>
        <v>Memiliki keterampilan sangat baik dalam Menyelesaikan masalah yang berkaitan dengan operasi komposisi dan operasi invers suatu fungsi, baik keterampilan dalam Menyelesaikan masalah kontekstual yang berkaitan dengan rasio trigonometri (sinus, cosinus, tangen, cosecan, secan, dan cotangen) pada segitiga siku-siku</v>
      </c>
      <c r="BO49" s="67"/>
    </row>
    <row r="50" spans="1:67" ht="33" customHeight="1">
      <c r="A50" s="67"/>
      <c r="B50" s="272">
        <f t="shared" si="44"/>
        <v>37</v>
      </c>
      <c r="C50" s="273">
        <f>IF(Data!F41="","",Data!F41)</f>
        <v>0</v>
      </c>
      <c r="D50" s="274" t="str">
        <f>IF(Data!H41="","",Data!H41)</f>
        <v>Yuninda Pono</v>
      </c>
      <c r="E50" s="275" t="str">
        <f>IF(Data!I41="","",Data!I41)</f>
        <v>P</v>
      </c>
      <c r="F50" s="276">
        <v>90</v>
      </c>
      <c r="G50" s="277">
        <v>90</v>
      </c>
      <c r="H50" s="277">
        <v>70</v>
      </c>
      <c r="I50" s="277">
        <v>90</v>
      </c>
      <c r="J50" s="277">
        <v>90</v>
      </c>
      <c r="K50" s="277"/>
      <c r="L50" s="277"/>
      <c r="M50" s="280"/>
      <c r="N50" s="277"/>
      <c r="O50" s="278"/>
      <c r="P50" s="279">
        <f t="shared" si="24"/>
        <v>86</v>
      </c>
      <c r="Q50" s="277">
        <v>80</v>
      </c>
      <c r="R50" s="280">
        <v>75</v>
      </c>
      <c r="S50" s="281">
        <f t="shared" si="25"/>
        <v>82</v>
      </c>
      <c r="T50" s="295" t="str">
        <f t="shared" si="26"/>
        <v>C</v>
      </c>
      <c r="U50" s="1215">
        <f t="shared" si="41"/>
        <v>90.01</v>
      </c>
      <c r="V50" s="1216">
        <f t="shared" si="41"/>
        <v>90.02</v>
      </c>
      <c r="W50" s="1216">
        <f t="shared" si="41"/>
        <v>70.03</v>
      </c>
      <c r="X50" s="1216">
        <f t="shared" si="41"/>
        <v>90.04</v>
      </c>
      <c r="Y50" s="1216">
        <f t="shared" si="41"/>
        <v>90.05</v>
      </c>
      <c r="Z50" s="1216" t="str">
        <f t="shared" si="41"/>
        <v/>
      </c>
      <c r="AA50" s="1216" t="str">
        <f t="shared" si="41"/>
        <v/>
      </c>
      <c r="AB50" s="1217" t="str">
        <f t="shared" si="41"/>
        <v/>
      </c>
      <c r="AC50" s="1216" t="str">
        <f t="shared" si="41"/>
        <v/>
      </c>
      <c r="AD50" s="1218" t="str">
        <f t="shared" si="41"/>
        <v/>
      </c>
      <c r="AE50" s="1219">
        <f t="shared" si="27"/>
        <v>90.05</v>
      </c>
      <c r="AF50" s="282">
        <f t="shared" si="28"/>
        <v>70.03</v>
      </c>
      <c r="AG50" s="282" t="str">
        <f t="shared" si="29"/>
        <v>baik</v>
      </c>
      <c r="AH50" s="282" t="str">
        <f t="shared" si="29"/>
        <v>perlu dimaksimalkan</v>
      </c>
      <c r="AI50" s="282">
        <f t="shared" si="30"/>
        <v>5</v>
      </c>
      <c r="AJ50" s="283">
        <f t="shared" si="31"/>
        <v>3</v>
      </c>
      <c r="AK50" s="284" t="str">
        <f t="shared" si="32"/>
        <v>Memiliki kemampuan baik dalam Menjelaskan aturan sinus dan cosinus, perlu dimaksimalkan kemampuan dalam Menjelaskan rasio trigonometri (sinus, cosinus, tangen, cosecan, secan, dan cotangen) pada segitiga siku-siku</v>
      </c>
      <c r="AL50" s="276">
        <v>90</v>
      </c>
      <c r="AM50" s="277">
        <v>90</v>
      </c>
      <c r="AN50" s="277">
        <v>70</v>
      </c>
      <c r="AO50" s="277">
        <v>90</v>
      </c>
      <c r="AP50" s="277">
        <v>90</v>
      </c>
      <c r="AQ50" s="277"/>
      <c r="AR50" s="277"/>
      <c r="AS50" s="280"/>
      <c r="AT50" s="277"/>
      <c r="AU50" s="278"/>
      <c r="AV50" s="285">
        <f t="shared" si="33"/>
        <v>86</v>
      </c>
      <c r="AW50" s="296" t="str">
        <f t="shared" si="34"/>
        <v>B</v>
      </c>
      <c r="AX50" s="1220">
        <f t="shared" si="42"/>
        <v>90.01</v>
      </c>
      <c r="AY50" s="1221">
        <f t="shared" si="42"/>
        <v>90.02</v>
      </c>
      <c r="AZ50" s="1221">
        <f t="shared" si="42"/>
        <v>70.03</v>
      </c>
      <c r="BA50" s="1221">
        <f t="shared" si="42"/>
        <v>90.04</v>
      </c>
      <c r="BB50" s="1221">
        <f t="shared" si="42"/>
        <v>90.05</v>
      </c>
      <c r="BC50" s="1221" t="str">
        <f t="shared" si="42"/>
        <v/>
      </c>
      <c r="BD50" s="1221" t="str">
        <f t="shared" si="42"/>
        <v/>
      </c>
      <c r="BE50" s="1222" t="str">
        <f t="shared" si="42"/>
        <v/>
      </c>
      <c r="BF50" s="1221" t="str">
        <f t="shared" si="42"/>
        <v/>
      </c>
      <c r="BG50" s="1223" t="str">
        <f t="shared" si="42"/>
        <v/>
      </c>
      <c r="BH50" s="286">
        <f t="shared" si="35"/>
        <v>90.05</v>
      </c>
      <c r="BI50" s="286">
        <f t="shared" si="36"/>
        <v>70.03</v>
      </c>
      <c r="BJ50" s="287" t="str">
        <f t="shared" si="37"/>
        <v>baik</v>
      </c>
      <c r="BK50" s="287" t="str">
        <f t="shared" si="37"/>
        <v>perlu dimaksimalkan</v>
      </c>
      <c r="BL50" s="286">
        <f t="shared" si="38"/>
        <v>5</v>
      </c>
      <c r="BM50" s="288">
        <f t="shared" si="39"/>
        <v>3</v>
      </c>
      <c r="BN50" s="289" t="str">
        <f t="shared" si="40"/>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BO50" s="67"/>
    </row>
    <row r="51" spans="1:67" ht="33" customHeight="1">
      <c r="A51" s="67"/>
      <c r="B51" s="272" t="str">
        <f t="shared" si="44"/>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44"/>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44"/>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44"/>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44"/>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5">IF(K55="","",K55+Z$13)</f>
        <v/>
      </c>
      <c r="AA55" s="1216" t="str">
        <f t="shared" si="45"/>
        <v/>
      </c>
      <c r="AB55" s="1217" t="str">
        <f t="shared" si="45"/>
        <v/>
      </c>
      <c r="AC55" s="1216" t="str">
        <f t="shared" si="45"/>
        <v/>
      </c>
      <c r="AD55" s="1218" t="str">
        <f t="shared" si="45"/>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6">IF(AQ55="","",AQ55+BC$12)</f>
        <v/>
      </c>
      <c r="BD55" s="1221" t="str">
        <f t="shared" si="46"/>
        <v/>
      </c>
      <c r="BE55" s="1222" t="str">
        <f t="shared" si="46"/>
        <v/>
      </c>
      <c r="BF55" s="1221" t="str">
        <f t="shared" si="46"/>
        <v/>
      </c>
      <c r="BG55" s="1223" t="str">
        <f t="shared" si="46"/>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44"/>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7">IF(F56="","",F56+U$13)</f>
        <v/>
      </c>
      <c r="V56" s="1216" t="str">
        <f t="shared" si="47"/>
        <v/>
      </c>
      <c r="W56" s="1216" t="str">
        <f t="shared" si="47"/>
        <v/>
      </c>
      <c r="X56" s="1216" t="str">
        <f t="shared" si="47"/>
        <v/>
      </c>
      <c r="Y56" s="1216" t="str">
        <f t="shared" si="47"/>
        <v/>
      </c>
      <c r="Z56" s="1216" t="str">
        <f t="shared" si="45"/>
        <v/>
      </c>
      <c r="AA56" s="1216" t="str">
        <f t="shared" si="45"/>
        <v/>
      </c>
      <c r="AB56" s="1217" t="str">
        <f t="shared" si="45"/>
        <v/>
      </c>
      <c r="AC56" s="1216" t="str">
        <f t="shared" si="45"/>
        <v/>
      </c>
      <c r="AD56" s="1218" t="str">
        <f t="shared" si="45"/>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8">IF(AL56="","",AL56+AX$12)</f>
        <v/>
      </c>
      <c r="AY56" s="1221" t="str">
        <f t="shared" si="48"/>
        <v/>
      </c>
      <c r="AZ56" s="1221" t="str">
        <f t="shared" si="48"/>
        <v/>
      </c>
      <c r="BA56" s="1221" t="str">
        <f t="shared" si="48"/>
        <v/>
      </c>
      <c r="BB56" s="1221" t="str">
        <f t="shared" si="48"/>
        <v/>
      </c>
      <c r="BC56" s="1221" t="str">
        <f t="shared" si="46"/>
        <v/>
      </c>
      <c r="BD56" s="1221" t="str">
        <f t="shared" si="46"/>
        <v/>
      </c>
      <c r="BE56" s="1222" t="str">
        <f t="shared" si="46"/>
        <v/>
      </c>
      <c r="BF56" s="1221" t="str">
        <f t="shared" si="46"/>
        <v/>
      </c>
      <c r="BG56" s="1223" t="str">
        <f t="shared" si="46"/>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44"/>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7"/>
        <v/>
      </c>
      <c r="V57" s="1216" t="str">
        <f t="shared" si="47"/>
        <v/>
      </c>
      <c r="W57" s="1216" t="str">
        <f t="shared" si="47"/>
        <v/>
      </c>
      <c r="X57" s="1216" t="str">
        <f t="shared" si="47"/>
        <v/>
      </c>
      <c r="Y57" s="1216" t="str">
        <f t="shared" si="47"/>
        <v/>
      </c>
      <c r="Z57" s="1216" t="str">
        <f t="shared" si="45"/>
        <v/>
      </c>
      <c r="AA57" s="1216" t="str">
        <f t="shared" si="45"/>
        <v/>
      </c>
      <c r="AB57" s="1217" t="str">
        <f t="shared" si="45"/>
        <v/>
      </c>
      <c r="AC57" s="1216" t="str">
        <f t="shared" si="45"/>
        <v/>
      </c>
      <c r="AD57" s="1218" t="str">
        <f t="shared" si="45"/>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8"/>
        <v/>
      </c>
      <c r="AY57" s="1221" t="str">
        <f t="shared" si="48"/>
        <v/>
      </c>
      <c r="AZ57" s="1221" t="str">
        <f t="shared" si="48"/>
        <v/>
      </c>
      <c r="BA57" s="1221" t="str">
        <f t="shared" si="48"/>
        <v/>
      </c>
      <c r="BB57" s="1221" t="str">
        <f t="shared" si="48"/>
        <v/>
      </c>
      <c r="BC57" s="1221" t="str">
        <f t="shared" si="46"/>
        <v/>
      </c>
      <c r="BD57" s="1221" t="str">
        <f t="shared" si="46"/>
        <v/>
      </c>
      <c r="BE57" s="1222" t="str">
        <f t="shared" si="46"/>
        <v/>
      </c>
      <c r="BF57" s="1221" t="str">
        <f t="shared" si="46"/>
        <v/>
      </c>
      <c r="BG57" s="1223" t="str">
        <f t="shared" si="46"/>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44"/>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7"/>
        <v/>
      </c>
      <c r="V58" s="1216" t="str">
        <f t="shared" si="47"/>
        <v/>
      </c>
      <c r="W58" s="1216" t="str">
        <f t="shared" si="47"/>
        <v/>
      </c>
      <c r="X58" s="1216" t="str">
        <f t="shared" si="47"/>
        <v/>
      </c>
      <c r="Y58" s="1216" t="str">
        <f t="shared" si="47"/>
        <v/>
      </c>
      <c r="Z58" s="1216" t="str">
        <f t="shared" si="45"/>
        <v/>
      </c>
      <c r="AA58" s="1216" t="str">
        <f t="shared" si="45"/>
        <v/>
      </c>
      <c r="AB58" s="1217" t="str">
        <f t="shared" si="45"/>
        <v/>
      </c>
      <c r="AC58" s="1216" t="str">
        <f t="shared" si="45"/>
        <v/>
      </c>
      <c r="AD58" s="1218" t="str">
        <f t="shared" si="45"/>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8"/>
        <v/>
      </c>
      <c r="AY58" s="1221" t="str">
        <f t="shared" si="48"/>
        <v/>
      </c>
      <c r="AZ58" s="1221" t="str">
        <f t="shared" si="48"/>
        <v/>
      </c>
      <c r="BA58" s="1221" t="str">
        <f t="shared" si="48"/>
        <v/>
      </c>
      <c r="BB58" s="1221" t="str">
        <f t="shared" si="48"/>
        <v/>
      </c>
      <c r="BC58" s="1221" t="str">
        <f t="shared" si="46"/>
        <v/>
      </c>
      <c r="BD58" s="1221" t="str">
        <f t="shared" si="46"/>
        <v/>
      </c>
      <c r="BE58" s="1222" t="str">
        <f t="shared" si="46"/>
        <v/>
      </c>
      <c r="BF58" s="1221" t="str">
        <f t="shared" si="46"/>
        <v/>
      </c>
      <c r="BG58" s="1223" t="str">
        <f t="shared" si="46"/>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44"/>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7"/>
        <v/>
      </c>
      <c r="V59" s="1216" t="str">
        <f t="shared" si="47"/>
        <v/>
      </c>
      <c r="W59" s="1216" t="str">
        <f t="shared" si="47"/>
        <v/>
      </c>
      <c r="X59" s="1216" t="str">
        <f t="shared" si="47"/>
        <v/>
      </c>
      <c r="Y59" s="1216" t="str">
        <f t="shared" si="47"/>
        <v/>
      </c>
      <c r="Z59" s="1216" t="str">
        <f t="shared" si="45"/>
        <v/>
      </c>
      <c r="AA59" s="1216" t="str">
        <f t="shared" si="45"/>
        <v/>
      </c>
      <c r="AB59" s="1217" t="str">
        <f t="shared" si="45"/>
        <v/>
      </c>
      <c r="AC59" s="1216" t="str">
        <f t="shared" si="45"/>
        <v/>
      </c>
      <c r="AD59" s="1218" t="str">
        <f t="shared" si="45"/>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8"/>
        <v/>
      </c>
      <c r="AY59" s="1221" t="str">
        <f t="shared" si="48"/>
        <v/>
      </c>
      <c r="AZ59" s="1221" t="str">
        <f t="shared" si="48"/>
        <v/>
      </c>
      <c r="BA59" s="1221" t="str">
        <f t="shared" si="48"/>
        <v/>
      </c>
      <c r="BB59" s="1221" t="str">
        <f t="shared" si="48"/>
        <v/>
      </c>
      <c r="BC59" s="1221" t="str">
        <f t="shared" si="46"/>
        <v/>
      </c>
      <c r="BD59" s="1221" t="str">
        <f t="shared" si="46"/>
        <v/>
      </c>
      <c r="BE59" s="1222" t="str">
        <f t="shared" si="46"/>
        <v/>
      </c>
      <c r="BF59" s="1221" t="str">
        <f t="shared" si="46"/>
        <v/>
      </c>
      <c r="BG59" s="1223" t="str">
        <f t="shared" si="46"/>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44"/>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7"/>
        <v/>
      </c>
      <c r="V60" s="1216" t="str">
        <f t="shared" si="47"/>
        <v/>
      </c>
      <c r="W60" s="1216" t="str">
        <f t="shared" si="47"/>
        <v/>
      </c>
      <c r="X60" s="1216" t="str">
        <f t="shared" si="47"/>
        <v/>
      </c>
      <c r="Y60" s="1216" t="str">
        <f t="shared" si="47"/>
        <v/>
      </c>
      <c r="Z60" s="1216" t="str">
        <f t="shared" si="45"/>
        <v/>
      </c>
      <c r="AA60" s="1216" t="str">
        <f t="shared" si="45"/>
        <v/>
      </c>
      <c r="AB60" s="1217" t="str">
        <f t="shared" si="45"/>
        <v/>
      </c>
      <c r="AC60" s="1216" t="str">
        <f t="shared" si="45"/>
        <v/>
      </c>
      <c r="AD60" s="1218" t="str">
        <f t="shared" si="45"/>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8"/>
        <v/>
      </c>
      <c r="AY60" s="1221" t="str">
        <f t="shared" si="48"/>
        <v/>
      </c>
      <c r="AZ60" s="1221" t="str">
        <f t="shared" si="48"/>
        <v/>
      </c>
      <c r="BA60" s="1221" t="str">
        <f t="shared" si="48"/>
        <v/>
      </c>
      <c r="BB60" s="1221" t="str">
        <f t="shared" si="48"/>
        <v/>
      </c>
      <c r="BC60" s="1221" t="str">
        <f t="shared" si="46"/>
        <v/>
      </c>
      <c r="BD60" s="1221" t="str">
        <f t="shared" si="46"/>
        <v/>
      </c>
      <c r="BE60" s="1222" t="str">
        <f t="shared" si="46"/>
        <v/>
      </c>
      <c r="BF60" s="1221" t="str">
        <f t="shared" si="46"/>
        <v/>
      </c>
      <c r="BG60" s="1223" t="str">
        <f t="shared" si="46"/>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44"/>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7"/>
        <v/>
      </c>
      <c r="V61" s="1216" t="str">
        <f t="shared" si="47"/>
        <v/>
      </c>
      <c r="W61" s="1216" t="str">
        <f t="shared" si="47"/>
        <v/>
      </c>
      <c r="X61" s="1216" t="str">
        <f t="shared" si="47"/>
        <v/>
      </c>
      <c r="Y61" s="1216" t="str">
        <f t="shared" si="47"/>
        <v/>
      </c>
      <c r="Z61" s="1216" t="str">
        <f t="shared" si="45"/>
        <v/>
      </c>
      <c r="AA61" s="1216" t="str">
        <f t="shared" si="45"/>
        <v/>
      </c>
      <c r="AB61" s="1217" t="str">
        <f t="shared" si="45"/>
        <v/>
      </c>
      <c r="AC61" s="1216" t="str">
        <f t="shared" si="45"/>
        <v/>
      </c>
      <c r="AD61" s="1218" t="str">
        <f t="shared" si="45"/>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8"/>
        <v/>
      </c>
      <c r="AY61" s="1221" t="str">
        <f t="shared" si="48"/>
        <v/>
      </c>
      <c r="AZ61" s="1221" t="str">
        <f t="shared" si="48"/>
        <v/>
      </c>
      <c r="BA61" s="1221" t="str">
        <f t="shared" si="48"/>
        <v/>
      </c>
      <c r="BB61" s="1221" t="str">
        <f t="shared" si="48"/>
        <v/>
      </c>
      <c r="BC61" s="1221" t="str">
        <f t="shared" si="46"/>
        <v/>
      </c>
      <c r="BD61" s="1221" t="str">
        <f t="shared" si="46"/>
        <v/>
      </c>
      <c r="BE61" s="1222" t="str">
        <f t="shared" si="46"/>
        <v/>
      </c>
      <c r="BF61" s="1221" t="str">
        <f t="shared" si="46"/>
        <v/>
      </c>
      <c r="BG61" s="1223" t="str">
        <f t="shared" si="46"/>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44"/>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7"/>
        <v/>
      </c>
      <c r="V62" s="1216" t="str">
        <f t="shared" si="47"/>
        <v/>
      </c>
      <c r="W62" s="1216" t="str">
        <f t="shared" si="47"/>
        <v/>
      </c>
      <c r="X62" s="1216" t="str">
        <f t="shared" si="47"/>
        <v/>
      </c>
      <c r="Y62" s="1216" t="str">
        <f t="shared" si="47"/>
        <v/>
      </c>
      <c r="Z62" s="1216" t="str">
        <f t="shared" si="45"/>
        <v/>
      </c>
      <c r="AA62" s="1216" t="str">
        <f t="shared" si="45"/>
        <v/>
      </c>
      <c r="AB62" s="1217" t="str">
        <f t="shared" si="45"/>
        <v/>
      </c>
      <c r="AC62" s="1216" t="str">
        <f t="shared" si="45"/>
        <v/>
      </c>
      <c r="AD62" s="1218" t="str">
        <f t="shared" si="45"/>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8"/>
        <v/>
      </c>
      <c r="AY62" s="1221" t="str">
        <f t="shared" si="48"/>
        <v/>
      </c>
      <c r="AZ62" s="1221" t="str">
        <f t="shared" si="48"/>
        <v/>
      </c>
      <c r="BA62" s="1221" t="str">
        <f t="shared" si="48"/>
        <v/>
      </c>
      <c r="BB62" s="1221" t="str">
        <f t="shared" si="48"/>
        <v/>
      </c>
      <c r="BC62" s="1221" t="str">
        <f t="shared" si="46"/>
        <v/>
      </c>
      <c r="BD62" s="1221" t="str">
        <f t="shared" si="46"/>
        <v/>
      </c>
      <c r="BE62" s="1222" t="str">
        <f t="shared" si="46"/>
        <v/>
      </c>
      <c r="BF62" s="1221" t="str">
        <f t="shared" si="46"/>
        <v/>
      </c>
      <c r="BG62" s="1223" t="str">
        <f t="shared" si="46"/>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44"/>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7"/>
        <v/>
      </c>
      <c r="V63" s="1216" t="str">
        <f t="shared" si="47"/>
        <v/>
      </c>
      <c r="W63" s="1216" t="str">
        <f t="shared" si="47"/>
        <v/>
      </c>
      <c r="X63" s="1216" t="str">
        <f t="shared" si="47"/>
        <v/>
      </c>
      <c r="Y63" s="1216" t="str">
        <f t="shared" si="47"/>
        <v/>
      </c>
      <c r="Z63" s="1216" t="str">
        <f t="shared" si="45"/>
        <v/>
      </c>
      <c r="AA63" s="1216" t="str">
        <f t="shared" si="45"/>
        <v/>
      </c>
      <c r="AB63" s="1217" t="str">
        <f t="shared" si="45"/>
        <v/>
      </c>
      <c r="AC63" s="1216" t="str">
        <f t="shared" si="45"/>
        <v/>
      </c>
      <c r="AD63" s="1218" t="str">
        <f t="shared" si="45"/>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8"/>
        <v/>
      </c>
      <c r="AY63" s="1221" t="str">
        <f t="shared" si="48"/>
        <v/>
      </c>
      <c r="AZ63" s="1221" t="str">
        <f t="shared" si="48"/>
        <v/>
      </c>
      <c r="BA63" s="1221" t="str">
        <f t="shared" si="48"/>
        <v/>
      </c>
      <c r="BB63" s="1221" t="str">
        <f t="shared" si="48"/>
        <v/>
      </c>
      <c r="BC63" s="1221" t="str">
        <f t="shared" si="46"/>
        <v/>
      </c>
      <c r="BD63" s="1221" t="str">
        <f t="shared" si="46"/>
        <v/>
      </c>
      <c r="BE63" s="1222" t="str">
        <f t="shared" si="46"/>
        <v/>
      </c>
      <c r="BF63" s="1221" t="str">
        <f t="shared" si="46"/>
        <v/>
      </c>
      <c r="BG63" s="1223" t="str">
        <f t="shared" si="46"/>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ht="12">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9">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9"/>
        <v>85</v>
      </c>
      <c r="AM69" s="349" t="s">
        <v>5</v>
      </c>
      <c r="AN69" s="347">
        <f t="shared" ref="AN69" si="50">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Data2!G7</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51">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2">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3">F76</f>
        <v>85</v>
      </c>
      <c r="AM76" s="7" t="s">
        <v>5</v>
      </c>
      <c r="AN76" s="9">
        <f t="shared" si="53"/>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3"/>
        <v>76</v>
      </c>
      <c r="AM77" s="7" t="s">
        <v>5</v>
      </c>
      <c r="AN77" s="9">
        <f t="shared" si="53"/>
        <v>84.5</v>
      </c>
      <c r="AO77" s="1357" t="str">
        <f t="shared" ref="AO77:AO78" si="54">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3"/>
        <v>0</v>
      </c>
      <c r="AM78" s="7" t="s">
        <v>5</v>
      </c>
      <c r="AN78" s="9">
        <f t="shared" si="53"/>
        <v>75.5</v>
      </c>
      <c r="AO78" s="1357" t="str">
        <f t="shared" si="54"/>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 hidden="1" customHeight="1">
      <c r="C84" s="2"/>
      <c r="AL84" s="10"/>
      <c r="AM84" s="8"/>
      <c r="AN84" s="10"/>
      <c r="AO84" s="108"/>
      <c r="AP84" s="108"/>
      <c r="AQ84" s="108"/>
      <c r="AR84" s="1159"/>
      <c r="AS84" s="1159"/>
      <c r="AT84" s="108"/>
      <c r="AU84" s="108"/>
      <c r="AV84" s="111"/>
    </row>
    <row r="85" spans="3:48" ht="12" hidden="1" customHeight="1">
      <c r="C85" s="2"/>
      <c r="AL85" s="10"/>
      <c r="AM85" s="8"/>
      <c r="AN85" s="10"/>
      <c r="AO85" s="108"/>
      <c r="AP85" s="108"/>
      <c r="AQ85" s="108"/>
      <c r="AR85" s="1159"/>
      <c r="AS85" s="1159"/>
      <c r="AT85" s="108"/>
      <c r="AU85" s="108"/>
      <c r="AV85" s="111"/>
    </row>
    <row r="86" spans="3:48" ht="12" hidden="1" customHeight="1"/>
    <row r="87" spans="3:48" ht="12" hidden="1" customHeight="1"/>
    <row r="88" spans="3:48" ht="12" hidden="1" customHeight="1"/>
    <row r="89" spans="3:48" ht="12" hidden="1" customHeight="1"/>
    <row r="90" spans="3:48" ht="12" hidden="1" customHeight="1"/>
    <row r="91" spans="3:48" ht="12" hidden="1" customHeight="1"/>
    <row r="92" spans="3:48" ht="12" hidden="1" customHeight="1"/>
    <row r="93" spans="3:48" ht="0" hidden="1" customHeight="1"/>
    <row r="94" spans="3:48" ht="0" hidden="1" customHeight="1"/>
    <row r="95" spans="3:48" ht="0" hidden="1" customHeight="1"/>
    <row r="96" spans="3:48" ht="0" hidden="1" customHeight="1"/>
    <row r="97" ht="0" hidden="1" customHeight="1"/>
  </sheetData>
  <mergeCells count="70">
    <mergeCell ref="D1:E2"/>
    <mergeCell ref="B3:C4"/>
    <mergeCell ref="D3:E6"/>
    <mergeCell ref="B6:C6"/>
    <mergeCell ref="B7:C7"/>
    <mergeCell ref="D7:E9"/>
    <mergeCell ref="B8:C8"/>
    <mergeCell ref="B9:C9"/>
    <mergeCell ref="B1:C2"/>
    <mergeCell ref="AM1:AU1"/>
    <mergeCell ref="G2:R2"/>
    <mergeCell ref="AL2:AL3"/>
    <mergeCell ref="AM2:AU3"/>
    <mergeCell ref="F3:F6"/>
    <mergeCell ref="G3:R6"/>
    <mergeCell ref="AL4:AL5"/>
    <mergeCell ref="AM4:AU5"/>
    <mergeCell ref="AL6:AL7"/>
    <mergeCell ref="AM6:AU7"/>
    <mergeCell ref="F7:F10"/>
    <mergeCell ref="G7:R10"/>
    <mergeCell ref="AL8:AL11"/>
    <mergeCell ref="AM8:AU11"/>
    <mergeCell ref="G11:R11"/>
    <mergeCell ref="I78:P78"/>
    <mergeCell ref="I75:P75"/>
    <mergeCell ref="I76:P76"/>
    <mergeCell ref="I77:P77"/>
    <mergeCell ref="G1:R1"/>
    <mergeCell ref="I67:Q67"/>
    <mergeCell ref="I68:Q68"/>
    <mergeCell ref="F66:Q66"/>
    <mergeCell ref="F67:H67"/>
    <mergeCell ref="T12:T13"/>
    <mergeCell ref="AG13:AH13"/>
    <mergeCell ref="F65:Q65"/>
    <mergeCell ref="AL65:AV65"/>
    <mergeCell ref="AI13:AJ13"/>
    <mergeCell ref="AK12:AK13"/>
    <mergeCell ref="AV12:AV13"/>
    <mergeCell ref="S12:S13"/>
    <mergeCell ref="B12:B13"/>
    <mergeCell ref="C12:C13"/>
    <mergeCell ref="D12:D13"/>
    <mergeCell ref="E12:E13"/>
    <mergeCell ref="F12:O12"/>
    <mergeCell ref="AW12:AW13"/>
    <mergeCell ref="BJ13:BK13"/>
    <mergeCell ref="BL13:BM13"/>
    <mergeCell ref="AO74:AV74"/>
    <mergeCell ref="BN12:BN13"/>
    <mergeCell ref="AL66:AV66"/>
    <mergeCell ref="AL67:AN67"/>
    <mergeCell ref="AO67:AV67"/>
    <mergeCell ref="B10:C11"/>
    <mergeCell ref="D10:E11"/>
    <mergeCell ref="AO83:AV83"/>
    <mergeCell ref="AO68:AV68"/>
    <mergeCell ref="AO69:AV69"/>
    <mergeCell ref="I70:Q70"/>
    <mergeCell ref="AO70:AV70"/>
    <mergeCell ref="I71:Q71"/>
    <mergeCell ref="AO71:AV71"/>
    <mergeCell ref="I69:Q69"/>
    <mergeCell ref="I74:Q74"/>
    <mergeCell ref="F73:Q73"/>
    <mergeCell ref="AL73:AV73"/>
    <mergeCell ref="F74:H74"/>
    <mergeCell ref="AL74:AN74"/>
    <mergeCell ref="AO82:AV82"/>
  </mergeCells>
  <conditionalFormatting sqref="B14:E63">
    <cfRule type="expression" dxfId="5458" priority="590">
      <formula>AND($B14&lt;&gt;"",$B15="")</formula>
    </cfRule>
    <cfRule type="expression" dxfId="5457" priority="591">
      <formula>$B14=""</formula>
    </cfRule>
  </conditionalFormatting>
  <conditionalFormatting sqref="B56:E56">
    <cfRule type="expression" dxfId="5456" priority="1007">
      <formula>AND($B56&lt;&gt;"",$B63="")</formula>
    </cfRule>
    <cfRule type="expression" dxfId="5455" priority="1008">
      <formula>$B56=""</formula>
    </cfRule>
  </conditionalFormatting>
  <conditionalFormatting sqref="B50:E50">
    <cfRule type="expression" dxfId="5454" priority="1125">
      <formula>AND($B50&lt;&gt;"",$B63="")</formula>
    </cfRule>
    <cfRule type="expression" dxfId="5453" priority="1126">
      <formula>$B50=""</formula>
    </cfRule>
  </conditionalFormatting>
  <conditionalFormatting sqref="B43:E44">
    <cfRule type="expression" dxfId="5452" priority="1261">
      <formula>AND($B43&lt;&gt;"",$B62="")</formula>
    </cfRule>
    <cfRule type="expression" dxfId="5451" priority="1262">
      <formula>$B43=""</formula>
    </cfRule>
  </conditionalFormatting>
  <conditionalFormatting sqref="B63:E63">
    <cfRule type="expression" dxfId="5450" priority="2013">
      <formula>AND($B63&lt;&gt;"",#REF!="")</formula>
    </cfRule>
    <cfRule type="expression" dxfId="5449" priority="2014">
      <formula>$B63=""</formula>
    </cfRule>
  </conditionalFormatting>
  <conditionalFormatting sqref="B61:E61">
    <cfRule type="expression" dxfId="5448" priority="2067">
      <formula>AND($B61&lt;&gt;"",$B64="")</formula>
    </cfRule>
    <cfRule type="expression" dxfId="5447" priority="2068">
      <formula>$B61=""</formula>
    </cfRule>
  </conditionalFormatting>
  <conditionalFormatting sqref="B57:E60">
    <cfRule type="expression" dxfId="5446" priority="2069">
      <formula>AND($B57&lt;&gt;"",#REF!="")</formula>
    </cfRule>
    <cfRule type="expression" dxfId="5445" priority="2070">
      <formula>$B57=""</formula>
    </cfRule>
  </conditionalFormatting>
  <conditionalFormatting sqref="B55:E55">
    <cfRule type="expression" dxfId="5444" priority="2073">
      <formula>AND($B55&lt;&gt;"",$B64="")</formula>
    </cfRule>
    <cfRule type="expression" dxfId="5443" priority="2074">
      <formula>$B55=""</formula>
    </cfRule>
  </conditionalFormatting>
  <conditionalFormatting sqref="B51:E54">
    <cfRule type="expression" dxfId="5442" priority="2075">
      <formula>AND($B51&lt;&gt;"",#REF!="")</formula>
    </cfRule>
    <cfRule type="expression" dxfId="5441" priority="2076">
      <formula>$B51=""</formula>
    </cfRule>
  </conditionalFormatting>
  <conditionalFormatting sqref="B49:E49">
    <cfRule type="expression" dxfId="5440" priority="2079">
      <formula>AND($B49&lt;&gt;"",$B64="")</formula>
    </cfRule>
    <cfRule type="expression" dxfId="5439" priority="2080">
      <formula>$B49=""</formula>
    </cfRule>
  </conditionalFormatting>
  <conditionalFormatting sqref="B45:E63">
    <cfRule type="expression" dxfId="5438" priority="2081">
      <formula>AND($B45&lt;&gt;"",#REF!="")</formula>
    </cfRule>
    <cfRule type="expression" dxfId="5437" priority="2082">
      <formula>$B45=""</formula>
    </cfRule>
  </conditionalFormatting>
  <conditionalFormatting sqref="R70 F66:Q71">
    <cfRule type="expression" dxfId="5436" priority="2085">
      <formula>$F$65="SAMA DENGAN DATA"</formula>
    </cfRule>
  </conditionalFormatting>
  <conditionalFormatting sqref="F66:Q71">
    <cfRule type="expression" dxfId="5435" priority="2087">
      <formula>$F$65="kkm tunggal"</formula>
    </cfRule>
  </conditionalFormatting>
  <conditionalFormatting sqref="AW70:BG70 AL66:AV71">
    <cfRule type="expression" dxfId="5434" priority="2088">
      <formula>$AL$65="SAMA DENGAN DATA"</formula>
    </cfRule>
  </conditionalFormatting>
  <conditionalFormatting sqref="AL66:AV71">
    <cfRule type="expression" dxfId="5433" priority="2090">
      <formula>$AL$65="KKM TUNGGAL"</formula>
    </cfRule>
  </conditionalFormatting>
  <conditionalFormatting sqref="B61:E63">
    <cfRule type="expression" dxfId="5432" priority="3036">
      <formula>AND($B61&lt;&gt;"",$B65="")</formula>
    </cfRule>
    <cfRule type="expression" dxfId="5431" priority="3037">
      <formula>$B61=""</formula>
    </cfRule>
  </conditionalFormatting>
  <conditionalFormatting sqref="B50:E60">
    <cfRule type="expression" dxfId="5430" priority="3038">
      <formula>AND($B50&lt;&gt;"",#REF!="")</formula>
    </cfRule>
    <cfRule type="expression" dxfId="5429" priority="3039">
      <formula>$B50=""</formula>
    </cfRule>
  </conditionalFormatting>
  <conditionalFormatting sqref="U14:AB63 P51:S63 AV14:BE63 AE14:AK63 BH14:BN63 P14:P50 S14:S50">
    <cfRule type="expression" dxfId="5428" priority="382">
      <formula>AND($B14&lt;&gt;"",$B15="")</formula>
    </cfRule>
    <cfRule type="expression" dxfId="5427" priority="383">
      <formula>$B14=""</formula>
    </cfRule>
  </conditionalFormatting>
  <conditionalFormatting sqref="T14:T63">
    <cfRule type="expression" dxfId="5426" priority="380">
      <formula>AND($B14&lt;&gt;"",$B15="")</formula>
    </cfRule>
    <cfRule type="expression" dxfId="5425" priority="381">
      <formula>$B14=""</formula>
    </cfRule>
  </conditionalFormatting>
  <conditionalFormatting sqref="AV14">
    <cfRule type="expression" dxfId="5424" priority="378">
      <formula>AND($B14&lt;&gt;"",$B15="")</formula>
    </cfRule>
    <cfRule type="expression" dxfId="5423" priority="379">
      <formula>$B14=""</formula>
    </cfRule>
  </conditionalFormatting>
  <conditionalFormatting sqref="P56:S56 U56:AB56 BH56:BN56 AE56:AK56 AV56:BE56">
    <cfRule type="expression" dxfId="5422" priority="384">
      <formula>AND($B56&lt;&gt;"",$B63="")</formula>
    </cfRule>
    <cfRule type="expression" dxfId="5421" priority="385">
      <formula>$B56=""</formula>
    </cfRule>
  </conditionalFormatting>
  <conditionalFormatting sqref="P50 U50:AB50 BH50:BN50 AE50:AK50 AV50:BE50 S50">
    <cfRule type="expression" dxfId="5420" priority="386">
      <formula>AND($B50&lt;&gt;"",$B63="")</formula>
    </cfRule>
    <cfRule type="expression" dxfId="5419" priority="387">
      <formula>$B50=""</formula>
    </cfRule>
  </conditionalFormatting>
  <conditionalFormatting sqref="P43:P44 U43:AB44 BH43:BN44 AE43:AK44 AV43:BE44 S43:S44">
    <cfRule type="expression" dxfId="5418" priority="388">
      <formula>AND($B43&lt;&gt;"",$B62="")</formula>
    </cfRule>
    <cfRule type="expression" dxfId="5417" priority="389">
      <formula>$B43=""</formula>
    </cfRule>
  </conditionalFormatting>
  <conditionalFormatting sqref="P63:S63 U63:AB63 BH63:BN63 AE63:AK63 AV63:BE63">
    <cfRule type="expression" dxfId="5416" priority="390">
      <formula>AND($B63&lt;&gt;"",#REF!="")</formula>
    </cfRule>
    <cfRule type="expression" dxfId="5415" priority="391">
      <formula>$B63=""</formula>
    </cfRule>
  </conditionalFormatting>
  <conditionalFormatting sqref="P61:S61 U61:AB61 BH61:BN61 AE61:AK61 AV61:BE61">
    <cfRule type="expression" dxfId="5414" priority="392">
      <formula>AND($B61&lt;&gt;"",$B64="")</formula>
    </cfRule>
    <cfRule type="expression" dxfId="5413" priority="393">
      <formula>$B61=""</formula>
    </cfRule>
  </conditionalFormatting>
  <conditionalFormatting sqref="P57:S60 U57:AB60 BH57:BN60 AE57:AK60 AV57:BE60">
    <cfRule type="expression" dxfId="5412" priority="394">
      <formula>AND($B57&lt;&gt;"",#REF!="")</formula>
    </cfRule>
    <cfRule type="expression" dxfId="5411" priority="395">
      <formula>$B57=""</formula>
    </cfRule>
  </conditionalFormatting>
  <conditionalFormatting sqref="P55:S55 U55:AB55 BH55:BN55 AE55:AK55 AV55:BE55">
    <cfRule type="expression" dxfId="5410" priority="396">
      <formula>AND($B55&lt;&gt;"",$B64="")</formula>
    </cfRule>
    <cfRule type="expression" dxfId="5409" priority="397">
      <formula>$B55=""</formula>
    </cfRule>
  </conditionalFormatting>
  <conditionalFormatting sqref="P51:S54 U51:AB54 BH51:BN54 AE51:AK54 AV51:BE54">
    <cfRule type="expression" dxfId="5408" priority="398">
      <formula>AND($B51&lt;&gt;"",#REF!="")</formula>
    </cfRule>
    <cfRule type="expression" dxfId="5407" priority="399">
      <formula>$B51=""</formula>
    </cfRule>
  </conditionalFormatting>
  <conditionalFormatting sqref="K49:P49 U49:AK49 S49 AQ49:BN49">
    <cfRule type="expression" dxfId="5406" priority="400">
      <formula>AND($B49&lt;&gt;"",$B64="")</formula>
    </cfRule>
    <cfRule type="expression" dxfId="5405" priority="401">
      <formula>$B49=""</formula>
    </cfRule>
  </conditionalFormatting>
  <conditionalFormatting sqref="P51:S63 U45:AB63 BH45:BN63 AE45:AK63 AV45:BE63 P45:P50 S45:S50">
    <cfRule type="expression" dxfId="5404" priority="402">
      <formula>AND($B45&lt;&gt;"",#REF!="")</formula>
    </cfRule>
    <cfRule type="expression" dxfId="5403" priority="403">
      <formula>$B45=""</formula>
    </cfRule>
  </conditionalFormatting>
  <conditionalFormatting sqref="T16:T63">
    <cfRule type="expression" dxfId="5402" priority="376">
      <formula>AND($B16&lt;&gt;"",$B17="")</formula>
    </cfRule>
    <cfRule type="expression" dxfId="5401" priority="377">
      <formula>$B16=""</formula>
    </cfRule>
  </conditionalFormatting>
  <conditionalFormatting sqref="U13:AB13 AX12:BG12">
    <cfRule type="expression" dxfId="5400" priority="375">
      <formula>COUNTA(U$14:U$63)&gt;0</formula>
    </cfRule>
  </conditionalFormatting>
  <conditionalFormatting sqref="F51:M63 K14:M50">
    <cfRule type="expression" dxfId="5399" priority="354">
      <formula>AND($B14&lt;&gt;"",$B15="")</formula>
    </cfRule>
    <cfRule type="expression" dxfId="5398" priority="355">
      <formula>$B14=""</formula>
    </cfRule>
  </conditionalFormatting>
  <conditionalFormatting sqref="F56:M56">
    <cfRule type="expression" dxfId="5397" priority="356">
      <formula>AND($B56&lt;&gt;"",$B63="")</formula>
    </cfRule>
    <cfRule type="expression" dxfId="5396" priority="357">
      <formula>$B56=""</formula>
    </cfRule>
  </conditionalFormatting>
  <conditionalFormatting sqref="K50:M50">
    <cfRule type="expression" dxfId="5395" priority="358">
      <formula>AND($B50&lt;&gt;"",$B63="")</formula>
    </cfRule>
    <cfRule type="expression" dxfId="5394" priority="359">
      <formula>$B50=""</formula>
    </cfRule>
  </conditionalFormatting>
  <conditionalFormatting sqref="K43:M44">
    <cfRule type="expression" dxfId="5393" priority="360">
      <formula>AND($B43&lt;&gt;"",$B62="")</formula>
    </cfRule>
    <cfRule type="expression" dxfId="5392" priority="361">
      <formula>$B43=""</formula>
    </cfRule>
  </conditionalFormatting>
  <conditionalFormatting sqref="F63:M63">
    <cfRule type="expression" dxfId="5391" priority="362">
      <formula>AND($B63&lt;&gt;"",#REF!="")</formula>
    </cfRule>
    <cfRule type="expression" dxfId="5390" priority="363">
      <formula>$B63=""</formula>
    </cfRule>
  </conditionalFormatting>
  <conditionalFormatting sqref="F61:M61">
    <cfRule type="expression" dxfId="5389" priority="364">
      <formula>AND($B61&lt;&gt;"",$B64="")</formula>
    </cfRule>
    <cfRule type="expression" dxfId="5388" priority="365">
      <formula>$B61=""</formula>
    </cfRule>
  </conditionalFormatting>
  <conditionalFormatting sqref="F57:M60">
    <cfRule type="expression" dxfId="5387" priority="366">
      <formula>AND($B57&lt;&gt;"",#REF!="")</formula>
    </cfRule>
    <cfRule type="expression" dxfId="5386" priority="367">
      <formula>$B57=""</formula>
    </cfRule>
  </conditionalFormatting>
  <conditionalFormatting sqref="F55:M55">
    <cfRule type="expression" dxfId="5385" priority="368">
      <formula>AND($B55&lt;&gt;"",$B64="")</formula>
    </cfRule>
    <cfRule type="expression" dxfId="5384" priority="369">
      <formula>$B55=""</formula>
    </cfRule>
  </conditionalFormatting>
  <conditionalFormatting sqref="F51:M54">
    <cfRule type="expression" dxfId="5383" priority="370">
      <formula>AND($B51&lt;&gt;"",#REF!="")</formula>
    </cfRule>
    <cfRule type="expression" dxfId="5382" priority="371">
      <formula>$B51=""</formula>
    </cfRule>
  </conditionalFormatting>
  <conditionalFormatting sqref="F51:M63 K45:M50">
    <cfRule type="expression" dxfId="5381" priority="372">
      <formula>AND($B45&lt;&gt;"",#REF!="")</formula>
    </cfRule>
    <cfRule type="expression" dxfId="5380" priority="373">
      <formula>$B45=""</formula>
    </cfRule>
  </conditionalFormatting>
  <conditionalFormatting sqref="F13:M13">
    <cfRule type="expression" dxfId="5379" priority="353">
      <formula>COUNTA(F$14:F$63)&gt;0</formula>
    </cfRule>
  </conditionalFormatting>
  <conditionalFormatting sqref="F51:M63 K14:M50">
    <cfRule type="expression" dxfId="5378" priority="374">
      <formula>COUNTIF($U14:$AB14,F14)&gt;1</formula>
    </cfRule>
  </conditionalFormatting>
  <conditionalFormatting sqref="AC14:AD63">
    <cfRule type="expression" dxfId="5377" priority="333">
      <formula>AND($B14&lt;&gt;"",$B15="")</formula>
    </cfRule>
    <cfRule type="expression" dxfId="5376" priority="334">
      <formula>$B14=""</formula>
    </cfRule>
  </conditionalFormatting>
  <conditionalFormatting sqref="AC56:AD56">
    <cfRule type="expression" dxfId="5375" priority="335">
      <formula>AND($B56&lt;&gt;"",$B63="")</formula>
    </cfRule>
    <cfRule type="expression" dxfId="5374" priority="336">
      <formula>$B56=""</formula>
    </cfRule>
  </conditionalFormatting>
  <conditionalFormatting sqref="AC50:AD50">
    <cfRule type="expression" dxfId="5373" priority="337">
      <formula>AND($B50&lt;&gt;"",$B63="")</formula>
    </cfRule>
    <cfRule type="expression" dxfId="5372" priority="338">
      <formula>$B50=""</formula>
    </cfRule>
  </conditionalFormatting>
  <conditionalFormatting sqref="AC43:AD44">
    <cfRule type="expression" dxfId="5371" priority="339">
      <formula>AND($B43&lt;&gt;"",$B62="")</formula>
    </cfRule>
    <cfRule type="expression" dxfId="5370" priority="340">
      <formula>$B43=""</formula>
    </cfRule>
  </conditionalFormatting>
  <conditionalFormatting sqref="AC63:AD63">
    <cfRule type="expression" dxfId="5369" priority="341">
      <formula>AND($B63&lt;&gt;"",#REF!="")</formula>
    </cfRule>
    <cfRule type="expression" dxfId="5368" priority="342">
      <formula>$B63=""</formula>
    </cfRule>
  </conditionalFormatting>
  <conditionalFormatting sqref="AC61:AD61">
    <cfRule type="expression" dxfId="5367" priority="343">
      <formula>AND($B61&lt;&gt;"",$B64="")</formula>
    </cfRule>
    <cfRule type="expression" dxfId="5366" priority="344">
      <formula>$B61=""</formula>
    </cfRule>
  </conditionalFormatting>
  <conditionalFormatting sqref="AC57:AD60">
    <cfRule type="expression" dxfId="5365" priority="345">
      <formula>AND($B57&lt;&gt;"",#REF!="")</formula>
    </cfRule>
    <cfRule type="expression" dxfId="5364" priority="346">
      <formula>$B57=""</formula>
    </cfRule>
  </conditionalFormatting>
  <conditionalFormatting sqref="AC55:AD55">
    <cfRule type="expression" dxfId="5363" priority="347">
      <formula>AND($B55&lt;&gt;"",$B64="")</formula>
    </cfRule>
    <cfRule type="expression" dxfId="5362" priority="348">
      <formula>$B55=""</formula>
    </cfRule>
  </conditionalFormatting>
  <conditionalFormatting sqref="AC51:AD54">
    <cfRule type="expression" dxfId="5361" priority="349">
      <formula>AND($B51&lt;&gt;"",#REF!="")</formula>
    </cfRule>
    <cfRule type="expression" dxfId="5360" priority="350">
      <formula>$B51=""</formula>
    </cfRule>
  </conditionalFormatting>
  <conditionalFormatting sqref="AC45:AD63">
    <cfRule type="expression" dxfId="5359" priority="351">
      <formula>AND($B45&lt;&gt;"",#REF!="")</formula>
    </cfRule>
    <cfRule type="expression" dxfId="5358" priority="352">
      <formula>$B45=""</formula>
    </cfRule>
  </conditionalFormatting>
  <conditionalFormatting sqref="AC13:AD13">
    <cfRule type="expression" dxfId="5357" priority="332">
      <formula>COUNTA(AC$14:AC$63)&gt;0</formula>
    </cfRule>
  </conditionalFormatting>
  <conditionalFormatting sqref="N14:O63">
    <cfRule type="expression" dxfId="5356" priority="311">
      <formula>AND($B14&lt;&gt;"",$B15="")</formula>
    </cfRule>
    <cfRule type="expression" dxfId="5355" priority="312">
      <formula>$B14=""</formula>
    </cfRule>
  </conditionalFormatting>
  <conditionalFormatting sqref="N56:O56">
    <cfRule type="expression" dxfId="5354" priority="313">
      <formula>AND($B56&lt;&gt;"",$B63="")</formula>
    </cfRule>
    <cfRule type="expression" dxfId="5353" priority="314">
      <formula>$B56=""</formula>
    </cfRule>
  </conditionalFormatting>
  <conditionalFormatting sqref="N50:O50">
    <cfRule type="expression" dxfId="5352" priority="315">
      <formula>AND($B50&lt;&gt;"",$B63="")</formula>
    </cfRule>
    <cfRule type="expression" dxfId="5351" priority="316">
      <formula>$B50=""</formula>
    </cfRule>
  </conditionalFormatting>
  <conditionalFormatting sqref="N43:O44">
    <cfRule type="expression" dxfId="5350" priority="317">
      <formula>AND($B43&lt;&gt;"",$B62="")</formula>
    </cfRule>
    <cfRule type="expression" dxfId="5349" priority="318">
      <formula>$B43=""</formula>
    </cfRule>
  </conditionalFormatting>
  <conditionalFormatting sqref="N63:O63">
    <cfRule type="expression" dxfId="5348" priority="319">
      <formula>AND($B63&lt;&gt;"",#REF!="")</formula>
    </cfRule>
    <cfRule type="expression" dxfId="5347" priority="320">
      <formula>$B63=""</formula>
    </cfRule>
  </conditionalFormatting>
  <conditionalFormatting sqref="N61:O61">
    <cfRule type="expression" dxfId="5346" priority="321">
      <formula>AND($B61&lt;&gt;"",$B64="")</formula>
    </cfRule>
    <cfRule type="expression" dxfId="5345" priority="322">
      <formula>$B61=""</formula>
    </cfRule>
  </conditionalFormatting>
  <conditionalFormatting sqref="N57:O60">
    <cfRule type="expression" dxfId="5344" priority="323">
      <formula>AND($B57&lt;&gt;"",#REF!="")</formula>
    </cfRule>
    <cfRule type="expression" dxfId="5343" priority="324">
      <formula>$B57=""</formula>
    </cfRule>
  </conditionalFormatting>
  <conditionalFormatting sqref="N55:O55">
    <cfRule type="expression" dxfId="5342" priority="325">
      <formula>AND($B55&lt;&gt;"",$B64="")</formula>
    </cfRule>
    <cfRule type="expression" dxfId="5341" priority="326">
      <formula>$B55=""</formula>
    </cfRule>
  </conditionalFormatting>
  <conditionalFormatting sqref="N51:O54">
    <cfRule type="expression" dxfId="5340" priority="327">
      <formula>AND($B51&lt;&gt;"",#REF!="")</formula>
    </cfRule>
    <cfRule type="expression" dxfId="5339" priority="328">
      <formula>$B51=""</formula>
    </cfRule>
  </conditionalFormatting>
  <conditionalFormatting sqref="N45:O63">
    <cfRule type="expression" dxfId="5338" priority="329">
      <formula>AND($B45&lt;&gt;"",#REF!="")</formula>
    </cfRule>
    <cfRule type="expression" dxfId="5337" priority="330">
      <formula>$B45=""</formula>
    </cfRule>
  </conditionalFormatting>
  <conditionalFormatting sqref="N13:O13">
    <cfRule type="expression" dxfId="5336" priority="310">
      <formula>COUNTA(N$14:N$63)&gt;0</formula>
    </cfRule>
  </conditionalFormatting>
  <conditionalFormatting sqref="N14:O63">
    <cfRule type="expression" dxfId="5335" priority="331">
      <formula>COUNTIF($U14:$AB14,N14)&gt;1</formula>
    </cfRule>
  </conditionalFormatting>
  <conditionalFormatting sqref="BF14:BG63">
    <cfRule type="expression" dxfId="5334" priority="290">
      <formula>AND($B14&lt;&gt;"",$B15="")</formula>
    </cfRule>
    <cfRule type="expression" dxfId="5333" priority="291">
      <formula>$B14=""</formula>
    </cfRule>
  </conditionalFormatting>
  <conditionalFormatting sqref="BF56:BG56">
    <cfRule type="expression" dxfId="5332" priority="292">
      <formula>AND($B56&lt;&gt;"",$B63="")</formula>
    </cfRule>
    <cfRule type="expression" dxfId="5331" priority="293">
      <formula>$B56=""</formula>
    </cfRule>
  </conditionalFormatting>
  <conditionalFormatting sqref="BF50:BG50">
    <cfRule type="expression" dxfId="5330" priority="294">
      <formula>AND($B50&lt;&gt;"",$B63="")</formula>
    </cfRule>
    <cfRule type="expression" dxfId="5329" priority="295">
      <formula>$B50=""</formula>
    </cfRule>
  </conditionalFormatting>
  <conditionalFormatting sqref="BF43:BG44">
    <cfRule type="expression" dxfId="5328" priority="296">
      <formula>AND($B43&lt;&gt;"",$B62="")</formula>
    </cfRule>
    <cfRule type="expression" dxfId="5327" priority="297">
      <formula>$B43=""</formula>
    </cfRule>
  </conditionalFormatting>
  <conditionalFormatting sqref="BF63:BG63">
    <cfRule type="expression" dxfId="5326" priority="298">
      <formula>AND($B63&lt;&gt;"",#REF!="")</formula>
    </cfRule>
    <cfRule type="expression" dxfId="5325" priority="299">
      <formula>$B63=""</formula>
    </cfRule>
  </conditionalFormatting>
  <conditionalFormatting sqref="BF61:BG61">
    <cfRule type="expression" dxfId="5324" priority="300">
      <formula>AND($B61&lt;&gt;"",$B64="")</formula>
    </cfRule>
    <cfRule type="expression" dxfId="5323" priority="301">
      <formula>$B61=""</formula>
    </cfRule>
  </conditionalFormatting>
  <conditionalFormatting sqref="BF57:BG60">
    <cfRule type="expression" dxfId="5322" priority="302">
      <formula>AND($B57&lt;&gt;"",#REF!="")</formula>
    </cfRule>
    <cfRule type="expression" dxfId="5321" priority="303">
      <formula>$B57=""</formula>
    </cfRule>
  </conditionalFormatting>
  <conditionalFormatting sqref="BF55:BG55">
    <cfRule type="expression" dxfId="5320" priority="304">
      <formula>AND($B55&lt;&gt;"",$B64="")</formula>
    </cfRule>
    <cfRule type="expression" dxfId="5319" priority="305">
      <formula>$B55=""</formula>
    </cfRule>
  </conditionalFormatting>
  <conditionalFormatting sqref="BF51:BG54">
    <cfRule type="expression" dxfId="5318" priority="306">
      <formula>AND($B51&lt;&gt;"",#REF!="")</formula>
    </cfRule>
    <cfRule type="expression" dxfId="5317" priority="307">
      <formula>$B51=""</formula>
    </cfRule>
  </conditionalFormatting>
  <conditionalFormatting sqref="BF45:BG63">
    <cfRule type="expression" dxfId="5316" priority="308">
      <formula>AND($B45&lt;&gt;"",#REF!="")</formula>
    </cfRule>
    <cfRule type="expression" dxfId="5315" priority="309">
      <formula>$B45=""</formula>
    </cfRule>
  </conditionalFormatting>
  <conditionalFormatting sqref="AL51:AS63 AQ14:AS50">
    <cfRule type="expression" dxfId="5314" priority="269">
      <formula>AND($B14&lt;&gt;"",$B15="")</formula>
    </cfRule>
    <cfRule type="expression" dxfId="5313" priority="270">
      <formula>$B14=""</formula>
    </cfRule>
  </conditionalFormatting>
  <conditionalFormatting sqref="AL56:AS56">
    <cfRule type="expression" dxfId="5312" priority="271">
      <formula>AND($B56&lt;&gt;"",$B63="")</formula>
    </cfRule>
    <cfRule type="expression" dxfId="5311" priority="272">
      <formula>$B56=""</formula>
    </cfRule>
  </conditionalFormatting>
  <conditionalFormatting sqref="AQ50:AS50">
    <cfRule type="expression" dxfId="5310" priority="273">
      <formula>AND($B50&lt;&gt;"",$B63="")</formula>
    </cfRule>
    <cfRule type="expression" dxfId="5309" priority="274">
      <formula>$B50=""</formula>
    </cfRule>
  </conditionalFormatting>
  <conditionalFormatting sqref="AQ43:AS44">
    <cfRule type="expression" dxfId="5308" priority="275">
      <formula>AND($B43&lt;&gt;"",$B62="")</formula>
    </cfRule>
    <cfRule type="expression" dxfId="5307" priority="276">
      <formula>$B43=""</formula>
    </cfRule>
  </conditionalFormatting>
  <conditionalFormatting sqref="AL63:AS63">
    <cfRule type="expression" dxfId="5306" priority="277">
      <formula>AND($B63&lt;&gt;"",#REF!="")</formula>
    </cfRule>
    <cfRule type="expression" dxfId="5305" priority="278">
      <formula>$B63=""</formula>
    </cfRule>
  </conditionalFormatting>
  <conditionalFormatting sqref="AL61:AS61">
    <cfRule type="expression" dxfId="5304" priority="279">
      <formula>AND($B61&lt;&gt;"",$B64="")</formula>
    </cfRule>
    <cfRule type="expression" dxfId="5303" priority="280">
      <formula>$B61=""</formula>
    </cfRule>
  </conditionalFormatting>
  <conditionalFormatting sqref="AL57:AS60">
    <cfRule type="expression" dxfId="5302" priority="281">
      <formula>AND($B57&lt;&gt;"",#REF!="")</formula>
    </cfRule>
    <cfRule type="expression" dxfId="5301" priority="282">
      <formula>$B57=""</formula>
    </cfRule>
  </conditionalFormatting>
  <conditionalFormatting sqref="AL55:AS55">
    <cfRule type="expression" dxfId="5300" priority="283">
      <formula>AND($B55&lt;&gt;"",$B64="")</formula>
    </cfRule>
    <cfRule type="expression" dxfId="5299" priority="284">
      <formula>$B55=""</formula>
    </cfRule>
  </conditionalFormatting>
  <conditionalFormatting sqref="AL51:AS54">
    <cfRule type="expression" dxfId="5298" priority="285">
      <formula>AND($B51&lt;&gt;"",#REF!="")</formula>
    </cfRule>
    <cfRule type="expression" dxfId="5297" priority="286">
      <formula>$B51=""</formula>
    </cfRule>
  </conditionalFormatting>
  <conditionalFormatting sqref="AL51:AS63 AQ45:AS50">
    <cfRule type="expression" dxfId="5296" priority="287">
      <formula>AND($B45&lt;&gt;"",#REF!="")</formula>
    </cfRule>
    <cfRule type="expression" dxfId="5295" priority="288">
      <formula>$B45=""</formula>
    </cfRule>
  </conditionalFormatting>
  <conditionalFormatting sqref="AL12:AU12">
    <cfRule type="expression" dxfId="5294" priority="268">
      <formula>COUNTA(AL$14:AL$63)&gt;0</formula>
    </cfRule>
  </conditionalFormatting>
  <conditionalFormatting sqref="AT14:AU63">
    <cfRule type="expression" dxfId="5293" priority="248">
      <formula>AND($B14&lt;&gt;"",$B15="")</formula>
    </cfRule>
    <cfRule type="expression" dxfId="5292" priority="249">
      <formula>$B14=""</formula>
    </cfRule>
  </conditionalFormatting>
  <conditionalFormatting sqref="AT56:AU56">
    <cfRule type="expression" dxfId="5291" priority="250">
      <formula>AND($B56&lt;&gt;"",$B63="")</formula>
    </cfRule>
    <cfRule type="expression" dxfId="5290" priority="251">
      <formula>$B56=""</formula>
    </cfRule>
  </conditionalFormatting>
  <conditionalFormatting sqref="AT50:AU50">
    <cfRule type="expression" dxfId="5289" priority="252">
      <formula>AND($B50&lt;&gt;"",$B63="")</formula>
    </cfRule>
    <cfRule type="expression" dxfId="5288" priority="253">
      <formula>$B50=""</formula>
    </cfRule>
  </conditionalFormatting>
  <conditionalFormatting sqref="AT43:AU44">
    <cfRule type="expression" dxfId="5287" priority="254">
      <formula>AND($B43&lt;&gt;"",$B62="")</formula>
    </cfRule>
    <cfRule type="expression" dxfId="5286" priority="255">
      <formula>$B43=""</formula>
    </cfRule>
  </conditionalFormatting>
  <conditionalFormatting sqref="AT63:AU63">
    <cfRule type="expression" dxfId="5285" priority="256">
      <formula>AND($B63&lt;&gt;"",#REF!="")</formula>
    </cfRule>
    <cfRule type="expression" dxfId="5284" priority="257">
      <formula>$B63=""</formula>
    </cfRule>
  </conditionalFormatting>
  <conditionalFormatting sqref="AT61:AU61">
    <cfRule type="expression" dxfId="5283" priority="258">
      <formula>AND($B61&lt;&gt;"",$B64="")</formula>
    </cfRule>
    <cfRule type="expression" dxfId="5282" priority="259">
      <formula>$B61=""</formula>
    </cfRule>
  </conditionalFormatting>
  <conditionalFormatting sqref="AT57:AU60">
    <cfRule type="expression" dxfId="5281" priority="260">
      <formula>AND($B57&lt;&gt;"",#REF!="")</formula>
    </cfRule>
    <cfRule type="expression" dxfId="5280" priority="261">
      <formula>$B57=""</formula>
    </cfRule>
  </conditionalFormatting>
  <conditionalFormatting sqref="AT55:AU55">
    <cfRule type="expression" dxfId="5279" priority="262">
      <formula>AND($B55&lt;&gt;"",$B64="")</formula>
    </cfRule>
    <cfRule type="expression" dxfId="5278" priority="263">
      <formula>$B55=""</formula>
    </cfRule>
  </conditionalFormatting>
  <conditionalFormatting sqref="AT51:AU54">
    <cfRule type="expression" dxfId="5277" priority="264">
      <formula>AND($B51&lt;&gt;"",#REF!="")</formula>
    </cfRule>
    <cfRule type="expression" dxfId="5276" priority="265">
      <formula>$B51=""</formula>
    </cfRule>
  </conditionalFormatting>
  <conditionalFormatting sqref="AT45:AU63">
    <cfRule type="expression" dxfId="5275" priority="266">
      <formula>AND($B45&lt;&gt;"",#REF!="")</formula>
    </cfRule>
    <cfRule type="expression" dxfId="5274" priority="267">
      <formula>$B45=""</formula>
    </cfRule>
  </conditionalFormatting>
  <conditionalFormatting sqref="AL51:AU63 AQ14:AU50">
    <cfRule type="expression" dxfId="5273" priority="289">
      <formula>COUNTIF($AX14:$BE14,AL14)&gt;1</formula>
    </cfRule>
  </conditionalFormatting>
  <conditionalFormatting sqref="F61:S63 U61:BN63">
    <cfRule type="expression" dxfId="5272" priority="404">
      <formula>AND($B61&lt;&gt;"",$B65="")</formula>
    </cfRule>
    <cfRule type="expression" dxfId="5271" priority="405">
      <formula>$B61=""</formula>
    </cfRule>
  </conditionalFormatting>
  <conditionalFormatting sqref="F51:S60 U51:BN60 K50:P50 S50 U50:AK50 AQ50:BN50">
    <cfRule type="expression" dxfId="5270" priority="406">
      <formula>AND($B50&lt;&gt;"",#REF!="")</formula>
    </cfRule>
    <cfRule type="expression" dxfId="5269" priority="407">
      <formula>$B50=""</formula>
    </cfRule>
  </conditionalFormatting>
  <conditionalFormatting sqref="T2">
    <cfRule type="expression" dxfId="5268" priority="247">
      <formula>COUNTA(F$14:F$63)&gt;0</formula>
    </cfRule>
  </conditionalFormatting>
  <conditionalFormatting sqref="T3">
    <cfRule type="expression" dxfId="5267" priority="408">
      <formula>COUNTA(G$14:G$63)&gt;0</formula>
    </cfRule>
  </conditionalFormatting>
  <conditionalFormatting sqref="T4">
    <cfRule type="expression" dxfId="5266" priority="409">
      <formula>COUNTA(H$14:H$63)&gt;0</formula>
    </cfRule>
  </conditionalFormatting>
  <conditionalFormatting sqref="T5">
    <cfRule type="expression" dxfId="5265" priority="410">
      <formula>COUNTA(I$14:I$63)&gt;0</formula>
    </cfRule>
  </conditionalFormatting>
  <conditionalFormatting sqref="T7">
    <cfRule type="expression" dxfId="5264" priority="246">
      <formula>COUNTA(K$14:K$63)&gt;0</formula>
    </cfRule>
  </conditionalFormatting>
  <conditionalFormatting sqref="T11">
    <cfRule type="expression" dxfId="5263" priority="411">
      <formula>COUNTA(O$14:O$63)&gt;0</formula>
    </cfRule>
  </conditionalFormatting>
  <conditionalFormatting sqref="T10">
    <cfRule type="expression" dxfId="5262" priority="412">
      <formula>COUNTA(N$14:N$63)&gt;0</formula>
    </cfRule>
  </conditionalFormatting>
  <conditionalFormatting sqref="T9">
    <cfRule type="expression" dxfId="5261" priority="413">
      <formula>COUNTA(M$14:M$63)&gt;0</formula>
    </cfRule>
  </conditionalFormatting>
  <conditionalFormatting sqref="T8">
    <cfRule type="expression" dxfId="5260" priority="414">
      <formula>COUNTA(L$14:L$63)&gt;0</formula>
    </cfRule>
  </conditionalFormatting>
  <conditionalFormatting sqref="T6">
    <cfRule type="expression" dxfId="5259" priority="245">
      <formula>COUNTA(J$14:J$63)&gt;0</formula>
    </cfRule>
  </conditionalFormatting>
  <conditionalFormatting sqref="AW2">
    <cfRule type="expression" dxfId="5258" priority="244">
      <formula>COUNTA(AL$14:AL$63)&gt;0</formula>
    </cfRule>
  </conditionalFormatting>
  <conditionalFormatting sqref="AW3">
    <cfRule type="expression" dxfId="5257" priority="243">
      <formula>COUNTA(AM$14:AM$63)&gt;0</formula>
    </cfRule>
  </conditionalFormatting>
  <conditionalFormatting sqref="AW4">
    <cfRule type="expression" dxfId="5256" priority="242">
      <formula>COUNTA(AN$14:AN$63)&gt;0</formula>
    </cfRule>
  </conditionalFormatting>
  <conditionalFormatting sqref="AW5">
    <cfRule type="expression" dxfId="5255" priority="241">
      <formula>COUNTA(AO$14:AO$63)&gt;0</formula>
    </cfRule>
  </conditionalFormatting>
  <conditionalFormatting sqref="AW6">
    <cfRule type="expression" dxfId="5254" priority="240">
      <formula>COUNTA(AP$14:AP$63)&gt;0</formula>
    </cfRule>
  </conditionalFormatting>
  <conditionalFormatting sqref="AW7">
    <cfRule type="expression" dxfId="5253" priority="239">
      <formula>COUNTA(AQ$14:AQ$63)&gt;0</formula>
    </cfRule>
  </conditionalFormatting>
  <conditionalFormatting sqref="AW8">
    <cfRule type="expression" dxfId="5252" priority="238">
      <formula>COUNTA(AR$14:AR$63)&gt;0</formula>
    </cfRule>
  </conditionalFormatting>
  <conditionalFormatting sqref="AW9">
    <cfRule type="expression" dxfId="5251" priority="237">
      <formula>COUNTA(AS$14:AS$63)&gt;0</formula>
    </cfRule>
  </conditionalFormatting>
  <conditionalFormatting sqref="AW10">
    <cfRule type="expression" dxfId="5250" priority="236">
      <formula>COUNTA(AT$14:AT$63)&gt;0</formula>
    </cfRule>
  </conditionalFormatting>
  <conditionalFormatting sqref="AW11">
    <cfRule type="expression" dxfId="5249" priority="235">
      <formula>COUNTA(AU$14:AU$63)&gt;0</formula>
    </cfRule>
  </conditionalFormatting>
  <conditionalFormatting sqref="F14:J14">
    <cfRule type="expression" dxfId="5248" priority="232">
      <formula>AND($B14&lt;&gt;"",$B15="")</formula>
    </cfRule>
    <cfRule type="expression" dxfId="5247" priority="233">
      <formula>$B14=""</formula>
    </cfRule>
  </conditionalFormatting>
  <conditionalFormatting sqref="F14:J14">
    <cfRule type="expression" dxfId="5246" priority="234">
      <formula>COUNTIF($U14:$AB14,F14)&gt;1</formula>
    </cfRule>
  </conditionalFormatting>
  <conditionalFormatting sqref="F16:J16">
    <cfRule type="expression" dxfId="5245" priority="229">
      <formula>AND($B16&lt;&gt;"",$B17="")</formula>
    </cfRule>
    <cfRule type="expression" dxfId="5244" priority="230">
      <formula>$B16=""</formula>
    </cfRule>
  </conditionalFormatting>
  <conditionalFormatting sqref="F16:J16">
    <cfRule type="expression" dxfId="5243" priority="231">
      <formula>COUNTIF($U16:$AB16,F16)&gt;1</formula>
    </cfRule>
  </conditionalFormatting>
  <conditionalFormatting sqref="F18:J18">
    <cfRule type="expression" dxfId="5242" priority="226">
      <formula>AND($B18&lt;&gt;"",$B19="")</formula>
    </cfRule>
    <cfRule type="expression" dxfId="5241" priority="227">
      <formula>$B18=""</formula>
    </cfRule>
  </conditionalFormatting>
  <conditionalFormatting sqref="F18:J18">
    <cfRule type="expression" dxfId="5240" priority="228">
      <formula>COUNTIF($U18:$AB18,F18)&gt;1</formula>
    </cfRule>
  </conditionalFormatting>
  <conditionalFormatting sqref="F19:J19">
    <cfRule type="expression" dxfId="5239" priority="223">
      <formula>AND($B19&lt;&gt;"",$B20="")</formula>
    </cfRule>
    <cfRule type="expression" dxfId="5238" priority="224">
      <formula>$B19=""</formula>
    </cfRule>
  </conditionalFormatting>
  <conditionalFormatting sqref="F19:J19">
    <cfRule type="expression" dxfId="5237" priority="225">
      <formula>COUNTIF($U19:$AB19,F19)&gt;1</formula>
    </cfRule>
  </conditionalFormatting>
  <conditionalFormatting sqref="F24:J24">
    <cfRule type="expression" dxfId="5236" priority="220">
      <formula>AND($B24&lt;&gt;"",$B25="")</formula>
    </cfRule>
    <cfRule type="expression" dxfId="5235" priority="221">
      <formula>$B24=""</formula>
    </cfRule>
  </conditionalFormatting>
  <conditionalFormatting sqref="F24:J24">
    <cfRule type="expression" dxfId="5234" priority="222">
      <formula>COUNTIF($U24:$AB24,F24)&gt;1</formula>
    </cfRule>
  </conditionalFormatting>
  <conditionalFormatting sqref="F25:J25">
    <cfRule type="expression" dxfId="5233" priority="217">
      <formula>AND($B25&lt;&gt;"",$B26="")</formula>
    </cfRule>
    <cfRule type="expression" dxfId="5232" priority="218">
      <formula>$B25=""</formula>
    </cfRule>
  </conditionalFormatting>
  <conditionalFormatting sqref="F25:J25">
    <cfRule type="expression" dxfId="5231" priority="219">
      <formula>COUNTIF($U25:$AB25,F25)&gt;1</formula>
    </cfRule>
  </conditionalFormatting>
  <conditionalFormatting sqref="F28:J28">
    <cfRule type="expression" dxfId="5230" priority="214">
      <formula>AND($B28&lt;&gt;"",$B29="")</formula>
    </cfRule>
    <cfRule type="expression" dxfId="5229" priority="215">
      <formula>$B28=""</formula>
    </cfRule>
  </conditionalFormatting>
  <conditionalFormatting sqref="F28:J28">
    <cfRule type="expression" dxfId="5228" priority="216">
      <formula>COUNTIF($U28:$AB28,F28)&gt;1</formula>
    </cfRule>
  </conditionalFormatting>
  <conditionalFormatting sqref="F29:J29">
    <cfRule type="expression" dxfId="5227" priority="211">
      <formula>AND($B29&lt;&gt;"",$B30="")</formula>
    </cfRule>
    <cfRule type="expression" dxfId="5226" priority="212">
      <formula>$B29=""</formula>
    </cfRule>
  </conditionalFormatting>
  <conditionalFormatting sqref="F29:J29">
    <cfRule type="expression" dxfId="5225" priority="213">
      <formula>COUNTIF($U29:$AB29,F29)&gt;1</formula>
    </cfRule>
  </conditionalFormatting>
  <conditionalFormatting sqref="F30:J30">
    <cfRule type="expression" dxfId="5224" priority="208">
      <formula>AND($B30&lt;&gt;"",$B31="")</formula>
    </cfRule>
    <cfRule type="expression" dxfId="5223" priority="209">
      <formula>$B30=""</formula>
    </cfRule>
  </conditionalFormatting>
  <conditionalFormatting sqref="F30:J30">
    <cfRule type="expression" dxfId="5222" priority="210">
      <formula>COUNTIF($U30:$AB30,F30)&gt;1</formula>
    </cfRule>
  </conditionalFormatting>
  <conditionalFormatting sqref="F31:J31">
    <cfRule type="expression" dxfId="5221" priority="205">
      <formula>AND($B31&lt;&gt;"",$B32="")</formula>
    </cfRule>
    <cfRule type="expression" dxfId="5220" priority="206">
      <formula>$B31=""</formula>
    </cfRule>
  </conditionalFormatting>
  <conditionalFormatting sqref="F31:J31">
    <cfRule type="expression" dxfId="5219" priority="207">
      <formula>COUNTIF($U31:$AB31,F31)&gt;1</formula>
    </cfRule>
  </conditionalFormatting>
  <conditionalFormatting sqref="F32:J32">
    <cfRule type="expression" dxfId="5218" priority="202">
      <formula>AND($B32&lt;&gt;"",$B33="")</formula>
    </cfRule>
    <cfRule type="expression" dxfId="5217" priority="203">
      <formula>$B32=""</formula>
    </cfRule>
  </conditionalFormatting>
  <conditionalFormatting sqref="F32:J32">
    <cfRule type="expression" dxfId="5216" priority="204">
      <formula>COUNTIF($U32:$AB32,F32)&gt;1</formula>
    </cfRule>
  </conditionalFormatting>
  <conditionalFormatting sqref="F33:J33">
    <cfRule type="expression" dxfId="5215" priority="199">
      <formula>AND($B33&lt;&gt;"",$B34="")</formula>
    </cfRule>
    <cfRule type="expression" dxfId="5214" priority="200">
      <formula>$B33=""</formula>
    </cfRule>
  </conditionalFormatting>
  <conditionalFormatting sqref="F33:J33">
    <cfRule type="expression" dxfId="5213" priority="201">
      <formula>COUNTIF($U33:$AB33,F33)&gt;1</formula>
    </cfRule>
  </conditionalFormatting>
  <conditionalFormatting sqref="F34:J34">
    <cfRule type="expression" dxfId="5212" priority="196">
      <formula>AND($B34&lt;&gt;"",$B35="")</formula>
    </cfRule>
    <cfRule type="expression" dxfId="5211" priority="197">
      <formula>$B34=""</formula>
    </cfRule>
  </conditionalFormatting>
  <conditionalFormatting sqref="F34:J34">
    <cfRule type="expression" dxfId="5210" priority="198">
      <formula>COUNTIF($U34:$AB34,F34)&gt;1</formula>
    </cfRule>
  </conditionalFormatting>
  <conditionalFormatting sqref="F39:J39">
    <cfRule type="expression" dxfId="5209" priority="193">
      <formula>AND($B39&lt;&gt;"",$B40="")</formula>
    </cfRule>
    <cfRule type="expression" dxfId="5208" priority="194">
      <formula>$B39=""</formula>
    </cfRule>
  </conditionalFormatting>
  <conditionalFormatting sqref="F39:J39">
    <cfRule type="expression" dxfId="5207" priority="195">
      <formula>COUNTIF($U39:$AB39,F39)&gt;1</formula>
    </cfRule>
  </conditionalFormatting>
  <conditionalFormatting sqref="F40:J40">
    <cfRule type="expression" dxfId="5206" priority="190">
      <formula>AND($B40&lt;&gt;"",$B41="")</formula>
    </cfRule>
    <cfRule type="expression" dxfId="5205" priority="191">
      <formula>$B40=""</formula>
    </cfRule>
  </conditionalFormatting>
  <conditionalFormatting sqref="F40:J40">
    <cfRule type="expression" dxfId="5204" priority="192">
      <formula>COUNTIF($U40:$AB40,F40)&gt;1</formula>
    </cfRule>
  </conditionalFormatting>
  <conditionalFormatting sqref="F42:J42">
    <cfRule type="expression" dxfId="5203" priority="187">
      <formula>AND($B42&lt;&gt;"",$B43="")</formula>
    </cfRule>
    <cfRule type="expression" dxfId="5202" priority="188">
      <formula>$B42=""</formula>
    </cfRule>
  </conditionalFormatting>
  <conditionalFormatting sqref="F42:J42">
    <cfRule type="expression" dxfId="5201" priority="189">
      <formula>COUNTIF($U42:$AB42,F42)&gt;1</formula>
    </cfRule>
  </conditionalFormatting>
  <conditionalFormatting sqref="F44:J44">
    <cfRule type="expression" dxfId="5200" priority="184">
      <formula>AND($B44&lt;&gt;"",$B45="")</formula>
    </cfRule>
    <cfRule type="expression" dxfId="5199" priority="185">
      <formula>$B44=""</formula>
    </cfRule>
  </conditionalFormatting>
  <conditionalFormatting sqref="F44:J44">
    <cfRule type="expression" dxfId="5198" priority="186">
      <formula>COUNTIF($U44:$AB44,F44)&gt;1</formula>
    </cfRule>
  </conditionalFormatting>
  <conditionalFormatting sqref="F46:J46">
    <cfRule type="expression" dxfId="5197" priority="181">
      <formula>AND($B46&lt;&gt;"",$B47="")</formula>
    </cfRule>
    <cfRule type="expression" dxfId="5196" priority="182">
      <formula>$B46=""</formula>
    </cfRule>
  </conditionalFormatting>
  <conditionalFormatting sqref="F46:J46">
    <cfRule type="expression" dxfId="5195" priority="183">
      <formula>COUNTIF($U46:$AB46,F46)&gt;1</formula>
    </cfRule>
  </conditionalFormatting>
  <conditionalFormatting sqref="F50:J50">
    <cfRule type="expression" dxfId="5194" priority="178">
      <formula>AND($B50&lt;&gt;"",$B51="")</formula>
    </cfRule>
    <cfRule type="expression" dxfId="5193" priority="179">
      <formula>$B50=""</formula>
    </cfRule>
  </conditionalFormatting>
  <conditionalFormatting sqref="F50:J50">
    <cfRule type="expression" dxfId="5192" priority="180">
      <formula>COUNTIF($U50:$AB50,F50)&gt;1</formula>
    </cfRule>
  </conditionalFormatting>
  <conditionalFormatting sqref="F15:J15">
    <cfRule type="expression" dxfId="5191" priority="175">
      <formula>AND($B15&lt;&gt;"",$B16="")</formula>
    </cfRule>
    <cfRule type="expression" dxfId="5190" priority="176">
      <formula>$B15=""</formula>
    </cfRule>
  </conditionalFormatting>
  <conditionalFormatting sqref="F15:J15">
    <cfRule type="expression" dxfId="5189" priority="177">
      <formula>COUNTIF($U15:$AB15,F15)&gt;1</formula>
    </cfRule>
  </conditionalFormatting>
  <conditionalFormatting sqref="F17:J17">
    <cfRule type="expression" dxfId="5188" priority="172">
      <formula>AND($B17&lt;&gt;"",$B18="")</formula>
    </cfRule>
    <cfRule type="expression" dxfId="5187" priority="173">
      <formula>$B17=""</formula>
    </cfRule>
  </conditionalFormatting>
  <conditionalFormatting sqref="F17:J17">
    <cfRule type="expression" dxfId="5186" priority="174">
      <formula>COUNTIF($U17:$AB17,F17)&gt;1</formula>
    </cfRule>
  </conditionalFormatting>
  <conditionalFormatting sqref="F20:J20">
    <cfRule type="expression" dxfId="5185" priority="169">
      <formula>AND($B20&lt;&gt;"",$B21="")</formula>
    </cfRule>
    <cfRule type="expression" dxfId="5184" priority="170">
      <formula>$B20=""</formula>
    </cfRule>
  </conditionalFormatting>
  <conditionalFormatting sqref="F20:J20">
    <cfRule type="expression" dxfId="5183" priority="171">
      <formula>COUNTIF($U20:$AB20,F20)&gt;1</formula>
    </cfRule>
  </conditionalFormatting>
  <conditionalFormatting sqref="F21:J21">
    <cfRule type="expression" dxfId="5182" priority="166">
      <formula>AND($B21&lt;&gt;"",$B22="")</formula>
    </cfRule>
    <cfRule type="expression" dxfId="5181" priority="167">
      <formula>$B21=""</formula>
    </cfRule>
  </conditionalFormatting>
  <conditionalFormatting sqref="F21:J21">
    <cfRule type="expression" dxfId="5180" priority="168">
      <formula>COUNTIF($U21:$AB21,F21)&gt;1</formula>
    </cfRule>
  </conditionalFormatting>
  <conditionalFormatting sqref="F22:J22">
    <cfRule type="expression" dxfId="5179" priority="163">
      <formula>AND($B22&lt;&gt;"",$B23="")</formula>
    </cfRule>
    <cfRule type="expression" dxfId="5178" priority="164">
      <formula>$B22=""</formula>
    </cfRule>
  </conditionalFormatting>
  <conditionalFormatting sqref="F22:J22">
    <cfRule type="expression" dxfId="5177" priority="165">
      <formula>COUNTIF($U22:$AB22,F22)&gt;1</formula>
    </cfRule>
  </conditionalFormatting>
  <conditionalFormatting sqref="F23:J23">
    <cfRule type="expression" dxfId="5176" priority="160">
      <formula>AND($B23&lt;&gt;"",$B24="")</formula>
    </cfRule>
    <cfRule type="expression" dxfId="5175" priority="161">
      <formula>$B23=""</formula>
    </cfRule>
  </conditionalFormatting>
  <conditionalFormatting sqref="F23:J23">
    <cfRule type="expression" dxfId="5174" priority="162">
      <formula>COUNTIF($U23:$AB23,F23)&gt;1</formula>
    </cfRule>
  </conditionalFormatting>
  <conditionalFormatting sqref="F26:J26">
    <cfRule type="expression" dxfId="5173" priority="157">
      <formula>AND($B26&lt;&gt;"",$B27="")</formula>
    </cfRule>
    <cfRule type="expression" dxfId="5172" priority="158">
      <formula>$B26=""</formula>
    </cfRule>
  </conditionalFormatting>
  <conditionalFormatting sqref="F26:J26">
    <cfRule type="expression" dxfId="5171" priority="159">
      <formula>COUNTIF($U26:$AB26,F26)&gt;1</formula>
    </cfRule>
  </conditionalFormatting>
  <conditionalFormatting sqref="F27:J27">
    <cfRule type="expression" dxfId="5170" priority="154">
      <formula>AND($B27&lt;&gt;"",$B28="")</formula>
    </cfRule>
    <cfRule type="expression" dxfId="5169" priority="155">
      <formula>$B27=""</formula>
    </cfRule>
  </conditionalFormatting>
  <conditionalFormatting sqref="F27:J27">
    <cfRule type="expression" dxfId="5168" priority="156">
      <formula>COUNTIF($U27:$AB27,F27)&gt;1</formula>
    </cfRule>
  </conditionalFormatting>
  <conditionalFormatting sqref="F35:J35">
    <cfRule type="expression" dxfId="5167" priority="151">
      <formula>AND($B35&lt;&gt;"",$B36="")</formula>
    </cfRule>
    <cfRule type="expression" dxfId="5166" priority="152">
      <formula>$B35=""</formula>
    </cfRule>
  </conditionalFormatting>
  <conditionalFormatting sqref="F35:J35">
    <cfRule type="expression" dxfId="5165" priority="153">
      <formula>COUNTIF($U35:$AB35,F35)&gt;1</formula>
    </cfRule>
  </conditionalFormatting>
  <conditionalFormatting sqref="F36:J36">
    <cfRule type="expression" dxfId="5164" priority="148">
      <formula>AND($B36&lt;&gt;"",$B37="")</formula>
    </cfRule>
    <cfRule type="expression" dxfId="5163" priority="149">
      <formula>$B36=""</formula>
    </cfRule>
  </conditionalFormatting>
  <conditionalFormatting sqref="F36:J36">
    <cfRule type="expression" dxfId="5162" priority="150">
      <formula>COUNTIF($U36:$AB36,F36)&gt;1</formula>
    </cfRule>
  </conditionalFormatting>
  <conditionalFormatting sqref="F37:J37">
    <cfRule type="expression" dxfId="5161" priority="145">
      <formula>AND($B37&lt;&gt;"",$B38="")</formula>
    </cfRule>
    <cfRule type="expression" dxfId="5160" priority="146">
      <formula>$B37=""</formula>
    </cfRule>
  </conditionalFormatting>
  <conditionalFormatting sqref="F37:J37">
    <cfRule type="expression" dxfId="5159" priority="147">
      <formula>COUNTIF($U37:$AB37,F37)&gt;1</formula>
    </cfRule>
  </conditionalFormatting>
  <conditionalFormatting sqref="F38:J38">
    <cfRule type="expression" dxfId="5158" priority="142">
      <formula>AND($B38&lt;&gt;"",$B39="")</formula>
    </cfRule>
    <cfRule type="expression" dxfId="5157" priority="143">
      <formula>$B38=""</formula>
    </cfRule>
  </conditionalFormatting>
  <conditionalFormatting sqref="F38:J38">
    <cfRule type="expression" dxfId="5156" priority="144">
      <formula>COUNTIF($U38:$AB38,F38)&gt;1</formula>
    </cfRule>
  </conditionalFormatting>
  <conditionalFormatting sqref="F41:J41">
    <cfRule type="expression" dxfId="5155" priority="139">
      <formula>AND($B41&lt;&gt;"",$B42="")</formula>
    </cfRule>
    <cfRule type="expression" dxfId="5154" priority="140">
      <formula>$B41=""</formula>
    </cfRule>
  </conditionalFormatting>
  <conditionalFormatting sqref="F41:J41">
    <cfRule type="expression" dxfId="5153" priority="141">
      <formula>COUNTIF($U41:$AB41,F41)&gt;1</formula>
    </cfRule>
  </conditionalFormatting>
  <conditionalFormatting sqref="F43:J43">
    <cfRule type="expression" dxfId="5152" priority="136">
      <formula>AND($B43&lt;&gt;"",$B44="")</formula>
    </cfRule>
    <cfRule type="expression" dxfId="5151" priority="137">
      <formula>$B43=""</formula>
    </cfRule>
  </conditionalFormatting>
  <conditionalFormatting sqref="F43:J43">
    <cfRule type="expression" dxfId="5150" priority="138">
      <formula>COUNTIF($U43:$AB43,F43)&gt;1</formula>
    </cfRule>
  </conditionalFormatting>
  <conditionalFormatting sqref="F45:J45">
    <cfRule type="expression" dxfId="5149" priority="133">
      <formula>AND($B45&lt;&gt;"",$B46="")</formula>
    </cfRule>
    <cfRule type="expression" dxfId="5148" priority="134">
      <formula>$B45=""</formula>
    </cfRule>
  </conditionalFormatting>
  <conditionalFormatting sqref="F45:J45">
    <cfRule type="expression" dxfId="5147" priority="135">
      <formula>COUNTIF($U45:$AB45,F45)&gt;1</formula>
    </cfRule>
  </conditionalFormatting>
  <conditionalFormatting sqref="F47:J47">
    <cfRule type="expression" dxfId="5146" priority="130">
      <formula>AND($B47&lt;&gt;"",$B48="")</formula>
    </cfRule>
    <cfRule type="expression" dxfId="5145" priority="131">
      <formula>$B47=""</formula>
    </cfRule>
  </conditionalFormatting>
  <conditionalFormatting sqref="F47:J47">
    <cfRule type="expression" dxfId="5144" priority="132">
      <formula>COUNTIF($U47:$AB47,F47)&gt;1</formula>
    </cfRule>
  </conditionalFormatting>
  <conditionalFormatting sqref="F48:J48">
    <cfRule type="expression" dxfId="5143" priority="127">
      <formula>AND($B48&lt;&gt;"",$B49="")</formula>
    </cfRule>
    <cfRule type="expression" dxfId="5142" priority="128">
      <formula>$B48=""</formula>
    </cfRule>
  </conditionalFormatting>
  <conditionalFormatting sqref="F48:J48">
    <cfRule type="expression" dxfId="5141" priority="129">
      <formula>COUNTIF($U48:$AB48,F48)&gt;1</formula>
    </cfRule>
  </conditionalFormatting>
  <conditionalFormatting sqref="F49:J49">
    <cfRule type="expression" dxfId="5140" priority="124">
      <formula>AND($B49&lt;&gt;"",$B50="")</formula>
    </cfRule>
    <cfRule type="expression" dxfId="5139" priority="125">
      <formula>$B49=""</formula>
    </cfRule>
  </conditionalFormatting>
  <conditionalFormatting sqref="F49:J49">
    <cfRule type="expression" dxfId="5138" priority="126">
      <formula>COUNTIF($U49:$AB49,F49)&gt;1</formula>
    </cfRule>
  </conditionalFormatting>
  <conditionalFormatting sqref="Q14:R50">
    <cfRule type="expression" dxfId="5137" priority="112">
      <formula>AND($B14&lt;&gt;"",$B15="")</formula>
    </cfRule>
    <cfRule type="expression" dxfId="5136" priority="113">
      <formula>$B14=""</formula>
    </cfRule>
  </conditionalFormatting>
  <conditionalFormatting sqref="Q50:R50">
    <cfRule type="expression" dxfId="5135" priority="114">
      <formula>AND($B50&lt;&gt;"",$B63="")</formula>
    </cfRule>
    <cfRule type="expression" dxfId="5134" priority="115">
      <formula>$B50=""</formula>
    </cfRule>
  </conditionalFormatting>
  <conditionalFormatting sqref="Q43:R44">
    <cfRule type="expression" dxfId="5133" priority="116">
      <formula>AND($B43&lt;&gt;"",$B62="")</formula>
    </cfRule>
    <cfRule type="expression" dxfId="5132" priority="117">
      <formula>$B43=""</formula>
    </cfRule>
  </conditionalFormatting>
  <conditionalFormatting sqref="Q49:R49">
    <cfRule type="expression" dxfId="5131" priority="118">
      <formula>AND($B49&lt;&gt;"",$B64="")</formula>
    </cfRule>
    <cfRule type="expression" dxfId="5130" priority="119">
      <formula>$B49=""</formula>
    </cfRule>
  </conditionalFormatting>
  <conditionalFormatting sqref="Q45:R50">
    <cfRule type="expression" dxfId="5129" priority="120">
      <formula>AND($B45&lt;&gt;"",#REF!="")</formula>
    </cfRule>
    <cfRule type="expression" dxfId="5128" priority="121">
      <formula>$B45=""</formula>
    </cfRule>
  </conditionalFormatting>
  <conditionalFormatting sqref="Q50:R50">
    <cfRule type="expression" dxfId="5127" priority="122">
      <formula>AND($B50&lt;&gt;"",#REF!="")</formula>
    </cfRule>
    <cfRule type="expression" dxfId="5126" priority="123">
      <formula>$B50=""</formula>
    </cfRule>
  </conditionalFormatting>
  <conditionalFormatting sqref="AL14:AP14">
    <cfRule type="expression" dxfId="5125" priority="109">
      <formula>AND($B14&lt;&gt;"",$B15="")</formula>
    </cfRule>
    <cfRule type="expression" dxfId="5124" priority="110">
      <formula>$B14=""</formula>
    </cfRule>
  </conditionalFormatting>
  <conditionalFormatting sqref="AL14:AP14">
    <cfRule type="expression" dxfId="5123" priority="111">
      <formula>COUNTIF($U14:$AB14,AL14)&gt;1</formula>
    </cfRule>
  </conditionalFormatting>
  <conditionalFormatting sqref="AL16:AP16">
    <cfRule type="expression" dxfId="5122" priority="106">
      <formula>AND($B16&lt;&gt;"",$B17="")</formula>
    </cfRule>
    <cfRule type="expression" dxfId="5121" priority="107">
      <formula>$B16=""</formula>
    </cfRule>
  </conditionalFormatting>
  <conditionalFormatting sqref="AL16:AP16">
    <cfRule type="expression" dxfId="5120" priority="108">
      <formula>COUNTIF($U16:$AB16,AL16)&gt;1</formula>
    </cfRule>
  </conditionalFormatting>
  <conditionalFormatting sqref="AL18:AP18">
    <cfRule type="expression" dxfId="5119" priority="103">
      <formula>AND($B18&lt;&gt;"",$B19="")</formula>
    </cfRule>
    <cfRule type="expression" dxfId="5118" priority="104">
      <formula>$B18=""</formula>
    </cfRule>
  </conditionalFormatting>
  <conditionalFormatting sqref="AL18:AP18">
    <cfRule type="expression" dxfId="5117" priority="105">
      <formula>COUNTIF($U18:$AB18,AL18)&gt;1</formula>
    </cfRule>
  </conditionalFormatting>
  <conditionalFormatting sqref="AL19:AP19">
    <cfRule type="expression" dxfId="5116" priority="100">
      <formula>AND($B19&lt;&gt;"",$B20="")</formula>
    </cfRule>
    <cfRule type="expression" dxfId="5115" priority="101">
      <formula>$B19=""</formula>
    </cfRule>
  </conditionalFormatting>
  <conditionalFormatting sqref="AL19:AP19">
    <cfRule type="expression" dxfId="5114" priority="102">
      <formula>COUNTIF($U19:$AB19,AL19)&gt;1</formula>
    </cfRule>
  </conditionalFormatting>
  <conditionalFormatting sqref="AL24:AP24">
    <cfRule type="expression" dxfId="5113" priority="97">
      <formula>AND($B24&lt;&gt;"",$B25="")</formula>
    </cfRule>
    <cfRule type="expression" dxfId="5112" priority="98">
      <formula>$B24=""</formula>
    </cfRule>
  </conditionalFormatting>
  <conditionalFormatting sqref="AL24:AP24">
    <cfRule type="expression" dxfId="5111" priority="99">
      <formula>COUNTIF($U24:$AB24,AL24)&gt;1</formula>
    </cfRule>
  </conditionalFormatting>
  <conditionalFormatting sqref="AL25:AP25">
    <cfRule type="expression" dxfId="5110" priority="94">
      <formula>AND($B25&lt;&gt;"",$B26="")</formula>
    </cfRule>
    <cfRule type="expression" dxfId="5109" priority="95">
      <formula>$B25=""</formula>
    </cfRule>
  </conditionalFormatting>
  <conditionalFormatting sqref="AL25:AP25">
    <cfRule type="expression" dxfId="5108" priority="96">
      <formula>COUNTIF($U25:$AB25,AL25)&gt;1</formula>
    </cfRule>
  </conditionalFormatting>
  <conditionalFormatting sqref="AL28:AP28">
    <cfRule type="expression" dxfId="5107" priority="91">
      <formula>AND($B28&lt;&gt;"",$B29="")</formula>
    </cfRule>
    <cfRule type="expression" dxfId="5106" priority="92">
      <formula>$B28=""</formula>
    </cfRule>
  </conditionalFormatting>
  <conditionalFormatting sqref="AL28:AP28">
    <cfRule type="expression" dxfId="5105" priority="93">
      <formula>COUNTIF($U28:$AB28,AL28)&gt;1</formula>
    </cfRule>
  </conditionalFormatting>
  <conditionalFormatting sqref="AL29:AP29">
    <cfRule type="expression" dxfId="5104" priority="88">
      <formula>AND($B29&lt;&gt;"",$B30="")</formula>
    </cfRule>
    <cfRule type="expression" dxfId="5103" priority="89">
      <formula>$B29=""</formula>
    </cfRule>
  </conditionalFormatting>
  <conditionalFormatting sqref="AL29:AP29">
    <cfRule type="expression" dxfId="5102" priority="90">
      <formula>COUNTIF($U29:$AB29,AL29)&gt;1</formula>
    </cfRule>
  </conditionalFormatting>
  <conditionalFormatting sqref="AL30:AP30">
    <cfRule type="expression" dxfId="5101" priority="85">
      <formula>AND($B30&lt;&gt;"",$B31="")</formula>
    </cfRule>
    <cfRule type="expression" dxfId="5100" priority="86">
      <formula>$B30=""</formula>
    </cfRule>
  </conditionalFormatting>
  <conditionalFormatting sqref="AL30:AP30">
    <cfRule type="expression" dxfId="5099" priority="87">
      <formula>COUNTIF($U30:$AB30,AL30)&gt;1</formula>
    </cfRule>
  </conditionalFormatting>
  <conditionalFormatting sqref="AL31:AP31">
    <cfRule type="expression" dxfId="5098" priority="82">
      <formula>AND($B31&lt;&gt;"",$B32="")</formula>
    </cfRule>
    <cfRule type="expression" dxfId="5097" priority="83">
      <formula>$B31=""</formula>
    </cfRule>
  </conditionalFormatting>
  <conditionalFormatting sqref="AL31:AP31">
    <cfRule type="expression" dxfId="5096" priority="84">
      <formula>COUNTIF($U31:$AB31,AL31)&gt;1</formula>
    </cfRule>
  </conditionalFormatting>
  <conditionalFormatting sqref="AL32:AP32">
    <cfRule type="expression" dxfId="5095" priority="79">
      <formula>AND($B32&lt;&gt;"",$B33="")</formula>
    </cfRule>
    <cfRule type="expression" dxfId="5094" priority="80">
      <formula>$B32=""</formula>
    </cfRule>
  </conditionalFormatting>
  <conditionalFormatting sqref="AL32:AP32">
    <cfRule type="expression" dxfId="5093" priority="81">
      <formula>COUNTIF($U32:$AB32,AL32)&gt;1</formula>
    </cfRule>
  </conditionalFormatting>
  <conditionalFormatting sqref="AL33:AP33">
    <cfRule type="expression" dxfId="5092" priority="76">
      <formula>AND($B33&lt;&gt;"",$B34="")</formula>
    </cfRule>
    <cfRule type="expression" dxfId="5091" priority="77">
      <formula>$B33=""</formula>
    </cfRule>
  </conditionalFormatting>
  <conditionalFormatting sqref="AL33:AP33">
    <cfRule type="expression" dxfId="5090" priority="78">
      <formula>COUNTIF($U33:$AB33,AL33)&gt;1</formula>
    </cfRule>
  </conditionalFormatting>
  <conditionalFormatting sqref="AL34:AP34">
    <cfRule type="expression" dxfId="5089" priority="73">
      <formula>AND($B34&lt;&gt;"",$B35="")</formula>
    </cfRule>
    <cfRule type="expression" dxfId="5088" priority="74">
      <formula>$B34=""</formula>
    </cfRule>
  </conditionalFormatting>
  <conditionalFormatting sqref="AL34:AP34">
    <cfRule type="expression" dxfId="5087" priority="75">
      <formula>COUNTIF($U34:$AB34,AL34)&gt;1</formula>
    </cfRule>
  </conditionalFormatting>
  <conditionalFormatting sqref="AL39:AP39">
    <cfRule type="expression" dxfId="5086" priority="70">
      <formula>AND($B39&lt;&gt;"",$B40="")</formula>
    </cfRule>
    <cfRule type="expression" dxfId="5085" priority="71">
      <formula>$B39=""</formula>
    </cfRule>
  </conditionalFormatting>
  <conditionalFormatting sqref="AL39:AP39">
    <cfRule type="expression" dxfId="5084" priority="72">
      <formula>COUNTIF($U39:$AB39,AL39)&gt;1</formula>
    </cfRule>
  </conditionalFormatting>
  <conditionalFormatting sqref="AL40:AP40">
    <cfRule type="expression" dxfId="5083" priority="67">
      <formula>AND($B40&lt;&gt;"",$B41="")</formula>
    </cfRule>
    <cfRule type="expression" dxfId="5082" priority="68">
      <formula>$B40=""</formula>
    </cfRule>
  </conditionalFormatting>
  <conditionalFormatting sqref="AL40:AP40">
    <cfRule type="expression" dxfId="5081" priority="69">
      <formula>COUNTIF($U40:$AB40,AL40)&gt;1</formula>
    </cfRule>
  </conditionalFormatting>
  <conditionalFormatting sqref="AL42:AP42">
    <cfRule type="expression" dxfId="5080" priority="64">
      <formula>AND($B42&lt;&gt;"",$B43="")</formula>
    </cfRule>
    <cfRule type="expression" dxfId="5079" priority="65">
      <formula>$B42=""</formula>
    </cfRule>
  </conditionalFormatting>
  <conditionalFormatting sqref="AL42:AP42">
    <cfRule type="expression" dxfId="5078" priority="66">
      <formula>COUNTIF($U42:$AB42,AL42)&gt;1</formula>
    </cfRule>
  </conditionalFormatting>
  <conditionalFormatting sqref="AL44:AP44">
    <cfRule type="expression" dxfId="5077" priority="61">
      <formula>AND($B44&lt;&gt;"",$B45="")</formula>
    </cfRule>
    <cfRule type="expression" dxfId="5076" priority="62">
      <formula>$B44=""</formula>
    </cfRule>
  </conditionalFormatting>
  <conditionalFormatting sqref="AL44:AP44">
    <cfRule type="expression" dxfId="5075" priority="63">
      <formula>COUNTIF($U44:$AB44,AL44)&gt;1</formula>
    </cfRule>
  </conditionalFormatting>
  <conditionalFormatting sqref="AL46:AP46">
    <cfRule type="expression" dxfId="5074" priority="58">
      <formula>AND($B46&lt;&gt;"",$B47="")</formula>
    </cfRule>
    <cfRule type="expression" dxfId="5073" priority="59">
      <formula>$B46=""</formula>
    </cfRule>
  </conditionalFormatting>
  <conditionalFormatting sqref="AL46:AP46">
    <cfRule type="expression" dxfId="5072" priority="60">
      <formula>COUNTIF($U46:$AB46,AL46)&gt;1</formula>
    </cfRule>
  </conditionalFormatting>
  <conditionalFormatting sqref="AL50:AP50">
    <cfRule type="expression" dxfId="5071" priority="55">
      <formula>AND($B50&lt;&gt;"",$B51="")</formula>
    </cfRule>
    <cfRule type="expression" dxfId="5070" priority="56">
      <formula>$B50=""</formula>
    </cfRule>
  </conditionalFormatting>
  <conditionalFormatting sqref="AL50:AP50">
    <cfRule type="expression" dxfId="5069" priority="57">
      <formula>COUNTIF($U50:$AB50,AL50)&gt;1</formula>
    </cfRule>
  </conditionalFormatting>
  <conditionalFormatting sqref="AL15:AP15">
    <cfRule type="expression" dxfId="5068" priority="52">
      <formula>AND($B15&lt;&gt;"",$B16="")</formula>
    </cfRule>
    <cfRule type="expression" dxfId="5067" priority="53">
      <formula>$B15=""</formula>
    </cfRule>
  </conditionalFormatting>
  <conditionalFormatting sqref="AL15:AP15">
    <cfRule type="expression" dxfId="5066" priority="54">
      <formula>COUNTIF($U15:$AB15,AL15)&gt;1</formula>
    </cfRule>
  </conditionalFormatting>
  <conditionalFormatting sqref="AL17:AP17">
    <cfRule type="expression" dxfId="5065" priority="49">
      <formula>AND($B17&lt;&gt;"",$B18="")</formula>
    </cfRule>
    <cfRule type="expression" dxfId="5064" priority="50">
      <formula>$B17=""</formula>
    </cfRule>
  </conditionalFormatting>
  <conditionalFormatting sqref="AL17:AP17">
    <cfRule type="expression" dxfId="5063" priority="51">
      <formula>COUNTIF($U17:$AB17,AL17)&gt;1</formula>
    </cfRule>
  </conditionalFormatting>
  <conditionalFormatting sqref="AL20:AP20">
    <cfRule type="expression" dxfId="5062" priority="46">
      <formula>AND($B20&lt;&gt;"",$B21="")</formula>
    </cfRule>
    <cfRule type="expression" dxfId="5061" priority="47">
      <formula>$B20=""</formula>
    </cfRule>
  </conditionalFormatting>
  <conditionalFormatting sqref="AL20:AP20">
    <cfRule type="expression" dxfId="5060" priority="48">
      <formula>COUNTIF($U20:$AB20,AL20)&gt;1</formula>
    </cfRule>
  </conditionalFormatting>
  <conditionalFormatting sqref="AL21:AP21">
    <cfRule type="expression" dxfId="5059" priority="43">
      <formula>AND($B21&lt;&gt;"",$B22="")</formula>
    </cfRule>
    <cfRule type="expression" dxfId="5058" priority="44">
      <formula>$B21=""</formula>
    </cfRule>
  </conditionalFormatting>
  <conditionalFormatting sqref="AL21:AP21">
    <cfRule type="expression" dxfId="5057" priority="45">
      <formula>COUNTIF($U21:$AB21,AL21)&gt;1</formula>
    </cfRule>
  </conditionalFormatting>
  <conditionalFormatting sqref="AL22:AP22">
    <cfRule type="expression" dxfId="5056" priority="40">
      <formula>AND($B22&lt;&gt;"",$B23="")</formula>
    </cfRule>
    <cfRule type="expression" dxfId="5055" priority="41">
      <formula>$B22=""</formula>
    </cfRule>
  </conditionalFormatting>
  <conditionalFormatting sqref="AL22:AP22">
    <cfRule type="expression" dxfId="5054" priority="42">
      <formula>COUNTIF($U22:$AB22,AL22)&gt;1</formula>
    </cfRule>
  </conditionalFormatting>
  <conditionalFormatting sqref="AL23:AP23">
    <cfRule type="expression" dxfId="5053" priority="37">
      <formula>AND($B23&lt;&gt;"",$B24="")</formula>
    </cfRule>
    <cfRule type="expression" dxfId="5052" priority="38">
      <formula>$B23=""</formula>
    </cfRule>
  </conditionalFormatting>
  <conditionalFormatting sqref="AL23:AP23">
    <cfRule type="expression" dxfId="5051" priority="39">
      <formula>COUNTIF($U23:$AB23,AL23)&gt;1</formula>
    </cfRule>
  </conditionalFormatting>
  <conditionalFormatting sqref="AL26:AP26">
    <cfRule type="expression" dxfId="5050" priority="34">
      <formula>AND($B26&lt;&gt;"",$B27="")</formula>
    </cfRule>
    <cfRule type="expression" dxfId="5049" priority="35">
      <formula>$B26=""</formula>
    </cfRule>
  </conditionalFormatting>
  <conditionalFormatting sqref="AL26:AP26">
    <cfRule type="expression" dxfId="5048" priority="36">
      <formula>COUNTIF($U26:$AB26,AL26)&gt;1</formula>
    </cfRule>
  </conditionalFormatting>
  <conditionalFormatting sqref="AL27:AP27">
    <cfRule type="expression" dxfId="5047" priority="31">
      <formula>AND($B27&lt;&gt;"",$B28="")</formula>
    </cfRule>
    <cfRule type="expression" dxfId="5046" priority="32">
      <formula>$B27=""</formula>
    </cfRule>
  </conditionalFormatting>
  <conditionalFormatting sqref="AL27:AP27">
    <cfRule type="expression" dxfId="5045" priority="33">
      <formula>COUNTIF($U27:$AB27,AL27)&gt;1</formula>
    </cfRule>
  </conditionalFormatting>
  <conditionalFormatting sqref="AL35:AP35">
    <cfRule type="expression" dxfId="5044" priority="28">
      <formula>AND($B35&lt;&gt;"",$B36="")</formula>
    </cfRule>
    <cfRule type="expression" dxfId="5043" priority="29">
      <formula>$B35=""</formula>
    </cfRule>
  </conditionalFormatting>
  <conditionalFormatting sqref="AL35:AP35">
    <cfRule type="expression" dxfId="5042" priority="30">
      <formula>COUNTIF($U35:$AB35,AL35)&gt;1</formula>
    </cfRule>
  </conditionalFormatting>
  <conditionalFormatting sqref="AL36:AP36">
    <cfRule type="expression" dxfId="5041" priority="25">
      <formula>AND($B36&lt;&gt;"",$B37="")</formula>
    </cfRule>
    <cfRule type="expression" dxfId="5040" priority="26">
      <formula>$B36=""</formula>
    </cfRule>
  </conditionalFormatting>
  <conditionalFormatting sqref="AL36:AP36">
    <cfRule type="expression" dxfId="5039" priority="27">
      <formula>COUNTIF($U36:$AB36,AL36)&gt;1</formula>
    </cfRule>
  </conditionalFormatting>
  <conditionalFormatting sqref="AL37:AP37">
    <cfRule type="expression" dxfId="5038" priority="22">
      <formula>AND($B37&lt;&gt;"",$B38="")</formula>
    </cfRule>
    <cfRule type="expression" dxfId="5037" priority="23">
      <formula>$B37=""</formula>
    </cfRule>
  </conditionalFormatting>
  <conditionalFormatting sqref="AL37:AP37">
    <cfRule type="expression" dxfId="5036" priority="24">
      <formula>COUNTIF($U37:$AB37,AL37)&gt;1</formula>
    </cfRule>
  </conditionalFormatting>
  <conditionalFormatting sqref="AL38:AP38">
    <cfRule type="expression" dxfId="5035" priority="19">
      <formula>AND($B38&lt;&gt;"",$B39="")</formula>
    </cfRule>
    <cfRule type="expression" dxfId="5034" priority="20">
      <formula>$B38=""</formula>
    </cfRule>
  </conditionalFormatting>
  <conditionalFormatting sqref="AL38:AP38">
    <cfRule type="expression" dxfId="5033" priority="21">
      <formula>COUNTIF($U38:$AB38,AL38)&gt;1</formula>
    </cfRule>
  </conditionalFormatting>
  <conditionalFormatting sqref="AL41:AP41">
    <cfRule type="expression" dxfId="5032" priority="16">
      <formula>AND($B41&lt;&gt;"",$B42="")</formula>
    </cfRule>
    <cfRule type="expression" dxfId="5031" priority="17">
      <formula>$B41=""</formula>
    </cfRule>
  </conditionalFormatting>
  <conditionalFormatting sqref="AL41:AP41">
    <cfRule type="expression" dxfId="5030" priority="18">
      <formula>COUNTIF($U41:$AB41,AL41)&gt;1</formula>
    </cfRule>
  </conditionalFormatting>
  <conditionalFormatting sqref="AL43:AP43">
    <cfRule type="expression" dxfId="5029" priority="13">
      <formula>AND($B43&lt;&gt;"",$B44="")</formula>
    </cfRule>
    <cfRule type="expression" dxfId="5028" priority="14">
      <formula>$B43=""</formula>
    </cfRule>
  </conditionalFormatting>
  <conditionalFormatting sqref="AL43:AP43">
    <cfRule type="expression" dxfId="5027" priority="15">
      <formula>COUNTIF($U43:$AB43,AL43)&gt;1</formula>
    </cfRule>
  </conditionalFormatting>
  <conditionalFormatting sqref="AL45:AP45">
    <cfRule type="expression" dxfId="5026" priority="10">
      <formula>AND($B45&lt;&gt;"",$B46="")</formula>
    </cfRule>
    <cfRule type="expression" dxfId="5025" priority="11">
      <formula>$B45=""</formula>
    </cfRule>
  </conditionalFormatting>
  <conditionalFormatting sqref="AL45:AP45">
    <cfRule type="expression" dxfId="5024" priority="12">
      <formula>COUNTIF($U45:$AB45,AL45)&gt;1</formula>
    </cfRule>
  </conditionalFormatting>
  <conditionalFormatting sqref="AL47:AP47">
    <cfRule type="expression" dxfId="5023" priority="7">
      <formula>AND($B47&lt;&gt;"",$B48="")</formula>
    </cfRule>
    <cfRule type="expression" dxfId="5022" priority="8">
      <formula>$B47=""</formula>
    </cfRule>
  </conditionalFormatting>
  <conditionalFormatting sqref="AL47:AP47">
    <cfRule type="expression" dxfId="5021" priority="9">
      <formula>COUNTIF($U47:$AB47,AL47)&gt;1</formula>
    </cfRule>
  </conditionalFormatting>
  <conditionalFormatting sqref="AL48:AP48">
    <cfRule type="expression" dxfId="5020" priority="4">
      <formula>AND($B48&lt;&gt;"",$B49="")</formula>
    </cfRule>
    <cfRule type="expression" dxfId="5019" priority="5">
      <formula>$B48=""</formula>
    </cfRule>
  </conditionalFormatting>
  <conditionalFormatting sqref="AL48:AP48">
    <cfRule type="expression" dxfId="5018" priority="6">
      <formula>COUNTIF($U48:$AB48,AL48)&gt;1</formula>
    </cfRule>
  </conditionalFormatting>
  <conditionalFormatting sqref="AL49:AP49">
    <cfRule type="expression" dxfId="5017" priority="1">
      <formula>AND($B49&lt;&gt;"",$B50="")</formula>
    </cfRule>
    <cfRule type="expression" dxfId="5016" priority="2">
      <formula>$B49=""</formula>
    </cfRule>
  </conditionalFormatting>
  <conditionalFormatting sqref="AL49:AP49">
    <cfRule type="expression" dxfId="5015" priority="3">
      <formula>COUNTIF($U49:$AB49,AL49)&gt;1</formula>
    </cfRule>
  </conditionalFormatting>
  <dataValidations count="6">
    <dataValidation allowBlank="1" showInputMessage="1" showErrorMessage="1" prompt="Bobot Nilai" sqref="P13:R13 BH11 AE12:AF12"/>
    <dataValidation allowBlank="1" showInputMessage="1" showErrorMessage="1" prompt="Rata-rata Harian" sqref="P12 AV12"/>
    <dataValidation allowBlank="1" showInputMessage="1" showErrorMessage="1" promptTitle="Tulis Bobot Nilai" prompt="Berupa Nilai Praktik, Portofolio atau Proyek._x000a_Bobot Praktik disarankan lebih tinggi" sqref="AL13:AU13 AX13:BG13"/>
    <dataValidation type="whole" allowBlank="1" showInputMessage="1" showErrorMessage="1" errorTitle="Petunjuk" error="Nilai 0-100" sqref="F14:O63 Q14:R63 AL14:AU63">
      <formula1>0</formula1>
      <formula2>100</formula2>
    </dataValidation>
    <dataValidation allowBlank="1" showInputMessage="1" showErrorMessage="1" prompt="KKM" sqref="H69:H70"/>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0866141732283472" right="0.43307086614173229" top="0.27559055118110237" bottom="0.31496062992125984" header="0.31496062992125984" footer="0.23622047244094491"/>
  <pageSetup paperSize="9" orientation="landscape" blackAndWhite="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00FF"/>
  </sheetPr>
  <dimension ref="A1:DG97"/>
  <sheetViews>
    <sheetView showGridLines="0" showRowColHeaders="0" workbookViewId="0">
      <pane xSplit="5" ySplit="13" topLeftCell="F14" activePane="bottomRight" state="frozen"/>
      <selection activeCell="AW5" sqref="AW5:BN7"/>
      <selection pane="topRight" activeCell="AW5" sqref="AW5:BN7"/>
      <selection pane="bottomLeft" activeCell="AW5" sqref="AW5:BN7"/>
      <selection pane="bottomRight" activeCell="L15" sqref="L15"/>
    </sheetView>
  </sheetViews>
  <sheetFormatPr defaultColWidth="0" defaultRowHeight="0" customHeight="1"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t="str">
        <f>Data2!C8</f>
        <v>Sejarah Indonesia</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82" t="s">
        <v>1160</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86" t="s">
        <v>1287</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1161</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1288</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1162</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1289</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t="s">
        <v>1163</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1290</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1164</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1291</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1165</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1292</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1166</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1293</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1167</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1294</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1168</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1295</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1169</v>
      </c>
      <c r="AL11" s="1800"/>
      <c r="AM11" s="1803"/>
      <c r="AN11" s="1803"/>
      <c r="AO11" s="1803"/>
      <c r="AP11" s="1803"/>
      <c r="AQ11" s="1803"/>
      <c r="AR11" s="1803"/>
      <c r="AS11" s="1803"/>
      <c r="AT11" s="1803"/>
      <c r="AU11" s="1804"/>
      <c r="AV11" s="1196">
        <v>10</v>
      </c>
      <c r="AW11" s="1197" t="s">
        <v>929</v>
      </c>
      <c r="AX11" s="1198" t="str">
        <f t="shared" ref="AX11:BG11" si="1">IF(COUNT(AX14:AX63)&gt;0,AX13,"")</f>
        <v/>
      </c>
      <c r="AY11" s="1198" t="str">
        <f t="shared" si="1"/>
        <v/>
      </c>
      <c r="AZ11" s="1198" t="str">
        <f t="shared" si="1"/>
        <v/>
      </c>
      <c r="BA11" s="1198" t="str">
        <f t="shared" si="1"/>
        <v/>
      </c>
      <c r="BB11" s="1198" t="str">
        <f t="shared" si="1"/>
        <v/>
      </c>
      <c r="BC11" s="1198" t="str">
        <f t="shared" si="1"/>
        <v/>
      </c>
      <c r="BD11" s="1198" t="str">
        <f t="shared" si="1"/>
        <v/>
      </c>
      <c r="BE11" s="1198" t="str">
        <f t="shared" si="1"/>
        <v/>
      </c>
      <c r="BF11" s="1198" t="str">
        <f t="shared" si="1"/>
        <v/>
      </c>
      <c r="BG11" s="1198" t="str">
        <f t="shared" si="1"/>
        <v/>
      </c>
      <c r="BH11" s="1198">
        <f>SUM(AX11:BG11)</f>
        <v>0</v>
      </c>
      <c r="BI11" s="1199"/>
      <c r="BJ11" s="1199"/>
      <c r="BK11" s="1199"/>
      <c r="BL11" s="1199"/>
      <c r="BM11" s="1199"/>
      <c r="BN11" s="1186" t="s">
        <v>1296</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t="str">
        <f t="shared" ref="U12:AD12" si="2">IF(COUNT(U14:U63)&gt;0,1,"")</f>
        <v/>
      </c>
      <c r="V12" s="1201" t="str">
        <f t="shared" si="2"/>
        <v/>
      </c>
      <c r="W12" s="1201" t="str">
        <f t="shared" si="2"/>
        <v/>
      </c>
      <c r="X12" s="1201" t="str">
        <f t="shared" si="2"/>
        <v/>
      </c>
      <c r="Y12" s="1201" t="str">
        <f t="shared" si="2"/>
        <v/>
      </c>
      <c r="Z12" s="1201" t="str">
        <f t="shared" si="2"/>
        <v/>
      </c>
      <c r="AA12" s="1201" t="str">
        <f t="shared" si="2"/>
        <v/>
      </c>
      <c r="AB12" s="1201" t="str">
        <f t="shared" si="2"/>
        <v/>
      </c>
      <c r="AC12" s="1201" t="str">
        <f t="shared" si="2"/>
        <v/>
      </c>
      <c r="AD12" s="1201" t="str">
        <f t="shared" si="2"/>
        <v/>
      </c>
      <c r="AE12" s="1202">
        <f>SUM(U12:AD12)</f>
        <v>0</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c r="G14" s="277"/>
      <c r="H14" s="277"/>
      <c r="I14" s="277"/>
      <c r="J14" s="277"/>
      <c r="K14" s="277"/>
      <c r="L14" s="277"/>
      <c r="M14" s="280"/>
      <c r="N14" s="277"/>
      <c r="O14" s="278"/>
      <c r="P14" s="279" t="str">
        <f t="shared" ref="P14" si="4">IF(COUNT(U14:AD14)&lt;2,"",ROUND(SUM(U14:AD14)/$AE$12,0))</f>
        <v/>
      </c>
      <c r="Q14" s="277"/>
      <c r="R14" s="280"/>
      <c r="S14" s="281" t="str">
        <f t="shared" ref="S14" si="5">IFERROR(ROUND(((P14*$P$13)+(Q14*$Q$13)+(R14*$R$13))/$AF$12,0),"")</f>
        <v/>
      </c>
      <c r="T14" s="295" t="str">
        <f t="shared" ref="T14" si="6">IF(S14="","",IF(S14&gt;$H$76,$Q$75,IF(S14&gt;$H$77,$Q$76,IF(S14&gt;$H$78,$Q$77,$Q$78))))</f>
        <v/>
      </c>
      <c r="U14" s="1215" t="str">
        <f t="shared" ref="U14:AD29" si="7">IF(F14="","",F14+U$13)</f>
        <v/>
      </c>
      <c r="V14" s="1216" t="str">
        <f t="shared" si="7"/>
        <v/>
      </c>
      <c r="W14" s="1216" t="str">
        <f t="shared" si="7"/>
        <v/>
      </c>
      <c r="X14" s="1216" t="str">
        <f t="shared" si="7"/>
        <v/>
      </c>
      <c r="Y14" s="1216" t="str">
        <f t="shared" si="7"/>
        <v/>
      </c>
      <c r="Z14" s="1216" t="str">
        <f t="shared" si="7"/>
        <v/>
      </c>
      <c r="AA14" s="1216" t="str">
        <f t="shared" si="7"/>
        <v/>
      </c>
      <c r="AB14" s="1217" t="str">
        <f t="shared" si="7"/>
        <v/>
      </c>
      <c r="AC14" s="1216" t="str">
        <f t="shared" si="7"/>
        <v/>
      </c>
      <c r="AD14" s="1218" t="str">
        <f t="shared" si="7"/>
        <v/>
      </c>
      <c r="AE14" s="1219">
        <f t="shared" ref="AE14" si="8">MAX(U14:AD14)</f>
        <v>0</v>
      </c>
      <c r="AF14" s="282">
        <f t="shared" ref="AF14" si="9">MIN(U14:AD14)</f>
        <v>0</v>
      </c>
      <c r="AG14" s="282" t="str">
        <f t="shared" ref="AG14:AH29" si="10">IF(AE14&gt;$H$76,$I$75,IF(AE14&gt;$H$77,$I$76,IF(AE14&gt;$H$78,$I$77,$I$78)))</f>
        <v>perlu dimaksimalkan</v>
      </c>
      <c r="AH14" s="282" t="str">
        <f t="shared" si="10"/>
        <v>perlu dimaksimalkan</v>
      </c>
      <c r="AI14" s="282" t="str">
        <f t="shared" ref="AI14" si="11">IFERROR(MATCH(AE14,U14:AD14,0),"")</f>
        <v/>
      </c>
      <c r="AJ14" s="283" t="str">
        <f t="shared" ref="AJ14" si="12">IFERROR(MATCH(AF14,U14:AD14,0),"")</f>
        <v/>
      </c>
      <c r="AK14" s="284" t="str">
        <f t="shared" ref="AK14" si="13">IF(S14="","",IFERROR("Memiliki kemampuan "&amp;IF(AG14=AH14,AG14&amp;" dalam "&amp;VLOOKUP(AI14,$S$2:$AK$11,19)&amp;" dan "&amp;VLOOKUP(AJ14,$S$2:$AK$11,19),AG14&amp;" dalam "&amp;VLOOKUP(AI14,$S$2:$AK$11,19)&amp;", "&amp;AH14&amp;" kemampuan dalam "&amp;VLOOKUP(AJ14,$S$2:$AK$11,19)),""))</f>
        <v/>
      </c>
      <c r="AL14" s="276"/>
      <c r="AM14" s="277"/>
      <c r="AN14" s="277"/>
      <c r="AO14" s="277"/>
      <c r="AP14" s="277"/>
      <c r="AQ14" s="277"/>
      <c r="AR14" s="277"/>
      <c r="AS14" s="280"/>
      <c r="AT14" s="277"/>
      <c r="AU14" s="278"/>
      <c r="AV14" s="285" t="str">
        <f t="shared" ref="AV14" si="14">IF(COUNT(AL14:AU14)&lt;2,"",ROUND(((AL14*$AX$13)+(AM14*$AY$13)+(AN14*$AZ$13)+(AO14*$BA$13)+(AP14*$BB$13)+(AQ14*$BC$13)+(AR14*$BD$13)+(AS14*$BE$13)+(AT14*$BF$13)+(AU14*$BG$13))/$BH$11,0))</f>
        <v/>
      </c>
      <c r="AW14" s="296" t="str">
        <f t="shared" ref="AW14" si="15">IF(AV14="","",IF(AV14&gt;$AN$76,$AV$75,IF(AV14&gt;$AN$77,$AV$76,IF(AV14&gt;$AN$78,$AV$77,$AV$78))))</f>
        <v/>
      </c>
      <c r="AX14" s="1220" t="str">
        <f t="shared" ref="AX14:BG29" si="16">IF(AL14="","",AL14+AX$12)</f>
        <v/>
      </c>
      <c r="AY14" s="1221" t="str">
        <f t="shared" si="16"/>
        <v/>
      </c>
      <c r="AZ14" s="1221" t="str">
        <f t="shared" si="16"/>
        <v/>
      </c>
      <c r="BA14" s="1221" t="str">
        <f t="shared" si="16"/>
        <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0</v>
      </c>
      <c r="BI14" s="286">
        <f t="shared" ref="BI14" si="18">MIN(AX14:BG14)</f>
        <v>0</v>
      </c>
      <c r="BJ14" s="287" t="str">
        <f t="shared" ref="BJ14:BK14" si="19">IF(BH14&gt;$H$76,$AO$75,IF(BH14&gt;$H$77,$AO$76,IF(BH14&gt;$H$78,$AO$77,$AO$78)))</f>
        <v>perlu dimaksimalkan</v>
      </c>
      <c r="BK14" s="287" t="str">
        <f t="shared" si="19"/>
        <v>perlu dimaksimalkan</v>
      </c>
      <c r="BL14" s="286" t="e">
        <f t="shared" ref="BL14" si="20">MATCH(BH14,AX14:BG14,0)</f>
        <v>#N/A</v>
      </c>
      <c r="BM14" s="288" t="e">
        <f t="shared" ref="BM14" si="21">MATCH(BI14,AX14:BG14,0)</f>
        <v>#N/A</v>
      </c>
      <c r="BN14" s="289" t="str">
        <f t="shared" ref="BN14" si="22">IF(AV14="","",IFERROR("Memiliki keterampilan "&amp;IF(BJ14=BK14,BJ14&amp;" dalam "&amp;VLOOKUP(BL14,$AV$2:$BN$11,19)&amp;" dan "&amp;VLOOKUP(BM14,$AV$2:$BN$11,19),BJ14&amp;" dalam "&amp;VLOOKUP(BL14,$AV$2:$BN$11,19)&amp;", "&amp;BK14&amp;" keterampilan dalam "&amp;VLOOKUP(BM14,$AV$2:$BN$11,19)),""))</f>
        <v/>
      </c>
      <c r="BO14" s="67"/>
    </row>
    <row r="15" spans="1:67" ht="33" customHeight="1">
      <c r="A15" s="67"/>
      <c r="B15" s="272">
        <f>IF(D15="","",B14+1)</f>
        <v>2</v>
      </c>
      <c r="C15" s="273">
        <f>IF(Data!F6="","",Data!F6)</f>
        <v>0</v>
      </c>
      <c r="D15" s="274" t="str">
        <f>IF(Data!H6="","",Data!H6)</f>
        <v>Aprianus Bira</v>
      </c>
      <c r="E15" s="275" t="str">
        <f>IF(Data!I6="","",Data!I6)</f>
        <v>L</v>
      </c>
      <c r="F15" s="276"/>
      <c r="G15" s="277"/>
      <c r="H15" s="277"/>
      <c r="I15" s="277"/>
      <c r="J15" s="277"/>
      <c r="K15" s="277"/>
      <c r="L15" s="277"/>
      <c r="M15" s="280"/>
      <c r="N15" s="277"/>
      <c r="O15" s="278"/>
      <c r="P15" s="279" t="str">
        <f>IF(COUNT(U15:AD15)&lt;2,"",ROUND(SUM(U15:AD15)/$AE$12,0))</f>
        <v/>
      </c>
      <c r="Q15" s="277"/>
      <c r="R15" s="280"/>
      <c r="S15" s="281" t="str">
        <f>IFERROR(ROUND(((P15*$P$13)+(Q15*$Q$13)+(R15*$R$13))/$AF$12,0),"")</f>
        <v/>
      </c>
      <c r="T15" s="295" t="str">
        <f>IF(S15="","",IF(S15&gt;$H$76,$Q$75,IF(S15&gt;$H$77,$Q$76,IF(S15&gt;$H$78,$Q$77,$Q$78))))</f>
        <v/>
      </c>
      <c r="U15" s="1215" t="str">
        <f t="shared" si="7"/>
        <v/>
      </c>
      <c r="V15" s="1216" t="str">
        <f t="shared" si="7"/>
        <v/>
      </c>
      <c r="W15" s="1216" t="str">
        <f t="shared" si="7"/>
        <v/>
      </c>
      <c r="X15" s="1216" t="str">
        <f t="shared" si="7"/>
        <v/>
      </c>
      <c r="Y15" s="1216" t="str">
        <f t="shared" si="7"/>
        <v/>
      </c>
      <c r="Z15" s="1216" t="str">
        <f t="shared" si="7"/>
        <v/>
      </c>
      <c r="AA15" s="1216" t="str">
        <f t="shared" si="7"/>
        <v/>
      </c>
      <c r="AB15" s="1217" t="str">
        <f t="shared" si="7"/>
        <v/>
      </c>
      <c r="AC15" s="1216" t="str">
        <f t="shared" si="7"/>
        <v/>
      </c>
      <c r="AD15" s="1218" t="str">
        <f t="shared" si="7"/>
        <v/>
      </c>
      <c r="AE15" s="1219">
        <f>MAX(U15:AD15)</f>
        <v>0</v>
      </c>
      <c r="AF15" s="282">
        <f>MIN(U15:AD15)</f>
        <v>0</v>
      </c>
      <c r="AG15" s="282" t="str">
        <f>IF(AE15&gt;$H$76,$I$75,IF(AE15&gt;$H$77,$I$76,IF(AE15&gt;$H$78,$I$77,$I$78)))</f>
        <v>perlu dimaksimalkan</v>
      </c>
      <c r="AH15" s="282" t="str">
        <f t="shared" si="10"/>
        <v>perlu dimaksimalkan</v>
      </c>
      <c r="AI15" s="282" t="str">
        <f>IFERROR(MATCH(AE15,U15:AD15,0),"")</f>
        <v/>
      </c>
      <c r="AJ15" s="283" t="str">
        <f>IFERROR(MATCH(AF15,U15:AD15,0),"")</f>
        <v/>
      </c>
      <c r="AK15" s="284" t="str">
        <f>IF(S15="","",IFERROR("Memiliki kemampuan "&amp;IF(AG15=AH15,AG15&amp;" dalam "&amp;VLOOKUP(AI15,$S$2:$AK$11,19)&amp;" dan "&amp;VLOOKUP(AJ15,$S$2:$AK$11,19),AG15&amp;" dalam "&amp;VLOOKUP(AI15,$S$2:$AK$11,19)&amp;", "&amp;AH15&amp;" kemampuan dalam "&amp;VLOOKUP(AJ15,$S$2:$AK$11,19)),""))</f>
        <v/>
      </c>
      <c r="AL15" s="276"/>
      <c r="AM15" s="277"/>
      <c r="AN15" s="277"/>
      <c r="AO15" s="277"/>
      <c r="AP15" s="277"/>
      <c r="AQ15" s="277"/>
      <c r="AR15" s="277"/>
      <c r="AS15" s="280"/>
      <c r="AT15" s="277"/>
      <c r="AU15" s="278"/>
      <c r="AV15" s="285" t="str">
        <f>IF(COUNT(AL15:AU15)&lt;2,"",ROUND(((AL15*$AX$13)+(AM15*$AY$13)+(AN15*$AZ$13)+(AO15*$BA$13)+(AP15*$BB$13)+(AQ15*$BC$13)+(AR15*$BD$13)+(AS15*$BE$13)+(AT15*$BF$13)+(AU15*$BG$13))/$BH$11,0))</f>
        <v/>
      </c>
      <c r="AW15" s="296" t="str">
        <f>IF(AV15="","",IF(AV15&gt;$AN$76,$AV$75,IF(AV15&gt;$AN$77,$AV$76,IF(AV15&gt;$AN$78,$AV$77,$AV$78))))</f>
        <v/>
      </c>
      <c r="AX15" s="1220" t="str">
        <f t="shared" si="16"/>
        <v/>
      </c>
      <c r="AY15" s="1221" t="str">
        <f t="shared" si="16"/>
        <v/>
      </c>
      <c r="AZ15" s="1221" t="str">
        <f>IF(AN15="","",AN15+AZ$12)</f>
        <v/>
      </c>
      <c r="BA15" s="1221" t="str">
        <f t="shared" si="16"/>
        <v/>
      </c>
      <c r="BB15" s="1221" t="str">
        <f t="shared" si="16"/>
        <v/>
      </c>
      <c r="BC15" s="1221" t="str">
        <f t="shared" si="16"/>
        <v/>
      </c>
      <c r="BD15" s="1221" t="str">
        <f t="shared" si="16"/>
        <v/>
      </c>
      <c r="BE15" s="1222" t="str">
        <f t="shared" si="16"/>
        <v/>
      </c>
      <c r="BF15" s="1221" t="str">
        <f t="shared" si="16"/>
        <v/>
      </c>
      <c r="BG15" s="1223" t="str">
        <f t="shared" si="16"/>
        <v/>
      </c>
      <c r="BH15" s="286">
        <f>MAX(AX15:BG15)</f>
        <v>0</v>
      </c>
      <c r="BI15" s="286">
        <f>MIN(AX15:BG15)</f>
        <v>0</v>
      </c>
      <c r="BJ15" s="287" t="str">
        <f>IF(BH15&gt;$H$76,$AO$75,IF(BH15&gt;$H$77,$AO$76,IF(BH15&gt;$H$78,$AO$77,$AO$78)))</f>
        <v>perlu dimaksimalkan</v>
      </c>
      <c r="BK15" s="287" t="str">
        <f>IF(BI15&gt;$H$76,$AO$75,IF(BI15&gt;$H$77,$AO$76,IF(BI15&gt;$H$78,$AO$77,$AO$78)))</f>
        <v>perlu dimaksimalkan</v>
      </c>
      <c r="BL15" s="286" t="e">
        <f>MATCH(BH15,AX15:BG15,0)</f>
        <v>#N/A</v>
      </c>
      <c r="BM15" s="288" t="e">
        <f>MATCH(BI15,AX15:BG15,0)</f>
        <v>#N/A</v>
      </c>
      <c r="BN15" s="289" t="str">
        <f>IF(AV15="","",IFERROR("Memiliki keterampilan "&amp;IF(BJ15=BK15,BJ15&amp;" dalam "&amp;VLOOKUP(BL15,$AV$2:$BN$11,19)&amp;" dan "&amp;VLOOKUP(BM15,$AV$2:$BN$11,19),BJ15&amp;" dalam "&amp;VLOOKUP(BL15,$AV$2:$BN$11,19)&amp;", "&amp;BK15&amp;" keterampilan dalam "&amp;VLOOKUP(BM15,$AV$2:$BN$11,19)),""))</f>
        <v/>
      </c>
      <c r="BO15" s="67"/>
    </row>
    <row r="16" spans="1:67" ht="33" customHeight="1">
      <c r="A16" s="67"/>
      <c r="B16" s="272">
        <f t="shared" ref="B16:B37" si="23">IF(D16="","",B15+1)</f>
        <v>3</v>
      </c>
      <c r="C16" s="273">
        <f>IF(Data!F7="","",Data!F7)</f>
        <v>0</v>
      </c>
      <c r="D16" s="274" t="str">
        <f>IF(Data!H7="","",Data!H7)</f>
        <v>Asri Aldina Baksuni</v>
      </c>
      <c r="E16" s="275" t="str">
        <f>IF(Data!I7="","",Data!I7)</f>
        <v>P</v>
      </c>
      <c r="F16" s="276"/>
      <c r="G16" s="277"/>
      <c r="H16" s="277"/>
      <c r="I16" s="277"/>
      <c r="J16" s="277"/>
      <c r="K16" s="277"/>
      <c r="L16" s="277"/>
      <c r="M16" s="280"/>
      <c r="N16" s="277"/>
      <c r="O16" s="278"/>
      <c r="P16" s="279" t="str">
        <f t="shared" ref="P16:P63" si="24">IF(COUNT(U16:AD16)&lt;2,"",ROUND(SUM(U16:AD16)/$AE$12,0))</f>
        <v/>
      </c>
      <c r="Q16" s="277"/>
      <c r="R16" s="280"/>
      <c r="S16" s="281" t="str">
        <f t="shared" ref="S16:S63" si="25">IFERROR(ROUND(((P16*$P$13)+(Q16*$Q$13)+(R16*$R$13))/$AF$12,0),"")</f>
        <v/>
      </c>
      <c r="T16" s="295" t="str">
        <f t="shared" ref="T16:T63" si="26">IF(S16="","",IF(S16&gt;$H$76,$Q$75,IF(S16&gt;$H$77,$Q$76,IF(S16&gt;$H$78,$Q$77,$Q$78))))</f>
        <v/>
      </c>
      <c r="U16" s="1215" t="str">
        <f t="shared" si="7"/>
        <v/>
      </c>
      <c r="V16" s="1216" t="str">
        <f t="shared" si="7"/>
        <v/>
      </c>
      <c r="W16" s="1216" t="str">
        <f t="shared" si="7"/>
        <v/>
      </c>
      <c r="X16" s="1216" t="str">
        <f t="shared" si="7"/>
        <v/>
      </c>
      <c r="Y16" s="1216" t="str">
        <f t="shared" si="7"/>
        <v/>
      </c>
      <c r="Z16" s="1216" t="str">
        <f t="shared" si="7"/>
        <v/>
      </c>
      <c r="AA16" s="1216" t="str">
        <f t="shared" si="7"/>
        <v/>
      </c>
      <c r="AB16" s="1217" t="str">
        <f t="shared" si="7"/>
        <v/>
      </c>
      <c r="AC16" s="1216" t="str">
        <f t="shared" si="7"/>
        <v/>
      </c>
      <c r="AD16" s="1218" t="str">
        <f t="shared" si="7"/>
        <v/>
      </c>
      <c r="AE16" s="1219">
        <f t="shared" ref="AE16:AE63" si="27">MAX(U16:AD16)</f>
        <v>0</v>
      </c>
      <c r="AF16" s="282">
        <f t="shared" ref="AF16:AF63" si="28">MIN(U16:AD16)</f>
        <v>0</v>
      </c>
      <c r="AG16" s="282" t="str">
        <f t="shared" ref="AG16:AH63" si="29">IF(AE16&gt;$H$76,$I$75,IF(AE16&gt;$H$77,$I$76,IF(AE16&gt;$H$78,$I$77,$I$78)))</f>
        <v>perlu dimaksimalkan</v>
      </c>
      <c r="AH16" s="282" t="str">
        <f t="shared" si="10"/>
        <v>perlu dimaksimalkan</v>
      </c>
      <c r="AI16" s="282" t="str">
        <f t="shared" ref="AI16:AI63" si="30">IFERROR(MATCH(AE16,U16:AD16,0),"")</f>
        <v/>
      </c>
      <c r="AJ16" s="283" t="str">
        <f t="shared" ref="AJ16:AJ63" si="31">IFERROR(MATCH(AF16,U16:AD16,0),"")</f>
        <v/>
      </c>
      <c r="AK16" s="284" t="str">
        <f t="shared" ref="AK16:AK63" si="32">IF(S16="","",IFERROR("Memiliki kemampuan "&amp;IF(AG16=AH16,AG16&amp;" dalam "&amp;VLOOKUP(AI16,$S$2:$AK$11,19)&amp;" dan "&amp;VLOOKUP(AJ16,$S$2:$AK$11,19),AG16&amp;" dalam "&amp;VLOOKUP(AI16,$S$2:$AK$11,19)&amp;", "&amp;AH16&amp;" kemampuan dalam "&amp;VLOOKUP(AJ16,$S$2:$AK$11,19)),""))</f>
        <v/>
      </c>
      <c r="AL16" s="276"/>
      <c r="AM16" s="277"/>
      <c r="AN16" s="277"/>
      <c r="AO16" s="277"/>
      <c r="AP16" s="277"/>
      <c r="AQ16" s="277"/>
      <c r="AR16" s="277"/>
      <c r="AS16" s="280"/>
      <c r="AT16" s="277"/>
      <c r="AU16" s="278"/>
      <c r="AV16" s="285" t="str">
        <f t="shared" ref="AV16:AV63" si="33">IF(COUNT(AL16:AU16)&lt;2,"",ROUND(((AL16*$AX$13)+(AM16*$AY$13)+(AN16*$AZ$13)+(AO16*$BA$13)+(AP16*$BB$13)+(AQ16*$BC$13)+(AR16*$BD$13)+(AS16*$BE$13)+(AT16*$BF$13)+(AU16*$BG$13))/$BH$11,0))</f>
        <v/>
      </c>
      <c r="AW16" s="296" t="str">
        <f t="shared" ref="AW16:AW63" si="34">IF(AV16="","",IF(AV16&gt;$AN$76,$AV$75,IF(AV16&gt;$AN$77,$AV$76,IF(AV16&gt;$AN$78,$AV$77,$AV$78))))</f>
        <v/>
      </c>
      <c r="AX16" s="1220" t="str">
        <f t="shared" si="16"/>
        <v/>
      </c>
      <c r="AY16" s="1221" t="str">
        <f t="shared" si="16"/>
        <v/>
      </c>
      <c r="AZ16" s="1221" t="str">
        <f t="shared" si="16"/>
        <v/>
      </c>
      <c r="BA16" s="1221" t="str">
        <f t="shared" si="16"/>
        <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0</v>
      </c>
      <c r="BI16" s="286">
        <f t="shared" ref="BI16:BI63" si="36">MIN(AX16:BG16)</f>
        <v>0</v>
      </c>
      <c r="BJ16" s="287" t="str">
        <f t="shared" ref="BJ16:BK63" si="37">IF(BH16&gt;$H$76,$AO$75,IF(BH16&gt;$H$77,$AO$76,IF(BH16&gt;$H$78,$AO$77,$AO$78)))</f>
        <v>perlu dimaksimalkan</v>
      </c>
      <c r="BK16" s="287" t="str">
        <f t="shared" si="37"/>
        <v>perlu dimaksimalkan</v>
      </c>
      <c r="BL16" s="286" t="e">
        <f t="shared" ref="BL16:BL63" si="38">MATCH(BH16,AX16:BG16,0)</f>
        <v>#N/A</v>
      </c>
      <c r="BM16" s="288" t="e">
        <f t="shared" ref="BM16:BM63" si="39">MATCH(BI16,AX16:BG16,0)</f>
        <v>#N/A</v>
      </c>
      <c r="BN16" s="289" t="str">
        <f t="shared" ref="BN16:BN63" si="40">IF(AV16="","",IFERROR("Memiliki keterampilan "&amp;IF(BJ16=BK16,BJ16&amp;" dalam "&amp;VLOOKUP(BL16,$AV$2:$BN$11,19)&amp;" dan "&amp;VLOOKUP(BM16,$AV$2:$BN$11,19),BJ16&amp;" dalam "&amp;VLOOKUP(BL16,$AV$2:$BN$11,19)&amp;", "&amp;BK16&amp;" keterampilan dalam "&amp;VLOOKUP(BM16,$AV$2:$BN$11,19)),""))</f>
        <v/>
      </c>
      <c r="BO16" s="67"/>
    </row>
    <row r="17" spans="1:67" ht="33" customHeight="1">
      <c r="A17" s="67"/>
      <c r="B17" s="272">
        <f t="shared" si="23"/>
        <v>4</v>
      </c>
      <c r="C17" s="273">
        <f>IF(Data!F8="","",Data!F8)</f>
        <v>0</v>
      </c>
      <c r="D17" s="274" t="str">
        <f>IF(Data!H8="","",Data!H8)</f>
        <v>Asti Welmince Welkis</v>
      </c>
      <c r="E17" s="275" t="str">
        <f>IF(Data!I8="","",Data!I8)</f>
        <v>P</v>
      </c>
      <c r="F17" s="276"/>
      <c r="G17" s="277"/>
      <c r="H17" s="277"/>
      <c r="I17" s="277"/>
      <c r="J17" s="277"/>
      <c r="K17" s="277"/>
      <c r="L17" s="277"/>
      <c r="M17" s="280"/>
      <c r="N17" s="277"/>
      <c r="O17" s="278"/>
      <c r="P17" s="279" t="str">
        <f t="shared" si="24"/>
        <v/>
      </c>
      <c r="Q17" s="277"/>
      <c r="R17" s="280"/>
      <c r="S17" s="281" t="str">
        <f t="shared" si="25"/>
        <v/>
      </c>
      <c r="T17" s="295" t="str">
        <f t="shared" si="26"/>
        <v/>
      </c>
      <c r="U17" s="1215" t="str">
        <f t="shared" si="7"/>
        <v/>
      </c>
      <c r="V17" s="1216" t="str">
        <f t="shared" si="7"/>
        <v/>
      </c>
      <c r="W17" s="1216" t="str">
        <f t="shared" si="7"/>
        <v/>
      </c>
      <c r="X17" s="1216" t="str">
        <f t="shared" si="7"/>
        <v/>
      </c>
      <c r="Y17" s="1216" t="str">
        <f t="shared" si="7"/>
        <v/>
      </c>
      <c r="Z17" s="1216" t="str">
        <f t="shared" si="7"/>
        <v/>
      </c>
      <c r="AA17" s="1216" t="str">
        <f t="shared" si="7"/>
        <v/>
      </c>
      <c r="AB17" s="1217" t="str">
        <f t="shared" si="7"/>
        <v/>
      </c>
      <c r="AC17" s="1216" t="str">
        <f t="shared" si="7"/>
        <v/>
      </c>
      <c r="AD17" s="1218" t="str">
        <f t="shared" si="7"/>
        <v/>
      </c>
      <c r="AE17" s="1219">
        <f t="shared" si="27"/>
        <v>0</v>
      </c>
      <c r="AF17" s="282">
        <f t="shared" si="28"/>
        <v>0</v>
      </c>
      <c r="AG17" s="282" t="str">
        <f t="shared" si="29"/>
        <v>perlu dimaksimalkan</v>
      </c>
      <c r="AH17" s="282" t="str">
        <f t="shared" si="10"/>
        <v>perlu dimaksimalkan</v>
      </c>
      <c r="AI17" s="282" t="str">
        <f t="shared" si="30"/>
        <v/>
      </c>
      <c r="AJ17" s="283" t="str">
        <f t="shared" si="31"/>
        <v/>
      </c>
      <c r="AK17" s="284" t="str">
        <f t="shared" si="32"/>
        <v/>
      </c>
      <c r="AL17" s="276"/>
      <c r="AM17" s="277"/>
      <c r="AN17" s="277"/>
      <c r="AO17" s="277"/>
      <c r="AP17" s="277"/>
      <c r="AQ17" s="277"/>
      <c r="AR17" s="277"/>
      <c r="AS17" s="280"/>
      <c r="AT17" s="277"/>
      <c r="AU17" s="278"/>
      <c r="AV17" s="285" t="str">
        <f t="shared" si="33"/>
        <v/>
      </c>
      <c r="AW17" s="296" t="str">
        <f t="shared" si="34"/>
        <v/>
      </c>
      <c r="AX17" s="1220" t="str">
        <f t="shared" si="16"/>
        <v/>
      </c>
      <c r="AY17" s="1221" t="str">
        <f t="shared" si="16"/>
        <v/>
      </c>
      <c r="AZ17" s="1221" t="str">
        <f t="shared" si="16"/>
        <v/>
      </c>
      <c r="BA17" s="1221" t="str">
        <f t="shared" si="16"/>
        <v/>
      </c>
      <c r="BB17" s="1221" t="str">
        <f t="shared" si="16"/>
        <v/>
      </c>
      <c r="BC17" s="1221" t="str">
        <f t="shared" si="16"/>
        <v/>
      </c>
      <c r="BD17" s="1221" t="str">
        <f t="shared" si="16"/>
        <v/>
      </c>
      <c r="BE17" s="1222" t="str">
        <f t="shared" si="16"/>
        <v/>
      </c>
      <c r="BF17" s="1221" t="str">
        <f t="shared" si="16"/>
        <v/>
      </c>
      <c r="BG17" s="1223" t="str">
        <f t="shared" si="16"/>
        <v/>
      </c>
      <c r="BH17" s="286">
        <f t="shared" si="35"/>
        <v>0</v>
      </c>
      <c r="BI17" s="286">
        <f t="shared" si="36"/>
        <v>0</v>
      </c>
      <c r="BJ17" s="287" t="str">
        <f t="shared" si="37"/>
        <v>perlu dimaksimalkan</v>
      </c>
      <c r="BK17" s="287" t="str">
        <f t="shared" si="37"/>
        <v>perlu dimaksimalkan</v>
      </c>
      <c r="BL17" s="286" t="e">
        <f t="shared" si="38"/>
        <v>#N/A</v>
      </c>
      <c r="BM17" s="288" t="e">
        <f t="shared" si="39"/>
        <v>#N/A</v>
      </c>
      <c r="BN17" s="289" t="str">
        <f t="shared" si="40"/>
        <v/>
      </c>
      <c r="BO17" s="67"/>
    </row>
    <row r="18" spans="1:67" ht="33" customHeight="1">
      <c r="A18" s="67"/>
      <c r="B18" s="272">
        <f t="shared" si="23"/>
        <v>5</v>
      </c>
      <c r="C18" s="273">
        <f>IF(Data!F9="","",Data!F9)</f>
        <v>0</v>
      </c>
      <c r="D18" s="274" t="str">
        <f>IF(Data!H9="","",Data!H9)</f>
        <v>Aulya Noviyanti Mbura</v>
      </c>
      <c r="E18" s="275" t="str">
        <f>IF(Data!I9="","",Data!I9)</f>
        <v>P</v>
      </c>
      <c r="F18" s="276"/>
      <c r="G18" s="277"/>
      <c r="H18" s="277"/>
      <c r="I18" s="277"/>
      <c r="J18" s="277"/>
      <c r="K18" s="277"/>
      <c r="L18" s="277"/>
      <c r="M18" s="280"/>
      <c r="N18" s="277"/>
      <c r="O18" s="278"/>
      <c r="P18" s="279" t="str">
        <f t="shared" si="24"/>
        <v/>
      </c>
      <c r="Q18" s="277"/>
      <c r="R18" s="280"/>
      <c r="S18" s="281" t="str">
        <f t="shared" si="25"/>
        <v/>
      </c>
      <c r="T18" s="295" t="str">
        <f t="shared" si="26"/>
        <v/>
      </c>
      <c r="U18" s="1215" t="str">
        <f t="shared" si="7"/>
        <v/>
      </c>
      <c r="V18" s="1216" t="str">
        <f t="shared" si="7"/>
        <v/>
      </c>
      <c r="W18" s="1216" t="str">
        <f t="shared" si="7"/>
        <v/>
      </c>
      <c r="X18" s="1216" t="str">
        <f t="shared" si="7"/>
        <v/>
      </c>
      <c r="Y18" s="1216" t="str">
        <f t="shared" si="7"/>
        <v/>
      </c>
      <c r="Z18" s="1216" t="str">
        <f t="shared" si="7"/>
        <v/>
      </c>
      <c r="AA18" s="1216" t="str">
        <f t="shared" si="7"/>
        <v/>
      </c>
      <c r="AB18" s="1217" t="str">
        <f t="shared" si="7"/>
        <v/>
      </c>
      <c r="AC18" s="1216" t="str">
        <f t="shared" si="7"/>
        <v/>
      </c>
      <c r="AD18" s="1218" t="str">
        <f t="shared" si="7"/>
        <v/>
      </c>
      <c r="AE18" s="1219">
        <f t="shared" si="27"/>
        <v>0</v>
      </c>
      <c r="AF18" s="282">
        <f t="shared" si="28"/>
        <v>0</v>
      </c>
      <c r="AG18" s="282" t="str">
        <f t="shared" si="29"/>
        <v>perlu dimaksimalkan</v>
      </c>
      <c r="AH18" s="282" t="str">
        <f t="shared" si="10"/>
        <v>perlu dimaksimalkan</v>
      </c>
      <c r="AI18" s="282" t="str">
        <f t="shared" si="30"/>
        <v/>
      </c>
      <c r="AJ18" s="283" t="str">
        <f t="shared" si="31"/>
        <v/>
      </c>
      <c r="AK18" s="284" t="str">
        <f t="shared" si="32"/>
        <v/>
      </c>
      <c r="AL18" s="276"/>
      <c r="AM18" s="277"/>
      <c r="AN18" s="277"/>
      <c r="AO18" s="277"/>
      <c r="AP18" s="277"/>
      <c r="AQ18" s="277"/>
      <c r="AR18" s="277"/>
      <c r="AS18" s="280"/>
      <c r="AT18" s="277"/>
      <c r="AU18" s="278"/>
      <c r="AV18" s="285" t="str">
        <f t="shared" si="33"/>
        <v/>
      </c>
      <c r="AW18" s="296" t="str">
        <f t="shared" si="34"/>
        <v/>
      </c>
      <c r="AX18" s="1220" t="str">
        <f t="shared" si="16"/>
        <v/>
      </c>
      <c r="AY18" s="1221" t="str">
        <f t="shared" si="16"/>
        <v/>
      </c>
      <c r="AZ18" s="1221" t="str">
        <f t="shared" si="16"/>
        <v/>
      </c>
      <c r="BA18" s="1221" t="str">
        <f t="shared" si="16"/>
        <v/>
      </c>
      <c r="BB18" s="1221" t="str">
        <f t="shared" si="16"/>
        <v/>
      </c>
      <c r="BC18" s="1221" t="str">
        <f t="shared" si="16"/>
        <v/>
      </c>
      <c r="BD18" s="1221" t="str">
        <f t="shared" si="16"/>
        <v/>
      </c>
      <c r="BE18" s="1222" t="str">
        <f t="shared" si="16"/>
        <v/>
      </c>
      <c r="BF18" s="1221" t="str">
        <f t="shared" si="16"/>
        <v/>
      </c>
      <c r="BG18" s="1223" t="str">
        <f t="shared" si="16"/>
        <v/>
      </c>
      <c r="BH18" s="286">
        <f t="shared" si="35"/>
        <v>0</v>
      </c>
      <c r="BI18" s="286">
        <f t="shared" si="36"/>
        <v>0</v>
      </c>
      <c r="BJ18" s="287" t="str">
        <f t="shared" si="37"/>
        <v>perlu dimaksimalkan</v>
      </c>
      <c r="BK18" s="287" t="str">
        <f t="shared" si="37"/>
        <v>perlu dimaksimalkan</v>
      </c>
      <c r="BL18" s="286" t="e">
        <f t="shared" si="38"/>
        <v>#N/A</v>
      </c>
      <c r="BM18" s="288" t="e">
        <f t="shared" si="39"/>
        <v>#N/A</v>
      </c>
      <c r="BN18" s="289" t="str">
        <f t="shared" si="40"/>
        <v/>
      </c>
      <c r="BO18" s="67"/>
    </row>
    <row r="19" spans="1:67" ht="33" customHeight="1">
      <c r="A19" s="67"/>
      <c r="B19" s="272">
        <f t="shared" si="23"/>
        <v>6</v>
      </c>
      <c r="C19" s="273">
        <f>IF(Data!F10="","",Data!F10)</f>
        <v>0</v>
      </c>
      <c r="D19" s="274" t="str">
        <f>IF(Data!H10="","",Data!H10)</f>
        <v>Ayu Oliberta Ranboki</v>
      </c>
      <c r="E19" s="275" t="str">
        <f>IF(Data!I10="","",Data!I10)</f>
        <v>P</v>
      </c>
      <c r="F19" s="276"/>
      <c r="G19" s="277"/>
      <c r="H19" s="277"/>
      <c r="I19" s="277"/>
      <c r="J19" s="277"/>
      <c r="K19" s="277"/>
      <c r="L19" s="277"/>
      <c r="M19" s="280"/>
      <c r="N19" s="277"/>
      <c r="O19" s="278"/>
      <c r="P19" s="279" t="str">
        <f t="shared" si="24"/>
        <v/>
      </c>
      <c r="Q19" s="277"/>
      <c r="R19" s="280"/>
      <c r="S19" s="281" t="str">
        <f t="shared" si="25"/>
        <v/>
      </c>
      <c r="T19" s="295" t="str">
        <f t="shared" si="26"/>
        <v/>
      </c>
      <c r="U19" s="1215" t="str">
        <f t="shared" si="7"/>
        <v/>
      </c>
      <c r="V19" s="1216" t="str">
        <f t="shared" si="7"/>
        <v/>
      </c>
      <c r="W19" s="1216" t="str">
        <f t="shared" si="7"/>
        <v/>
      </c>
      <c r="X19" s="1216" t="str">
        <f t="shared" si="7"/>
        <v/>
      </c>
      <c r="Y19" s="1216" t="str">
        <f t="shared" si="7"/>
        <v/>
      </c>
      <c r="Z19" s="1216" t="str">
        <f t="shared" si="7"/>
        <v/>
      </c>
      <c r="AA19" s="1216" t="str">
        <f t="shared" si="7"/>
        <v/>
      </c>
      <c r="AB19" s="1217" t="str">
        <f t="shared" si="7"/>
        <v/>
      </c>
      <c r="AC19" s="1216" t="str">
        <f t="shared" si="7"/>
        <v/>
      </c>
      <c r="AD19" s="1218" t="str">
        <f t="shared" si="7"/>
        <v/>
      </c>
      <c r="AE19" s="1219">
        <f t="shared" si="27"/>
        <v>0</v>
      </c>
      <c r="AF19" s="282">
        <f t="shared" si="28"/>
        <v>0</v>
      </c>
      <c r="AG19" s="282" t="str">
        <f t="shared" si="29"/>
        <v>perlu dimaksimalkan</v>
      </c>
      <c r="AH19" s="282" t="str">
        <f t="shared" si="10"/>
        <v>perlu dimaksimalkan</v>
      </c>
      <c r="AI19" s="282" t="str">
        <f t="shared" si="30"/>
        <v/>
      </c>
      <c r="AJ19" s="283" t="str">
        <f t="shared" si="31"/>
        <v/>
      </c>
      <c r="AK19" s="284" t="str">
        <f t="shared" si="32"/>
        <v/>
      </c>
      <c r="AL19" s="276"/>
      <c r="AM19" s="277"/>
      <c r="AN19" s="277"/>
      <c r="AO19" s="277"/>
      <c r="AP19" s="277"/>
      <c r="AQ19" s="277"/>
      <c r="AR19" s="277"/>
      <c r="AS19" s="280"/>
      <c r="AT19" s="277"/>
      <c r="AU19" s="278"/>
      <c r="AV19" s="285" t="str">
        <f t="shared" si="33"/>
        <v/>
      </c>
      <c r="AW19" s="296" t="str">
        <f t="shared" si="34"/>
        <v/>
      </c>
      <c r="AX19" s="1220" t="str">
        <f t="shared" si="16"/>
        <v/>
      </c>
      <c r="AY19" s="1221" t="str">
        <f t="shared" si="16"/>
        <v/>
      </c>
      <c r="AZ19" s="1221" t="str">
        <f t="shared" si="16"/>
        <v/>
      </c>
      <c r="BA19" s="1221" t="str">
        <f t="shared" si="16"/>
        <v/>
      </c>
      <c r="BB19" s="1221" t="str">
        <f t="shared" si="16"/>
        <v/>
      </c>
      <c r="BC19" s="1221" t="str">
        <f t="shared" si="16"/>
        <v/>
      </c>
      <c r="BD19" s="1221" t="str">
        <f t="shared" si="16"/>
        <v/>
      </c>
      <c r="BE19" s="1222" t="str">
        <f t="shared" si="16"/>
        <v/>
      </c>
      <c r="BF19" s="1221" t="str">
        <f t="shared" si="16"/>
        <v/>
      </c>
      <c r="BG19" s="1223" t="str">
        <f t="shared" si="16"/>
        <v/>
      </c>
      <c r="BH19" s="286">
        <f t="shared" si="35"/>
        <v>0</v>
      </c>
      <c r="BI19" s="286">
        <f t="shared" si="36"/>
        <v>0</v>
      </c>
      <c r="BJ19" s="287" t="str">
        <f t="shared" si="37"/>
        <v>perlu dimaksimalkan</v>
      </c>
      <c r="BK19" s="287" t="str">
        <f t="shared" si="37"/>
        <v>perlu dimaksimalkan</v>
      </c>
      <c r="BL19" s="286" t="e">
        <f t="shared" si="38"/>
        <v>#N/A</v>
      </c>
      <c r="BM19" s="288" t="e">
        <f t="shared" si="39"/>
        <v>#N/A</v>
      </c>
      <c r="BN19" s="289" t="str">
        <f t="shared" si="40"/>
        <v/>
      </c>
      <c r="BO19" s="67"/>
    </row>
    <row r="20" spans="1:67" ht="33" customHeight="1">
      <c r="A20" s="67"/>
      <c r="B20" s="272">
        <f t="shared" si="23"/>
        <v>7</v>
      </c>
      <c r="C20" s="273">
        <f>IF(Data!F11="","",Data!F11)</f>
        <v>0</v>
      </c>
      <c r="D20" s="274" t="str">
        <f>IF(Data!H11="","",Data!H11)</f>
        <v>Benediktus Faot</v>
      </c>
      <c r="E20" s="275" t="str">
        <f>IF(Data!I11="","",Data!I11)</f>
        <v>L</v>
      </c>
      <c r="F20" s="276"/>
      <c r="G20" s="277"/>
      <c r="H20" s="277"/>
      <c r="I20" s="277"/>
      <c r="J20" s="277"/>
      <c r="K20" s="277"/>
      <c r="L20" s="277"/>
      <c r="M20" s="280"/>
      <c r="N20" s="277"/>
      <c r="O20" s="278"/>
      <c r="P20" s="279" t="str">
        <f t="shared" si="24"/>
        <v/>
      </c>
      <c r="Q20" s="277"/>
      <c r="R20" s="280"/>
      <c r="S20" s="281" t="str">
        <f t="shared" si="25"/>
        <v/>
      </c>
      <c r="T20" s="295" t="str">
        <f t="shared" si="26"/>
        <v/>
      </c>
      <c r="U20" s="1215" t="str">
        <f t="shared" si="7"/>
        <v/>
      </c>
      <c r="V20" s="1216" t="str">
        <f t="shared" si="7"/>
        <v/>
      </c>
      <c r="W20" s="1216" t="str">
        <f t="shared" si="7"/>
        <v/>
      </c>
      <c r="X20" s="1216" t="str">
        <f t="shared" si="7"/>
        <v/>
      </c>
      <c r="Y20" s="1216" t="str">
        <f t="shared" si="7"/>
        <v/>
      </c>
      <c r="Z20" s="1216" t="str">
        <f t="shared" si="7"/>
        <v/>
      </c>
      <c r="AA20" s="1216" t="str">
        <f t="shared" si="7"/>
        <v/>
      </c>
      <c r="AB20" s="1217" t="str">
        <f t="shared" si="7"/>
        <v/>
      </c>
      <c r="AC20" s="1216" t="str">
        <f t="shared" si="7"/>
        <v/>
      </c>
      <c r="AD20" s="1218" t="str">
        <f t="shared" si="7"/>
        <v/>
      </c>
      <c r="AE20" s="1219">
        <f t="shared" si="27"/>
        <v>0</v>
      </c>
      <c r="AF20" s="282">
        <f t="shared" si="28"/>
        <v>0</v>
      </c>
      <c r="AG20" s="282" t="str">
        <f t="shared" si="29"/>
        <v>perlu dimaksimalkan</v>
      </c>
      <c r="AH20" s="282" t="str">
        <f t="shared" si="10"/>
        <v>perlu dimaksimalkan</v>
      </c>
      <c r="AI20" s="282" t="str">
        <f t="shared" si="30"/>
        <v/>
      </c>
      <c r="AJ20" s="283" t="str">
        <f t="shared" si="31"/>
        <v/>
      </c>
      <c r="AK20" s="284" t="str">
        <f t="shared" si="32"/>
        <v/>
      </c>
      <c r="AL20" s="276"/>
      <c r="AM20" s="277"/>
      <c r="AN20" s="277"/>
      <c r="AO20" s="277"/>
      <c r="AP20" s="277"/>
      <c r="AQ20" s="277"/>
      <c r="AR20" s="277"/>
      <c r="AS20" s="280"/>
      <c r="AT20" s="277"/>
      <c r="AU20" s="278"/>
      <c r="AV20" s="285" t="str">
        <f t="shared" si="33"/>
        <v/>
      </c>
      <c r="AW20" s="296" t="str">
        <f t="shared" si="34"/>
        <v/>
      </c>
      <c r="AX20" s="1220" t="str">
        <f t="shared" si="16"/>
        <v/>
      </c>
      <c r="AY20" s="1221" t="str">
        <f t="shared" si="16"/>
        <v/>
      </c>
      <c r="AZ20" s="1221" t="str">
        <f t="shared" si="16"/>
        <v/>
      </c>
      <c r="BA20" s="1221" t="str">
        <f t="shared" si="16"/>
        <v/>
      </c>
      <c r="BB20" s="1221" t="str">
        <f t="shared" si="16"/>
        <v/>
      </c>
      <c r="BC20" s="1221" t="str">
        <f t="shared" si="16"/>
        <v/>
      </c>
      <c r="BD20" s="1221" t="str">
        <f t="shared" si="16"/>
        <v/>
      </c>
      <c r="BE20" s="1222" t="str">
        <f t="shared" si="16"/>
        <v/>
      </c>
      <c r="BF20" s="1221" t="str">
        <f t="shared" si="16"/>
        <v/>
      </c>
      <c r="BG20" s="1223" t="str">
        <f t="shared" si="16"/>
        <v/>
      </c>
      <c r="BH20" s="286">
        <f t="shared" si="35"/>
        <v>0</v>
      </c>
      <c r="BI20" s="286">
        <f t="shared" si="36"/>
        <v>0</v>
      </c>
      <c r="BJ20" s="287" t="str">
        <f t="shared" si="37"/>
        <v>perlu dimaksimalkan</v>
      </c>
      <c r="BK20" s="287" t="str">
        <f t="shared" si="37"/>
        <v>perlu dimaksimalkan</v>
      </c>
      <c r="BL20" s="286" t="e">
        <f t="shared" si="38"/>
        <v>#N/A</v>
      </c>
      <c r="BM20" s="288" t="e">
        <f t="shared" si="39"/>
        <v>#N/A</v>
      </c>
      <c r="BN20" s="289" t="str">
        <f t="shared" si="40"/>
        <v/>
      </c>
      <c r="BO20" s="67"/>
    </row>
    <row r="21" spans="1:67" ht="33" customHeight="1">
      <c r="A21" s="67"/>
      <c r="B21" s="272">
        <f t="shared" si="23"/>
        <v>8</v>
      </c>
      <c r="C21" s="273">
        <f>IF(Data!F12="","",Data!F12)</f>
        <v>0</v>
      </c>
      <c r="D21" s="274" t="str">
        <f>IF(Data!H12="","",Data!H12)</f>
        <v>Betron Imanuel Kuni</v>
      </c>
      <c r="E21" s="275" t="str">
        <f>IF(Data!I12="","",Data!I12)</f>
        <v>L</v>
      </c>
      <c r="F21" s="276"/>
      <c r="G21" s="277"/>
      <c r="H21" s="277"/>
      <c r="I21" s="277"/>
      <c r="J21" s="277"/>
      <c r="K21" s="277"/>
      <c r="L21" s="277"/>
      <c r="M21" s="280"/>
      <c r="N21" s="277"/>
      <c r="O21" s="278"/>
      <c r="P21" s="279" t="str">
        <f t="shared" si="24"/>
        <v/>
      </c>
      <c r="Q21" s="277"/>
      <c r="R21" s="280"/>
      <c r="S21" s="281" t="str">
        <f t="shared" si="25"/>
        <v/>
      </c>
      <c r="T21" s="295" t="str">
        <f t="shared" si="26"/>
        <v/>
      </c>
      <c r="U21" s="1215" t="str">
        <f t="shared" si="7"/>
        <v/>
      </c>
      <c r="V21" s="1216" t="str">
        <f t="shared" si="7"/>
        <v/>
      </c>
      <c r="W21" s="1216" t="str">
        <f t="shared" si="7"/>
        <v/>
      </c>
      <c r="X21" s="1216" t="str">
        <f t="shared" si="7"/>
        <v/>
      </c>
      <c r="Y21" s="1216" t="str">
        <f t="shared" si="7"/>
        <v/>
      </c>
      <c r="Z21" s="1216" t="str">
        <f t="shared" si="7"/>
        <v/>
      </c>
      <c r="AA21" s="1216" t="str">
        <f t="shared" si="7"/>
        <v/>
      </c>
      <c r="AB21" s="1217" t="str">
        <f t="shared" si="7"/>
        <v/>
      </c>
      <c r="AC21" s="1216" t="str">
        <f t="shared" si="7"/>
        <v/>
      </c>
      <c r="AD21" s="1218" t="str">
        <f t="shared" si="7"/>
        <v/>
      </c>
      <c r="AE21" s="1219">
        <f t="shared" si="27"/>
        <v>0</v>
      </c>
      <c r="AF21" s="282">
        <f t="shared" si="28"/>
        <v>0</v>
      </c>
      <c r="AG21" s="282" t="str">
        <f t="shared" si="29"/>
        <v>perlu dimaksimalkan</v>
      </c>
      <c r="AH21" s="282" t="str">
        <f t="shared" si="10"/>
        <v>perlu dimaksimalkan</v>
      </c>
      <c r="AI21" s="282" t="str">
        <f t="shared" si="30"/>
        <v/>
      </c>
      <c r="AJ21" s="283" t="str">
        <f t="shared" si="31"/>
        <v/>
      </c>
      <c r="AK21" s="284" t="str">
        <f t="shared" si="32"/>
        <v/>
      </c>
      <c r="AL21" s="276"/>
      <c r="AM21" s="277"/>
      <c r="AN21" s="277"/>
      <c r="AO21" s="277"/>
      <c r="AP21" s="277"/>
      <c r="AQ21" s="277"/>
      <c r="AR21" s="277"/>
      <c r="AS21" s="280"/>
      <c r="AT21" s="277"/>
      <c r="AU21" s="278"/>
      <c r="AV21" s="285" t="str">
        <f t="shared" si="33"/>
        <v/>
      </c>
      <c r="AW21" s="296" t="str">
        <f t="shared" si="34"/>
        <v/>
      </c>
      <c r="AX21" s="1220" t="str">
        <f t="shared" si="16"/>
        <v/>
      </c>
      <c r="AY21" s="1221" t="str">
        <f t="shared" si="16"/>
        <v/>
      </c>
      <c r="AZ21" s="1221" t="str">
        <f t="shared" si="16"/>
        <v/>
      </c>
      <c r="BA21" s="1221" t="str">
        <f t="shared" si="16"/>
        <v/>
      </c>
      <c r="BB21" s="1221" t="str">
        <f t="shared" si="16"/>
        <v/>
      </c>
      <c r="BC21" s="1221" t="str">
        <f t="shared" si="16"/>
        <v/>
      </c>
      <c r="BD21" s="1221" t="str">
        <f t="shared" si="16"/>
        <v/>
      </c>
      <c r="BE21" s="1222" t="str">
        <f t="shared" si="16"/>
        <v/>
      </c>
      <c r="BF21" s="1221" t="str">
        <f t="shared" si="16"/>
        <v/>
      </c>
      <c r="BG21" s="1223" t="str">
        <f t="shared" si="16"/>
        <v/>
      </c>
      <c r="BH21" s="286">
        <f t="shared" si="35"/>
        <v>0</v>
      </c>
      <c r="BI21" s="286">
        <f t="shared" si="36"/>
        <v>0</v>
      </c>
      <c r="BJ21" s="287" t="str">
        <f t="shared" si="37"/>
        <v>perlu dimaksimalkan</v>
      </c>
      <c r="BK21" s="287" t="str">
        <f t="shared" si="37"/>
        <v>perlu dimaksimalkan</v>
      </c>
      <c r="BL21" s="286" t="e">
        <f t="shared" si="38"/>
        <v>#N/A</v>
      </c>
      <c r="BM21" s="288" t="e">
        <f t="shared" si="39"/>
        <v>#N/A</v>
      </c>
      <c r="BN21" s="289" t="str">
        <f t="shared" si="40"/>
        <v/>
      </c>
      <c r="BO21" s="67"/>
    </row>
    <row r="22" spans="1:67" ht="33" customHeight="1">
      <c r="A22" s="67"/>
      <c r="B22" s="272">
        <f t="shared" si="23"/>
        <v>9</v>
      </c>
      <c r="C22" s="273">
        <f>IF(Data!F13="","",Data!F13)</f>
        <v>0</v>
      </c>
      <c r="D22" s="274" t="str">
        <f>IF(Data!H13="","",Data!H13)</f>
        <v>Demrianus Ton</v>
      </c>
      <c r="E22" s="275" t="str">
        <f>IF(Data!I13="","",Data!I13)</f>
        <v>L</v>
      </c>
      <c r="F22" s="276"/>
      <c r="G22" s="277"/>
      <c r="H22" s="277"/>
      <c r="I22" s="277"/>
      <c r="J22" s="277"/>
      <c r="K22" s="277"/>
      <c r="L22" s="277"/>
      <c r="M22" s="280"/>
      <c r="N22" s="277"/>
      <c r="O22" s="278"/>
      <c r="P22" s="279" t="str">
        <f t="shared" si="24"/>
        <v/>
      </c>
      <c r="Q22" s="277"/>
      <c r="R22" s="280"/>
      <c r="S22" s="281" t="str">
        <f t="shared" si="25"/>
        <v/>
      </c>
      <c r="T22" s="295" t="str">
        <f t="shared" si="26"/>
        <v/>
      </c>
      <c r="U22" s="1215" t="str">
        <f t="shared" si="7"/>
        <v/>
      </c>
      <c r="V22" s="1216" t="str">
        <f t="shared" si="7"/>
        <v/>
      </c>
      <c r="W22" s="1216" t="str">
        <f t="shared" si="7"/>
        <v/>
      </c>
      <c r="X22" s="1216" t="str">
        <f t="shared" si="7"/>
        <v/>
      </c>
      <c r="Y22" s="1216" t="str">
        <f t="shared" si="7"/>
        <v/>
      </c>
      <c r="Z22" s="1216" t="str">
        <f t="shared" si="7"/>
        <v/>
      </c>
      <c r="AA22" s="1216" t="str">
        <f t="shared" si="7"/>
        <v/>
      </c>
      <c r="AB22" s="1217" t="str">
        <f t="shared" si="7"/>
        <v/>
      </c>
      <c r="AC22" s="1216" t="str">
        <f t="shared" si="7"/>
        <v/>
      </c>
      <c r="AD22" s="1218" t="str">
        <f t="shared" si="7"/>
        <v/>
      </c>
      <c r="AE22" s="1219">
        <f t="shared" si="27"/>
        <v>0</v>
      </c>
      <c r="AF22" s="282">
        <f t="shared" si="28"/>
        <v>0</v>
      </c>
      <c r="AG22" s="282" t="str">
        <f t="shared" si="29"/>
        <v>perlu dimaksimalkan</v>
      </c>
      <c r="AH22" s="282" t="str">
        <f t="shared" si="10"/>
        <v>perlu dimaksimalkan</v>
      </c>
      <c r="AI22" s="282" t="str">
        <f t="shared" si="30"/>
        <v/>
      </c>
      <c r="AJ22" s="283" t="str">
        <f t="shared" si="31"/>
        <v/>
      </c>
      <c r="AK22" s="284" t="str">
        <f t="shared" si="32"/>
        <v/>
      </c>
      <c r="AL22" s="276"/>
      <c r="AM22" s="277"/>
      <c r="AN22" s="277"/>
      <c r="AO22" s="277"/>
      <c r="AP22" s="277"/>
      <c r="AQ22" s="277"/>
      <c r="AR22" s="277"/>
      <c r="AS22" s="280"/>
      <c r="AT22" s="277"/>
      <c r="AU22" s="278"/>
      <c r="AV22" s="285" t="str">
        <f t="shared" si="33"/>
        <v/>
      </c>
      <c r="AW22" s="296" t="str">
        <f t="shared" si="34"/>
        <v/>
      </c>
      <c r="AX22" s="1220" t="str">
        <f t="shared" si="16"/>
        <v/>
      </c>
      <c r="AY22" s="1221" t="str">
        <f t="shared" si="16"/>
        <v/>
      </c>
      <c r="AZ22" s="1221" t="str">
        <f t="shared" si="16"/>
        <v/>
      </c>
      <c r="BA22" s="1221" t="str">
        <f t="shared" si="16"/>
        <v/>
      </c>
      <c r="BB22" s="1221" t="str">
        <f t="shared" si="16"/>
        <v/>
      </c>
      <c r="BC22" s="1221" t="str">
        <f t="shared" si="16"/>
        <v/>
      </c>
      <c r="BD22" s="1221" t="str">
        <f t="shared" si="16"/>
        <v/>
      </c>
      <c r="BE22" s="1222" t="str">
        <f t="shared" si="16"/>
        <v/>
      </c>
      <c r="BF22" s="1221" t="str">
        <f t="shared" si="16"/>
        <v/>
      </c>
      <c r="BG22" s="1223" t="str">
        <f t="shared" si="16"/>
        <v/>
      </c>
      <c r="BH22" s="286">
        <f t="shared" si="35"/>
        <v>0</v>
      </c>
      <c r="BI22" s="286">
        <f t="shared" si="36"/>
        <v>0</v>
      </c>
      <c r="BJ22" s="287" t="str">
        <f t="shared" si="37"/>
        <v>perlu dimaksimalkan</v>
      </c>
      <c r="BK22" s="287" t="str">
        <f t="shared" si="37"/>
        <v>perlu dimaksimalkan</v>
      </c>
      <c r="BL22" s="286" t="e">
        <f t="shared" si="38"/>
        <v>#N/A</v>
      </c>
      <c r="BM22" s="288" t="e">
        <f t="shared" si="39"/>
        <v>#N/A</v>
      </c>
      <c r="BN22" s="289" t="str">
        <f t="shared" si="40"/>
        <v/>
      </c>
      <c r="BO22" s="67"/>
    </row>
    <row r="23" spans="1:67" ht="33" customHeight="1">
      <c r="A23" s="67"/>
      <c r="B23" s="272">
        <f t="shared" si="23"/>
        <v>10</v>
      </c>
      <c r="C23" s="273">
        <f>IF(Data!F14="","",Data!F14)</f>
        <v>0</v>
      </c>
      <c r="D23" s="274" t="str">
        <f>IF(Data!H14="","",Data!H14)</f>
        <v>Desti Manggoa</v>
      </c>
      <c r="E23" s="275" t="str">
        <f>IF(Data!I14="","",Data!I14)</f>
        <v>P</v>
      </c>
      <c r="F23" s="276"/>
      <c r="G23" s="277"/>
      <c r="H23" s="277"/>
      <c r="I23" s="277"/>
      <c r="J23" s="277"/>
      <c r="K23" s="277"/>
      <c r="L23" s="277"/>
      <c r="M23" s="280"/>
      <c r="N23" s="277"/>
      <c r="O23" s="278"/>
      <c r="P23" s="279" t="str">
        <f t="shared" si="24"/>
        <v/>
      </c>
      <c r="Q23" s="277"/>
      <c r="R23" s="280"/>
      <c r="S23" s="281" t="str">
        <f t="shared" si="25"/>
        <v/>
      </c>
      <c r="T23" s="295" t="str">
        <f t="shared" si="26"/>
        <v/>
      </c>
      <c r="U23" s="1215" t="str">
        <f t="shared" si="7"/>
        <v/>
      </c>
      <c r="V23" s="1216" t="str">
        <f t="shared" si="7"/>
        <v/>
      </c>
      <c r="W23" s="1216" t="str">
        <f t="shared" si="7"/>
        <v/>
      </c>
      <c r="X23" s="1216" t="str">
        <f t="shared" si="7"/>
        <v/>
      </c>
      <c r="Y23" s="1216" t="str">
        <f t="shared" si="7"/>
        <v/>
      </c>
      <c r="Z23" s="1216" t="str">
        <f t="shared" si="7"/>
        <v/>
      </c>
      <c r="AA23" s="1216" t="str">
        <f t="shared" si="7"/>
        <v/>
      </c>
      <c r="AB23" s="1217" t="str">
        <f t="shared" si="7"/>
        <v/>
      </c>
      <c r="AC23" s="1216" t="str">
        <f t="shared" si="7"/>
        <v/>
      </c>
      <c r="AD23" s="1218" t="str">
        <f t="shared" si="7"/>
        <v/>
      </c>
      <c r="AE23" s="1219">
        <f t="shared" si="27"/>
        <v>0</v>
      </c>
      <c r="AF23" s="282">
        <f t="shared" si="28"/>
        <v>0</v>
      </c>
      <c r="AG23" s="282" t="str">
        <f t="shared" si="29"/>
        <v>perlu dimaksimalkan</v>
      </c>
      <c r="AH23" s="282" t="str">
        <f t="shared" si="10"/>
        <v>perlu dimaksimalkan</v>
      </c>
      <c r="AI23" s="282" t="str">
        <f t="shared" si="30"/>
        <v/>
      </c>
      <c r="AJ23" s="283" t="str">
        <f t="shared" si="31"/>
        <v/>
      </c>
      <c r="AK23" s="284" t="str">
        <f t="shared" si="32"/>
        <v/>
      </c>
      <c r="AL23" s="276"/>
      <c r="AM23" s="277"/>
      <c r="AN23" s="277"/>
      <c r="AO23" s="277"/>
      <c r="AP23" s="277"/>
      <c r="AQ23" s="277"/>
      <c r="AR23" s="277"/>
      <c r="AS23" s="280"/>
      <c r="AT23" s="277"/>
      <c r="AU23" s="278"/>
      <c r="AV23" s="285" t="str">
        <f t="shared" si="33"/>
        <v/>
      </c>
      <c r="AW23" s="296" t="str">
        <f t="shared" si="34"/>
        <v/>
      </c>
      <c r="AX23" s="1220" t="str">
        <f t="shared" si="16"/>
        <v/>
      </c>
      <c r="AY23" s="1221" t="str">
        <f t="shared" si="16"/>
        <v/>
      </c>
      <c r="AZ23" s="1221" t="str">
        <f t="shared" si="16"/>
        <v/>
      </c>
      <c r="BA23" s="1221" t="str">
        <f t="shared" si="16"/>
        <v/>
      </c>
      <c r="BB23" s="1221" t="str">
        <f t="shared" si="16"/>
        <v/>
      </c>
      <c r="BC23" s="1221" t="str">
        <f t="shared" si="16"/>
        <v/>
      </c>
      <c r="BD23" s="1221" t="str">
        <f t="shared" si="16"/>
        <v/>
      </c>
      <c r="BE23" s="1222" t="str">
        <f t="shared" si="16"/>
        <v/>
      </c>
      <c r="BF23" s="1221" t="str">
        <f t="shared" si="16"/>
        <v/>
      </c>
      <c r="BG23" s="1223" t="str">
        <f t="shared" si="16"/>
        <v/>
      </c>
      <c r="BH23" s="286">
        <f t="shared" si="35"/>
        <v>0</v>
      </c>
      <c r="BI23" s="286">
        <f t="shared" si="36"/>
        <v>0</v>
      </c>
      <c r="BJ23" s="287" t="str">
        <f t="shared" si="37"/>
        <v>perlu dimaksimalkan</v>
      </c>
      <c r="BK23" s="287" t="str">
        <f t="shared" si="37"/>
        <v>perlu dimaksimalkan</v>
      </c>
      <c r="BL23" s="286" t="e">
        <f t="shared" si="38"/>
        <v>#N/A</v>
      </c>
      <c r="BM23" s="288" t="e">
        <f t="shared" si="39"/>
        <v>#N/A</v>
      </c>
      <c r="BN23" s="289" t="str">
        <f t="shared" si="40"/>
        <v/>
      </c>
      <c r="BO23" s="67"/>
    </row>
    <row r="24" spans="1:67" ht="33" customHeight="1">
      <c r="A24" s="67"/>
      <c r="B24" s="272">
        <f t="shared" si="23"/>
        <v>11</v>
      </c>
      <c r="C24" s="273">
        <f>IF(Data!F15="","",Data!F15)</f>
        <v>0</v>
      </c>
      <c r="D24" s="274" t="str">
        <f>IF(Data!H15="","",Data!H15)</f>
        <v>Dorkas Meliana Talita Kesnay</v>
      </c>
      <c r="E24" s="275" t="str">
        <f>IF(Data!I15="","",Data!I15)</f>
        <v>P</v>
      </c>
      <c r="F24" s="276"/>
      <c r="G24" s="277"/>
      <c r="H24" s="277"/>
      <c r="I24" s="277"/>
      <c r="J24" s="277"/>
      <c r="K24" s="277"/>
      <c r="L24" s="277"/>
      <c r="M24" s="280"/>
      <c r="N24" s="277"/>
      <c r="O24" s="278"/>
      <c r="P24" s="279" t="str">
        <f t="shared" si="24"/>
        <v/>
      </c>
      <c r="Q24" s="277"/>
      <c r="R24" s="280"/>
      <c r="S24" s="281" t="str">
        <f t="shared" si="25"/>
        <v/>
      </c>
      <c r="T24" s="295" t="str">
        <f t="shared" si="26"/>
        <v/>
      </c>
      <c r="U24" s="1215" t="str">
        <f t="shared" si="7"/>
        <v/>
      </c>
      <c r="V24" s="1216" t="str">
        <f t="shared" si="7"/>
        <v/>
      </c>
      <c r="W24" s="1216" t="str">
        <f t="shared" si="7"/>
        <v/>
      </c>
      <c r="X24" s="1216" t="str">
        <f t="shared" si="7"/>
        <v/>
      </c>
      <c r="Y24" s="1216" t="str">
        <f t="shared" si="7"/>
        <v/>
      </c>
      <c r="Z24" s="1216" t="str">
        <f t="shared" si="7"/>
        <v/>
      </c>
      <c r="AA24" s="1216" t="str">
        <f t="shared" si="7"/>
        <v/>
      </c>
      <c r="AB24" s="1217" t="str">
        <f t="shared" si="7"/>
        <v/>
      </c>
      <c r="AC24" s="1216" t="str">
        <f t="shared" si="7"/>
        <v/>
      </c>
      <c r="AD24" s="1218" t="str">
        <f t="shared" si="7"/>
        <v/>
      </c>
      <c r="AE24" s="1219">
        <f t="shared" si="27"/>
        <v>0</v>
      </c>
      <c r="AF24" s="282">
        <f t="shared" si="28"/>
        <v>0</v>
      </c>
      <c r="AG24" s="282" t="str">
        <f t="shared" si="29"/>
        <v>perlu dimaksimalkan</v>
      </c>
      <c r="AH24" s="282" t="str">
        <f t="shared" si="10"/>
        <v>perlu dimaksimalkan</v>
      </c>
      <c r="AI24" s="282" t="str">
        <f t="shared" si="30"/>
        <v/>
      </c>
      <c r="AJ24" s="283" t="str">
        <f t="shared" si="31"/>
        <v/>
      </c>
      <c r="AK24" s="284" t="str">
        <f t="shared" si="32"/>
        <v/>
      </c>
      <c r="AL24" s="276"/>
      <c r="AM24" s="277"/>
      <c r="AN24" s="277"/>
      <c r="AO24" s="277"/>
      <c r="AP24" s="277"/>
      <c r="AQ24" s="277"/>
      <c r="AR24" s="277"/>
      <c r="AS24" s="280"/>
      <c r="AT24" s="277"/>
      <c r="AU24" s="278"/>
      <c r="AV24" s="285" t="str">
        <f t="shared" si="33"/>
        <v/>
      </c>
      <c r="AW24" s="296" t="str">
        <f t="shared" si="34"/>
        <v/>
      </c>
      <c r="AX24" s="1220" t="str">
        <f t="shared" si="16"/>
        <v/>
      </c>
      <c r="AY24" s="1221" t="str">
        <f t="shared" si="16"/>
        <v/>
      </c>
      <c r="AZ24" s="1221" t="str">
        <f t="shared" si="16"/>
        <v/>
      </c>
      <c r="BA24" s="1221" t="str">
        <f t="shared" si="16"/>
        <v/>
      </c>
      <c r="BB24" s="1221" t="str">
        <f t="shared" si="16"/>
        <v/>
      </c>
      <c r="BC24" s="1221" t="str">
        <f t="shared" si="16"/>
        <v/>
      </c>
      <c r="BD24" s="1221" t="str">
        <f t="shared" si="16"/>
        <v/>
      </c>
      <c r="BE24" s="1222" t="str">
        <f t="shared" si="16"/>
        <v/>
      </c>
      <c r="BF24" s="1221" t="str">
        <f t="shared" si="16"/>
        <v/>
      </c>
      <c r="BG24" s="1223" t="str">
        <f t="shared" si="16"/>
        <v/>
      </c>
      <c r="BH24" s="286">
        <f t="shared" si="35"/>
        <v>0</v>
      </c>
      <c r="BI24" s="286">
        <f t="shared" si="36"/>
        <v>0</v>
      </c>
      <c r="BJ24" s="287" t="str">
        <f t="shared" si="37"/>
        <v>perlu dimaksimalkan</v>
      </c>
      <c r="BK24" s="287" t="str">
        <f t="shared" si="37"/>
        <v>perlu dimaksimalkan</v>
      </c>
      <c r="BL24" s="286" t="e">
        <f t="shared" si="38"/>
        <v>#N/A</v>
      </c>
      <c r="BM24" s="288" t="e">
        <f t="shared" si="39"/>
        <v>#N/A</v>
      </c>
      <c r="BN24" s="289" t="str">
        <f t="shared" si="40"/>
        <v/>
      </c>
      <c r="BO24" s="67"/>
    </row>
    <row r="25" spans="1:67" ht="33" customHeight="1">
      <c r="A25" s="67"/>
      <c r="B25" s="272">
        <f t="shared" si="23"/>
        <v>12</v>
      </c>
      <c r="C25" s="273">
        <f>IF(Data!F16="","",Data!F16)</f>
        <v>0</v>
      </c>
      <c r="D25" s="274" t="str">
        <f>IF(Data!H16="","",Data!H16)</f>
        <v>Erto Seprianto Leukune</v>
      </c>
      <c r="E25" s="275" t="str">
        <f>IF(Data!I16="","",Data!I16)</f>
        <v>L</v>
      </c>
      <c r="F25" s="276"/>
      <c r="G25" s="277"/>
      <c r="H25" s="277"/>
      <c r="I25" s="277"/>
      <c r="J25" s="277"/>
      <c r="K25" s="277"/>
      <c r="L25" s="277"/>
      <c r="M25" s="280"/>
      <c r="N25" s="277"/>
      <c r="O25" s="278"/>
      <c r="P25" s="279" t="str">
        <f t="shared" si="24"/>
        <v/>
      </c>
      <c r="Q25" s="277"/>
      <c r="R25" s="280"/>
      <c r="S25" s="281" t="str">
        <f t="shared" si="25"/>
        <v/>
      </c>
      <c r="T25" s="295" t="str">
        <f t="shared" si="26"/>
        <v/>
      </c>
      <c r="U25" s="1215" t="str">
        <f t="shared" si="7"/>
        <v/>
      </c>
      <c r="V25" s="1216" t="str">
        <f t="shared" si="7"/>
        <v/>
      </c>
      <c r="W25" s="1216" t="str">
        <f t="shared" si="7"/>
        <v/>
      </c>
      <c r="X25" s="1216" t="str">
        <f t="shared" si="7"/>
        <v/>
      </c>
      <c r="Y25" s="1216" t="str">
        <f t="shared" si="7"/>
        <v/>
      </c>
      <c r="Z25" s="1216" t="str">
        <f t="shared" si="7"/>
        <v/>
      </c>
      <c r="AA25" s="1216" t="str">
        <f t="shared" si="7"/>
        <v/>
      </c>
      <c r="AB25" s="1217" t="str">
        <f t="shared" si="7"/>
        <v/>
      </c>
      <c r="AC25" s="1216" t="str">
        <f t="shared" si="7"/>
        <v/>
      </c>
      <c r="AD25" s="1218" t="str">
        <f t="shared" si="7"/>
        <v/>
      </c>
      <c r="AE25" s="1219">
        <f t="shared" si="27"/>
        <v>0</v>
      </c>
      <c r="AF25" s="282">
        <f t="shared" si="28"/>
        <v>0</v>
      </c>
      <c r="AG25" s="282" t="str">
        <f t="shared" si="29"/>
        <v>perlu dimaksimalkan</v>
      </c>
      <c r="AH25" s="282" t="str">
        <f t="shared" si="10"/>
        <v>perlu dimaksimalkan</v>
      </c>
      <c r="AI25" s="282" t="str">
        <f t="shared" si="30"/>
        <v/>
      </c>
      <c r="AJ25" s="283" t="str">
        <f t="shared" si="31"/>
        <v/>
      </c>
      <c r="AK25" s="284" t="str">
        <f t="shared" si="32"/>
        <v/>
      </c>
      <c r="AL25" s="276"/>
      <c r="AM25" s="277"/>
      <c r="AN25" s="277"/>
      <c r="AO25" s="277"/>
      <c r="AP25" s="277"/>
      <c r="AQ25" s="277"/>
      <c r="AR25" s="277"/>
      <c r="AS25" s="280"/>
      <c r="AT25" s="277"/>
      <c r="AU25" s="278"/>
      <c r="AV25" s="285" t="str">
        <f t="shared" si="33"/>
        <v/>
      </c>
      <c r="AW25" s="296" t="str">
        <f t="shared" si="34"/>
        <v/>
      </c>
      <c r="AX25" s="1220" t="str">
        <f t="shared" si="16"/>
        <v/>
      </c>
      <c r="AY25" s="1221" t="str">
        <f t="shared" si="16"/>
        <v/>
      </c>
      <c r="AZ25" s="1221" t="str">
        <f t="shared" si="16"/>
        <v/>
      </c>
      <c r="BA25" s="1221" t="str">
        <f t="shared" si="16"/>
        <v/>
      </c>
      <c r="BB25" s="1221" t="str">
        <f t="shared" si="16"/>
        <v/>
      </c>
      <c r="BC25" s="1221" t="str">
        <f t="shared" si="16"/>
        <v/>
      </c>
      <c r="BD25" s="1221" t="str">
        <f t="shared" si="16"/>
        <v/>
      </c>
      <c r="BE25" s="1222" t="str">
        <f t="shared" si="16"/>
        <v/>
      </c>
      <c r="BF25" s="1221" t="str">
        <f t="shared" si="16"/>
        <v/>
      </c>
      <c r="BG25" s="1223" t="str">
        <f t="shared" si="16"/>
        <v/>
      </c>
      <c r="BH25" s="286">
        <f t="shared" si="35"/>
        <v>0</v>
      </c>
      <c r="BI25" s="286">
        <f t="shared" si="36"/>
        <v>0</v>
      </c>
      <c r="BJ25" s="287" t="str">
        <f t="shared" si="37"/>
        <v>perlu dimaksimalkan</v>
      </c>
      <c r="BK25" s="287" t="str">
        <f t="shared" si="37"/>
        <v>perlu dimaksimalkan</v>
      </c>
      <c r="BL25" s="286" t="e">
        <f t="shared" si="38"/>
        <v>#N/A</v>
      </c>
      <c r="BM25" s="288" t="e">
        <f t="shared" si="39"/>
        <v>#N/A</v>
      </c>
      <c r="BN25" s="289" t="str">
        <f t="shared" si="40"/>
        <v/>
      </c>
      <c r="BO25" s="67"/>
    </row>
    <row r="26" spans="1:67" ht="33" customHeight="1">
      <c r="A26" s="67"/>
      <c r="B26" s="272">
        <f t="shared" si="23"/>
        <v>13</v>
      </c>
      <c r="C26" s="273">
        <f>IF(Data!F17="","",Data!F17)</f>
        <v>0</v>
      </c>
      <c r="D26" s="274" t="str">
        <f>IF(Data!H17="","",Data!H17)</f>
        <v>Feli Tipnoni</v>
      </c>
      <c r="E26" s="275" t="str">
        <f>IF(Data!I17="","",Data!I17)</f>
        <v>P</v>
      </c>
      <c r="F26" s="276"/>
      <c r="G26" s="277"/>
      <c r="H26" s="277"/>
      <c r="I26" s="277"/>
      <c r="J26" s="277"/>
      <c r="K26" s="277"/>
      <c r="L26" s="277"/>
      <c r="M26" s="280"/>
      <c r="N26" s="277"/>
      <c r="O26" s="278"/>
      <c r="P26" s="279" t="str">
        <f t="shared" si="24"/>
        <v/>
      </c>
      <c r="Q26" s="277"/>
      <c r="R26" s="280"/>
      <c r="S26" s="281" t="str">
        <f t="shared" si="25"/>
        <v/>
      </c>
      <c r="T26" s="295" t="str">
        <f t="shared" si="26"/>
        <v/>
      </c>
      <c r="U26" s="1215" t="str">
        <f t="shared" si="7"/>
        <v/>
      </c>
      <c r="V26" s="1216" t="str">
        <f t="shared" si="7"/>
        <v/>
      </c>
      <c r="W26" s="1216" t="str">
        <f t="shared" si="7"/>
        <v/>
      </c>
      <c r="X26" s="1216" t="str">
        <f t="shared" si="7"/>
        <v/>
      </c>
      <c r="Y26" s="1216" t="str">
        <f t="shared" si="7"/>
        <v/>
      </c>
      <c r="Z26" s="1216" t="str">
        <f t="shared" si="7"/>
        <v/>
      </c>
      <c r="AA26" s="1216" t="str">
        <f t="shared" si="7"/>
        <v/>
      </c>
      <c r="AB26" s="1217" t="str">
        <f t="shared" si="7"/>
        <v/>
      </c>
      <c r="AC26" s="1216" t="str">
        <f t="shared" si="7"/>
        <v/>
      </c>
      <c r="AD26" s="1218" t="str">
        <f t="shared" si="7"/>
        <v/>
      </c>
      <c r="AE26" s="1219">
        <f t="shared" si="27"/>
        <v>0</v>
      </c>
      <c r="AF26" s="282">
        <f t="shared" si="28"/>
        <v>0</v>
      </c>
      <c r="AG26" s="282" t="str">
        <f t="shared" si="29"/>
        <v>perlu dimaksimalkan</v>
      </c>
      <c r="AH26" s="282" t="str">
        <f t="shared" si="10"/>
        <v>perlu dimaksimalkan</v>
      </c>
      <c r="AI26" s="282" t="str">
        <f t="shared" si="30"/>
        <v/>
      </c>
      <c r="AJ26" s="283" t="str">
        <f t="shared" si="31"/>
        <v/>
      </c>
      <c r="AK26" s="284" t="str">
        <f t="shared" si="32"/>
        <v/>
      </c>
      <c r="AL26" s="276"/>
      <c r="AM26" s="277"/>
      <c r="AN26" s="277"/>
      <c r="AO26" s="277"/>
      <c r="AP26" s="277"/>
      <c r="AQ26" s="277"/>
      <c r="AR26" s="277"/>
      <c r="AS26" s="280"/>
      <c r="AT26" s="277"/>
      <c r="AU26" s="278"/>
      <c r="AV26" s="285" t="str">
        <f t="shared" si="33"/>
        <v/>
      </c>
      <c r="AW26" s="296" t="str">
        <f t="shared" si="34"/>
        <v/>
      </c>
      <c r="AX26" s="1220" t="str">
        <f t="shared" si="16"/>
        <v/>
      </c>
      <c r="AY26" s="1221" t="str">
        <f t="shared" si="16"/>
        <v/>
      </c>
      <c r="AZ26" s="1221" t="str">
        <f t="shared" si="16"/>
        <v/>
      </c>
      <c r="BA26" s="1221" t="str">
        <f t="shared" si="16"/>
        <v/>
      </c>
      <c r="BB26" s="1221" t="str">
        <f t="shared" si="16"/>
        <v/>
      </c>
      <c r="BC26" s="1221" t="str">
        <f t="shared" si="16"/>
        <v/>
      </c>
      <c r="BD26" s="1221" t="str">
        <f t="shared" si="16"/>
        <v/>
      </c>
      <c r="BE26" s="1222" t="str">
        <f t="shared" si="16"/>
        <v/>
      </c>
      <c r="BF26" s="1221" t="str">
        <f t="shared" si="16"/>
        <v/>
      </c>
      <c r="BG26" s="1223" t="str">
        <f t="shared" si="16"/>
        <v/>
      </c>
      <c r="BH26" s="286">
        <f t="shared" si="35"/>
        <v>0</v>
      </c>
      <c r="BI26" s="286">
        <f t="shared" si="36"/>
        <v>0</v>
      </c>
      <c r="BJ26" s="287" t="str">
        <f t="shared" si="37"/>
        <v>perlu dimaksimalkan</v>
      </c>
      <c r="BK26" s="287" t="str">
        <f t="shared" si="37"/>
        <v>perlu dimaksimalkan</v>
      </c>
      <c r="BL26" s="286" t="e">
        <f t="shared" si="38"/>
        <v>#N/A</v>
      </c>
      <c r="BM26" s="288" t="e">
        <f t="shared" si="39"/>
        <v>#N/A</v>
      </c>
      <c r="BN26" s="289" t="str">
        <f t="shared" si="40"/>
        <v/>
      </c>
      <c r="BO26" s="67"/>
    </row>
    <row r="27" spans="1:67" ht="33" customHeight="1">
      <c r="A27" s="67"/>
      <c r="B27" s="272">
        <f t="shared" si="23"/>
        <v>14</v>
      </c>
      <c r="C27" s="273">
        <f>IF(Data!F18="","",Data!F18)</f>
        <v>0</v>
      </c>
      <c r="D27" s="274" t="str">
        <f>IF(Data!H18="","",Data!H18)</f>
        <v xml:space="preserve">Ferdinandes Sakbana </v>
      </c>
      <c r="E27" s="275" t="str">
        <f>IF(Data!I18="","",Data!I18)</f>
        <v>L</v>
      </c>
      <c r="F27" s="276"/>
      <c r="G27" s="277"/>
      <c r="H27" s="277"/>
      <c r="I27" s="277"/>
      <c r="J27" s="277"/>
      <c r="K27" s="277"/>
      <c r="L27" s="277"/>
      <c r="M27" s="280"/>
      <c r="N27" s="277"/>
      <c r="O27" s="278"/>
      <c r="P27" s="279" t="str">
        <f t="shared" si="24"/>
        <v/>
      </c>
      <c r="Q27" s="277"/>
      <c r="R27" s="280"/>
      <c r="S27" s="281" t="str">
        <f t="shared" si="25"/>
        <v/>
      </c>
      <c r="T27" s="295" t="str">
        <f t="shared" si="26"/>
        <v/>
      </c>
      <c r="U27" s="1215" t="str">
        <f t="shared" si="7"/>
        <v/>
      </c>
      <c r="V27" s="1216" t="str">
        <f t="shared" si="7"/>
        <v/>
      </c>
      <c r="W27" s="1216" t="str">
        <f t="shared" si="7"/>
        <v/>
      </c>
      <c r="X27" s="1216" t="str">
        <f t="shared" si="7"/>
        <v/>
      </c>
      <c r="Y27" s="1216" t="str">
        <f t="shared" si="7"/>
        <v/>
      </c>
      <c r="Z27" s="1216" t="str">
        <f t="shared" si="7"/>
        <v/>
      </c>
      <c r="AA27" s="1216" t="str">
        <f t="shared" si="7"/>
        <v/>
      </c>
      <c r="AB27" s="1217" t="str">
        <f t="shared" si="7"/>
        <v/>
      </c>
      <c r="AC27" s="1216" t="str">
        <f t="shared" si="7"/>
        <v/>
      </c>
      <c r="AD27" s="1218" t="str">
        <f t="shared" si="7"/>
        <v/>
      </c>
      <c r="AE27" s="1219">
        <f t="shared" si="27"/>
        <v>0</v>
      </c>
      <c r="AF27" s="282">
        <f t="shared" si="28"/>
        <v>0</v>
      </c>
      <c r="AG27" s="282" t="str">
        <f t="shared" si="29"/>
        <v>perlu dimaksimalkan</v>
      </c>
      <c r="AH27" s="282" t="str">
        <f t="shared" si="10"/>
        <v>perlu dimaksimalkan</v>
      </c>
      <c r="AI27" s="282" t="str">
        <f t="shared" si="30"/>
        <v/>
      </c>
      <c r="AJ27" s="283" t="str">
        <f t="shared" si="31"/>
        <v/>
      </c>
      <c r="AK27" s="284" t="str">
        <f t="shared" si="32"/>
        <v/>
      </c>
      <c r="AL27" s="276"/>
      <c r="AM27" s="277"/>
      <c r="AN27" s="277"/>
      <c r="AO27" s="277"/>
      <c r="AP27" s="277"/>
      <c r="AQ27" s="277"/>
      <c r="AR27" s="277"/>
      <c r="AS27" s="280"/>
      <c r="AT27" s="277"/>
      <c r="AU27" s="278"/>
      <c r="AV27" s="285" t="str">
        <f t="shared" si="33"/>
        <v/>
      </c>
      <c r="AW27" s="296" t="str">
        <f t="shared" si="34"/>
        <v/>
      </c>
      <c r="AX27" s="1220" t="str">
        <f t="shared" si="16"/>
        <v/>
      </c>
      <c r="AY27" s="1221" t="str">
        <f t="shared" si="16"/>
        <v/>
      </c>
      <c r="AZ27" s="1221" t="str">
        <f t="shared" si="16"/>
        <v/>
      </c>
      <c r="BA27" s="1221" t="str">
        <f t="shared" si="16"/>
        <v/>
      </c>
      <c r="BB27" s="1221" t="str">
        <f t="shared" si="16"/>
        <v/>
      </c>
      <c r="BC27" s="1221" t="str">
        <f t="shared" si="16"/>
        <v/>
      </c>
      <c r="BD27" s="1221" t="str">
        <f t="shared" si="16"/>
        <v/>
      </c>
      <c r="BE27" s="1222" t="str">
        <f t="shared" si="16"/>
        <v/>
      </c>
      <c r="BF27" s="1221" t="str">
        <f t="shared" si="16"/>
        <v/>
      </c>
      <c r="BG27" s="1223" t="str">
        <f t="shared" si="16"/>
        <v/>
      </c>
      <c r="BH27" s="286">
        <f t="shared" si="35"/>
        <v>0</v>
      </c>
      <c r="BI27" s="286">
        <f t="shared" si="36"/>
        <v>0</v>
      </c>
      <c r="BJ27" s="287" t="str">
        <f t="shared" si="37"/>
        <v>perlu dimaksimalkan</v>
      </c>
      <c r="BK27" s="287" t="str">
        <f t="shared" si="37"/>
        <v>perlu dimaksimalkan</v>
      </c>
      <c r="BL27" s="286" t="e">
        <f t="shared" si="38"/>
        <v>#N/A</v>
      </c>
      <c r="BM27" s="288" t="e">
        <f t="shared" si="39"/>
        <v>#N/A</v>
      </c>
      <c r="BN27" s="289" t="str">
        <f t="shared" si="40"/>
        <v/>
      </c>
      <c r="BO27" s="67"/>
    </row>
    <row r="28" spans="1:67" ht="33" customHeight="1">
      <c r="A28" s="67"/>
      <c r="B28" s="272">
        <f t="shared" si="23"/>
        <v>15</v>
      </c>
      <c r="C28" s="273">
        <f>IF(Data!F19="","",Data!F19)</f>
        <v>0</v>
      </c>
      <c r="D28" s="274" t="str">
        <f>IF(Data!H19="","",Data!H19)</f>
        <v>Fitri Novani Nitbani</v>
      </c>
      <c r="E28" s="275" t="str">
        <f>IF(Data!I19="","",Data!I19)</f>
        <v>P</v>
      </c>
      <c r="F28" s="276"/>
      <c r="G28" s="277"/>
      <c r="H28" s="277"/>
      <c r="I28" s="277"/>
      <c r="J28" s="277"/>
      <c r="K28" s="277"/>
      <c r="L28" s="277"/>
      <c r="M28" s="280"/>
      <c r="N28" s="277"/>
      <c r="O28" s="278"/>
      <c r="P28" s="279" t="str">
        <f t="shared" si="24"/>
        <v/>
      </c>
      <c r="Q28" s="277"/>
      <c r="R28" s="280"/>
      <c r="S28" s="281" t="str">
        <f t="shared" si="25"/>
        <v/>
      </c>
      <c r="T28" s="295" t="str">
        <f t="shared" si="26"/>
        <v/>
      </c>
      <c r="U28" s="1215" t="str">
        <f t="shared" si="7"/>
        <v/>
      </c>
      <c r="V28" s="1216" t="str">
        <f t="shared" si="7"/>
        <v/>
      </c>
      <c r="W28" s="1216" t="str">
        <f t="shared" si="7"/>
        <v/>
      </c>
      <c r="X28" s="1216" t="str">
        <f t="shared" si="7"/>
        <v/>
      </c>
      <c r="Y28" s="1216" t="str">
        <f t="shared" si="7"/>
        <v/>
      </c>
      <c r="Z28" s="1216" t="str">
        <f t="shared" si="7"/>
        <v/>
      </c>
      <c r="AA28" s="1216" t="str">
        <f t="shared" si="7"/>
        <v/>
      </c>
      <c r="AB28" s="1217" t="str">
        <f t="shared" si="7"/>
        <v/>
      </c>
      <c r="AC28" s="1216" t="str">
        <f t="shared" si="7"/>
        <v/>
      </c>
      <c r="AD28" s="1218" t="str">
        <f t="shared" si="7"/>
        <v/>
      </c>
      <c r="AE28" s="1219">
        <f t="shared" si="27"/>
        <v>0</v>
      </c>
      <c r="AF28" s="282">
        <f t="shared" si="28"/>
        <v>0</v>
      </c>
      <c r="AG28" s="282" t="str">
        <f t="shared" si="29"/>
        <v>perlu dimaksimalkan</v>
      </c>
      <c r="AH28" s="282" t="str">
        <f t="shared" si="10"/>
        <v>perlu dimaksimalkan</v>
      </c>
      <c r="AI28" s="282" t="str">
        <f t="shared" si="30"/>
        <v/>
      </c>
      <c r="AJ28" s="283" t="str">
        <f t="shared" si="31"/>
        <v/>
      </c>
      <c r="AK28" s="284" t="str">
        <f t="shared" si="32"/>
        <v/>
      </c>
      <c r="AL28" s="276"/>
      <c r="AM28" s="277"/>
      <c r="AN28" s="277"/>
      <c r="AO28" s="277"/>
      <c r="AP28" s="277"/>
      <c r="AQ28" s="277"/>
      <c r="AR28" s="277"/>
      <c r="AS28" s="280"/>
      <c r="AT28" s="277"/>
      <c r="AU28" s="278"/>
      <c r="AV28" s="285" t="str">
        <f t="shared" si="33"/>
        <v/>
      </c>
      <c r="AW28" s="296" t="str">
        <f t="shared" si="34"/>
        <v/>
      </c>
      <c r="AX28" s="1220" t="str">
        <f t="shared" si="16"/>
        <v/>
      </c>
      <c r="AY28" s="1221" t="str">
        <f t="shared" si="16"/>
        <v/>
      </c>
      <c r="AZ28" s="1221" t="str">
        <f t="shared" si="16"/>
        <v/>
      </c>
      <c r="BA28" s="1221" t="str">
        <f t="shared" si="16"/>
        <v/>
      </c>
      <c r="BB28" s="1221" t="str">
        <f t="shared" si="16"/>
        <v/>
      </c>
      <c r="BC28" s="1221" t="str">
        <f t="shared" si="16"/>
        <v/>
      </c>
      <c r="BD28" s="1221" t="str">
        <f t="shared" si="16"/>
        <v/>
      </c>
      <c r="BE28" s="1222" t="str">
        <f t="shared" si="16"/>
        <v/>
      </c>
      <c r="BF28" s="1221" t="str">
        <f t="shared" si="16"/>
        <v/>
      </c>
      <c r="BG28" s="1223" t="str">
        <f t="shared" si="16"/>
        <v/>
      </c>
      <c r="BH28" s="286">
        <f t="shared" si="35"/>
        <v>0</v>
      </c>
      <c r="BI28" s="286">
        <f t="shared" si="36"/>
        <v>0</v>
      </c>
      <c r="BJ28" s="287" t="str">
        <f t="shared" si="37"/>
        <v>perlu dimaksimalkan</v>
      </c>
      <c r="BK28" s="287" t="str">
        <f t="shared" si="37"/>
        <v>perlu dimaksimalkan</v>
      </c>
      <c r="BL28" s="286" t="e">
        <f t="shared" si="38"/>
        <v>#N/A</v>
      </c>
      <c r="BM28" s="288" t="e">
        <f t="shared" si="39"/>
        <v>#N/A</v>
      </c>
      <c r="BN28" s="289" t="str">
        <f t="shared" si="40"/>
        <v/>
      </c>
      <c r="BO28" s="67"/>
    </row>
    <row r="29" spans="1:67" ht="33" customHeight="1">
      <c r="A29" s="67"/>
      <c r="B29" s="272">
        <f t="shared" si="23"/>
        <v>16</v>
      </c>
      <c r="C29" s="273">
        <f>IF(Data!F20="","",Data!F20)</f>
        <v>0</v>
      </c>
      <c r="D29" s="274" t="str">
        <f>IF(Data!H20="","",Data!H20)</f>
        <v>Helsina Benu</v>
      </c>
      <c r="E29" s="275" t="str">
        <f>IF(Data!I20="","",Data!I20)</f>
        <v>P</v>
      </c>
      <c r="F29" s="276"/>
      <c r="G29" s="277"/>
      <c r="H29" s="277"/>
      <c r="I29" s="277"/>
      <c r="J29" s="277"/>
      <c r="K29" s="277"/>
      <c r="L29" s="277"/>
      <c r="M29" s="280"/>
      <c r="N29" s="277"/>
      <c r="O29" s="278"/>
      <c r="P29" s="279" t="str">
        <f t="shared" si="24"/>
        <v/>
      </c>
      <c r="Q29" s="277"/>
      <c r="R29" s="280"/>
      <c r="S29" s="281" t="str">
        <f t="shared" si="25"/>
        <v/>
      </c>
      <c r="T29" s="295" t="str">
        <f t="shared" si="26"/>
        <v/>
      </c>
      <c r="U29" s="1215" t="str">
        <f t="shared" si="7"/>
        <v/>
      </c>
      <c r="V29" s="1216" t="str">
        <f t="shared" si="7"/>
        <v/>
      </c>
      <c r="W29" s="1216" t="str">
        <f t="shared" si="7"/>
        <v/>
      </c>
      <c r="X29" s="1216" t="str">
        <f t="shared" si="7"/>
        <v/>
      </c>
      <c r="Y29" s="1216" t="str">
        <f t="shared" si="7"/>
        <v/>
      </c>
      <c r="Z29" s="1216" t="str">
        <f t="shared" si="7"/>
        <v/>
      </c>
      <c r="AA29" s="1216" t="str">
        <f t="shared" si="7"/>
        <v/>
      </c>
      <c r="AB29" s="1217" t="str">
        <f t="shared" si="7"/>
        <v/>
      </c>
      <c r="AC29" s="1216" t="str">
        <f t="shared" si="7"/>
        <v/>
      </c>
      <c r="AD29" s="1218" t="str">
        <f t="shared" si="7"/>
        <v/>
      </c>
      <c r="AE29" s="1219">
        <f t="shared" si="27"/>
        <v>0</v>
      </c>
      <c r="AF29" s="282">
        <f t="shared" si="28"/>
        <v>0</v>
      </c>
      <c r="AG29" s="282" t="str">
        <f t="shared" si="29"/>
        <v>perlu dimaksimalkan</v>
      </c>
      <c r="AH29" s="282" t="str">
        <f t="shared" si="10"/>
        <v>perlu dimaksimalkan</v>
      </c>
      <c r="AI29" s="282" t="str">
        <f t="shared" si="30"/>
        <v/>
      </c>
      <c r="AJ29" s="283" t="str">
        <f t="shared" si="31"/>
        <v/>
      </c>
      <c r="AK29" s="284" t="str">
        <f t="shared" si="32"/>
        <v/>
      </c>
      <c r="AL29" s="276"/>
      <c r="AM29" s="277"/>
      <c r="AN29" s="277"/>
      <c r="AO29" s="277"/>
      <c r="AP29" s="277"/>
      <c r="AQ29" s="277"/>
      <c r="AR29" s="277"/>
      <c r="AS29" s="280"/>
      <c r="AT29" s="277"/>
      <c r="AU29" s="278"/>
      <c r="AV29" s="285" t="str">
        <f t="shared" si="33"/>
        <v/>
      </c>
      <c r="AW29" s="296" t="str">
        <f t="shared" si="34"/>
        <v/>
      </c>
      <c r="AX29" s="1220" t="str">
        <f t="shared" si="16"/>
        <v/>
      </c>
      <c r="AY29" s="1221" t="str">
        <f t="shared" si="16"/>
        <v/>
      </c>
      <c r="AZ29" s="1221" t="str">
        <f t="shared" si="16"/>
        <v/>
      </c>
      <c r="BA29" s="1221" t="str">
        <f t="shared" si="16"/>
        <v/>
      </c>
      <c r="BB29" s="1221" t="str">
        <f t="shared" si="16"/>
        <v/>
      </c>
      <c r="BC29" s="1221" t="str">
        <f t="shared" si="16"/>
        <v/>
      </c>
      <c r="BD29" s="1221" t="str">
        <f t="shared" si="16"/>
        <v/>
      </c>
      <c r="BE29" s="1222" t="str">
        <f t="shared" si="16"/>
        <v/>
      </c>
      <c r="BF29" s="1221" t="str">
        <f t="shared" si="16"/>
        <v/>
      </c>
      <c r="BG29" s="1223" t="str">
        <f t="shared" si="16"/>
        <v/>
      </c>
      <c r="BH29" s="286">
        <f t="shared" si="35"/>
        <v>0</v>
      </c>
      <c r="BI29" s="286">
        <f t="shared" si="36"/>
        <v>0</v>
      </c>
      <c r="BJ29" s="287" t="str">
        <f t="shared" si="37"/>
        <v>perlu dimaksimalkan</v>
      </c>
      <c r="BK29" s="287" t="str">
        <f t="shared" si="37"/>
        <v>perlu dimaksimalkan</v>
      </c>
      <c r="BL29" s="286" t="e">
        <f t="shared" si="38"/>
        <v>#N/A</v>
      </c>
      <c r="BM29" s="288" t="e">
        <f t="shared" si="39"/>
        <v>#N/A</v>
      </c>
      <c r="BN29" s="289" t="str">
        <f t="shared" si="40"/>
        <v/>
      </c>
      <c r="BO29" s="67"/>
    </row>
    <row r="30" spans="1:67" ht="33" customHeight="1">
      <c r="A30" s="67"/>
      <c r="B30" s="272">
        <f t="shared" si="23"/>
        <v>17</v>
      </c>
      <c r="C30" s="273">
        <f>IF(Data!F21="","",Data!F21)</f>
        <v>0</v>
      </c>
      <c r="D30" s="274" t="str">
        <f>IF(Data!H21="","",Data!H21)</f>
        <v xml:space="preserve">Hezron Nubatonis </v>
      </c>
      <c r="E30" s="275" t="str">
        <f>IF(Data!I21="","",Data!I21)</f>
        <v>L</v>
      </c>
      <c r="F30" s="276"/>
      <c r="G30" s="277"/>
      <c r="H30" s="277"/>
      <c r="I30" s="277"/>
      <c r="J30" s="277"/>
      <c r="K30" s="277"/>
      <c r="L30" s="277"/>
      <c r="M30" s="280"/>
      <c r="N30" s="277"/>
      <c r="O30" s="278"/>
      <c r="P30" s="279" t="str">
        <f t="shared" si="24"/>
        <v/>
      </c>
      <c r="Q30" s="277"/>
      <c r="R30" s="280"/>
      <c r="S30" s="281" t="str">
        <f t="shared" si="25"/>
        <v/>
      </c>
      <c r="T30" s="295" t="str">
        <f t="shared" si="26"/>
        <v/>
      </c>
      <c r="U30" s="1215" t="str">
        <f t="shared" ref="U30:AD55" si="41">IF(F30="","",F30+U$13)</f>
        <v/>
      </c>
      <c r="V30" s="1216" t="str">
        <f t="shared" si="41"/>
        <v/>
      </c>
      <c r="W30" s="1216" t="str">
        <f t="shared" si="41"/>
        <v/>
      </c>
      <c r="X30" s="1216" t="str">
        <f t="shared" si="41"/>
        <v/>
      </c>
      <c r="Y30" s="1216" t="str">
        <f t="shared" si="41"/>
        <v/>
      </c>
      <c r="Z30" s="1216" t="str">
        <f t="shared" si="41"/>
        <v/>
      </c>
      <c r="AA30" s="1216" t="str">
        <f t="shared" si="41"/>
        <v/>
      </c>
      <c r="AB30" s="1217" t="str">
        <f t="shared" si="41"/>
        <v/>
      </c>
      <c r="AC30" s="1216" t="str">
        <f t="shared" si="41"/>
        <v/>
      </c>
      <c r="AD30" s="1218" t="str">
        <f t="shared" si="41"/>
        <v/>
      </c>
      <c r="AE30" s="1219">
        <f t="shared" si="27"/>
        <v>0</v>
      </c>
      <c r="AF30" s="282">
        <f t="shared" si="28"/>
        <v>0</v>
      </c>
      <c r="AG30" s="282" t="str">
        <f t="shared" si="29"/>
        <v>perlu dimaksimalkan</v>
      </c>
      <c r="AH30" s="282" t="str">
        <f t="shared" si="29"/>
        <v>perlu dimaksimalkan</v>
      </c>
      <c r="AI30" s="282" t="str">
        <f t="shared" si="30"/>
        <v/>
      </c>
      <c r="AJ30" s="283" t="str">
        <f t="shared" si="31"/>
        <v/>
      </c>
      <c r="AK30" s="284" t="str">
        <f t="shared" si="32"/>
        <v/>
      </c>
      <c r="AL30" s="276"/>
      <c r="AM30" s="277"/>
      <c r="AN30" s="277"/>
      <c r="AO30" s="277"/>
      <c r="AP30" s="277"/>
      <c r="AQ30" s="277"/>
      <c r="AR30" s="277"/>
      <c r="AS30" s="280"/>
      <c r="AT30" s="277"/>
      <c r="AU30" s="278"/>
      <c r="AV30" s="285" t="str">
        <f t="shared" si="33"/>
        <v/>
      </c>
      <c r="AW30" s="296" t="str">
        <f t="shared" si="34"/>
        <v/>
      </c>
      <c r="AX30" s="1220" t="str">
        <f t="shared" ref="AX30:BG55" si="42">IF(AL30="","",AL30+AX$12)</f>
        <v/>
      </c>
      <c r="AY30" s="1221" t="str">
        <f t="shared" si="42"/>
        <v/>
      </c>
      <c r="AZ30" s="1221" t="str">
        <f t="shared" si="42"/>
        <v/>
      </c>
      <c r="BA30" s="1221" t="str">
        <f t="shared" si="42"/>
        <v/>
      </c>
      <c r="BB30" s="1221" t="str">
        <f t="shared" si="42"/>
        <v/>
      </c>
      <c r="BC30" s="1221" t="str">
        <f t="shared" si="42"/>
        <v/>
      </c>
      <c r="BD30" s="1221" t="str">
        <f t="shared" si="42"/>
        <v/>
      </c>
      <c r="BE30" s="1222" t="str">
        <f t="shared" si="42"/>
        <v/>
      </c>
      <c r="BF30" s="1221" t="str">
        <f t="shared" si="42"/>
        <v/>
      </c>
      <c r="BG30" s="1223" t="str">
        <f t="shared" si="42"/>
        <v/>
      </c>
      <c r="BH30" s="286">
        <f t="shared" si="35"/>
        <v>0</v>
      </c>
      <c r="BI30" s="286">
        <f t="shared" si="36"/>
        <v>0</v>
      </c>
      <c r="BJ30" s="287" t="str">
        <f t="shared" si="37"/>
        <v>perlu dimaksimalkan</v>
      </c>
      <c r="BK30" s="287" t="str">
        <f t="shared" si="37"/>
        <v>perlu dimaksimalkan</v>
      </c>
      <c r="BL30" s="286" t="e">
        <f t="shared" si="38"/>
        <v>#N/A</v>
      </c>
      <c r="BM30" s="288" t="e">
        <f t="shared" si="39"/>
        <v>#N/A</v>
      </c>
      <c r="BN30" s="289" t="str">
        <f t="shared" si="40"/>
        <v/>
      </c>
      <c r="BO30" s="67"/>
    </row>
    <row r="31" spans="1:67" ht="33" customHeight="1">
      <c r="A31" s="67"/>
      <c r="B31" s="272">
        <f t="shared" si="23"/>
        <v>18</v>
      </c>
      <c r="C31" s="273">
        <f>IF(Data!F22="","",Data!F22)</f>
        <v>0</v>
      </c>
      <c r="D31" s="274" t="str">
        <f>IF(Data!H22="","",Data!H22)</f>
        <v>Jelita Anita Boimau</v>
      </c>
      <c r="E31" s="275" t="str">
        <f>IF(Data!I22="","",Data!I22)</f>
        <v>P</v>
      </c>
      <c r="F31" s="276"/>
      <c r="G31" s="277"/>
      <c r="H31" s="277"/>
      <c r="I31" s="277"/>
      <c r="J31" s="277"/>
      <c r="K31" s="277"/>
      <c r="L31" s="277"/>
      <c r="M31" s="280"/>
      <c r="N31" s="277"/>
      <c r="O31" s="278"/>
      <c r="P31" s="279" t="str">
        <f t="shared" si="24"/>
        <v/>
      </c>
      <c r="Q31" s="277"/>
      <c r="R31" s="280"/>
      <c r="S31" s="281" t="str">
        <f t="shared" si="25"/>
        <v/>
      </c>
      <c r="T31" s="295" t="str">
        <f t="shared" si="26"/>
        <v/>
      </c>
      <c r="U31" s="1215" t="str">
        <f t="shared" si="41"/>
        <v/>
      </c>
      <c r="V31" s="1216" t="str">
        <f t="shared" si="41"/>
        <v/>
      </c>
      <c r="W31" s="1216" t="str">
        <f t="shared" si="41"/>
        <v/>
      </c>
      <c r="X31" s="1216" t="str">
        <f t="shared" si="41"/>
        <v/>
      </c>
      <c r="Y31" s="1216" t="str">
        <f t="shared" si="41"/>
        <v/>
      </c>
      <c r="Z31" s="1216" t="str">
        <f t="shared" si="41"/>
        <v/>
      </c>
      <c r="AA31" s="1216" t="str">
        <f t="shared" si="41"/>
        <v/>
      </c>
      <c r="AB31" s="1217" t="str">
        <f t="shared" si="41"/>
        <v/>
      </c>
      <c r="AC31" s="1216" t="str">
        <f t="shared" si="41"/>
        <v/>
      </c>
      <c r="AD31" s="1218" t="str">
        <f t="shared" si="41"/>
        <v/>
      </c>
      <c r="AE31" s="1219">
        <f t="shared" si="27"/>
        <v>0</v>
      </c>
      <c r="AF31" s="282">
        <f t="shared" si="28"/>
        <v>0</v>
      </c>
      <c r="AG31" s="282" t="str">
        <f t="shared" si="29"/>
        <v>perlu dimaksimalkan</v>
      </c>
      <c r="AH31" s="282" t="str">
        <f t="shared" si="29"/>
        <v>perlu dimaksimalkan</v>
      </c>
      <c r="AI31" s="282" t="str">
        <f t="shared" si="30"/>
        <v/>
      </c>
      <c r="AJ31" s="283" t="str">
        <f t="shared" si="31"/>
        <v/>
      </c>
      <c r="AK31" s="284" t="str">
        <f t="shared" si="32"/>
        <v/>
      </c>
      <c r="AL31" s="276"/>
      <c r="AM31" s="277"/>
      <c r="AN31" s="277"/>
      <c r="AO31" s="277"/>
      <c r="AP31" s="277"/>
      <c r="AQ31" s="277"/>
      <c r="AR31" s="277"/>
      <c r="AS31" s="280"/>
      <c r="AT31" s="277"/>
      <c r="AU31" s="278"/>
      <c r="AV31" s="285" t="str">
        <f t="shared" si="33"/>
        <v/>
      </c>
      <c r="AW31" s="296" t="str">
        <f t="shared" si="34"/>
        <v/>
      </c>
      <c r="AX31" s="1220" t="str">
        <f t="shared" si="42"/>
        <v/>
      </c>
      <c r="AY31" s="1221" t="str">
        <f t="shared" si="42"/>
        <v/>
      </c>
      <c r="AZ31" s="1221" t="str">
        <f t="shared" si="42"/>
        <v/>
      </c>
      <c r="BA31" s="1221" t="str">
        <f t="shared" si="42"/>
        <v/>
      </c>
      <c r="BB31" s="1221" t="str">
        <f t="shared" si="42"/>
        <v/>
      </c>
      <c r="BC31" s="1221" t="str">
        <f t="shared" si="42"/>
        <v/>
      </c>
      <c r="BD31" s="1221" t="str">
        <f t="shared" si="42"/>
        <v/>
      </c>
      <c r="BE31" s="1222" t="str">
        <f t="shared" si="42"/>
        <v/>
      </c>
      <c r="BF31" s="1221" t="str">
        <f t="shared" si="42"/>
        <v/>
      </c>
      <c r="BG31" s="1223" t="str">
        <f t="shared" si="42"/>
        <v/>
      </c>
      <c r="BH31" s="286">
        <f t="shared" si="35"/>
        <v>0</v>
      </c>
      <c r="BI31" s="286">
        <f t="shared" si="36"/>
        <v>0</v>
      </c>
      <c r="BJ31" s="287" t="str">
        <f t="shared" si="37"/>
        <v>perlu dimaksimalkan</v>
      </c>
      <c r="BK31" s="287" t="str">
        <f t="shared" si="37"/>
        <v>perlu dimaksimalkan</v>
      </c>
      <c r="BL31" s="286" t="e">
        <f t="shared" si="38"/>
        <v>#N/A</v>
      </c>
      <c r="BM31" s="288" t="e">
        <f t="shared" si="39"/>
        <v>#N/A</v>
      </c>
      <c r="BN31" s="289" t="str">
        <f t="shared" si="40"/>
        <v/>
      </c>
      <c r="BO31" s="67"/>
    </row>
    <row r="32" spans="1:67" ht="33" customHeight="1">
      <c r="A32" s="67"/>
      <c r="B32" s="272">
        <f t="shared" si="23"/>
        <v>19</v>
      </c>
      <c r="C32" s="273">
        <f>IF(Data!F23="","",Data!F23)</f>
        <v>0</v>
      </c>
      <c r="D32" s="274" t="str">
        <f>IF(Data!H23="","",Data!H23)</f>
        <v>Jidon Nubatonis</v>
      </c>
      <c r="E32" s="275" t="str">
        <f>IF(Data!I23="","",Data!I23)</f>
        <v>L</v>
      </c>
      <c r="F32" s="276"/>
      <c r="G32" s="277"/>
      <c r="H32" s="277"/>
      <c r="I32" s="277"/>
      <c r="J32" s="277"/>
      <c r="K32" s="277"/>
      <c r="L32" s="277"/>
      <c r="M32" s="280"/>
      <c r="N32" s="277"/>
      <c r="O32" s="278"/>
      <c r="P32" s="279" t="str">
        <f t="shared" si="24"/>
        <v/>
      </c>
      <c r="Q32" s="277"/>
      <c r="R32" s="280"/>
      <c r="S32" s="281" t="str">
        <f t="shared" si="25"/>
        <v/>
      </c>
      <c r="T32" s="295" t="str">
        <f t="shared" si="26"/>
        <v/>
      </c>
      <c r="U32" s="1215" t="str">
        <f t="shared" si="41"/>
        <v/>
      </c>
      <c r="V32" s="1216" t="str">
        <f t="shared" si="41"/>
        <v/>
      </c>
      <c r="W32" s="1216" t="str">
        <f t="shared" si="41"/>
        <v/>
      </c>
      <c r="X32" s="1216" t="str">
        <f t="shared" si="41"/>
        <v/>
      </c>
      <c r="Y32" s="1216" t="str">
        <f t="shared" si="41"/>
        <v/>
      </c>
      <c r="Z32" s="1216" t="str">
        <f t="shared" si="41"/>
        <v/>
      </c>
      <c r="AA32" s="1216" t="str">
        <f t="shared" si="41"/>
        <v/>
      </c>
      <c r="AB32" s="1217" t="str">
        <f t="shared" si="41"/>
        <v/>
      </c>
      <c r="AC32" s="1216" t="str">
        <f t="shared" si="41"/>
        <v/>
      </c>
      <c r="AD32" s="1218" t="str">
        <f t="shared" si="41"/>
        <v/>
      </c>
      <c r="AE32" s="1219">
        <f t="shared" si="27"/>
        <v>0</v>
      </c>
      <c r="AF32" s="282">
        <f t="shared" si="28"/>
        <v>0</v>
      </c>
      <c r="AG32" s="282" t="str">
        <f t="shared" si="29"/>
        <v>perlu dimaksimalkan</v>
      </c>
      <c r="AH32" s="282" t="str">
        <f t="shared" si="29"/>
        <v>perlu dimaksimalkan</v>
      </c>
      <c r="AI32" s="282" t="str">
        <f t="shared" si="30"/>
        <v/>
      </c>
      <c r="AJ32" s="283" t="str">
        <f t="shared" si="31"/>
        <v/>
      </c>
      <c r="AK32" s="284" t="str">
        <f t="shared" si="32"/>
        <v/>
      </c>
      <c r="AL32" s="276"/>
      <c r="AM32" s="277"/>
      <c r="AN32" s="277"/>
      <c r="AO32" s="277"/>
      <c r="AP32" s="277"/>
      <c r="AQ32" s="277"/>
      <c r="AR32" s="277"/>
      <c r="AS32" s="280"/>
      <c r="AT32" s="277"/>
      <c r="AU32" s="278"/>
      <c r="AV32" s="285" t="str">
        <f t="shared" si="33"/>
        <v/>
      </c>
      <c r="AW32" s="296" t="str">
        <f t="shared" si="34"/>
        <v/>
      </c>
      <c r="AX32" s="1220" t="str">
        <f t="shared" si="42"/>
        <v/>
      </c>
      <c r="AY32" s="1221" t="str">
        <f t="shared" si="42"/>
        <v/>
      </c>
      <c r="AZ32" s="1221" t="str">
        <f t="shared" si="42"/>
        <v/>
      </c>
      <c r="BA32" s="1221" t="str">
        <f t="shared" si="42"/>
        <v/>
      </c>
      <c r="BB32" s="1221" t="str">
        <f t="shared" si="42"/>
        <v/>
      </c>
      <c r="BC32" s="1221" t="str">
        <f t="shared" si="42"/>
        <v/>
      </c>
      <c r="BD32" s="1221" t="str">
        <f t="shared" si="42"/>
        <v/>
      </c>
      <c r="BE32" s="1222" t="str">
        <f t="shared" si="42"/>
        <v/>
      </c>
      <c r="BF32" s="1221" t="str">
        <f t="shared" si="42"/>
        <v/>
      </c>
      <c r="BG32" s="1223" t="str">
        <f t="shared" si="42"/>
        <v/>
      </c>
      <c r="BH32" s="286">
        <f t="shared" si="35"/>
        <v>0</v>
      </c>
      <c r="BI32" s="286">
        <f t="shared" si="36"/>
        <v>0</v>
      </c>
      <c r="BJ32" s="287" t="str">
        <f t="shared" si="37"/>
        <v>perlu dimaksimalkan</v>
      </c>
      <c r="BK32" s="287" t="str">
        <f t="shared" si="37"/>
        <v>perlu dimaksimalkan</v>
      </c>
      <c r="BL32" s="286" t="e">
        <f t="shared" si="38"/>
        <v>#N/A</v>
      </c>
      <c r="BM32" s="288" t="e">
        <f t="shared" si="39"/>
        <v>#N/A</v>
      </c>
      <c r="BN32" s="289" t="str">
        <f t="shared" si="40"/>
        <v/>
      </c>
      <c r="BO32" s="67"/>
    </row>
    <row r="33" spans="1:67" ht="33" customHeight="1">
      <c r="A33" s="67"/>
      <c r="B33" s="272">
        <f t="shared" si="23"/>
        <v>20</v>
      </c>
      <c r="C33" s="273">
        <f>IF(Data!F24="","",Data!F24)</f>
        <v>0</v>
      </c>
      <c r="D33" s="274" t="str">
        <f>IF(Data!H24="","",Data!H24)</f>
        <v>Jitro Andro Baran</v>
      </c>
      <c r="E33" s="275" t="str">
        <f>IF(Data!I24="","",Data!I24)</f>
        <v>L</v>
      </c>
      <c r="F33" s="276"/>
      <c r="G33" s="277"/>
      <c r="H33" s="277"/>
      <c r="I33" s="277"/>
      <c r="J33" s="277"/>
      <c r="K33" s="277"/>
      <c r="L33" s="277"/>
      <c r="M33" s="280"/>
      <c r="N33" s="277"/>
      <c r="O33" s="278"/>
      <c r="P33" s="279" t="str">
        <f t="shared" si="24"/>
        <v/>
      </c>
      <c r="Q33" s="277"/>
      <c r="R33" s="280"/>
      <c r="S33" s="281" t="str">
        <f t="shared" si="25"/>
        <v/>
      </c>
      <c r="T33" s="295" t="str">
        <f t="shared" si="26"/>
        <v/>
      </c>
      <c r="U33" s="1215" t="str">
        <f t="shared" si="41"/>
        <v/>
      </c>
      <c r="V33" s="1216" t="str">
        <f t="shared" si="41"/>
        <v/>
      </c>
      <c r="W33" s="1216" t="str">
        <f t="shared" si="41"/>
        <v/>
      </c>
      <c r="X33" s="1216" t="str">
        <f t="shared" si="41"/>
        <v/>
      </c>
      <c r="Y33" s="1216" t="str">
        <f t="shared" si="41"/>
        <v/>
      </c>
      <c r="Z33" s="1216" t="str">
        <f t="shared" si="41"/>
        <v/>
      </c>
      <c r="AA33" s="1216" t="str">
        <f t="shared" si="41"/>
        <v/>
      </c>
      <c r="AB33" s="1217" t="str">
        <f t="shared" si="41"/>
        <v/>
      </c>
      <c r="AC33" s="1216" t="str">
        <f t="shared" si="41"/>
        <v/>
      </c>
      <c r="AD33" s="1218" t="str">
        <f t="shared" si="41"/>
        <v/>
      </c>
      <c r="AE33" s="1219">
        <f t="shared" si="27"/>
        <v>0</v>
      </c>
      <c r="AF33" s="282">
        <f t="shared" si="28"/>
        <v>0</v>
      </c>
      <c r="AG33" s="282" t="str">
        <f t="shared" si="29"/>
        <v>perlu dimaksimalkan</v>
      </c>
      <c r="AH33" s="282" t="str">
        <f t="shared" si="29"/>
        <v>perlu dimaksimalkan</v>
      </c>
      <c r="AI33" s="282" t="str">
        <f t="shared" si="30"/>
        <v/>
      </c>
      <c r="AJ33" s="283" t="str">
        <f t="shared" si="31"/>
        <v/>
      </c>
      <c r="AK33" s="284" t="str">
        <f t="shared" si="32"/>
        <v/>
      </c>
      <c r="AL33" s="276"/>
      <c r="AM33" s="277"/>
      <c r="AN33" s="277"/>
      <c r="AO33" s="277"/>
      <c r="AP33" s="277"/>
      <c r="AQ33" s="277"/>
      <c r="AR33" s="277"/>
      <c r="AS33" s="280"/>
      <c r="AT33" s="277"/>
      <c r="AU33" s="278"/>
      <c r="AV33" s="285" t="str">
        <f t="shared" si="33"/>
        <v/>
      </c>
      <c r="AW33" s="296" t="str">
        <f t="shared" si="34"/>
        <v/>
      </c>
      <c r="AX33" s="1220" t="str">
        <f t="shared" si="42"/>
        <v/>
      </c>
      <c r="AY33" s="1221" t="str">
        <f t="shared" si="42"/>
        <v/>
      </c>
      <c r="AZ33" s="1221" t="str">
        <f t="shared" si="42"/>
        <v/>
      </c>
      <c r="BA33" s="1221" t="str">
        <f t="shared" si="42"/>
        <v/>
      </c>
      <c r="BB33" s="1221" t="str">
        <f t="shared" si="42"/>
        <v/>
      </c>
      <c r="BC33" s="1221" t="str">
        <f t="shared" si="42"/>
        <v/>
      </c>
      <c r="BD33" s="1221" t="str">
        <f t="shared" si="42"/>
        <v/>
      </c>
      <c r="BE33" s="1222" t="str">
        <f t="shared" si="42"/>
        <v/>
      </c>
      <c r="BF33" s="1221" t="str">
        <f t="shared" si="42"/>
        <v/>
      </c>
      <c r="BG33" s="1223" t="str">
        <f t="shared" si="42"/>
        <v/>
      </c>
      <c r="BH33" s="286">
        <f t="shared" si="35"/>
        <v>0</v>
      </c>
      <c r="BI33" s="286">
        <f t="shared" si="36"/>
        <v>0</v>
      </c>
      <c r="BJ33" s="287" t="str">
        <f t="shared" si="37"/>
        <v>perlu dimaksimalkan</v>
      </c>
      <c r="BK33" s="287" t="str">
        <f t="shared" si="37"/>
        <v>perlu dimaksimalkan</v>
      </c>
      <c r="BL33" s="286" t="e">
        <f t="shared" si="38"/>
        <v>#N/A</v>
      </c>
      <c r="BM33" s="288" t="e">
        <f t="shared" si="39"/>
        <v>#N/A</v>
      </c>
      <c r="BN33" s="289" t="str">
        <f t="shared" si="40"/>
        <v/>
      </c>
      <c r="BO33" s="67"/>
    </row>
    <row r="34" spans="1:67" ht="33" customHeight="1">
      <c r="A34" s="67"/>
      <c r="B34" s="272">
        <f t="shared" si="23"/>
        <v>21</v>
      </c>
      <c r="C34" s="273">
        <f>IF(Data!F25="","",Data!F25)</f>
        <v>0</v>
      </c>
      <c r="D34" s="274" t="str">
        <f>IF(Data!H25="","",Data!H25)</f>
        <v>Juan Manuel Boys</v>
      </c>
      <c r="E34" s="275" t="str">
        <f>IF(Data!I25="","",Data!I25)</f>
        <v>L</v>
      </c>
      <c r="F34" s="276"/>
      <c r="G34" s="277"/>
      <c r="H34" s="277"/>
      <c r="I34" s="277"/>
      <c r="J34" s="277"/>
      <c r="K34" s="277"/>
      <c r="L34" s="277"/>
      <c r="M34" s="280"/>
      <c r="N34" s="277"/>
      <c r="O34" s="278"/>
      <c r="P34" s="279" t="str">
        <f t="shared" si="24"/>
        <v/>
      </c>
      <c r="Q34" s="277"/>
      <c r="R34" s="280"/>
      <c r="S34" s="281" t="str">
        <f t="shared" si="25"/>
        <v/>
      </c>
      <c r="T34" s="295" t="str">
        <f t="shared" si="26"/>
        <v/>
      </c>
      <c r="U34" s="1215" t="str">
        <f t="shared" si="41"/>
        <v/>
      </c>
      <c r="V34" s="1216" t="str">
        <f t="shared" si="41"/>
        <v/>
      </c>
      <c r="W34" s="1216" t="str">
        <f t="shared" si="41"/>
        <v/>
      </c>
      <c r="X34" s="1216" t="str">
        <f t="shared" si="41"/>
        <v/>
      </c>
      <c r="Y34" s="1216" t="str">
        <f t="shared" si="41"/>
        <v/>
      </c>
      <c r="Z34" s="1216" t="str">
        <f t="shared" si="41"/>
        <v/>
      </c>
      <c r="AA34" s="1216" t="str">
        <f t="shared" si="41"/>
        <v/>
      </c>
      <c r="AB34" s="1217" t="str">
        <f t="shared" si="41"/>
        <v/>
      </c>
      <c r="AC34" s="1216" t="str">
        <f t="shared" si="41"/>
        <v/>
      </c>
      <c r="AD34" s="1218" t="str">
        <f t="shared" si="41"/>
        <v/>
      </c>
      <c r="AE34" s="1219">
        <f t="shared" si="27"/>
        <v>0</v>
      </c>
      <c r="AF34" s="282">
        <f t="shared" si="28"/>
        <v>0</v>
      </c>
      <c r="AG34" s="282" t="str">
        <f t="shared" si="29"/>
        <v>perlu dimaksimalkan</v>
      </c>
      <c r="AH34" s="282" t="str">
        <f t="shared" si="29"/>
        <v>perlu dimaksimalkan</v>
      </c>
      <c r="AI34" s="282" t="str">
        <f t="shared" si="30"/>
        <v/>
      </c>
      <c r="AJ34" s="283" t="str">
        <f t="shared" si="31"/>
        <v/>
      </c>
      <c r="AK34" s="284" t="str">
        <f t="shared" si="32"/>
        <v/>
      </c>
      <c r="AL34" s="276"/>
      <c r="AM34" s="277"/>
      <c r="AN34" s="277"/>
      <c r="AO34" s="277"/>
      <c r="AP34" s="277"/>
      <c r="AQ34" s="277"/>
      <c r="AR34" s="277"/>
      <c r="AS34" s="280"/>
      <c r="AT34" s="277"/>
      <c r="AU34" s="278"/>
      <c r="AV34" s="285" t="str">
        <f t="shared" si="33"/>
        <v/>
      </c>
      <c r="AW34" s="296" t="str">
        <f t="shared" si="34"/>
        <v/>
      </c>
      <c r="AX34" s="1220" t="str">
        <f t="shared" si="42"/>
        <v/>
      </c>
      <c r="AY34" s="1221" t="str">
        <f t="shared" si="42"/>
        <v/>
      </c>
      <c r="AZ34" s="1221" t="str">
        <f t="shared" si="42"/>
        <v/>
      </c>
      <c r="BA34" s="1221" t="str">
        <f t="shared" si="42"/>
        <v/>
      </c>
      <c r="BB34" s="1221" t="str">
        <f t="shared" si="42"/>
        <v/>
      </c>
      <c r="BC34" s="1221" t="str">
        <f t="shared" si="42"/>
        <v/>
      </c>
      <c r="BD34" s="1221" t="str">
        <f t="shared" si="42"/>
        <v/>
      </c>
      <c r="BE34" s="1222" t="str">
        <f t="shared" si="42"/>
        <v/>
      </c>
      <c r="BF34" s="1221" t="str">
        <f t="shared" si="42"/>
        <v/>
      </c>
      <c r="BG34" s="1223" t="str">
        <f t="shared" si="42"/>
        <v/>
      </c>
      <c r="BH34" s="286">
        <f t="shared" si="35"/>
        <v>0</v>
      </c>
      <c r="BI34" s="286">
        <f t="shared" si="36"/>
        <v>0</v>
      </c>
      <c r="BJ34" s="287" t="str">
        <f t="shared" si="37"/>
        <v>perlu dimaksimalkan</v>
      </c>
      <c r="BK34" s="287" t="str">
        <f t="shared" si="37"/>
        <v>perlu dimaksimalkan</v>
      </c>
      <c r="BL34" s="286" t="e">
        <f t="shared" si="38"/>
        <v>#N/A</v>
      </c>
      <c r="BM34" s="288" t="e">
        <f t="shared" si="39"/>
        <v>#N/A</v>
      </c>
      <c r="BN34" s="289" t="str">
        <f t="shared" si="40"/>
        <v/>
      </c>
      <c r="BO34" s="67"/>
    </row>
    <row r="35" spans="1:67" ht="33" customHeight="1">
      <c r="A35" s="67"/>
      <c r="B35" s="272">
        <f t="shared" si="23"/>
        <v>22</v>
      </c>
      <c r="C35" s="273">
        <f>IF(Data!F26="","",Data!F26)</f>
        <v>0</v>
      </c>
      <c r="D35" s="274" t="str">
        <f>IF(Data!H26="","",Data!H26)</f>
        <v>Krisyanti Ernela Kesnay</v>
      </c>
      <c r="E35" s="275" t="str">
        <f>IF(Data!I26="","",Data!I26)</f>
        <v>P</v>
      </c>
      <c r="F35" s="276"/>
      <c r="G35" s="277"/>
      <c r="H35" s="277"/>
      <c r="I35" s="277"/>
      <c r="J35" s="277"/>
      <c r="K35" s="277"/>
      <c r="L35" s="277"/>
      <c r="M35" s="280"/>
      <c r="N35" s="277"/>
      <c r="O35" s="278"/>
      <c r="P35" s="279" t="str">
        <f t="shared" si="24"/>
        <v/>
      </c>
      <c r="Q35" s="277"/>
      <c r="R35" s="280"/>
      <c r="S35" s="281" t="str">
        <f t="shared" si="25"/>
        <v/>
      </c>
      <c r="T35" s="295" t="str">
        <f t="shared" si="26"/>
        <v/>
      </c>
      <c r="U35" s="1215" t="str">
        <f t="shared" si="41"/>
        <v/>
      </c>
      <c r="V35" s="1216" t="str">
        <f t="shared" si="41"/>
        <v/>
      </c>
      <c r="W35" s="1216" t="str">
        <f t="shared" si="41"/>
        <v/>
      </c>
      <c r="X35" s="1216" t="str">
        <f t="shared" si="41"/>
        <v/>
      </c>
      <c r="Y35" s="1216" t="str">
        <f t="shared" si="41"/>
        <v/>
      </c>
      <c r="Z35" s="1216" t="str">
        <f t="shared" si="41"/>
        <v/>
      </c>
      <c r="AA35" s="1216" t="str">
        <f t="shared" si="41"/>
        <v/>
      </c>
      <c r="AB35" s="1217" t="str">
        <f t="shared" si="41"/>
        <v/>
      </c>
      <c r="AC35" s="1216" t="str">
        <f t="shared" si="41"/>
        <v/>
      </c>
      <c r="AD35" s="1218" t="str">
        <f t="shared" si="41"/>
        <v/>
      </c>
      <c r="AE35" s="1219">
        <f t="shared" si="27"/>
        <v>0</v>
      </c>
      <c r="AF35" s="282">
        <f t="shared" si="28"/>
        <v>0</v>
      </c>
      <c r="AG35" s="282" t="str">
        <f t="shared" si="29"/>
        <v>perlu dimaksimalkan</v>
      </c>
      <c r="AH35" s="282" t="str">
        <f t="shared" si="29"/>
        <v>perlu dimaksimalkan</v>
      </c>
      <c r="AI35" s="282" t="str">
        <f t="shared" si="30"/>
        <v/>
      </c>
      <c r="AJ35" s="283" t="str">
        <f t="shared" si="31"/>
        <v/>
      </c>
      <c r="AK35" s="284" t="str">
        <f t="shared" si="32"/>
        <v/>
      </c>
      <c r="AL35" s="276"/>
      <c r="AM35" s="277"/>
      <c r="AN35" s="277"/>
      <c r="AO35" s="277"/>
      <c r="AP35" s="277"/>
      <c r="AQ35" s="277"/>
      <c r="AR35" s="277"/>
      <c r="AS35" s="280"/>
      <c r="AT35" s="277"/>
      <c r="AU35" s="278"/>
      <c r="AV35" s="285" t="str">
        <f t="shared" si="33"/>
        <v/>
      </c>
      <c r="AW35" s="296" t="str">
        <f t="shared" si="34"/>
        <v/>
      </c>
      <c r="AX35" s="1220" t="str">
        <f t="shared" si="42"/>
        <v/>
      </c>
      <c r="AY35" s="1221" t="str">
        <f t="shared" si="42"/>
        <v/>
      </c>
      <c r="AZ35" s="1221" t="str">
        <f t="shared" si="42"/>
        <v/>
      </c>
      <c r="BA35" s="1221" t="str">
        <f t="shared" si="42"/>
        <v/>
      </c>
      <c r="BB35" s="1221" t="str">
        <f t="shared" si="42"/>
        <v/>
      </c>
      <c r="BC35" s="1221" t="str">
        <f t="shared" si="42"/>
        <v/>
      </c>
      <c r="BD35" s="1221" t="str">
        <f t="shared" si="42"/>
        <v/>
      </c>
      <c r="BE35" s="1222" t="str">
        <f t="shared" si="42"/>
        <v/>
      </c>
      <c r="BF35" s="1221" t="str">
        <f t="shared" si="42"/>
        <v/>
      </c>
      <c r="BG35" s="1223" t="str">
        <f t="shared" si="42"/>
        <v/>
      </c>
      <c r="BH35" s="286">
        <f t="shared" si="35"/>
        <v>0</v>
      </c>
      <c r="BI35" s="286">
        <f t="shared" si="36"/>
        <v>0</v>
      </c>
      <c r="BJ35" s="287" t="str">
        <f t="shared" si="37"/>
        <v>perlu dimaksimalkan</v>
      </c>
      <c r="BK35" s="287" t="str">
        <f t="shared" si="37"/>
        <v>perlu dimaksimalkan</v>
      </c>
      <c r="BL35" s="286" t="e">
        <f t="shared" si="38"/>
        <v>#N/A</v>
      </c>
      <c r="BM35" s="288" t="e">
        <f t="shared" si="39"/>
        <v>#N/A</v>
      </c>
      <c r="BN35" s="289" t="str">
        <f t="shared" si="40"/>
        <v/>
      </c>
      <c r="BO35" s="67"/>
    </row>
    <row r="36" spans="1:67" ht="33" customHeight="1">
      <c r="A36" s="67"/>
      <c r="B36" s="272">
        <f t="shared" si="23"/>
        <v>23</v>
      </c>
      <c r="C36" s="273">
        <f>IF(Data!F27="","",Data!F27)</f>
        <v>0</v>
      </c>
      <c r="D36" s="274" t="str">
        <f>IF(Data!H27="","",Data!H27)</f>
        <v>Leni Aknesia Knoan</v>
      </c>
      <c r="E36" s="275" t="str">
        <f>IF(Data!I27="","",Data!I27)</f>
        <v>P</v>
      </c>
      <c r="F36" s="276"/>
      <c r="G36" s="277"/>
      <c r="H36" s="277"/>
      <c r="I36" s="277"/>
      <c r="J36" s="277"/>
      <c r="K36" s="277"/>
      <c r="L36" s="277"/>
      <c r="M36" s="280"/>
      <c r="N36" s="277"/>
      <c r="O36" s="278"/>
      <c r="P36" s="279" t="str">
        <f t="shared" si="24"/>
        <v/>
      </c>
      <c r="Q36" s="277"/>
      <c r="R36" s="280"/>
      <c r="S36" s="281" t="str">
        <f t="shared" si="25"/>
        <v/>
      </c>
      <c r="T36" s="295" t="str">
        <f t="shared" si="26"/>
        <v/>
      </c>
      <c r="U36" s="1215" t="str">
        <f t="shared" si="41"/>
        <v/>
      </c>
      <c r="V36" s="1216" t="str">
        <f t="shared" si="41"/>
        <v/>
      </c>
      <c r="W36" s="1216" t="str">
        <f t="shared" si="41"/>
        <v/>
      </c>
      <c r="X36" s="1216" t="str">
        <f t="shared" si="41"/>
        <v/>
      </c>
      <c r="Y36" s="1216" t="str">
        <f t="shared" si="41"/>
        <v/>
      </c>
      <c r="Z36" s="1216" t="str">
        <f t="shared" si="41"/>
        <v/>
      </c>
      <c r="AA36" s="1216" t="str">
        <f t="shared" si="41"/>
        <v/>
      </c>
      <c r="AB36" s="1217" t="str">
        <f t="shared" si="41"/>
        <v/>
      </c>
      <c r="AC36" s="1216" t="str">
        <f t="shared" si="41"/>
        <v/>
      </c>
      <c r="AD36" s="1218" t="str">
        <f t="shared" si="41"/>
        <v/>
      </c>
      <c r="AE36" s="1219">
        <f t="shared" si="27"/>
        <v>0</v>
      </c>
      <c r="AF36" s="282">
        <f t="shared" si="28"/>
        <v>0</v>
      </c>
      <c r="AG36" s="282" t="str">
        <f t="shared" si="29"/>
        <v>perlu dimaksimalkan</v>
      </c>
      <c r="AH36" s="282" t="str">
        <f t="shared" si="29"/>
        <v>perlu dimaksimalkan</v>
      </c>
      <c r="AI36" s="282" t="str">
        <f t="shared" si="30"/>
        <v/>
      </c>
      <c r="AJ36" s="283" t="str">
        <f t="shared" si="31"/>
        <v/>
      </c>
      <c r="AK36" s="284" t="str">
        <f t="shared" si="32"/>
        <v/>
      </c>
      <c r="AL36" s="276"/>
      <c r="AM36" s="277"/>
      <c r="AN36" s="277"/>
      <c r="AO36" s="277"/>
      <c r="AP36" s="277"/>
      <c r="AQ36" s="277"/>
      <c r="AR36" s="277"/>
      <c r="AS36" s="280"/>
      <c r="AT36" s="277"/>
      <c r="AU36" s="278"/>
      <c r="AV36" s="285" t="str">
        <f t="shared" si="33"/>
        <v/>
      </c>
      <c r="AW36" s="296" t="str">
        <f t="shared" si="34"/>
        <v/>
      </c>
      <c r="AX36" s="1220" t="str">
        <f t="shared" si="42"/>
        <v/>
      </c>
      <c r="AY36" s="1221" t="str">
        <f t="shared" si="42"/>
        <v/>
      </c>
      <c r="AZ36" s="1221" t="str">
        <f t="shared" si="42"/>
        <v/>
      </c>
      <c r="BA36" s="1221" t="str">
        <f t="shared" si="42"/>
        <v/>
      </c>
      <c r="BB36" s="1221" t="str">
        <f t="shared" si="42"/>
        <v/>
      </c>
      <c r="BC36" s="1221" t="str">
        <f t="shared" si="42"/>
        <v/>
      </c>
      <c r="BD36" s="1221" t="str">
        <f t="shared" si="42"/>
        <v/>
      </c>
      <c r="BE36" s="1222" t="str">
        <f t="shared" si="42"/>
        <v/>
      </c>
      <c r="BF36" s="1221" t="str">
        <f t="shared" si="42"/>
        <v/>
      </c>
      <c r="BG36" s="1223" t="str">
        <f t="shared" si="42"/>
        <v/>
      </c>
      <c r="BH36" s="286">
        <f t="shared" si="35"/>
        <v>0</v>
      </c>
      <c r="BI36" s="286">
        <f t="shared" si="36"/>
        <v>0</v>
      </c>
      <c r="BJ36" s="287" t="str">
        <f t="shared" si="37"/>
        <v>perlu dimaksimalkan</v>
      </c>
      <c r="BK36" s="287" t="str">
        <f t="shared" si="37"/>
        <v>perlu dimaksimalkan</v>
      </c>
      <c r="BL36" s="286" t="e">
        <f t="shared" si="38"/>
        <v>#N/A</v>
      </c>
      <c r="BM36" s="288" t="e">
        <f t="shared" si="39"/>
        <v>#N/A</v>
      </c>
      <c r="BN36" s="289" t="str">
        <f t="shared" si="40"/>
        <v/>
      </c>
      <c r="BO36" s="67"/>
    </row>
    <row r="37" spans="1:67" ht="33" customHeight="1">
      <c r="A37" s="67"/>
      <c r="B37" s="272">
        <f t="shared" si="23"/>
        <v>24</v>
      </c>
      <c r="C37" s="273">
        <f>IF(Data!F28="","",Data!F28)</f>
        <v>0</v>
      </c>
      <c r="D37" s="274" t="str">
        <f>IF(Data!H28="","",Data!H28)</f>
        <v>Marlon Dioninsius Lalus</v>
      </c>
      <c r="E37" s="275" t="str">
        <f>IF(Data!I28="","",Data!I28)</f>
        <v>L</v>
      </c>
      <c r="F37" s="276"/>
      <c r="G37" s="277"/>
      <c r="H37" s="277"/>
      <c r="I37" s="277"/>
      <c r="J37" s="277"/>
      <c r="K37" s="277"/>
      <c r="L37" s="277"/>
      <c r="M37" s="280"/>
      <c r="N37" s="277"/>
      <c r="O37" s="278"/>
      <c r="P37" s="279" t="str">
        <f t="shared" si="24"/>
        <v/>
      </c>
      <c r="Q37" s="277"/>
      <c r="R37" s="280"/>
      <c r="S37" s="281" t="str">
        <f t="shared" si="25"/>
        <v/>
      </c>
      <c r="T37" s="295" t="str">
        <f t="shared" si="26"/>
        <v/>
      </c>
      <c r="U37" s="1215" t="str">
        <f t="shared" si="41"/>
        <v/>
      </c>
      <c r="V37" s="1216" t="str">
        <f t="shared" si="41"/>
        <v/>
      </c>
      <c r="W37" s="1216" t="str">
        <f t="shared" si="41"/>
        <v/>
      </c>
      <c r="X37" s="1216" t="str">
        <f t="shared" si="41"/>
        <v/>
      </c>
      <c r="Y37" s="1216" t="str">
        <f t="shared" si="41"/>
        <v/>
      </c>
      <c r="Z37" s="1216" t="str">
        <f t="shared" si="41"/>
        <v/>
      </c>
      <c r="AA37" s="1216" t="str">
        <f t="shared" si="41"/>
        <v/>
      </c>
      <c r="AB37" s="1217" t="str">
        <f t="shared" si="41"/>
        <v/>
      </c>
      <c r="AC37" s="1216" t="str">
        <f t="shared" si="41"/>
        <v/>
      </c>
      <c r="AD37" s="1218" t="str">
        <f t="shared" si="41"/>
        <v/>
      </c>
      <c r="AE37" s="1219">
        <f t="shared" si="27"/>
        <v>0</v>
      </c>
      <c r="AF37" s="282">
        <f t="shared" si="28"/>
        <v>0</v>
      </c>
      <c r="AG37" s="282" t="str">
        <f t="shared" si="29"/>
        <v>perlu dimaksimalkan</v>
      </c>
      <c r="AH37" s="282" t="str">
        <f t="shared" si="29"/>
        <v>perlu dimaksimalkan</v>
      </c>
      <c r="AI37" s="282" t="str">
        <f t="shared" si="30"/>
        <v/>
      </c>
      <c r="AJ37" s="283" t="str">
        <f t="shared" si="31"/>
        <v/>
      </c>
      <c r="AK37" s="284" t="str">
        <f t="shared" si="32"/>
        <v/>
      </c>
      <c r="AL37" s="276"/>
      <c r="AM37" s="277"/>
      <c r="AN37" s="277"/>
      <c r="AO37" s="277"/>
      <c r="AP37" s="277"/>
      <c r="AQ37" s="277"/>
      <c r="AR37" s="277"/>
      <c r="AS37" s="280"/>
      <c r="AT37" s="277"/>
      <c r="AU37" s="278"/>
      <c r="AV37" s="285" t="str">
        <f t="shared" si="33"/>
        <v/>
      </c>
      <c r="AW37" s="296" t="str">
        <f t="shared" si="34"/>
        <v/>
      </c>
      <c r="AX37" s="1220" t="str">
        <f t="shared" si="42"/>
        <v/>
      </c>
      <c r="AY37" s="1221" t="str">
        <f t="shared" si="42"/>
        <v/>
      </c>
      <c r="AZ37" s="1221" t="str">
        <f t="shared" si="42"/>
        <v/>
      </c>
      <c r="BA37" s="1221" t="str">
        <f t="shared" si="42"/>
        <v/>
      </c>
      <c r="BB37" s="1221" t="str">
        <f t="shared" si="42"/>
        <v/>
      </c>
      <c r="BC37" s="1221" t="str">
        <f t="shared" si="42"/>
        <v/>
      </c>
      <c r="BD37" s="1221" t="str">
        <f t="shared" si="42"/>
        <v/>
      </c>
      <c r="BE37" s="1222" t="str">
        <f t="shared" si="42"/>
        <v/>
      </c>
      <c r="BF37" s="1221" t="str">
        <f t="shared" si="42"/>
        <v/>
      </c>
      <c r="BG37" s="1223" t="str">
        <f t="shared" si="42"/>
        <v/>
      </c>
      <c r="BH37" s="286">
        <f t="shared" si="35"/>
        <v>0</v>
      </c>
      <c r="BI37" s="286">
        <f t="shared" si="36"/>
        <v>0</v>
      </c>
      <c r="BJ37" s="287" t="str">
        <f t="shared" si="37"/>
        <v>perlu dimaksimalkan</v>
      </c>
      <c r="BK37" s="287" t="str">
        <f t="shared" si="37"/>
        <v>perlu dimaksimalkan</v>
      </c>
      <c r="BL37" s="286" t="e">
        <f t="shared" si="38"/>
        <v>#N/A</v>
      </c>
      <c r="BM37" s="288" t="e">
        <f t="shared" si="39"/>
        <v>#N/A</v>
      </c>
      <c r="BN37" s="289" t="str">
        <f t="shared" si="40"/>
        <v/>
      </c>
      <c r="BO37" s="67"/>
    </row>
    <row r="38" spans="1:67" ht="33" customHeight="1">
      <c r="A38" s="67"/>
      <c r="B38" s="272">
        <f t="shared" ref="B38:B46" si="43">IF(D38="","",B37+1)</f>
        <v>25</v>
      </c>
      <c r="C38" s="273">
        <f>IF(Data!F29="","",Data!F29)</f>
        <v>0</v>
      </c>
      <c r="D38" s="274" t="str">
        <f>IF(Data!H29="","",Data!H29)</f>
        <v>Maya Trifena Niobe</v>
      </c>
      <c r="E38" s="275" t="str">
        <f>IF(Data!I29="","",Data!I29)</f>
        <v>P</v>
      </c>
      <c r="F38" s="276"/>
      <c r="G38" s="277"/>
      <c r="H38" s="277"/>
      <c r="I38" s="277"/>
      <c r="J38" s="277"/>
      <c r="K38" s="277"/>
      <c r="L38" s="277"/>
      <c r="M38" s="280"/>
      <c r="N38" s="277"/>
      <c r="O38" s="278"/>
      <c r="P38" s="279" t="str">
        <f t="shared" si="24"/>
        <v/>
      </c>
      <c r="Q38" s="277"/>
      <c r="R38" s="280"/>
      <c r="S38" s="281" t="str">
        <f t="shared" si="25"/>
        <v/>
      </c>
      <c r="T38" s="295" t="str">
        <f t="shared" si="26"/>
        <v/>
      </c>
      <c r="U38" s="1215" t="str">
        <f t="shared" si="41"/>
        <v/>
      </c>
      <c r="V38" s="1216" t="str">
        <f t="shared" si="41"/>
        <v/>
      </c>
      <c r="W38" s="1216" t="str">
        <f t="shared" si="41"/>
        <v/>
      </c>
      <c r="X38" s="1216" t="str">
        <f t="shared" si="41"/>
        <v/>
      </c>
      <c r="Y38" s="1216" t="str">
        <f t="shared" si="41"/>
        <v/>
      </c>
      <c r="Z38" s="1216" t="str">
        <f t="shared" si="41"/>
        <v/>
      </c>
      <c r="AA38" s="1216" t="str">
        <f t="shared" si="41"/>
        <v/>
      </c>
      <c r="AB38" s="1217" t="str">
        <f t="shared" si="41"/>
        <v/>
      </c>
      <c r="AC38" s="1216" t="str">
        <f t="shared" si="41"/>
        <v/>
      </c>
      <c r="AD38" s="1218" t="str">
        <f t="shared" si="41"/>
        <v/>
      </c>
      <c r="AE38" s="1219">
        <f t="shared" si="27"/>
        <v>0</v>
      </c>
      <c r="AF38" s="282">
        <f t="shared" si="28"/>
        <v>0</v>
      </c>
      <c r="AG38" s="282" t="str">
        <f t="shared" si="29"/>
        <v>perlu dimaksimalkan</v>
      </c>
      <c r="AH38" s="282" t="str">
        <f t="shared" si="29"/>
        <v>perlu dimaksimalkan</v>
      </c>
      <c r="AI38" s="282" t="str">
        <f t="shared" si="30"/>
        <v/>
      </c>
      <c r="AJ38" s="283" t="str">
        <f t="shared" si="31"/>
        <v/>
      </c>
      <c r="AK38" s="284" t="str">
        <f t="shared" si="32"/>
        <v/>
      </c>
      <c r="AL38" s="276"/>
      <c r="AM38" s="277"/>
      <c r="AN38" s="277"/>
      <c r="AO38" s="277"/>
      <c r="AP38" s="277"/>
      <c r="AQ38" s="277"/>
      <c r="AR38" s="277"/>
      <c r="AS38" s="280"/>
      <c r="AT38" s="277"/>
      <c r="AU38" s="278"/>
      <c r="AV38" s="285" t="str">
        <f t="shared" si="33"/>
        <v/>
      </c>
      <c r="AW38" s="296" t="str">
        <f t="shared" si="34"/>
        <v/>
      </c>
      <c r="AX38" s="1220" t="str">
        <f t="shared" si="42"/>
        <v/>
      </c>
      <c r="AY38" s="1221" t="str">
        <f t="shared" si="42"/>
        <v/>
      </c>
      <c r="AZ38" s="1221" t="str">
        <f t="shared" si="42"/>
        <v/>
      </c>
      <c r="BA38" s="1221" t="str">
        <f t="shared" si="42"/>
        <v/>
      </c>
      <c r="BB38" s="1221" t="str">
        <f t="shared" si="42"/>
        <v/>
      </c>
      <c r="BC38" s="1221" t="str">
        <f t="shared" si="42"/>
        <v/>
      </c>
      <c r="BD38" s="1221" t="str">
        <f t="shared" si="42"/>
        <v/>
      </c>
      <c r="BE38" s="1222" t="str">
        <f t="shared" si="42"/>
        <v/>
      </c>
      <c r="BF38" s="1221" t="str">
        <f t="shared" si="42"/>
        <v/>
      </c>
      <c r="BG38" s="1223" t="str">
        <f t="shared" si="42"/>
        <v/>
      </c>
      <c r="BH38" s="286">
        <f t="shared" si="35"/>
        <v>0</v>
      </c>
      <c r="BI38" s="286">
        <f t="shared" si="36"/>
        <v>0</v>
      </c>
      <c r="BJ38" s="287" t="str">
        <f t="shared" si="37"/>
        <v>perlu dimaksimalkan</v>
      </c>
      <c r="BK38" s="287" t="str">
        <f t="shared" si="37"/>
        <v>perlu dimaksimalkan</v>
      </c>
      <c r="BL38" s="286" t="e">
        <f t="shared" si="38"/>
        <v>#N/A</v>
      </c>
      <c r="BM38" s="288" t="e">
        <f t="shared" si="39"/>
        <v>#N/A</v>
      </c>
      <c r="BN38" s="289" t="str">
        <f t="shared" si="40"/>
        <v/>
      </c>
      <c r="BO38" s="67"/>
    </row>
    <row r="39" spans="1:67" ht="33" customHeight="1">
      <c r="A39" s="67"/>
      <c r="B39" s="272">
        <f t="shared" si="43"/>
        <v>26</v>
      </c>
      <c r="C39" s="273">
        <f>IF(Data!F30="","",Data!F30)</f>
        <v>0</v>
      </c>
      <c r="D39" s="274" t="str">
        <f>IF(Data!H30="","",Data!H30)</f>
        <v>Misel Miranda Sora</v>
      </c>
      <c r="E39" s="275" t="str">
        <f>IF(Data!I30="","",Data!I30)</f>
        <v>P</v>
      </c>
      <c r="F39" s="276"/>
      <c r="G39" s="277"/>
      <c r="H39" s="277"/>
      <c r="I39" s="277"/>
      <c r="J39" s="277"/>
      <c r="K39" s="277"/>
      <c r="L39" s="277"/>
      <c r="M39" s="280"/>
      <c r="N39" s="277"/>
      <c r="O39" s="278"/>
      <c r="P39" s="279" t="str">
        <f t="shared" si="24"/>
        <v/>
      </c>
      <c r="Q39" s="277"/>
      <c r="R39" s="280"/>
      <c r="S39" s="281" t="str">
        <f t="shared" si="25"/>
        <v/>
      </c>
      <c r="T39" s="295" t="str">
        <f t="shared" si="26"/>
        <v/>
      </c>
      <c r="U39" s="1215" t="str">
        <f t="shared" si="41"/>
        <v/>
      </c>
      <c r="V39" s="1216" t="str">
        <f t="shared" si="41"/>
        <v/>
      </c>
      <c r="W39" s="1216" t="str">
        <f t="shared" si="41"/>
        <v/>
      </c>
      <c r="X39" s="1216" t="str">
        <f t="shared" si="41"/>
        <v/>
      </c>
      <c r="Y39" s="1216" t="str">
        <f t="shared" si="41"/>
        <v/>
      </c>
      <c r="Z39" s="1216" t="str">
        <f t="shared" si="41"/>
        <v/>
      </c>
      <c r="AA39" s="1216" t="str">
        <f t="shared" si="41"/>
        <v/>
      </c>
      <c r="AB39" s="1217" t="str">
        <f t="shared" si="41"/>
        <v/>
      </c>
      <c r="AC39" s="1216" t="str">
        <f t="shared" si="41"/>
        <v/>
      </c>
      <c r="AD39" s="1218" t="str">
        <f t="shared" si="41"/>
        <v/>
      </c>
      <c r="AE39" s="1219">
        <f t="shared" si="27"/>
        <v>0</v>
      </c>
      <c r="AF39" s="282">
        <f t="shared" si="28"/>
        <v>0</v>
      </c>
      <c r="AG39" s="282" t="str">
        <f t="shared" si="29"/>
        <v>perlu dimaksimalkan</v>
      </c>
      <c r="AH39" s="282" t="str">
        <f t="shared" si="29"/>
        <v>perlu dimaksimalkan</v>
      </c>
      <c r="AI39" s="282" t="str">
        <f t="shared" si="30"/>
        <v/>
      </c>
      <c r="AJ39" s="283" t="str">
        <f t="shared" si="31"/>
        <v/>
      </c>
      <c r="AK39" s="284" t="str">
        <f t="shared" si="32"/>
        <v/>
      </c>
      <c r="AL39" s="276"/>
      <c r="AM39" s="277"/>
      <c r="AN39" s="277"/>
      <c r="AO39" s="277"/>
      <c r="AP39" s="277"/>
      <c r="AQ39" s="277"/>
      <c r="AR39" s="277"/>
      <c r="AS39" s="280"/>
      <c r="AT39" s="277"/>
      <c r="AU39" s="278"/>
      <c r="AV39" s="285" t="str">
        <f t="shared" si="33"/>
        <v/>
      </c>
      <c r="AW39" s="296" t="str">
        <f t="shared" si="34"/>
        <v/>
      </c>
      <c r="AX39" s="1220" t="str">
        <f t="shared" si="42"/>
        <v/>
      </c>
      <c r="AY39" s="1221" t="str">
        <f t="shared" si="42"/>
        <v/>
      </c>
      <c r="AZ39" s="1221" t="str">
        <f t="shared" si="42"/>
        <v/>
      </c>
      <c r="BA39" s="1221" t="str">
        <f t="shared" si="42"/>
        <v/>
      </c>
      <c r="BB39" s="1221" t="str">
        <f t="shared" si="42"/>
        <v/>
      </c>
      <c r="BC39" s="1221" t="str">
        <f t="shared" si="42"/>
        <v/>
      </c>
      <c r="BD39" s="1221" t="str">
        <f t="shared" si="42"/>
        <v/>
      </c>
      <c r="BE39" s="1222" t="str">
        <f t="shared" si="42"/>
        <v/>
      </c>
      <c r="BF39" s="1221" t="str">
        <f t="shared" si="42"/>
        <v/>
      </c>
      <c r="BG39" s="1223" t="str">
        <f t="shared" si="42"/>
        <v/>
      </c>
      <c r="BH39" s="286">
        <f t="shared" si="35"/>
        <v>0</v>
      </c>
      <c r="BI39" s="286">
        <f t="shared" si="36"/>
        <v>0</v>
      </c>
      <c r="BJ39" s="287" t="str">
        <f t="shared" si="37"/>
        <v>perlu dimaksimalkan</v>
      </c>
      <c r="BK39" s="287" t="str">
        <f t="shared" si="37"/>
        <v>perlu dimaksimalkan</v>
      </c>
      <c r="BL39" s="286" t="e">
        <f t="shared" si="38"/>
        <v>#N/A</v>
      </c>
      <c r="BM39" s="288" t="e">
        <f t="shared" si="39"/>
        <v>#N/A</v>
      </c>
      <c r="BN39" s="289" t="str">
        <f t="shared" si="40"/>
        <v/>
      </c>
      <c r="BO39" s="67"/>
    </row>
    <row r="40" spans="1:67" ht="33" customHeight="1">
      <c r="A40" s="67"/>
      <c r="B40" s="272">
        <f t="shared" si="43"/>
        <v>27</v>
      </c>
      <c r="C40" s="273">
        <f>IF(Data!F31="","",Data!F31)</f>
        <v>0</v>
      </c>
      <c r="D40" s="274" t="str">
        <f>IF(Data!H31="","",Data!H31)</f>
        <v>Nofianti Tainmeta</v>
      </c>
      <c r="E40" s="275" t="str">
        <f>IF(Data!I31="","",Data!I31)</f>
        <v>P</v>
      </c>
      <c r="F40" s="276"/>
      <c r="G40" s="277"/>
      <c r="H40" s="277"/>
      <c r="I40" s="277"/>
      <c r="J40" s="277"/>
      <c r="K40" s="277"/>
      <c r="L40" s="277"/>
      <c r="M40" s="280"/>
      <c r="N40" s="277"/>
      <c r="O40" s="278"/>
      <c r="P40" s="279" t="str">
        <f t="shared" si="24"/>
        <v/>
      </c>
      <c r="Q40" s="277"/>
      <c r="R40" s="280"/>
      <c r="S40" s="281" t="str">
        <f t="shared" si="25"/>
        <v/>
      </c>
      <c r="T40" s="295" t="str">
        <f t="shared" si="26"/>
        <v/>
      </c>
      <c r="U40" s="1215" t="str">
        <f t="shared" si="41"/>
        <v/>
      </c>
      <c r="V40" s="1216" t="str">
        <f t="shared" si="41"/>
        <v/>
      </c>
      <c r="W40" s="1216" t="str">
        <f t="shared" si="41"/>
        <v/>
      </c>
      <c r="X40" s="1216" t="str">
        <f t="shared" si="41"/>
        <v/>
      </c>
      <c r="Y40" s="1216" t="str">
        <f t="shared" si="41"/>
        <v/>
      </c>
      <c r="Z40" s="1216" t="str">
        <f t="shared" si="41"/>
        <v/>
      </c>
      <c r="AA40" s="1216" t="str">
        <f t="shared" si="41"/>
        <v/>
      </c>
      <c r="AB40" s="1217" t="str">
        <f t="shared" si="41"/>
        <v/>
      </c>
      <c r="AC40" s="1216" t="str">
        <f t="shared" si="41"/>
        <v/>
      </c>
      <c r="AD40" s="1218" t="str">
        <f t="shared" si="41"/>
        <v/>
      </c>
      <c r="AE40" s="1219">
        <f t="shared" si="27"/>
        <v>0</v>
      </c>
      <c r="AF40" s="282">
        <f t="shared" si="28"/>
        <v>0</v>
      </c>
      <c r="AG40" s="282" t="str">
        <f t="shared" si="29"/>
        <v>perlu dimaksimalkan</v>
      </c>
      <c r="AH40" s="282" t="str">
        <f t="shared" si="29"/>
        <v>perlu dimaksimalkan</v>
      </c>
      <c r="AI40" s="282" t="str">
        <f t="shared" si="30"/>
        <v/>
      </c>
      <c r="AJ40" s="283" t="str">
        <f t="shared" si="31"/>
        <v/>
      </c>
      <c r="AK40" s="284" t="str">
        <f t="shared" si="32"/>
        <v/>
      </c>
      <c r="AL40" s="276"/>
      <c r="AM40" s="277"/>
      <c r="AN40" s="277"/>
      <c r="AO40" s="277"/>
      <c r="AP40" s="277"/>
      <c r="AQ40" s="277"/>
      <c r="AR40" s="277"/>
      <c r="AS40" s="280"/>
      <c r="AT40" s="277"/>
      <c r="AU40" s="278"/>
      <c r="AV40" s="285" t="str">
        <f t="shared" si="33"/>
        <v/>
      </c>
      <c r="AW40" s="296" t="str">
        <f t="shared" si="34"/>
        <v/>
      </c>
      <c r="AX40" s="1220" t="str">
        <f t="shared" si="42"/>
        <v/>
      </c>
      <c r="AY40" s="1221" t="str">
        <f t="shared" si="42"/>
        <v/>
      </c>
      <c r="AZ40" s="1221" t="str">
        <f t="shared" si="42"/>
        <v/>
      </c>
      <c r="BA40" s="1221" t="str">
        <f t="shared" si="42"/>
        <v/>
      </c>
      <c r="BB40" s="1221" t="str">
        <f t="shared" si="42"/>
        <v/>
      </c>
      <c r="BC40" s="1221" t="str">
        <f t="shared" si="42"/>
        <v/>
      </c>
      <c r="BD40" s="1221" t="str">
        <f t="shared" si="42"/>
        <v/>
      </c>
      <c r="BE40" s="1222" t="str">
        <f t="shared" si="42"/>
        <v/>
      </c>
      <c r="BF40" s="1221" t="str">
        <f t="shared" si="42"/>
        <v/>
      </c>
      <c r="BG40" s="1223" t="str">
        <f t="shared" si="42"/>
        <v/>
      </c>
      <c r="BH40" s="286">
        <f t="shared" si="35"/>
        <v>0</v>
      </c>
      <c r="BI40" s="286">
        <f t="shared" si="36"/>
        <v>0</v>
      </c>
      <c r="BJ40" s="287" t="str">
        <f t="shared" si="37"/>
        <v>perlu dimaksimalkan</v>
      </c>
      <c r="BK40" s="287" t="str">
        <f t="shared" si="37"/>
        <v>perlu dimaksimalkan</v>
      </c>
      <c r="BL40" s="286" t="e">
        <f t="shared" si="38"/>
        <v>#N/A</v>
      </c>
      <c r="BM40" s="288" t="e">
        <f t="shared" si="39"/>
        <v>#N/A</v>
      </c>
      <c r="BN40" s="289" t="str">
        <f t="shared" si="40"/>
        <v/>
      </c>
      <c r="BO40" s="67"/>
    </row>
    <row r="41" spans="1:67" ht="33" customHeight="1">
      <c r="A41" s="67"/>
      <c r="B41" s="272">
        <f t="shared" si="43"/>
        <v>28</v>
      </c>
      <c r="C41" s="273">
        <f>IF(Data!F32="","",Data!F32)</f>
        <v>0</v>
      </c>
      <c r="D41" s="274" t="str">
        <f>IF(Data!H32="","",Data!H32)</f>
        <v>Ofni Antrikus Banun</v>
      </c>
      <c r="E41" s="275" t="str">
        <f>IF(Data!I32="","",Data!I32)</f>
        <v>L</v>
      </c>
      <c r="F41" s="276"/>
      <c r="G41" s="277"/>
      <c r="H41" s="277"/>
      <c r="I41" s="277"/>
      <c r="J41" s="277"/>
      <c r="K41" s="277"/>
      <c r="L41" s="277"/>
      <c r="M41" s="280"/>
      <c r="N41" s="277"/>
      <c r="O41" s="278"/>
      <c r="P41" s="279" t="str">
        <f t="shared" si="24"/>
        <v/>
      </c>
      <c r="Q41" s="277"/>
      <c r="R41" s="280"/>
      <c r="S41" s="281" t="str">
        <f t="shared" si="25"/>
        <v/>
      </c>
      <c r="T41" s="295" t="str">
        <f t="shared" si="26"/>
        <v/>
      </c>
      <c r="U41" s="1215" t="str">
        <f t="shared" si="41"/>
        <v/>
      </c>
      <c r="V41" s="1216" t="str">
        <f t="shared" si="41"/>
        <v/>
      </c>
      <c r="W41" s="1216" t="str">
        <f t="shared" si="41"/>
        <v/>
      </c>
      <c r="X41" s="1216" t="str">
        <f t="shared" si="41"/>
        <v/>
      </c>
      <c r="Y41" s="1216" t="str">
        <f t="shared" si="41"/>
        <v/>
      </c>
      <c r="Z41" s="1216" t="str">
        <f t="shared" si="41"/>
        <v/>
      </c>
      <c r="AA41" s="1216" t="str">
        <f t="shared" si="41"/>
        <v/>
      </c>
      <c r="AB41" s="1217" t="str">
        <f t="shared" si="41"/>
        <v/>
      </c>
      <c r="AC41" s="1216" t="str">
        <f t="shared" si="41"/>
        <v/>
      </c>
      <c r="AD41" s="1218" t="str">
        <f t="shared" si="41"/>
        <v/>
      </c>
      <c r="AE41" s="1219">
        <f t="shared" si="27"/>
        <v>0</v>
      </c>
      <c r="AF41" s="282">
        <f t="shared" si="28"/>
        <v>0</v>
      </c>
      <c r="AG41" s="282" t="str">
        <f t="shared" si="29"/>
        <v>perlu dimaksimalkan</v>
      </c>
      <c r="AH41" s="282" t="str">
        <f t="shared" si="29"/>
        <v>perlu dimaksimalkan</v>
      </c>
      <c r="AI41" s="282" t="str">
        <f t="shared" si="30"/>
        <v/>
      </c>
      <c r="AJ41" s="283" t="str">
        <f t="shared" si="31"/>
        <v/>
      </c>
      <c r="AK41" s="284" t="str">
        <f t="shared" si="32"/>
        <v/>
      </c>
      <c r="AL41" s="276"/>
      <c r="AM41" s="277"/>
      <c r="AN41" s="277"/>
      <c r="AO41" s="277"/>
      <c r="AP41" s="277"/>
      <c r="AQ41" s="277"/>
      <c r="AR41" s="277"/>
      <c r="AS41" s="280"/>
      <c r="AT41" s="277"/>
      <c r="AU41" s="278"/>
      <c r="AV41" s="285" t="str">
        <f t="shared" si="33"/>
        <v/>
      </c>
      <c r="AW41" s="296" t="str">
        <f t="shared" si="34"/>
        <v/>
      </c>
      <c r="AX41" s="1220" t="str">
        <f t="shared" si="42"/>
        <v/>
      </c>
      <c r="AY41" s="1221" t="str">
        <f t="shared" si="42"/>
        <v/>
      </c>
      <c r="AZ41" s="1221" t="str">
        <f t="shared" si="42"/>
        <v/>
      </c>
      <c r="BA41" s="1221" t="str">
        <f t="shared" si="42"/>
        <v/>
      </c>
      <c r="BB41" s="1221" t="str">
        <f t="shared" si="42"/>
        <v/>
      </c>
      <c r="BC41" s="1221" t="str">
        <f t="shared" si="42"/>
        <v/>
      </c>
      <c r="BD41" s="1221" t="str">
        <f t="shared" si="42"/>
        <v/>
      </c>
      <c r="BE41" s="1222" t="str">
        <f t="shared" si="42"/>
        <v/>
      </c>
      <c r="BF41" s="1221" t="str">
        <f t="shared" si="42"/>
        <v/>
      </c>
      <c r="BG41" s="1223" t="str">
        <f t="shared" si="42"/>
        <v/>
      </c>
      <c r="BH41" s="286">
        <f t="shared" si="35"/>
        <v>0</v>
      </c>
      <c r="BI41" s="286">
        <f t="shared" si="36"/>
        <v>0</v>
      </c>
      <c r="BJ41" s="287" t="str">
        <f t="shared" si="37"/>
        <v>perlu dimaksimalkan</v>
      </c>
      <c r="BK41" s="287" t="str">
        <f t="shared" si="37"/>
        <v>perlu dimaksimalkan</v>
      </c>
      <c r="BL41" s="286" t="e">
        <f t="shared" si="38"/>
        <v>#N/A</v>
      </c>
      <c r="BM41" s="288" t="e">
        <f t="shared" si="39"/>
        <v>#N/A</v>
      </c>
      <c r="BN41" s="289" t="str">
        <f t="shared" si="40"/>
        <v/>
      </c>
      <c r="BO41" s="67"/>
    </row>
    <row r="42" spans="1:67" ht="33" customHeight="1">
      <c r="A42" s="67"/>
      <c r="B42" s="272">
        <f t="shared" si="43"/>
        <v>29</v>
      </c>
      <c r="C42" s="273">
        <f>IF(Data!F33="","",Data!F33)</f>
        <v>0</v>
      </c>
      <c r="D42" s="274" t="str">
        <f>IF(Data!H33="","",Data!H33)</f>
        <v>Roiyandi Saebesi</v>
      </c>
      <c r="E42" s="275" t="str">
        <f>IF(Data!I33="","",Data!I33)</f>
        <v>L</v>
      </c>
      <c r="F42" s="276"/>
      <c r="G42" s="277"/>
      <c r="H42" s="277"/>
      <c r="I42" s="277"/>
      <c r="J42" s="277"/>
      <c r="K42" s="277"/>
      <c r="L42" s="277"/>
      <c r="M42" s="280"/>
      <c r="N42" s="277"/>
      <c r="O42" s="278"/>
      <c r="P42" s="279" t="str">
        <f t="shared" si="24"/>
        <v/>
      </c>
      <c r="Q42" s="277"/>
      <c r="R42" s="280"/>
      <c r="S42" s="281" t="str">
        <f t="shared" si="25"/>
        <v/>
      </c>
      <c r="T42" s="295" t="str">
        <f t="shared" si="26"/>
        <v/>
      </c>
      <c r="U42" s="1215" t="str">
        <f t="shared" si="41"/>
        <v/>
      </c>
      <c r="V42" s="1216" t="str">
        <f t="shared" si="41"/>
        <v/>
      </c>
      <c r="W42" s="1216" t="str">
        <f t="shared" si="41"/>
        <v/>
      </c>
      <c r="X42" s="1216" t="str">
        <f t="shared" si="41"/>
        <v/>
      </c>
      <c r="Y42" s="1216" t="str">
        <f t="shared" si="41"/>
        <v/>
      </c>
      <c r="Z42" s="1216" t="str">
        <f t="shared" si="41"/>
        <v/>
      </c>
      <c r="AA42" s="1216" t="str">
        <f t="shared" si="41"/>
        <v/>
      </c>
      <c r="AB42" s="1217" t="str">
        <f t="shared" si="41"/>
        <v/>
      </c>
      <c r="AC42" s="1216" t="str">
        <f t="shared" si="41"/>
        <v/>
      </c>
      <c r="AD42" s="1218" t="str">
        <f t="shared" si="41"/>
        <v/>
      </c>
      <c r="AE42" s="1219">
        <f t="shared" si="27"/>
        <v>0</v>
      </c>
      <c r="AF42" s="282">
        <f t="shared" si="28"/>
        <v>0</v>
      </c>
      <c r="AG42" s="282" t="str">
        <f t="shared" si="29"/>
        <v>perlu dimaksimalkan</v>
      </c>
      <c r="AH42" s="282" t="str">
        <f t="shared" si="29"/>
        <v>perlu dimaksimalkan</v>
      </c>
      <c r="AI42" s="282" t="str">
        <f t="shared" si="30"/>
        <v/>
      </c>
      <c r="AJ42" s="283" t="str">
        <f t="shared" si="31"/>
        <v/>
      </c>
      <c r="AK42" s="284" t="str">
        <f t="shared" si="32"/>
        <v/>
      </c>
      <c r="AL42" s="276"/>
      <c r="AM42" s="277"/>
      <c r="AN42" s="277"/>
      <c r="AO42" s="277"/>
      <c r="AP42" s="277"/>
      <c r="AQ42" s="277"/>
      <c r="AR42" s="277"/>
      <c r="AS42" s="280"/>
      <c r="AT42" s="277"/>
      <c r="AU42" s="278"/>
      <c r="AV42" s="285" t="str">
        <f t="shared" si="33"/>
        <v/>
      </c>
      <c r="AW42" s="296" t="str">
        <f t="shared" si="34"/>
        <v/>
      </c>
      <c r="AX42" s="1220" t="str">
        <f t="shared" si="42"/>
        <v/>
      </c>
      <c r="AY42" s="1221" t="str">
        <f t="shared" si="42"/>
        <v/>
      </c>
      <c r="AZ42" s="1221" t="str">
        <f t="shared" si="42"/>
        <v/>
      </c>
      <c r="BA42" s="1221" t="str">
        <f t="shared" si="42"/>
        <v/>
      </c>
      <c r="BB42" s="1221" t="str">
        <f t="shared" si="42"/>
        <v/>
      </c>
      <c r="BC42" s="1221" t="str">
        <f t="shared" si="42"/>
        <v/>
      </c>
      <c r="BD42" s="1221" t="str">
        <f t="shared" si="42"/>
        <v/>
      </c>
      <c r="BE42" s="1222" t="str">
        <f t="shared" si="42"/>
        <v/>
      </c>
      <c r="BF42" s="1221" t="str">
        <f t="shared" si="42"/>
        <v/>
      </c>
      <c r="BG42" s="1223" t="str">
        <f t="shared" si="42"/>
        <v/>
      </c>
      <c r="BH42" s="286">
        <f t="shared" si="35"/>
        <v>0</v>
      </c>
      <c r="BI42" s="286">
        <f t="shared" si="36"/>
        <v>0</v>
      </c>
      <c r="BJ42" s="287" t="str">
        <f t="shared" si="37"/>
        <v>perlu dimaksimalkan</v>
      </c>
      <c r="BK42" s="287" t="str">
        <f t="shared" si="37"/>
        <v>perlu dimaksimalkan</v>
      </c>
      <c r="BL42" s="286" t="e">
        <f t="shared" si="38"/>
        <v>#N/A</v>
      </c>
      <c r="BM42" s="288" t="e">
        <f t="shared" si="39"/>
        <v>#N/A</v>
      </c>
      <c r="BN42" s="289" t="str">
        <f t="shared" si="40"/>
        <v/>
      </c>
      <c r="BO42" s="67"/>
    </row>
    <row r="43" spans="1:67" ht="33" customHeight="1">
      <c r="A43" s="67"/>
      <c r="B43" s="272">
        <f t="shared" si="43"/>
        <v>30</v>
      </c>
      <c r="C43" s="273">
        <f>IF(Data!F34="","",Data!F34)</f>
        <v>0</v>
      </c>
      <c r="D43" s="274" t="str">
        <f>IF(Data!H34="","",Data!H34)</f>
        <v>Roni Yohanis Bira</v>
      </c>
      <c r="E43" s="275" t="str">
        <f>IF(Data!I34="","",Data!I34)</f>
        <v>L</v>
      </c>
      <c r="F43" s="276"/>
      <c r="G43" s="277"/>
      <c r="H43" s="277"/>
      <c r="I43" s="277"/>
      <c r="J43" s="277"/>
      <c r="K43" s="277"/>
      <c r="L43" s="277"/>
      <c r="M43" s="280"/>
      <c r="N43" s="277"/>
      <c r="O43" s="278"/>
      <c r="P43" s="279" t="str">
        <f t="shared" si="24"/>
        <v/>
      </c>
      <c r="Q43" s="277"/>
      <c r="R43" s="280"/>
      <c r="S43" s="281" t="str">
        <f t="shared" si="25"/>
        <v/>
      </c>
      <c r="T43" s="295" t="str">
        <f t="shared" si="26"/>
        <v/>
      </c>
      <c r="U43" s="1215" t="str">
        <f t="shared" si="41"/>
        <v/>
      </c>
      <c r="V43" s="1216" t="str">
        <f t="shared" si="41"/>
        <v/>
      </c>
      <c r="W43" s="1216" t="str">
        <f t="shared" si="41"/>
        <v/>
      </c>
      <c r="X43" s="1216" t="str">
        <f t="shared" si="41"/>
        <v/>
      </c>
      <c r="Y43" s="1216" t="str">
        <f t="shared" si="41"/>
        <v/>
      </c>
      <c r="Z43" s="1216" t="str">
        <f t="shared" si="41"/>
        <v/>
      </c>
      <c r="AA43" s="1216" t="str">
        <f t="shared" si="41"/>
        <v/>
      </c>
      <c r="AB43" s="1217" t="str">
        <f t="shared" si="41"/>
        <v/>
      </c>
      <c r="AC43" s="1216" t="str">
        <f t="shared" si="41"/>
        <v/>
      </c>
      <c r="AD43" s="1218" t="str">
        <f t="shared" si="41"/>
        <v/>
      </c>
      <c r="AE43" s="1219">
        <f t="shared" si="27"/>
        <v>0</v>
      </c>
      <c r="AF43" s="282">
        <f t="shared" si="28"/>
        <v>0</v>
      </c>
      <c r="AG43" s="282" t="str">
        <f t="shared" si="29"/>
        <v>perlu dimaksimalkan</v>
      </c>
      <c r="AH43" s="282" t="str">
        <f t="shared" si="29"/>
        <v>perlu dimaksimalkan</v>
      </c>
      <c r="AI43" s="282" t="str">
        <f t="shared" si="30"/>
        <v/>
      </c>
      <c r="AJ43" s="283" t="str">
        <f t="shared" si="31"/>
        <v/>
      </c>
      <c r="AK43" s="284" t="str">
        <f t="shared" si="32"/>
        <v/>
      </c>
      <c r="AL43" s="276"/>
      <c r="AM43" s="277"/>
      <c r="AN43" s="277"/>
      <c r="AO43" s="277"/>
      <c r="AP43" s="277"/>
      <c r="AQ43" s="277"/>
      <c r="AR43" s="277"/>
      <c r="AS43" s="280"/>
      <c r="AT43" s="277"/>
      <c r="AU43" s="278"/>
      <c r="AV43" s="285" t="str">
        <f t="shared" si="33"/>
        <v/>
      </c>
      <c r="AW43" s="296" t="str">
        <f t="shared" si="34"/>
        <v/>
      </c>
      <c r="AX43" s="1220" t="str">
        <f t="shared" si="42"/>
        <v/>
      </c>
      <c r="AY43" s="1221" t="str">
        <f t="shared" si="42"/>
        <v/>
      </c>
      <c r="AZ43" s="1221" t="str">
        <f t="shared" si="42"/>
        <v/>
      </c>
      <c r="BA43" s="1221" t="str">
        <f t="shared" si="42"/>
        <v/>
      </c>
      <c r="BB43" s="1221" t="str">
        <f t="shared" si="42"/>
        <v/>
      </c>
      <c r="BC43" s="1221" t="str">
        <f t="shared" si="42"/>
        <v/>
      </c>
      <c r="BD43" s="1221" t="str">
        <f t="shared" si="42"/>
        <v/>
      </c>
      <c r="BE43" s="1222" t="str">
        <f t="shared" si="42"/>
        <v/>
      </c>
      <c r="BF43" s="1221" t="str">
        <f t="shared" si="42"/>
        <v/>
      </c>
      <c r="BG43" s="1223" t="str">
        <f t="shared" si="42"/>
        <v/>
      </c>
      <c r="BH43" s="286">
        <f t="shared" si="35"/>
        <v>0</v>
      </c>
      <c r="BI43" s="286">
        <f t="shared" si="36"/>
        <v>0</v>
      </c>
      <c r="BJ43" s="287" t="str">
        <f t="shared" si="37"/>
        <v>perlu dimaksimalkan</v>
      </c>
      <c r="BK43" s="287" t="str">
        <f t="shared" si="37"/>
        <v>perlu dimaksimalkan</v>
      </c>
      <c r="BL43" s="286" t="e">
        <f t="shared" si="38"/>
        <v>#N/A</v>
      </c>
      <c r="BM43" s="288" t="e">
        <f t="shared" si="39"/>
        <v>#N/A</v>
      </c>
      <c r="BN43" s="289" t="str">
        <f t="shared" si="40"/>
        <v/>
      </c>
      <c r="BO43" s="67"/>
    </row>
    <row r="44" spans="1:67" ht="33" customHeight="1">
      <c r="A44" s="67"/>
      <c r="B44" s="272">
        <f t="shared" si="43"/>
        <v>31</v>
      </c>
      <c r="C44" s="273">
        <f>IF(Data!F35="","",Data!F35)</f>
        <v>0</v>
      </c>
      <c r="D44" s="274" t="str">
        <f>IF(Data!H35="","",Data!H35)</f>
        <v>Sinta Norliana Funan</v>
      </c>
      <c r="E44" s="275" t="str">
        <f>IF(Data!I35="","",Data!I35)</f>
        <v>P</v>
      </c>
      <c r="F44" s="276"/>
      <c r="G44" s="277"/>
      <c r="H44" s="277"/>
      <c r="I44" s="277"/>
      <c r="J44" s="277"/>
      <c r="K44" s="277"/>
      <c r="L44" s="277"/>
      <c r="M44" s="280"/>
      <c r="N44" s="277"/>
      <c r="O44" s="278"/>
      <c r="P44" s="279" t="str">
        <f t="shared" si="24"/>
        <v/>
      </c>
      <c r="Q44" s="277"/>
      <c r="R44" s="280"/>
      <c r="S44" s="281" t="str">
        <f t="shared" si="25"/>
        <v/>
      </c>
      <c r="T44" s="295" t="str">
        <f t="shared" si="26"/>
        <v/>
      </c>
      <c r="U44" s="1215" t="str">
        <f t="shared" si="41"/>
        <v/>
      </c>
      <c r="V44" s="1216" t="str">
        <f t="shared" si="41"/>
        <v/>
      </c>
      <c r="W44" s="1216" t="str">
        <f t="shared" si="41"/>
        <v/>
      </c>
      <c r="X44" s="1216" t="str">
        <f t="shared" si="41"/>
        <v/>
      </c>
      <c r="Y44" s="1216" t="str">
        <f t="shared" si="41"/>
        <v/>
      </c>
      <c r="Z44" s="1216" t="str">
        <f t="shared" si="41"/>
        <v/>
      </c>
      <c r="AA44" s="1216" t="str">
        <f t="shared" si="41"/>
        <v/>
      </c>
      <c r="AB44" s="1217" t="str">
        <f t="shared" si="41"/>
        <v/>
      </c>
      <c r="AC44" s="1216" t="str">
        <f t="shared" si="41"/>
        <v/>
      </c>
      <c r="AD44" s="1218" t="str">
        <f t="shared" si="41"/>
        <v/>
      </c>
      <c r="AE44" s="1219">
        <f t="shared" si="27"/>
        <v>0</v>
      </c>
      <c r="AF44" s="282">
        <f t="shared" si="28"/>
        <v>0</v>
      </c>
      <c r="AG44" s="282" t="str">
        <f t="shared" si="29"/>
        <v>perlu dimaksimalkan</v>
      </c>
      <c r="AH44" s="282" t="str">
        <f t="shared" si="29"/>
        <v>perlu dimaksimalkan</v>
      </c>
      <c r="AI44" s="282" t="str">
        <f t="shared" si="30"/>
        <v/>
      </c>
      <c r="AJ44" s="283" t="str">
        <f t="shared" si="31"/>
        <v/>
      </c>
      <c r="AK44" s="284" t="str">
        <f t="shared" si="32"/>
        <v/>
      </c>
      <c r="AL44" s="276"/>
      <c r="AM44" s="277"/>
      <c r="AN44" s="277"/>
      <c r="AO44" s="277"/>
      <c r="AP44" s="277"/>
      <c r="AQ44" s="277"/>
      <c r="AR44" s="277"/>
      <c r="AS44" s="280"/>
      <c r="AT44" s="277"/>
      <c r="AU44" s="278"/>
      <c r="AV44" s="285" t="str">
        <f t="shared" si="33"/>
        <v/>
      </c>
      <c r="AW44" s="296" t="str">
        <f t="shared" si="34"/>
        <v/>
      </c>
      <c r="AX44" s="1220" t="str">
        <f t="shared" si="42"/>
        <v/>
      </c>
      <c r="AY44" s="1221" t="str">
        <f t="shared" si="42"/>
        <v/>
      </c>
      <c r="AZ44" s="1221" t="str">
        <f t="shared" si="42"/>
        <v/>
      </c>
      <c r="BA44" s="1221" t="str">
        <f t="shared" si="42"/>
        <v/>
      </c>
      <c r="BB44" s="1221" t="str">
        <f t="shared" si="42"/>
        <v/>
      </c>
      <c r="BC44" s="1221" t="str">
        <f t="shared" si="42"/>
        <v/>
      </c>
      <c r="BD44" s="1221" t="str">
        <f t="shared" si="42"/>
        <v/>
      </c>
      <c r="BE44" s="1222" t="str">
        <f t="shared" si="42"/>
        <v/>
      </c>
      <c r="BF44" s="1221" t="str">
        <f t="shared" si="42"/>
        <v/>
      </c>
      <c r="BG44" s="1223" t="str">
        <f t="shared" si="42"/>
        <v/>
      </c>
      <c r="BH44" s="286">
        <f t="shared" si="35"/>
        <v>0</v>
      </c>
      <c r="BI44" s="286">
        <f t="shared" si="36"/>
        <v>0</v>
      </c>
      <c r="BJ44" s="287" t="str">
        <f t="shared" si="37"/>
        <v>perlu dimaksimalkan</v>
      </c>
      <c r="BK44" s="287" t="str">
        <f t="shared" si="37"/>
        <v>perlu dimaksimalkan</v>
      </c>
      <c r="BL44" s="286" t="e">
        <f t="shared" si="38"/>
        <v>#N/A</v>
      </c>
      <c r="BM44" s="288" t="e">
        <f t="shared" si="39"/>
        <v>#N/A</v>
      </c>
      <c r="BN44" s="289" t="str">
        <f t="shared" si="40"/>
        <v/>
      </c>
      <c r="BO44" s="67"/>
    </row>
    <row r="45" spans="1:67" ht="33" customHeight="1">
      <c r="A45" s="67"/>
      <c r="B45" s="272">
        <f t="shared" si="43"/>
        <v>32</v>
      </c>
      <c r="C45" s="273">
        <f>IF(Data!F36="","",Data!F36)</f>
        <v>0</v>
      </c>
      <c r="D45" s="274" t="str">
        <f>IF(Data!H36="","",Data!H36)</f>
        <v>Stevi Otnial Loemnanu</v>
      </c>
      <c r="E45" s="275" t="str">
        <f>IF(Data!I36="","",Data!I36)</f>
        <v>L</v>
      </c>
      <c r="F45" s="276"/>
      <c r="G45" s="277"/>
      <c r="H45" s="277"/>
      <c r="I45" s="277"/>
      <c r="J45" s="277"/>
      <c r="K45" s="277"/>
      <c r="L45" s="277"/>
      <c r="M45" s="280"/>
      <c r="N45" s="277"/>
      <c r="O45" s="278"/>
      <c r="P45" s="279" t="str">
        <f t="shared" si="24"/>
        <v/>
      </c>
      <c r="Q45" s="277"/>
      <c r="R45" s="280"/>
      <c r="S45" s="281" t="str">
        <f t="shared" si="25"/>
        <v/>
      </c>
      <c r="T45" s="295" t="str">
        <f t="shared" si="26"/>
        <v/>
      </c>
      <c r="U45" s="1215" t="str">
        <f t="shared" si="41"/>
        <v/>
      </c>
      <c r="V45" s="1216" t="str">
        <f t="shared" si="41"/>
        <v/>
      </c>
      <c r="W45" s="1216" t="str">
        <f t="shared" si="41"/>
        <v/>
      </c>
      <c r="X45" s="1216" t="str">
        <f t="shared" si="41"/>
        <v/>
      </c>
      <c r="Y45" s="1216" t="str">
        <f t="shared" si="41"/>
        <v/>
      </c>
      <c r="Z45" s="1216" t="str">
        <f t="shared" si="41"/>
        <v/>
      </c>
      <c r="AA45" s="1216" t="str">
        <f t="shared" si="41"/>
        <v/>
      </c>
      <c r="AB45" s="1217" t="str">
        <f t="shared" si="41"/>
        <v/>
      </c>
      <c r="AC45" s="1216" t="str">
        <f t="shared" si="41"/>
        <v/>
      </c>
      <c r="AD45" s="1218" t="str">
        <f t="shared" si="41"/>
        <v/>
      </c>
      <c r="AE45" s="1219">
        <f t="shared" si="27"/>
        <v>0</v>
      </c>
      <c r="AF45" s="282">
        <f t="shared" si="28"/>
        <v>0</v>
      </c>
      <c r="AG45" s="282" t="str">
        <f t="shared" si="29"/>
        <v>perlu dimaksimalkan</v>
      </c>
      <c r="AH45" s="282" t="str">
        <f t="shared" si="29"/>
        <v>perlu dimaksimalkan</v>
      </c>
      <c r="AI45" s="282" t="str">
        <f t="shared" si="30"/>
        <v/>
      </c>
      <c r="AJ45" s="283" t="str">
        <f t="shared" si="31"/>
        <v/>
      </c>
      <c r="AK45" s="284" t="str">
        <f t="shared" si="32"/>
        <v/>
      </c>
      <c r="AL45" s="276"/>
      <c r="AM45" s="277"/>
      <c r="AN45" s="277"/>
      <c r="AO45" s="277"/>
      <c r="AP45" s="277"/>
      <c r="AQ45" s="277"/>
      <c r="AR45" s="277"/>
      <c r="AS45" s="280"/>
      <c r="AT45" s="277"/>
      <c r="AU45" s="278"/>
      <c r="AV45" s="285" t="str">
        <f t="shared" si="33"/>
        <v/>
      </c>
      <c r="AW45" s="296" t="str">
        <f t="shared" si="34"/>
        <v/>
      </c>
      <c r="AX45" s="1220" t="str">
        <f t="shared" si="42"/>
        <v/>
      </c>
      <c r="AY45" s="1221" t="str">
        <f t="shared" si="42"/>
        <v/>
      </c>
      <c r="AZ45" s="1221" t="str">
        <f t="shared" si="42"/>
        <v/>
      </c>
      <c r="BA45" s="1221" t="str">
        <f t="shared" si="42"/>
        <v/>
      </c>
      <c r="BB45" s="1221" t="str">
        <f t="shared" si="42"/>
        <v/>
      </c>
      <c r="BC45" s="1221" t="str">
        <f t="shared" si="42"/>
        <v/>
      </c>
      <c r="BD45" s="1221" t="str">
        <f t="shared" si="42"/>
        <v/>
      </c>
      <c r="BE45" s="1222" t="str">
        <f t="shared" si="42"/>
        <v/>
      </c>
      <c r="BF45" s="1221" t="str">
        <f t="shared" si="42"/>
        <v/>
      </c>
      <c r="BG45" s="1223" t="str">
        <f t="shared" si="42"/>
        <v/>
      </c>
      <c r="BH45" s="286">
        <f t="shared" si="35"/>
        <v>0</v>
      </c>
      <c r="BI45" s="286">
        <f t="shared" si="36"/>
        <v>0</v>
      </c>
      <c r="BJ45" s="287" t="str">
        <f t="shared" si="37"/>
        <v>perlu dimaksimalkan</v>
      </c>
      <c r="BK45" s="287" t="str">
        <f t="shared" si="37"/>
        <v>perlu dimaksimalkan</v>
      </c>
      <c r="BL45" s="286" t="e">
        <f t="shared" si="38"/>
        <v>#N/A</v>
      </c>
      <c r="BM45" s="288" t="e">
        <f t="shared" si="39"/>
        <v>#N/A</v>
      </c>
      <c r="BN45" s="289" t="str">
        <f t="shared" si="40"/>
        <v/>
      </c>
      <c r="BO45" s="67"/>
    </row>
    <row r="46" spans="1:67" ht="33" customHeight="1">
      <c r="A46" s="67"/>
      <c r="B46" s="272">
        <f t="shared" si="43"/>
        <v>33</v>
      </c>
      <c r="C46" s="273">
        <f>IF(Data!F37="","",Data!F37)</f>
        <v>0</v>
      </c>
      <c r="D46" s="274" t="str">
        <f>IF(Data!H37="","",Data!H37)</f>
        <v>Venciani Sefrianti Sufnera</v>
      </c>
      <c r="E46" s="275" t="str">
        <f>IF(Data!I37="","",Data!I37)</f>
        <v>P</v>
      </c>
      <c r="F46" s="276"/>
      <c r="G46" s="277"/>
      <c r="H46" s="277"/>
      <c r="I46" s="277"/>
      <c r="J46" s="277"/>
      <c r="K46" s="277"/>
      <c r="L46" s="277"/>
      <c r="M46" s="280"/>
      <c r="N46" s="277"/>
      <c r="O46" s="278"/>
      <c r="P46" s="279" t="str">
        <f t="shared" si="24"/>
        <v/>
      </c>
      <c r="Q46" s="277"/>
      <c r="R46" s="280"/>
      <c r="S46" s="281" t="str">
        <f t="shared" si="25"/>
        <v/>
      </c>
      <c r="T46" s="295" t="str">
        <f t="shared" si="26"/>
        <v/>
      </c>
      <c r="U46" s="1215" t="str">
        <f t="shared" si="41"/>
        <v/>
      </c>
      <c r="V46" s="1216" t="str">
        <f t="shared" si="41"/>
        <v/>
      </c>
      <c r="W46" s="1216" t="str">
        <f t="shared" si="41"/>
        <v/>
      </c>
      <c r="X46" s="1216" t="str">
        <f t="shared" si="41"/>
        <v/>
      </c>
      <c r="Y46" s="1216" t="str">
        <f t="shared" si="41"/>
        <v/>
      </c>
      <c r="Z46" s="1216" t="str">
        <f t="shared" si="41"/>
        <v/>
      </c>
      <c r="AA46" s="1216" t="str">
        <f t="shared" si="41"/>
        <v/>
      </c>
      <c r="AB46" s="1217" t="str">
        <f t="shared" si="41"/>
        <v/>
      </c>
      <c r="AC46" s="1216" t="str">
        <f t="shared" si="41"/>
        <v/>
      </c>
      <c r="AD46" s="1218" t="str">
        <f t="shared" si="41"/>
        <v/>
      </c>
      <c r="AE46" s="1219">
        <f t="shared" si="27"/>
        <v>0</v>
      </c>
      <c r="AF46" s="282">
        <f t="shared" si="28"/>
        <v>0</v>
      </c>
      <c r="AG46" s="282" t="str">
        <f t="shared" si="29"/>
        <v>perlu dimaksimalkan</v>
      </c>
      <c r="AH46" s="282" t="str">
        <f t="shared" si="29"/>
        <v>perlu dimaksimalkan</v>
      </c>
      <c r="AI46" s="282" t="str">
        <f t="shared" si="30"/>
        <v/>
      </c>
      <c r="AJ46" s="283" t="str">
        <f t="shared" si="31"/>
        <v/>
      </c>
      <c r="AK46" s="284" t="str">
        <f t="shared" si="32"/>
        <v/>
      </c>
      <c r="AL46" s="276"/>
      <c r="AM46" s="277"/>
      <c r="AN46" s="277"/>
      <c r="AO46" s="277"/>
      <c r="AP46" s="277"/>
      <c r="AQ46" s="277"/>
      <c r="AR46" s="277"/>
      <c r="AS46" s="280"/>
      <c r="AT46" s="277"/>
      <c r="AU46" s="278"/>
      <c r="AV46" s="285" t="str">
        <f t="shared" si="33"/>
        <v/>
      </c>
      <c r="AW46" s="296" t="str">
        <f t="shared" si="34"/>
        <v/>
      </c>
      <c r="AX46" s="1220" t="str">
        <f t="shared" si="42"/>
        <v/>
      </c>
      <c r="AY46" s="1221" t="str">
        <f t="shared" si="42"/>
        <v/>
      </c>
      <c r="AZ46" s="1221" t="str">
        <f t="shared" si="42"/>
        <v/>
      </c>
      <c r="BA46" s="1221" t="str">
        <f t="shared" si="42"/>
        <v/>
      </c>
      <c r="BB46" s="1221" t="str">
        <f t="shared" si="42"/>
        <v/>
      </c>
      <c r="BC46" s="1221" t="str">
        <f t="shared" si="42"/>
        <v/>
      </c>
      <c r="BD46" s="1221" t="str">
        <f t="shared" si="42"/>
        <v/>
      </c>
      <c r="BE46" s="1222" t="str">
        <f t="shared" si="42"/>
        <v/>
      </c>
      <c r="BF46" s="1221" t="str">
        <f t="shared" si="42"/>
        <v/>
      </c>
      <c r="BG46" s="1223" t="str">
        <f t="shared" si="42"/>
        <v/>
      </c>
      <c r="BH46" s="286">
        <f t="shared" si="35"/>
        <v>0</v>
      </c>
      <c r="BI46" s="286">
        <f t="shared" si="36"/>
        <v>0</v>
      </c>
      <c r="BJ46" s="287" t="str">
        <f t="shared" si="37"/>
        <v>perlu dimaksimalkan</v>
      </c>
      <c r="BK46" s="287" t="str">
        <f t="shared" si="37"/>
        <v>perlu dimaksimalkan</v>
      </c>
      <c r="BL46" s="286" t="e">
        <f t="shared" si="38"/>
        <v>#N/A</v>
      </c>
      <c r="BM46" s="288" t="e">
        <f t="shared" si="39"/>
        <v>#N/A</v>
      </c>
      <c r="BN46" s="289" t="str">
        <f t="shared" si="40"/>
        <v/>
      </c>
      <c r="BO46" s="67"/>
    </row>
    <row r="47" spans="1:67" ht="33" customHeight="1">
      <c r="A47" s="67"/>
      <c r="B47" s="272">
        <f t="shared" ref="B47:B63" si="44">IF(D47="","",B46+1)</f>
        <v>34</v>
      </c>
      <c r="C47" s="273">
        <f>IF(Data!F38="","",Data!F38)</f>
        <v>0</v>
      </c>
      <c r="D47" s="274" t="str">
        <f>IF(Data!H38="","",Data!H38)</f>
        <v>Yangres Nitti</v>
      </c>
      <c r="E47" s="275" t="str">
        <f>IF(Data!I38="","",Data!I38)</f>
        <v>L</v>
      </c>
      <c r="F47" s="276"/>
      <c r="G47" s="277"/>
      <c r="H47" s="277"/>
      <c r="I47" s="277"/>
      <c r="J47" s="277"/>
      <c r="K47" s="277"/>
      <c r="L47" s="277"/>
      <c r="M47" s="280"/>
      <c r="N47" s="277"/>
      <c r="O47" s="278"/>
      <c r="P47" s="279" t="str">
        <f t="shared" si="24"/>
        <v/>
      </c>
      <c r="Q47" s="277"/>
      <c r="R47" s="280"/>
      <c r="S47" s="281" t="str">
        <f t="shared" si="25"/>
        <v/>
      </c>
      <c r="T47" s="295" t="str">
        <f t="shared" si="26"/>
        <v/>
      </c>
      <c r="U47" s="1215" t="str">
        <f t="shared" si="41"/>
        <v/>
      </c>
      <c r="V47" s="1216" t="str">
        <f t="shared" si="41"/>
        <v/>
      </c>
      <c r="W47" s="1216" t="str">
        <f t="shared" si="41"/>
        <v/>
      </c>
      <c r="X47" s="1216" t="str">
        <f t="shared" si="41"/>
        <v/>
      </c>
      <c r="Y47" s="1216" t="str">
        <f t="shared" si="41"/>
        <v/>
      </c>
      <c r="Z47" s="1216" t="str">
        <f t="shared" si="41"/>
        <v/>
      </c>
      <c r="AA47" s="1216" t="str">
        <f t="shared" si="41"/>
        <v/>
      </c>
      <c r="AB47" s="1217" t="str">
        <f t="shared" si="41"/>
        <v/>
      </c>
      <c r="AC47" s="1216" t="str">
        <f t="shared" si="41"/>
        <v/>
      </c>
      <c r="AD47" s="1218" t="str">
        <f t="shared" si="41"/>
        <v/>
      </c>
      <c r="AE47" s="1219">
        <f t="shared" si="27"/>
        <v>0</v>
      </c>
      <c r="AF47" s="282">
        <f t="shared" si="28"/>
        <v>0</v>
      </c>
      <c r="AG47" s="282" t="str">
        <f t="shared" si="29"/>
        <v>perlu dimaksimalkan</v>
      </c>
      <c r="AH47" s="282" t="str">
        <f t="shared" si="29"/>
        <v>perlu dimaksimalkan</v>
      </c>
      <c r="AI47" s="282" t="str">
        <f t="shared" si="30"/>
        <v/>
      </c>
      <c r="AJ47" s="283" t="str">
        <f t="shared" si="31"/>
        <v/>
      </c>
      <c r="AK47" s="284" t="str">
        <f t="shared" si="32"/>
        <v/>
      </c>
      <c r="AL47" s="276"/>
      <c r="AM47" s="277"/>
      <c r="AN47" s="277"/>
      <c r="AO47" s="277"/>
      <c r="AP47" s="277"/>
      <c r="AQ47" s="277"/>
      <c r="AR47" s="277"/>
      <c r="AS47" s="280"/>
      <c r="AT47" s="277"/>
      <c r="AU47" s="278"/>
      <c r="AV47" s="285" t="str">
        <f t="shared" si="33"/>
        <v/>
      </c>
      <c r="AW47" s="296" t="str">
        <f t="shared" si="34"/>
        <v/>
      </c>
      <c r="AX47" s="1220" t="str">
        <f t="shared" si="42"/>
        <v/>
      </c>
      <c r="AY47" s="1221" t="str">
        <f t="shared" si="42"/>
        <v/>
      </c>
      <c r="AZ47" s="1221" t="str">
        <f t="shared" si="42"/>
        <v/>
      </c>
      <c r="BA47" s="1221" t="str">
        <f t="shared" si="42"/>
        <v/>
      </c>
      <c r="BB47" s="1221" t="str">
        <f t="shared" si="42"/>
        <v/>
      </c>
      <c r="BC47" s="1221" t="str">
        <f t="shared" si="42"/>
        <v/>
      </c>
      <c r="BD47" s="1221" t="str">
        <f t="shared" si="42"/>
        <v/>
      </c>
      <c r="BE47" s="1222" t="str">
        <f t="shared" si="42"/>
        <v/>
      </c>
      <c r="BF47" s="1221" t="str">
        <f t="shared" si="42"/>
        <v/>
      </c>
      <c r="BG47" s="1223" t="str">
        <f t="shared" si="42"/>
        <v/>
      </c>
      <c r="BH47" s="286">
        <f t="shared" si="35"/>
        <v>0</v>
      </c>
      <c r="BI47" s="286">
        <f t="shared" si="36"/>
        <v>0</v>
      </c>
      <c r="BJ47" s="287" t="str">
        <f t="shared" si="37"/>
        <v>perlu dimaksimalkan</v>
      </c>
      <c r="BK47" s="287" t="str">
        <f t="shared" si="37"/>
        <v>perlu dimaksimalkan</v>
      </c>
      <c r="BL47" s="286" t="e">
        <f t="shared" si="38"/>
        <v>#N/A</v>
      </c>
      <c r="BM47" s="288" t="e">
        <f t="shared" si="39"/>
        <v>#N/A</v>
      </c>
      <c r="BN47" s="289" t="str">
        <f t="shared" si="40"/>
        <v/>
      </c>
      <c r="BO47" s="67"/>
    </row>
    <row r="48" spans="1:67" ht="33" customHeight="1">
      <c r="A48" s="67"/>
      <c r="B48" s="272">
        <f t="shared" si="44"/>
        <v>35</v>
      </c>
      <c r="C48" s="273">
        <f>IF(Data!F39="","",Data!F39)</f>
        <v>0</v>
      </c>
      <c r="D48" s="274" t="str">
        <f>IF(Data!H39="","",Data!H39)</f>
        <v>Yefta Trianus Mau</v>
      </c>
      <c r="E48" s="275" t="str">
        <f>IF(Data!I39="","",Data!I39)</f>
        <v>L</v>
      </c>
      <c r="F48" s="276"/>
      <c r="G48" s="277"/>
      <c r="H48" s="277"/>
      <c r="I48" s="277"/>
      <c r="J48" s="277"/>
      <c r="K48" s="277"/>
      <c r="L48" s="277"/>
      <c r="M48" s="280"/>
      <c r="N48" s="277"/>
      <c r="O48" s="278"/>
      <c r="P48" s="279" t="str">
        <f t="shared" si="24"/>
        <v/>
      </c>
      <c r="Q48" s="277"/>
      <c r="R48" s="280"/>
      <c r="S48" s="281" t="str">
        <f t="shared" si="25"/>
        <v/>
      </c>
      <c r="T48" s="295" t="str">
        <f t="shared" si="26"/>
        <v/>
      </c>
      <c r="U48" s="1215" t="str">
        <f t="shared" si="41"/>
        <v/>
      </c>
      <c r="V48" s="1216" t="str">
        <f t="shared" si="41"/>
        <v/>
      </c>
      <c r="W48" s="1216" t="str">
        <f t="shared" si="41"/>
        <v/>
      </c>
      <c r="X48" s="1216" t="str">
        <f t="shared" si="41"/>
        <v/>
      </c>
      <c r="Y48" s="1216" t="str">
        <f t="shared" si="41"/>
        <v/>
      </c>
      <c r="Z48" s="1216" t="str">
        <f t="shared" si="41"/>
        <v/>
      </c>
      <c r="AA48" s="1216" t="str">
        <f t="shared" si="41"/>
        <v/>
      </c>
      <c r="AB48" s="1217" t="str">
        <f t="shared" si="41"/>
        <v/>
      </c>
      <c r="AC48" s="1216" t="str">
        <f t="shared" si="41"/>
        <v/>
      </c>
      <c r="AD48" s="1218" t="str">
        <f t="shared" si="41"/>
        <v/>
      </c>
      <c r="AE48" s="1219">
        <f t="shared" si="27"/>
        <v>0</v>
      </c>
      <c r="AF48" s="282">
        <f t="shared" si="28"/>
        <v>0</v>
      </c>
      <c r="AG48" s="282" t="str">
        <f t="shared" si="29"/>
        <v>perlu dimaksimalkan</v>
      </c>
      <c r="AH48" s="282" t="str">
        <f t="shared" si="29"/>
        <v>perlu dimaksimalkan</v>
      </c>
      <c r="AI48" s="282" t="str">
        <f t="shared" si="30"/>
        <v/>
      </c>
      <c r="AJ48" s="283" t="str">
        <f t="shared" si="31"/>
        <v/>
      </c>
      <c r="AK48" s="284" t="str">
        <f t="shared" si="32"/>
        <v/>
      </c>
      <c r="AL48" s="276"/>
      <c r="AM48" s="277"/>
      <c r="AN48" s="277"/>
      <c r="AO48" s="277"/>
      <c r="AP48" s="277"/>
      <c r="AQ48" s="277"/>
      <c r="AR48" s="277"/>
      <c r="AS48" s="280"/>
      <c r="AT48" s="277"/>
      <c r="AU48" s="278"/>
      <c r="AV48" s="285" t="str">
        <f t="shared" si="33"/>
        <v/>
      </c>
      <c r="AW48" s="296" t="str">
        <f t="shared" si="34"/>
        <v/>
      </c>
      <c r="AX48" s="1220" t="str">
        <f t="shared" si="42"/>
        <v/>
      </c>
      <c r="AY48" s="1221" t="str">
        <f t="shared" si="42"/>
        <v/>
      </c>
      <c r="AZ48" s="1221" t="str">
        <f t="shared" si="42"/>
        <v/>
      </c>
      <c r="BA48" s="1221" t="str">
        <f t="shared" si="42"/>
        <v/>
      </c>
      <c r="BB48" s="1221" t="str">
        <f t="shared" si="42"/>
        <v/>
      </c>
      <c r="BC48" s="1221" t="str">
        <f t="shared" si="42"/>
        <v/>
      </c>
      <c r="BD48" s="1221" t="str">
        <f t="shared" si="42"/>
        <v/>
      </c>
      <c r="BE48" s="1222" t="str">
        <f t="shared" si="42"/>
        <v/>
      </c>
      <c r="BF48" s="1221" t="str">
        <f t="shared" si="42"/>
        <v/>
      </c>
      <c r="BG48" s="1223" t="str">
        <f t="shared" si="42"/>
        <v/>
      </c>
      <c r="BH48" s="286">
        <f t="shared" si="35"/>
        <v>0</v>
      </c>
      <c r="BI48" s="286">
        <f t="shared" si="36"/>
        <v>0</v>
      </c>
      <c r="BJ48" s="287" t="str">
        <f t="shared" si="37"/>
        <v>perlu dimaksimalkan</v>
      </c>
      <c r="BK48" s="287" t="str">
        <f t="shared" si="37"/>
        <v>perlu dimaksimalkan</v>
      </c>
      <c r="BL48" s="286" t="e">
        <f t="shared" si="38"/>
        <v>#N/A</v>
      </c>
      <c r="BM48" s="288" t="e">
        <f t="shared" si="39"/>
        <v>#N/A</v>
      </c>
      <c r="BN48" s="289" t="str">
        <f t="shared" si="40"/>
        <v/>
      </c>
      <c r="BO48" s="67"/>
    </row>
    <row r="49" spans="1:67" ht="33" customHeight="1">
      <c r="A49" s="67"/>
      <c r="B49" s="272">
        <f t="shared" si="44"/>
        <v>36</v>
      </c>
      <c r="C49" s="273">
        <f>IF(Data!F40="","",Data!F40)</f>
        <v>0</v>
      </c>
      <c r="D49" s="274" t="str">
        <f>IF(Data!H40="","",Data!H40)</f>
        <v>Yuliana Febriyanti Nggeon</v>
      </c>
      <c r="E49" s="275" t="str">
        <f>IF(Data!I40="","",Data!I40)</f>
        <v>P</v>
      </c>
      <c r="F49" s="276"/>
      <c r="G49" s="277"/>
      <c r="H49" s="277"/>
      <c r="I49" s="277"/>
      <c r="J49" s="277"/>
      <c r="K49" s="277"/>
      <c r="L49" s="277"/>
      <c r="M49" s="280"/>
      <c r="N49" s="277"/>
      <c r="O49" s="278"/>
      <c r="P49" s="279" t="str">
        <f t="shared" si="24"/>
        <v/>
      </c>
      <c r="Q49" s="277"/>
      <c r="R49" s="280"/>
      <c r="S49" s="281" t="str">
        <f t="shared" si="25"/>
        <v/>
      </c>
      <c r="T49" s="295" t="str">
        <f t="shared" si="26"/>
        <v/>
      </c>
      <c r="U49" s="1215" t="str">
        <f t="shared" si="41"/>
        <v/>
      </c>
      <c r="V49" s="1216" t="str">
        <f t="shared" si="41"/>
        <v/>
      </c>
      <c r="W49" s="1216" t="str">
        <f t="shared" si="41"/>
        <v/>
      </c>
      <c r="X49" s="1216" t="str">
        <f t="shared" si="41"/>
        <v/>
      </c>
      <c r="Y49" s="1216" t="str">
        <f t="shared" si="41"/>
        <v/>
      </c>
      <c r="Z49" s="1216" t="str">
        <f t="shared" si="41"/>
        <v/>
      </c>
      <c r="AA49" s="1216" t="str">
        <f t="shared" si="41"/>
        <v/>
      </c>
      <c r="AB49" s="1217" t="str">
        <f t="shared" si="41"/>
        <v/>
      </c>
      <c r="AC49" s="1216" t="str">
        <f t="shared" si="41"/>
        <v/>
      </c>
      <c r="AD49" s="1218" t="str">
        <f t="shared" si="41"/>
        <v/>
      </c>
      <c r="AE49" s="1219">
        <f t="shared" si="27"/>
        <v>0</v>
      </c>
      <c r="AF49" s="282">
        <f t="shared" si="28"/>
        <v>0</v>
      </c>
      <c r="AG49" s="282" t="str">
        <f t="shared" si="29"/>
        <v>perlu dimaksimalkan</v>
      </c>
      <c r="AH49" s="282" t="str">
        <f t="shared" si="29"/>
        <v>perlu dimaksimalkan</v>
      </c>
      <c r="AI49" s="282" t="str">
        <f t="shared" si="30"/>
        <v/>
      </c>
      <c r="AJ49" s="283" t="str">
        <f t="shared" si="31"/>
        <v/>
      </c>
      <c r="AK49" s="284" t="str">
        <f t="shared" si="32"/>
        <v/>
      </c>
      <c r="AL49" s="276"/>
      <c r="AM49" s="277"/>
      <c r="AN49" s="277"/>
      <c r="AO49" s="277"/>
      <c r="AP49" s="277"/>
      <c r="AQ49" s="277"/>
      <c r="AR49" s="277"/>
      <c r="AS49" s="280"/>
      <c r="AT49" s="277"/>
      <c r="AU49" s="278"/>
      <c r="AV49" s="285" t="str">
        <f t="shared" si="33"/>
        <v/>
      </c>
      <c r="AW49" s="296" t="str">
        <f t="shared" si="34"/>
        <v/>
      </c>
      <c r="AX49" s="1220" t="str">
        <f t="shared" si="42"/>
        <v/>
      </c>
      <c r="AY49" s="1221" t="str">
        <f t="shared" si="42"/>
        <v/>
      </c>
      <c r="AZ49" s="1221" t="str">
        <f t="shared" si="42"/>
        <v/>
      </c>
      <c r="BA49" s="1221" t="str">
        <f t="shared" si="42"/>
        <v/>
      </c>
      <c r="BB49" s="1221" t="str">
        <f t="shared" si="42"/>
        <v/>
      </c>
      <c r="BC49" s="1221" t="str">
        <f t="shared" si="42"/>
        <v/>
      </c>
      <c r="BD49" s="1221" t="str">
        <f t="shared" si="42"/>
        <v/>
      </c>
      <c r="BE49" s="1222" t="str">
        <f t="shared" si="42"/>
        <v/>
      </c>
      <c r="BF49" s="1221" t="str">
        <f t="shared" si="42"/>
        <v/>
      </c>
      <c r="BG49" s="1223" t="str">
        <f t="shared" si="42"/>
        <v/>
      </c>
      <c r="BH49" s="286">
        <f t="shared" si="35"/>
        <v>0</v>
      </c>
      <c r="BI49" s="286">
        <f t="shared" si="36"/>
        <v>0</v>
      </c>
      <c r="BJ49" s="287" t="str">
        <f t="shared" si="37"/>
        <v>perlu dimaksimalkan</v>
      </c>
      <c r="BK49" s="287" t="str">
        <f t="shared" si="37"/>
        <v>perlu dimaksimalkan</v>
      </c>
      <c r="BL49" s="286" t="e">
        <f t="shared" si="38"/>
        <v>#N/A</v>
      </c>
      <c r="BM49" s="288" t="e">
        <f t="shared" si="39"/>
        <v>#N/A</v>
      </c>
      <c r="BN49" s="289" t="str">
        <f t="shared" si="40"/>
        <v/>
      </c>
      <c r="BO49" s="67"/>
    </row>
    <row r="50" spans="1:67" ht="33" customHeight="1">
      <c r="A50" s="67"/>
      <c r="B50" s="272">
        <f t="shared" si="44"/>
        <v>37</v>
      </c>
      <c r="C50" s="273">
        <f>IF(Data!F41="","",Data!F41)</f>
        <v>0</v>
      </c>
      <c r="D50" s="274" t="str">
        <f>IF(Data!H41="","",Data!H41)</f>
        <v>Yuninda Pono</v>
      </c>
      <c r="E50" s="275" t="str">
        <f>IF(Data!I41="","",Data!I41)</f>
        <v>P</v>
      </c>
      <c r="F50" s="276"/>
      <c r="G50" s="277"/>
      <c r="H50" s="277"/>
      <c r="I50" s="277"/>
      <c r="J50" s="277"/>
      <c r="K50" s="277"/>
      <c r="L50" s="277"/>
      <c r="M50" s="280"/>
      <c r="N50" s="277"/>
      <c r="O50" s="278"/>
      <c r="P50" s="279" t="str">
        <f t="shared" si="24"/>
        <v/>
      </c>
      <c r="Q50" s="277"/>
      <c r="R50" s="280"/>
      <c r="S50" s="281" t="str">
        <f t="shared" si="25"/>
        <v/>
      </c>
      <c r="T50" s="295" t="str">
        <f t="shared" si="26"/>
        <v/>
      </c>
      <c r="U50" s="1215" t="str">
        <f t="shared" si="41"/>
        <v/>
      </c>
      <c r="V50" s="1216" t="str">
        <f t="shared" si="41"/>
        <v/>
      </c>
      <c r="W50" s="1216" t="str">
        <f t="shared" si="41"/>
        <v/>
      </c>
      <c r="X50" s="1216" t="str">
        <f t="shared" si="41"/>
        <v/>
      </c>
      <c r="Y50" s="1216" t="str">
        <f t="shared" si="41"/>
        <v/>
      </c>
      <c r="Z50" s="1216" t="str">
        <f t="shared" si="41"/>
        <v/>
      </c>
      <c r="AA50" s="1216" t="str">
        <f t="shared" si="41"/>
        <v/>
      </c>
      <c r="AB50" s="1217" t="str">
        <f t="shared" si="41"/>
        <v/>
      </c>
      <c r="AC50" s="1216" t="str">
        <f t="shared" si="41"/>
        <v/>
      </c>
      <c r="AD50" s="1218" t="str">
        <f t="shared" si="41"/>
        <v/>
      </c>
      <c r="AE50" s="1219">
        <f t="shared" si="27"/>
        <v>0</v>
      </c>
      <c r="AF50" s="282">
        <f t="shared" si="28"/>
        <v>0</v>
      </c>
      <c r="AG50" s="282" t="str">
        <f t="shared" si="29"/>
        <v>perlu dimaksimalkan</v>
      </c>
      <c r="AH50" s="282" t="str">
        <f t="shared" si="29"/>
        <v>perlu dimaksimalkan</v>
      </c>
      <c r="AI50" s="282" t="str">
        <f t="shared" si="30"/>
        <v/>
      </c>
      <c r="AJ50" s="283" t="str">
        <f t="shared" si="31"/>
        <v/>
      </c>
      <c r="AK50" s="284" t="str">
        <f t="shared" si="32"/>
        <v/>
      </c>
      <c r="AL50" s="276"/>
      <c r="AM50" s="277"/>
      <c r="AN50" s="277"/>
      <c r="AO50" s="277"/>
      <c r="AP50" s="277"/>
      <c r="AQ50" s="277"/>
      <c r="AR50" s="277"/>
      <c r="AS50" s="280"/>
      <c r="AT50" s="277"/>
      <c r="AU50" s="278"/>
      <c r="AV50" s="285" t="str">
        <f t="shared" si="33"/>
        <v/>
      </c>
      <c r="AW50" s="296" t="str">
        <f t="shared" si="34"/>
        <v/>
      </c>
      <c r="AX50" s="1220" t="str">
        <f t="shared" si="42"/>
        <v/>
      </c>
      <c r="AY50" s="1221" t="str">
        <f t="shared" si="42"/>
        <v/>
      </c>
      <c r="AZ50" s="1221" t="str">
        <f t="shared" si="42"/>
        <v/>
      </c>
      <c r="BA50" s="1221" t="str">
        <f t="shared" si="42"/>
        <v/>
      </c>
      <c r="BB50" s="1221" t="str">
        <f t="shared" si="42"/>
        <v/>
      </c>
      <c r="BC50" s="1221" t="str">
        <f t="shared" si="42"/>
        <v/>
      </c>
      <c r="BD50" s="1221" t="str">
        <f t="shared" si="42"/>
        <v/>
      </c>
      <c r="BE50" s="1222" t="str">
        <f t="shared" si="42"/>
        <v/>
      </c>
      <c r="BF50" s="1221" t="str">
        <f t="shared" si="42"/>
        <v/>
      </c>
      <c r="BG50" s="1223" t="str">
        <f t="shared" si="42"/>
        <v/>
      </c>
      <c r="BH50" s="286">
        <f t="shared" si="35"/>
        <v>0</v>
      </c>
      <c r="BI50" s="286">
        <f t="shared" si="36"/>
        <v>0</v>
      </c>
      <c r="BJ50" s="287" t="str">
        <f t="shared" si="37"/>
        <v>perlu dimaksimalkan</v>
      </c>
      <c r="BK50" s="287" t="str">
        <f t="shared" si="37"/>
        <v>perlu dimaksimalkan</v>
      </c>
      <c r="BL50" s="286" t="e">
        <f t="shared" si="38"/>
        <v>#N/A</v>
      </c>
      <c r="BM50" s="288" t="e">
        <f t="shared" si="39"/>
        <v>#N/A</v>
      </c>
      <c r="BN50" s="289" t="str">
        <f t="shared" si="40"/>
        <v/>
      </c>
      <c r="BO50" s="67"/>
    </row>
    <row r="51" spans="1:67" ht="33" customHeight="1">
      <c r="A51" s="67"/>
      <c r="B51" s="272" t="str">
        <f t="shared" si="44"/>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44"/>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44"/>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44"/>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44"/>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5">IF(K55="","",K55+Z$13)</f>
        <v/>
      </c>
      <c r="AA55" s="1216" t="str">
        <f t="shared" si="45"/>
        <v/>
      </c>
      <c r="AB55" s="1217" t="str">
        <f t="shared" si="45"/>
        <v/>
      </c>
      <c r="AC55" s="1216" t="str">
        <f t="shared" si="45"/>
        <v/>
      </c>
      <c r="AD55" s="1218" t="str">
        <f t="shared" si="45"/>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6">IF(AQ55="","",AQ55+BC$12)</f>
        <v/>
      </c>
      <c r="BD55" s="1221" t="str">
        <f t="shared" si="46"/>
        <v/>
      </c>
      <c r="BE55" s="1222" t="str">
        <f t="shared" si="46"/>
        <v/>
      </c>
      <c r="BF55" s="1221" t="str">
        <f t="shared" si="46"/>
        <v/>
      </c>
      <c r="BG55" s="1223" t="str">
        <f t="shared" si="46"/>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44"/>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7">IF(F56="","",F56+U$13)</f>
        <v/>
      </c>
      <c r="V56" s="1216" t="str">
        <f t="shared" si="47"/>
        <v/>
      </c>
      <c r="W56" s="1216" t="str">
        <f t="shared" si="47"/>
        <v/>
      </c>
      <c r="X56" s="1216" t="str">
        <f t="shared" si="47"/>
        <v/>
      </c>
      <c r="Y56" s="1216" t="str">
        <f t="shared" si="47"/>
        <v/>
      </c>
      <c r="Z56" s="1216" t="str">
        <f t="shared" si="45"/>
        <v/>
      </c>
      <c r="AA56" s="1216" t="str">
        <f t="shared" si="45"/>
        <v/>
      </c>
      <c r="AB56" s="1217" t="str">
        <f t="shared" si="45"/>
        <v/>
      </c>
      <c r="AC56" s="1216" t="str">
        <f t="shared" si="45"/>
        <v/>
      </c>
      <c r="AD56" s="1218" t="str">
        <f t="shared" si="45"/>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8">IF(AL56="","",AL56+AX$12)</f>
        <v/>
      </c>
      <c r="AY56" s="1221" t="str">
        <f t="shared" si="48"/>
        <v/>
      </c>
      <c r="AZ56" s="1221" t="str">
        <f t="shared" si="48"/>
        <v/>
      </c>
      <c r="BA56" s="1221" t="str">
        <f t="shared" si="48"/>
        <v/>
      </c>
      <c r="BB56" s="1221" t="str">
        <f t="shared" si="48"/>
        <v/>
      </c>
      <c r="BC56" s="1221" t="str">
        <f t="shared" si="46"/>
        <v/>
      </c>
      <c r="BD56" s="1221" t="str">
        <f t="shared" si="46"/>
        <v/>
      </c>
      <c r="BE56" s="1222" t="str">
        <f t="shared" si="46"/>
        <v/>
      </c>
      <c r="BF56" s="1221" t="str">
        <f t="shared" si="46"/>
        <v/>
      </c>
      <c r="BG56" s="1223" t="str">
        <f t="shared" si="46"/>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44"/>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7"/>
        <v/>
      </c>
      <c r="V57" s="1216" t="str">
        <f t="shared" si="47"/>
        <v/>
      </c>
      <c r="W57" s="1216" t="str">
        <f t="shared" si="47"/>
        <v/>
      </c>
      <c r="X57" s="1216" t="str">
        <f t="shared" si="47"/>
        <v/>
      </c>
      <c r="Y57" s="1216" t="str">
        <f t="shared" si="47"/>
        <v/>
      </c>
      <c r="Z57" s="1216" t="str">
        <f t="shared" si="45"/>
        <v/>
      </c>
      <c r="AA57" s="1216" t="str">
        <f t="shared" si="45"/>
        <v/>
      </c>
      <c r="AB57" s="1217" t="str">
        <f t="shared" si="45"/>
        <v/>
      </c>
      <c r="AC57" s="1216" t="str">
        <f t="shared" si="45"/>
        <v/>
      </c>
      <c r="AD57" s="1218" t="str">
        <f t="shared" si="45"/>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8"/>
        <v/>
      </c>
      <c r="AY57" s="1221" t="str">
        <f t="shared" si="48"/>
        <v/>
      </c>
      <c r="AZ57" s="1221" t="str">
        <f t="shared" si="48"/>
        <v/>
      </c>
      <c r="BA57" s="1221" t="str">
        <f t="shared" si="48"/>
        <v/>
      </c>
      <c r="BB57" s="1221" t="str">
        <f t="shared" si="48"/>
        <v/>
      </c>
      <c r="BC57" s="1221" t="str">
        <f t="shared" si="46"/>
        <v/>
      </c>
      <c r="BD57" s="1221" t="str">
        <f t="shared" si="46"/>
        <v/>
      </c>
      <c r="BE57" s="1222" t="str">
        <f t="shared" si="46"/>
        <v/>
      </c>
      <c r="BF57" s="1221" t="str">
        <f t="shared" si="46"/>
        <v/>
      </c>
      <c r="BG57" s="1223" t="str">
        <f t="shared" si="46"/>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44"/>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7"/>
        <v/>
      </c>
      <c r="V58" s="1216" t="str">
        <f t="shared" si="47"/>
        <v/>
      </c>
      <c r="W58" s="1216" t="str">
        <f t="shared" si="47"/>
        <v/>
      </c>
      <c r="X58" s="1216" t="str">
        <f t="shared" si="47"/>
        <v/>
      </c>
      <c r="Y58" s="1216" t="str">
        <f t="shared" si="47"/>
        <v/>
      </c>
      <c r="Z58" s="1216" t="str">
        <f t="shared" si="45"/>
        <v/>
      </c>
      <c r="AA58" s="1216" t="str">
        <f t="shared" si="45"/>
        <v/>
      </c>
      <c r="AB58" s="1217" t="str">
        <f t="shared" si="45"/>
        <v/>
      </c>
      <c r="AC58" s="1216" t="str">
        <f t="shared" si="45"/>
        <v/>
      </c>
      <c r="AD58" s="1218" t="str">
        <f t="shared" si="45"/>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8"/>
        <v/>
      </c>
      <c r="AY58" s="1221" t="str">
        <f t="shared" si="48"/>
        <v/>
      </c>
      <c r="AZ58" s="1221" t="str">
        <f t="shared" si="48"/>
        <v/>
      </c>
      <c r="BA58" s="1221" t="str">
        <f t="shared" si="48"/>
        <v/>
      </c>
      <c r="BB58" s="1221" t="str">
        <f t="shared" si="48"/>
        <v/>
      </c>
      <c r="BC58" s="1221" t="str">
        <f t="shared" si="46"/>
        <v/>
      </c>
      <c r="BD58" s="1221" t="str">
        <f t="shared" si="46"/>
        <v/>
      </c>
      <c r="BE58" s="1222" t="str">
        <f t="shared" si="46"/>
        <v/>
      </c>
      <c r="BF58" s="1221" t="str">
        <f t="shared" si="46"/>
        <v/>
      </c>
      <c r="BG58" s="1223" t="str">
        <f t="shared" si="46"/>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44"/>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7"/>
        <v/>
      </c>
      <c r="V59" s="1216" t="str">
        <f t="shared" si="47"/>
        <v/>
      </c>
      <c r="W59" s="1216" t="str">
        <f t="shared" si="47"/>
        <v/>
      </c>
      <c r="X59" s="1216" t="str">
        <f t="shared" si="47"/>
        <v/>
      </c>
      <c r="Y59" s="1216" t="str">
        <f t="shared" si="47"/>
        <v/>
      </c>
      <c r="Z59" s="1216" t="str">
        <f t="shared" si="45"/>
        <v/>
      </c>
      <c r="AA59" s="1216" t="str">
        <f t="shared" si="45"/>
        <v/>
      </c>
      <c r="AB59" s="1217" t="str">
        <f t="shared" si="45"/>
        <v/>
      </c>
      <c r="AC59" s="1216" t="str">
        <f t="shared" si="45"/>
        <v/>
      </c>
      <c r="AD59" s="1218" t="str">
        <f t="shared" si="45"/>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8"/>
        <v/>
      </c>
      <c r="AY59" s="1221" t="str">
        <f t="shared" si="48"/>
        <v/>
      </c>
      <c r="AZ59" s="1221" t="str">
        <f t="shared" si="48"/>
        <v/>
      </c>
      <c r="BA59" s="1221" t="str">
        <f t="shared" si="48"/>
        <v/>
      </c>
      <c r="BB59" s="1221" t="str">
        <f t="shared" si="48"/>
        <v/>
      </c>
      <c r="BC59" s="1221" t="str">
        <f t="shared" si="46"/>
        <v/>
      </c>
      <c r="BD59" s="1221" t="str">
        <f t="shared" si="46"/>
        <v/>
      </c>
      <c r="BE59" s="1222" t="str">
        <f t="shared" si="46"/>
        <v/>
      </c>
      <c r="BF59" s="1221" t="str">
        <f t="shared" si="46"/>
        <v/>
      </c>
      <c r="BG59" s="1223" t="str">
        <f t="shared" si="46"/>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44"/>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7"/>
        <v/>
      </c>
      <c r="V60" s="1216" t="str">
        <f t="shared" si="47"/>
        <v/>
      </c>
      <c r="W60" s="1216" t="str">
        <f t="shared" si="47"/>
        <v/>
      </c>
      <c r="X60" s="1216" t="str">
        <f t="shared" si="47"/>
        <v/>
      </c>
      <c r="Y60" s="1216" t="str">
        <f t="shared" si="47"/>
        <v/>
      </c>
      <c r="Z60" s="1216" t="str">
        <f t="shared" si="45"/>
        <v/>
      </c>
      <c r="AA60" s="1216" t="str">
        <f t="shared" si="45"/>
        <v/>
      </c>
      <c r="AB60" s="1217" t="str">
        <f t="shared" si="45"/>
        <v/>
      </c>
      <c r="AC60" s="1216" t="str">
        <f t="shared" si="45"/>
        <v/>
      </c>
      <c r="AD60" s="1218" t="str">
        <f t="shared" si="45"/>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8"/>
        <v/>
      </c>
      <c r="AY60" s="1221" t="str">
        <f t="shared" si="48"/>
        <v/>
      </c>
      <c r="AZ60" s="1221" t="str">
        <f t="shared" si="48"/>
        <v/>
      </c>
      <c r="BA60" s="1221" t="str">
        <f t="shared" si="48"/>
        <v/>
      </c>
      <c r="BB60" s="1221" t="str">
        <f t="shared" si="48"/>
        <v/>
      </c>
      <c r="BC60" s="1221" t="str">
        <f t="shared" si="46"/>
        <v/>
      </c>
      <c r="BD60" s="1221" t="str">
        <f t="shared" si="46"/>
        <v/>
      </c>
      <c r="BE60" s="1222" t="str">
        <f t="shared" si="46"/>
        <v/>
      </c>
      <c r="BF60" s="1221" t="str">
        <f t="shared" si="46"/>
        <v/>
      </c>
      <c r="BG60" s="1223" t="str">
        <f t="shared" si="46"/>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44"/>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7"/>
        <v/>
      </c>
      <c r="V61" s="1216" t="str">
        <f t="shared" si="47"/>
        <v/>
      </c>
      <c r="W61" s="1216" t="str">
        <f t="shared" si="47"/>
        <v/>
      </c>
      <c r="X61" s="1216" t="str">
        <f t="shared" si="47"/>
        <v/>
      </c>
      <c r="Y61" s="1216" t="str">
        <f t="shared" si="47"/>
        <v/>
      </c>
      <c r="Z61" s="1216" t="str">
        <f t="shared" si="45"/>
        <v/>
      </c>
      <c r="AA61" s="1216" t="str">
        <f t="shared" si="45"/>
        <v/>
      </c>
      <c r="AB61" s="1217" t="str">
        <f t="shared" si="45"/>
        <v/>
      </c>
      <c r="AC61" s="1216" t="str">
        <f t="shared" si="45"/>
        <v/>
      </c>
      <c r="AD61" s="1218" t="str">
        <f t="shared" si="45"/>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8"/>
        <v/>
      </c>
      <c r="AY61" s="1221" t="str">
        <f t="shared" si="48"/>
        <v/>
      </c>
      <c r="AZ61" s="1221" t="str">
        <f t="shared" si="48"/>
        <v/>
      </c>
      <c r="BA61" s="1221" t="str">
        <f t="shared" si="48"/>
        <v/>
      </c>
      <c r="BB61" s="1221" t="str">
        <f t="shared" si="48"/>
        <v/>
      </c>
      <c r="BC61" s="1221" t="str">
        <f t="shared" si="46"/>
        <v/>
      </c>
      <c r="BD61" s="1221" t="str">
        <f t="shared" si="46"/>
        <v/>
      </c>
      <c r="BE61" s="1222" t="str">
        <f t="shared" si="46"/>
        <v/>
      </c>
      <c r="BF61" s="1221" t="str">
        <f t="shared" si="46"/>
        <v/>
      </c>
      <c r="BG61" s="1223" t="str">
        <f t="shared" si="46"/>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44"/>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7"/>
        <v/>
      </c>
      <c r="V62" s="1216" t="str">
        <f t="shared" si="47"/>
        <v/>
      </c>
      <c r="W62" s="1216" t="str">
        <f t="shared" si="47"/>
        <v/>
      </c>
      <c r="X62" s="1216" t="str">
        <f t="shared" si="47"/>
        <v/>
      </c>
      <c r="Y62" s="1216" t="str">
        <f t="shared" si="47"/>
        <v/>
      </c>
      <c r="Z62" s="1216" t="str">
        <f t="shared" si="45"/>
        <v/>
      </c>
      <c r="AA62" s="1216" t="str">
        <f t="shared" si="45"/>
        <v/>
      </c>
      <c r="AB62" s="1217" t="str">
        <f t="shared" si="45"/>
        <v/>
      </c>
      <c r="AC62" s="1216" t="str">
        <f t="shared" si="45"/>
        <v/>
      </c>
      <c r="AD62" s="1218" t="str">
        <f t="shared" si="45"/>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8"/>
        <v/>
      </c>
      <c r="AY62" s="1221" t="str">
        <f t="shared" si="48"/>
        <v/>
      </c>
      <c r="AZ62" s="1221" t="str">
        <f t="shared" si="48"/>
        <v/>
      </c>
      <c r="BA62" s="1221" t="str">
        <f t="shared" si="48"/>
        <v/>
      </c>
      <c r="BB62" s="1221" t="str">
        <f t="shared" si="48"/>
        <v/>
      </c>
      <c r="BC62" s="1221" t="str">
        <f t="shared" si="46"/>
        <v/>
      </c>
      <c r="BD62" s="1221" t="str">
        <f t="shared" si="46"/>
        <v/>
      </c>
      <c r="BE62" s="1222" t="str">
        <f t="shared" si="46"/>
        <v/>
      </c>
      <c r="BF62" s="1221" t="str">
        <f t="shared" si="46"/>
        <v/>
      </c>
      <c r="BG62" s="1223" t="str">
        <f t="shared" si="46"/>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44"/>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7"/>
        <v/>
      </c>
      <c r="V63" s="1216" t="str">
        <f t="shared" si="47"/>
        <v/>
      </c>
      <c r="W63" s="1216" t="str">
        <f t="shared" si="47"/>
        <v/>
      </c>
      <c r="X63" s="1216" t="str">
        <f t="shared" si="47"/>
        <v/>
      </c>
      <c r="Y63" s="1216" t="str">
        <f t="shared" si="47"/>
        <v/>
      </c>
      <c r="Z63" s="1216" t="str">
        <f t="shared" si="45"/>
        <v/>
      </c>
      <c r="AA63" s="1216" t="str">
        <f t="shared" si="45"/>
        <v/>
      </c>
      <c r="AB63" s="1217" t="str">
        <f t="shared" si="45"/>
        <v/>
      </c>
      <c r="AC63" s="1216" t="str">
        <f t="shared" si="45"/>
        <v/>
      </c>
      <c r="AD63" s="1218" t="str">
        <f t="shared" si="45"/>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8"/>
        <v/>
      </c>
      <c r="AY63" s="1221" t="str">
        <f t="shared" si="48"/>
        <v/>
      </c>
      <c r="AZ63" s="1221" t="str">
        <f t="shared" si="48"/>
        <v/>
      </c>
      <c r="BA63" s="1221" t="str">
        <f t="shared" si="48"/>
        <v/>
      </c>
      <c r="BB63" s="1221" t="str">
        <f t="shared" si="48"/>
        <v/>
      </c>
      <c r="BC63" s="1221" t="str">
        <f t="shared" si="46"/>
        <v/>
      </c>
      <c r="BD63" s="1221" t="str">
        <f t="shared" si="46"/>
        <v/>
      </c>
      <c r="BE63" s="1222" t="str">
        <f t="shared" si="46"/>
        <v/>
      </c>
      <c r="BF63" s="1221" t="str">
        <f t="shared" si="46"/>
        <v/>
      </c>
      <c r="BG63" s="1223" t="str">
        <f t="shared" si="46"/>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ht="12">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9">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9"/>
        <v>85</v>
      </c>
      <c r="AM69" s="349" t="s">
        <v>5</v>
      </c>
      <c r="AN69" s="347">
        <f t="shared" ref="AN69" si="50">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Data2!G8</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51">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2">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3">F76</f>
        <v>85</v>
      </c>
      <c r="AM76" s="7" t="s">
        <v>5</v>
      </c>
      <c r="AN76" s="9">
        <f t="shared" si="53"/>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3"/>
        <v>76</v>
      </c>
      <c r="AM77" s="7" t="s">
        <v>5</v>
      </c>
      <c r="AN77" s="9">
        <f t="shared" si="53"/>
        <v>84.5</v>
      </c>
      <c r="AO77" s="1357" t="str">
        <f t="shared" ref="AO77:AO78" si="54">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3"/>
        <v>0</v>
      </c>
      <c r="AM78" s="7" t="s">
        <v>5</v>
      </c>
      <c r="AN78" s="9">
        <f t="shared" si="53"/>
        <v>75.5</v>
      </c>
      <c r="AO78" s="1357" t="str">
        <f t="shared" si="54"/>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75" hidden="1" customHeight="1">
      <c r="C84" s="2"/>
      <c r="AL84" s="10"/>
      <c r="AM84" s="8"/>
      <c r="AN84" s="10"/>
      <c r="AO84" s="108"/>
      <c r="AP84" s="108"/>
      <c r="AQ84" s="108"/>
      <c r="AR84" s="1159"/>
      <c r="AS84" s="1159"/>
      <c r="AT84" s="108"/>
      <c r="AU84" s="108"/>
      <c r="AV84" s="111"/>
    </row>
    <row r="85" spans="3:48" ht="12.75" hidden="1" customHeight="1">
      <c r="C85" s="2"/>
      <c r="AL85" s="10"/>
      <c r="AM85" s="8"/>
      <c r="AN85" s="10"/>
      <c r="AO85" s="108"/>
      <c r="AP85" s="108"/>
      <c r="AQ85" s="108"/>
      <c r="AR85" s="1159"/>
      <c r="AS85" s="1159"/>
      <c r="AT85" s="108"/>
      <c r="AU85" s="108"/>
      <c r="AV85" s="111"/>
    </row>
    <row r="86" spans="3:48" ht="12" hidden="1" customHeight="1"/>
    <row r="87" spans="3:48" ht="12" hidden="1" customHeight="1"/>
    <row r="88" spans="3:48" ht="12" hidden="1" customHeight="1"/>
    <row r="89" spans="3:48" ht="12" hidden="1" customHeight="1"/>
    <row r="90" spans="3:48" ht="12" hidden="1" customHeight="1"/>
    <row r="91" spans="3:48" ht="12" hidden="1" customHeight="1"/>
    <row r="92" spans="3:48" ht="12" hidden="1" customHeight="1"/>
    <row r="93" spans="3:48" ht="0" hidden="1" customHeight="1"/>
    <row r="94" spans="3:48" ht="0" hidden="1" customHeight="1"/>
    <row r="95" spans="3:48" ht="0" hidden="1" customHeight="1"/>
    <row r="96" spans="3:48" ht="0" hidden="1" customHeight="1"/>
    <row r="97" ht="0" hidden="1" customHeight="1"/>
  </sheetData>
  <mergeCells count="70">
    <mergeCell ref="B10:C11"/>
    <mergeCell ref="D10:E11"/>
    <mergeCell ref="B1:C2"/>
    <mergeCell ref="D1:E2"/>
    <mergeCell ref="B3:C4"/>
    <mergeCell ref="D3:E6"/>
    <mergeCell ref="B6:C6"/>
    <mergeCell ref="B7:C7"/>
    <mergeCell ref="D7:E9"/>
    <mergeCell ref="B8:C8"/>
    <mergeCell ref="B9:C9"/>
    <mergeCell ref="F3:F6"/>
    <mergeCell ref="G3:R6"/>
    <mergeCell ref="AL4:AL5"/>
    <mergeCell ref="AM4:AU5"/>
    <mergeCell ref="AL6:AL7"/>
    <mergeCell ref="AM6:AU7"/>
    <mergeCell ref="F7:F10"/>
    <mergeCell ref="G7:R10"/>
    <mergeCell ref="AL8:AL11"/>
    <mergeCell ref="AM8:AU11"/>
    <mergeCell ref="G11:R11"/>
    <mergeCell ref="BL13:BM13"/>
    <mergeCell ref="AV12:AV13"/>
    <mergeCell ref="AW12:AW13"/>
    <mergeCell ref="G1:R1"/>
    <mergeCell ref="AM1:AU1"/>
    <mergeCell ref="G2:R2"/>
    <mergeCell ref="AL2:AL3"/>
    <mergeCell ref="AM2:AU3"/>
    <mergeCell ref="BN12:BN13"/>
    <mergeCell ref="B12:B13"/>
    <mergeCell ref="F65:Q65"/>
    <mergeCell ref="AL65:AV65"/>
    <mergeCell ref="I68:Q68"/>
    <mergeCell ref="AO68:AV68"/>
    <mergeCell ref="C12:C13"/>
    <mergeCell ref="D12:D13"/>
    <mergeCell ref="E12:E13"/>
    <mergeCell ref="F12:O12"/>
    <mergeCell ref="T12:T13"/>
    <mergeCell ref="S12:S13"/>
    <mergeCell ref="AK12:AK13"/>
    <mergeCell ref="AG13:AH13"/>
    <mergeCell ref="AI13:AJ13"/>
    <mergeCell ref="BJ13:BK13"/>
    <mergeCell ref="I69:Q69"/>
    <mergeCell ref="AO69:AV69"/>
    <mergeCell ref="F66:Q66"/>
    <mergeCell ref="AL66:AV66"/>
    <mergeCell ref="F67:H67"/>
    <mergeCell ref="I67:Q67"/>
    <mergeCell ref="AL67:AN67"/>
    <mergeCell ref="AO67:AV67"/>
    <mergeCell ref="I70:Q70"/>
    <mergeCell ref="AO70:AV70"/>
    <mergeCell ref="I71:Q71"/>
    <mergeCell ref="AO71:AV71"/>
    <mergeCell ref="F73:Q73"/>
    <mergeCell ref="AL73:AV73"/>
    <mergeCell ref="I76:P76"/>
    <mergeCell ref="AO82:AV82"/>
    <mergeCell ref="AO83:AV83"/>
    <mergeCell ref="I77:P77"/>
    <mergeCell ref="I78:P78"/>
    <mergeCell ref="F74:H74"/>
    <mergeCell ref="I74:Q74"/>
    <mergeCell ref="AL74:AN74"/>
    <mergeCell ref="AO74:AV74"/>
    <mergeCell ref="I75:P75"/>
  </mergeCells>
  <conditionalFormatting sqref="B14:E63">
    <cfRule type="expression" dxfId="5014" priority="356">
      <formula>AND($B14&lt;&gt;"",$B15="")</formula>
    </cfRule>
    <cfRule type="expression" dxfId="5013" priority="357">
      <formula>$B14=""</formula>
    </cfRule>
  </conditionalFormatting>
  <conditionalFormatting sqref="B56:E56">
    <cfRule type="expression" dxfId="5012" priority="763">
      <formula>AND($B56&lt;&gt;"",$B63="")</formula>
    </cfRule>
    <cfRule type="expression" dxfId="5011" priority="764">
      <formula>$B56=""</formula>
    </cfRule>
  </conditionalFormatting>
  <conditionalFormatting sqref="B50:E50">
    <cfRule type="expression" dxfId="5010" priority="881">
      <formula>AND($B50&lt;&gt;"",$B63="")</formula>
    </cfRule>
    <cfRule type="expression" dxfId="5009" priority="882">
      <formula>$B50=""</formula>
    </cfRule>
  </conditionalFormatting>
  <conditionalFormatting sqref="B43:E44">
    <cfRule type="expression" dxfId="5008" priority="1015">
      <formula>AND($B43&lt;&gt;"",$B62="")</formula>
    </cfRule>
    <cfRule type="expression" dxfId="5007" priority="1016">
      <formula>$B43=""</formula>
    </cfRule>
  </conditionalFormatting>
  <conditionalFormatting sqref="B63:E63">
    <cfRule type="expression" dxfId="5006" priority="1699">
      <formula>AND($B63&lt;&gt;"",#REF!="")</formula>
    </cfRule>
    <cfRule type="expression" dxfId="5005" priority="1700">
      <formula>$B63=""</formula>
    </cfRule>
  </conditionalFormatting>
  <conditionalFormatting sqref="B61:E61">
    <cfRule type="expression" dxfId="5004" priority="1753">
      <formula>AND($B61&lt;&gt;"",$B64="")</formula>
    </cfRule>
    <cfRule type="expression" dxfId="5003" priority="1754">
      <formula>$B61=""</formula>
    </cfRule>
  </conditionalFormatting>
  <conditionalFormatting sqref="B57:E60">
    <cfRule type="expression" dxfId="5002" priority="1755">
      <formula>AND($B57&lt;&gt;"",#REF!="")</formula>
    </cfRule>
    <cfRule type="expression" dxfId="5001" priority="1756">
      <formula>$B57=""</formula>
    </cfRule>
  </conditionalFormatting>
  <conditionalFormatting sqref="B55:E55">
    <cfRule type="expression" dxfId="5000" priority="1759">
      <formula>AND($B55&lt;&gt;"",$B64="")</formula>
    </cfRule>
    <cfRule type="expression" dxfId="4999" priority="1760">
      <formula>$B55=""</formula>
    </cfRule>
  </conditionalFormatting>
  <conditionalFormatting sqref="B51:E54">
    <cfRule type="expression" dxfId="4998" priority="1761">
      <formula>AND($B51&lt;&gt;"",#REF!="")</formula>
    </cfRule>
    <cfRule type="expression" dxfId="4997" priority="1762">
      <formula>$B51=""</formula>
    </cfRule>
  </conditionalFormatting>
  <conditionalFormatting sqref="B49:E49">
    <cfRule type="expression" dxfId="4996" priority="1765">
      <formula>AND($B49&lt;&gt;"",$B64="")</formula>
    </cfRule>
    <cfRule type="expression" dxfId="4995" priority="1766">
      <formula>$B49=""</formula>
    </cfRule>
  </conditionalFormatting>
  <conditionalFormatting sqref="B45:E63">
    <cfRule type="expression" dxfId="4994" priority="1767">
      <formula>AND($B45&lt;&gt;"",#REF!="")</formula>
    </cfRule>
    <cfRule type="expression" dxfId="4993" priority="1768">
      <formula>$B45=""</formula>
    </cfRule>
  </conditionalFormatting>
  <conditionalFormatting sqref="R70 F66:Q71">
    <cfRule type="expression" dxfId="4992" priority="1771">
      <formula>$F$65="SAMA DENGAN DATA"</formula>
    </cfRule>
  </conditionalFormatting>
  <conditionalFormatting sqref="F66:Q71">
    <cfRule type="expression" dxfId="4991" priority="1773">
      <formula>$F$65="kkm tunggal"</formula>
    </cfRule>
  </conditionalFormatting>
  <conditionalFormatting sqref="AW70:BG70 AL66:AV71">
    <cfRule type="expression" dxfId="4990" priority="1774">
      <formula>$AL$65="SAMA DENGAN DATA"</formula>
    </cfRule>
  </conditionalFormatting>
  <conditionalFormatting sqref="AL66:AV71">
    <cfRule type="expression" dxfId="4989" priority="1776">
      <formula>$AL$65="KKM TUNGGAL"</formula>
    </cfRule>
  </conditionalFormatting>
  <conditionalFormatting sqref="B61:E63">
    <cfRule type="expression" dxfId="4988" priority="2790">
      <formula>AND($B61&lt;&gt;"",$B65="")</formula>
    </cfRule>
    <cfRule type="expression" dxfId="4987" priority="2791">
      <formula>$B61=""</formula>
    </cfRule>
  </conditionalFormatting>
  <conditionalFormatting sqref="B50:E60">
    <cfRule type="expression" dxfId="4986" priority="2792">
      <formula>AND($B50&lt;&gt;"",#REF!="")</formula>
    </cfRule>
    <cfRule type="expression" dxfId="4985" priority="2793">
      <formula>$B50=""</formula>
    </cfRule>
  </conditionalFormatting>
  <conditionalFormatting sqref="U14:AB63 P14:S63 AV14:BE63 AE14:AK63 BH14:BN63">
    <cfRule type="expression" dxfId="4984" priority="148">
      <formula>AND($B14&lt;&gt;"",$B15="")</formula>
    </cfRule>
    <cfRule type="expression" dxfId="4983" priority="149">
      <formula>$B14=""</formula>
    </cfRule>
  </conditionalFormatting>
  <conditionalFormatting sqref="T14:T63">
    <cfRule type="expression" dxfId="4982" priority="146">
      <formula>AND($B14&lt;&gt;"",$B15="")</formula>
    </cfRule>
    <cfRule type="expression" dxfId="4981" priority="147">
      <formula>$B14=""</formula>
    </cfRule>
  </conditionalFormatting>
  <conditionalFormatting sqref="AV14">
    <cfRule type="expression" dxfId="4980" priority="144">
      <formula>AND($B14&lt;&gt;"",$B15="")</formula>
    </cfRule>
    <cfRule type="expression" dxfId="4979" priority="145">
      <formula>$B14=""</formula>
    </cfRule>
  </conditionalFormatting>
  <conditionalFormatting sqref="P56:S56 U56:AB56 BH56:BN56 AE56:AK56 AV56:BE56">
    <cfRule type="expression" dxfId="4978" priority="150">
      <formula>AND($B56&lt;&gt;"",$B63="")</formula>
    </cfRule>
    <cfRule type="expression" dxfId="4977" priority="151">
      <formula>$B56=""</formula>
    </cfRule>
  </conditionalFormatting>
  <conditionalFormatting sqref="P50:S50 U50:AB50 BH50:BN50 AE50:AK50 AV50:BE50">
    <cfRule type="expression" dxfId="4976" priority="152">
      <formula>AND($B50&lt;&gt;"",$B63="")</formula>
    </cfRule>
    <cfRule type="expression" dxfId="4975" priority="153">
      <formula>$B50=""</formula>
    </cfRule>
  </conditionalFormatting>
  <conditionalFormatting sqref="P43:S44 U43:AB44 BH43:BN44 AE43:AK44 AV43:BE44">
    <cfRule type="expression" dxfId="4974" priority="154">
      <formula>AND($B43&lt;&gt;"",$B62="")</formula>
    </cfRule>
    <cfRule type="expression" dxfId="4973" priority="155">
      <formula>$B43=""</formula>
    </cfRule>
  </conditionalFormatting>
  <conditionalFormatting sqref="P63:S63 U63:AB63 BH63:BN63 AE63:AK63 AV63:BE63">
    <cfRule type="expression" dxfId="4972" priority="156">
      <formula>AND($B63&lt;&gt;"",#REF!="")</formula>
    </cfRule>
    <cfRule type="expression" dxfId="4971" priority="157">
      <formula>$B63=""</formula>
    </cfRule>
  </conditionalFormatting>
  <conditionalFormatting sqref="P61:S61 U61:AB61 BH61:BN61 AE61:AK61 AV61:BE61">
    <cfRule type="expression" dxfId="4970" priority="158">
      <formula>AND($B61&lt;&gt;"",$B64="")</formula>
    </cfRule>
    <cfRule type="expression" dxfId="4969" priority="159">
      <formula>$B61=""</formula>
    </cfRule>
  </conditionalFormatting>
  <conditionalFormatting sqref="P57:S60 U57:AB60 BH57:BN60 AE57:AK60 AV57:BE60">
    <cfRule type="expression" dxfId="4968" priority="160">
      <formula>AND($B57&lt;&gt;"",#REF!="")</formula>
    </cfRule>
    <cfRule type="expression" dxfId="4967" priority="161">
      <formula>$B57=""</formula>
    </cfRule>
  </conditionalFormatting>
  <conditionalFormatting sqref="P55:S55 U55:AB55 BH55:BN55 AE55:AK55 AV55:BE55">
    <cfRule type="expression" dxfId="4966" priority="162">
      <formula>AND($B55&lt;&gt;"",$B64="")</formula>
    </cfRule>
    <cfRule type="expression" dxfId="4965" priority="163">
      <formula>$B55=""</formula>
    </cfRule>
  </conditionalFormatting>
  <conditionalFormatting sqref="P51:S54 U51:AB54 BH51:BN54 AE51:AK54 AV51:BE54">
    <cfRule type="expression" dxfId="4964" priority="164">
      <formula>AND($B51&lt;&gt;"",#REF!="")</formula>
    </cfRule>
    <cfRule type="expression" dxfId="4963" priority="165">
      <formula>$B51=""</formula>
    </cfRule>
  </conditionalFormatting>
  <conditionalFormatting sqref="F49:S49 U49:BN49">
    <cfRule type="expression" dxfId="4962" priority="166">
      <formula>AND($B49&lt;&gt;"",$B64="")</formula>
    </cfRule>
    <cfRule type="expression" dxfId="4961" priority="167">
      <formula>$B49=""</formula>
    </cfRule>
  </conditionalFormatting>
  <conditionalFormatting sqref="P45:S63 U45:AB63 BH45:BN63 AE45:AK63 AV45:BE63">
    <cfRule type="expression" dxfId="4960" priority="168">
      <formula>AND($B45&lt;&gt;"",#REF!="")</formula>
    </cfRule>
    <cfRule type="expression" dxfId="4959" priority="169">
      <formula>$B45=""</formula>
    </cfRule>
  </conditionalFormatting>
  <conditionalFormatting sqref="T16:T63">
    <cfRule type="expression" dxfId="4958" priority="142">
      <formula>AND($B16&lt;&gt;"",$B17="")</formula>
    </cfRule>
    <cfRule type="expression" dxfId="4957" priority="143">
      <formula>$B16=""</formula>
    </cfRule>
  </conditionalFormatting>
  <conditionalFormatting sqref="U13:AB13 AX12:BG12">
    <cfRule type="expression" dxfId="4956" priority="141">
      <formula>COUNTA(U$14:U$63)&gt;0</formula>
    </cfRule>
  </conditionalFormatting>
  <conditionalFormatting sqref="F14:M63">
    <cfRule type="expression" dxfId="4955" priority="120">
      <formula>AND($B14&lt;&gt;"",$B15="")</formula>
    </cfRule>
    <cfRule type="expression" dxfId="4954" priority="121">
      <formula>$B14=""</formula>
    </cfRule>
  </conditionalFormatting>
  <conditionalFormatting sqref="F56:M56">
    <cfRule type="expression" dxfId="4953" priority="122">
      <formula>AND($B56&lt;&gt;"",$B63="")</formula>
    </cfRule>
    <cfRule type="expression" dxfId="4952" priority="123">
      <formula>$B56=""</formula>
    </cfRule>
  </conditionalFormatting>
  <conditionalFormatting sqref="F50:M50">
    <cfRule type="expression" dxfId="4951" priority="124">
      <formula>AND($B50&lt;&gt;"",$B63="")</formula>
    </cfRule>
    <cfRule type="expression" dxfId="4950" priority="125">
      <formula>$B50=""</formula>
    </cfRule>
  </conditionalFormatting>
  <conditionalFormatting sqref="F43:M44">
    <cfRule type="expression" dxfId="4949" priority="126">
      <formula>AND($B43&lt;&gt;"",$B62="")</formula>
    </cfRule>
    <cfRule type="expression" dxfId="4948" priority="127">
      <formula>$B43=""</formula>
    </cfRule>
  </conditionalFormatting>
  <conditionalFormatting sqref="F63:M63">
    <cfRule type="expression" dxfId="4947" priority="128">
      <formula>AND($B63&lt;&gt;"",#REF!="")</formula>
    </cfRule>
    <cfRule type="expression" dxfId="4946" priority="129">
      <formula>$B63=""</formula>
    </cfRule>
  </conditionalFormatting>
  <conditionalFormatting sqref="F61:M61">
    <cfRule type="expression" dxfId="4945" priority="130">
      <formula>AND($B61&lt;&gt;"",$B64="")</formula>
    </cfRule>
    <cfRule type="expression" dxfId="4944" priority="131">
      <formula>$B61=""</formula>
    </cfRule>
  </conditionalFormatting>
  <conditionalFormatting sqref="F57:M60">
    <cfRule type="expression" dxfId="4943" priority="132">
      <formula>AND($B57&lt;&gt;"",#REF!="")</formula>
    </cfRule>
    <cfRule type="expression" dxfId="4942" priority="133">
      <formula>$B57=""</formula>
    </cfRule>
  </conditionalFormatting>
  <conditionalFormatting sqref="F55:M55">
    <cfRule type="expression" dxfId="4941" priority="134">
      <formula>AND($B55&lt;&gt;"",$B64="")</formula>
    </cfRule>
    <cfRule type="expression" dxfId="4940" priority="135">
      <formula>$B55=""</formula>
    </cfRule>
  </conditionalFormatting>
  <conditionalFormatting sqref="F51:M54">
    <cfRule type="expression" dxfId="4939" priority="136">
      <formula>AND($B51&lt;&gt;"",#REF!="")</formula>
    </cfRule>
    <cfRule type="expression" dxfId="4938" priority="137">
      <formula>$B51=""</formula>
    </cfRule>
  </conditionalFormatting>
  <conditionalFormatting sqref="F45:M63">
    <cfRule type="expression" dxfId="4937" priority="138">
      <formula>AND($B45&lt;&gt;"",#REF!="")</formula>
    </cfRule>
    <cfRule type="expression" dxfId="4936" priority="139">
      <formula>$B45=""</formula>
    </cfRule>
  </conditionalFormatting>
  <conditionalFormatting sqref="F13:M13">
    <cfRule type="expression" dxfId="4935" priority="119">
      <formula>COUNTA(F$14:F$63)&gt;0</formula>
    </cfRule>
  </conditionalFormatting>
  <conditionalFormatting sqref="F14:M63">
    <cfRule type="expression" dxfId="4934" priority="140">
      <formula>COUNTIF($U14:$AB14,F14)&gt;1</formula>
    </cfRule>
  </conditionalFormatting>
  <conditionalFormatting sqref="AC14:AD63">
    <cfRule type="expression" dxfId="4933" priority="99">
      <formula>AND($B14&lt;&gt;"",$B15="")</formula>
    </cfRule>
    <cfRule type="expression" dxfId="4932" priority="100">
      <formula>$B14=""</formula>
    </cfRule>
  </conditionalFormatting>
  <conditionalFormatting sqref="AC56:AD56">
    <cfRule type="expression" dxfId="4931" priority="101">
      <formula>AND($B56&lt;&gt;"",$B63="")</formula>
    </cfRule>
    <cfRule type="expression" dxfId="4930" priority="102">
      <formula>$B56=""</formula>
    </cfRule>
  </conditionalFormatting>
  <conditionalFormatting sqref="AC50:AD50">
    <cfRule type="expression" dxfId="4929" priority="103">
      <formula>AND($B50&lt;&gt;"",$B63="")</formula>
    </cfRule>
    <cfRule type="expression" dxfId="4928" priority="104">
      <formula>$B50=""</formula>
    </cfRule>
  </conditionalFormatting>
  <conditionalFormatting sqref="AC43:AD44">
    <cfRule type="expression" dxfId="4927" priority="105">
      <formula>AND($B43&lt;&gt;"",$B62="")</formula>
    </cfRule>
    <cfRule type="expression" dxfId="4926" priority="106">
      <formula>$B43=""</formula>
    </cfRule>
  </conditionalFormatting>
  <conditionalFormatting sqref="AC63:AD63">
    <cfRule type="expression" dxfId="4925" priority="107">
      <formula>AND($B63&lt;&gt;"",#REF!="")</formula>
    </cfRule>
    <cfRule type="expression" dxfId="4924" priority="108">
      <formula>$B63=""</formula>
    </cfRule>
  </conditionalFormatting>
  <conditionalFormatting sqref="AC61:AD61">
    <cfRule type="expression" dxfId="4923" priority="109">
      <formula>AND($B61&lt;&gt;"",$B64="")</formula>
    </cfRule>
    <cfRule type="expression" dxfId="4922" priority="110">
      <formula>$B61=""</formula>
    </cfRule>
  </conditionalFormatting>
  <conditionalFormatting sqref="AC57:AD60">
    <cfRule type="expression" dxfId="4921" priority="111">
      <formula>AND($B57&lt;&gt;"",#REF!="")</formula>
    </cfRule>
    <cfRule type="expression" dxfId="4920" priority="112">
      <formula>$B57=""</formula>
    </cfRule>
  </conditionalFormatting>
  <conditionalFormatting sqref="AC55:AD55">
    <cfRule type="expression" dxfId="4919" priority="113">
      <formula>AND($B55&lt;&gt;"",$B64="")</formula>
    </cfRule>
    <cfRule type="expression" dxfId="4918" priority="114">
      <formula>$B55=""</formula>
    </cfRule>
  </conditionalFormatting>
  <conditionalFormatting sqref="AC51:AD54">
    <cfRule type="expression" dxfId="4917" priority="115">
      <formula>AND($B51&lt;&gt;"",#REF!="")</formula>
    </cfRule>
    <cfRule type="expression" dxfId="4916" priority="116">
      <formula>$B51=""</formula>
    </cfRule>
  </conditionalFormatting>
  <conditionalFormatting sqref="AC45:AD63">
    <cfRule type="expression" dxfId="4915" priority="117">
      <formula>AND($B45&lt;&gt;"",#REF!="")</formula>
    </cfRule>
    <cfRule type="expression" dxfId="4914" priority="118">
      <formula>$B45=""</formula>
    </cfRule>
  </conditionalFormatting>
  <conditionalFormatting sqref="AC13:AD13">
    <cfRule type="expression" dxfId="4913" priority="98">
      <formula>COUNTA(AC$14:AC$63)&gt;0</formula>
    </cfRule>
  </conditionalFormatting>
  <conditionalFormatting sqref="N14:O63">
    <cfRule type="expression" dxfId="4912" priority="77">
      <formula>AND($B14&lt;&gt;"",$B15="")</formula>
    </cfRule>
    <cfRule type="expression" dxfId="4911" priority="78">
      <formula>$B14=""</formula>
    </cfRule>
  </conditionalFormatting>
  <conditionalFormatting sqref="N56:O56">
    <cfRule type="expression" dxfId="4910" priority="79">
      <formula>AND($B56&lt;&gt;"",$B63="")</formula>
    </cfRule>
    <cfRule type="expression" dxfId="4909" priority="80">
      <formula>$B56=""</formula>
    </cfRule>
  </conditionalFormatting>
  <conditionalFormatting sqref="N50:O50">
    <cfRule type="expression" dxfId="4908" priority="81">
      <formula>AND($B50&lt;&gt;"",$B63="")</formula>
    </cfRule>
    <cfRule type="expression" dxfId="4907" priority="82">
      <formula>$B50=""</formula>
    </cfRule>
  </conditionalFormatting>
  <conditionalFormatting sqref="N43:O44">
    <cfRule type="expression" dxfId="4906" priority="83">
      <formula>AND($B43&lt;&gt;"",$B62="")</formula>
    </cfRule>
    <cfRule type="expression" dxfId="4905" priority="84">
      <formula>$B43=""</formula>
    </cfRule>
  </conditionalFormatting>
  <conditionalFormatting sqref="N63:O63">
    <cfRule type="expression" dxfId="4904" priority="85">
      <formula>AND($B63&lt;&gt;"",#REF!="")</formula>
    </cfRule>
    <cfRule type="expression" dxfId="4903" priority="86">
      <formula>$B63=""</formula>
    </cfRule>
  </conditionalFormatting>
  <conditionalFormatting sqref="N61:O61">
    <cfRule type="expression" dxfId="4902" priority="87">
      <formula>AND($B61&lt;&gt;"",$B64="")</formula>
    </cfRule>
    <cfRule type="expression" dxfId="4901" priority="88">
      <formula>$B61=""</formula>
    </cfRule>
  </conditionalFormatting>
  <conditionalFormatting sqref="N57:O60">
    <cfRule type="expression" dxfId="4900" priority="89">
      <formula>AND($B57&lt;&gt;"",#REF!="")</formula>
    </cfRule>
    <cfRule type="expression" dxfId="4899" priority="90">
      <formula>$B57=""</formula>
    </cfRule>
  </conditionalFormatting>
  <conditionalFormatting sqref="N55:O55">
    <cfRule type="expression" dxfId="4898" priority="91">
      <formula>AND($B55&lt;&gt;"",$B64="")</formula>
    </cfRule>
    <cfRule type="expression" dxfId="4897" priority="92">
      <formula>$B55=""</formula>
    </cfRule>
  </conditionalFormatting>
  <conditionalFormatting sqref="N51:O54">
    <cfRule type="expression" dxfId="4896" priority="93">
      <formula>AND($B51&lt;&gt;"",#REF!="")</formula>
    </cfRule>
    <cfRule type="expression" dxfId="4895" priority="94">
      <formula>$B51=""</formula>
    </cfRule>
  </conditionalFormatting>
  <conditionalFormatting sqref="N45:O63">
    <cfRule type="expression" dxfId="4894" priority="95">
      <formula>AND($B45&lt;&gt;"",#REF!="")</formula>
    </cfRule>
    <cfRule type="expression" dxfId="4893" priority="96">
      <formula>$B45=""</formula>
    </cfRule>
  </conditionalFormatting>
  <conditionalFormatting sqref="N13:O13">
    <cfRule type="expression" dxfId="4892" priority="76">
      <formula>COUNTA(N$14:N$63)&gt;0</formula>
    </cfRule>
  </conditionalFormatting>
  <conditionalFormatting sqref="N14:O63">
    <cfRule type="expression" dxfId="4891" priority="97">
      <formula>COUNTIF($U14:$AB14,N14)&gt;1</formula>
    </cfRule>
  </conditionalFormatting>
  <conditionalFormatting sqref="BF14:BG63">
    <cfRule type="expression" dxfId="4890" priority="56">
      <formula>AND($B14&lt;&gt;"",$B15="")</formula>
    </cfRule>
    <cfRule type="expression" dxfId="4889" priority="57">
      <formula>$B14=""</formula>
    </cfRule>
  </conditionalFormatting>
  <conditionalFormatting sqref="BF56:BG56">
    <cfRule type="expression" dxfId="4888" priority="58">
      <formula>AND($B56&lt;&gt;"",$B63="")</formula>
    </cfRule>
    <cfRule type="expression" dxfId="4887" priority="59">
      <formula>$B56=""</formula>
    </cfRule>
  </conditionalFormatting>
  <conditionalFormatting sqref="BF50:BG50">
    <cfRule type="expression" dxfId="4886" priority="60">
      <formula>AND($B50&lt;&gt;"",$B63="")</formula>
    </cfRule>
    <cfRule type="expression" dxfId="4885" priority="61">
      <formula>$B50=""</formula>
    </cfRule>
  </conditionalFormatting>
  <conditionalFormatting sqref="BF43:BG44">
    <cfRule type="expression" dxfId="4884" priority="62">
      <formula>AND($B43&lt;&gt;"",$B62="")</formula>
    </cfRule>
    <cfRule type="expression" dxfId="4883" priority="63">
      <formula>$B43=""</formula>
    </cfRule>
  </conditionalFormatting>
  <conditionalFormatting sqref="BF63:BG63">
    <cfRule type="expression" dxfId="4882" priority="64">
      <formula>AND($B63&lt;&gt;"",#REF!="")</formula>
    </cfRule>
    <cfRule type="expression" dxfId="4881" priority="65">
      <formula>$B63=""</formula>
    </cfRule>
  </conditionalFormatting>
  <conditionalFormatting sqref="BF61:BG61">
    <cfRule type="expression" dxfId="4880" priority="66">
      <formula>AND($B61&lt;&gt;"",$B64="")</formula>
    </cfRule>
    <cfRule type="expression" dxfId="4879" priority="67">
      <formula>$B61=""</formula>
    </cfRule>
  </conditionalFormatting>
  <conditionalFormatting sqref="BF57:BG60">
    <cfRule type="expression" dxfId="4878" priority="68">
      <formula>AND($B57&lt;&gt;"",#REF!="")</formula>
    </cfRule>
    <cfRule type="expression" dxfId="4877" priority="69">
      <formula>$B57=""</formula>
    </cfRule>
  </conditionalFormatting>
  <conditionalFormatting sqref="BF55:BG55">
    <cfRule type="expression" dxfId="4876" priority="70">
      <formula>AND($B55&lt;&gt;"",$B64="")</formula>
    </cfRule>
    <cfRule type="expression" dxfId="4875" priority="71">
      <formula>$B55=""</formula>
    </cfRule>
  </conditionalFormatting>
  <conditionalFormatting sqref="BF51:BG54">
    <cfRule type="expression" dxfId="4874" priority="72">
      <formula>AND($B51&lt;&gt;"",#REF!="")</formula>
    </cfRule>
    <cfRule type="expression" dxfId="4873" priority="73">
      <formula>$B51=""</formula>
    </cfRule>
  </conditionalFormatting>
  <conditionalFormatting sqref="BF45:BG63">
    <cfRule type="expression" dxfId="4872" priority="74">
      <formula>AND($B45&lt;&gt;"",#REF!="")</formula>
    </cfRule>
    <cfRule type="expression" dxfId="4871" priority="75">
      <formula>$B45=""</formula>
    </cfRule>
  </conditionalFormatting>
  <conditionalFormatting sqref="AL14:AS63">
    <cfRule type="expression" dxfId="4870" priority="35">
      <formula>AND($B14&lt;&gt;"",$B15="")</formula>
    </cfRule>
    <cfRule type="expression" dxfId="4869" priority="36">
      <formula>$B14=""</formula>
    </cfRule>
  </conditionalFormatting>
  <conditionalFormatting sqref="AL56:AS56">
    <cfRule type="expression" dxfId="4868" priority="37">
      <formula>AND($B56&lt;&gt;"",$B63="")</formula>
    </cfRule>
    <cfRule type="expression" dxfId="4867" priority="38">
      <formula>$B56=""</formula>
    </cfRule>
  </conditionalFormatting>
  <conditionalFormatting sqref="AL50:AS50">
    <cfRule type="expression" dxfId="4866" priority="39">
      <formula>AND($B50&lt;&gt;"",$B63="")</formula>
    </cfRule>
    <cfRule type="expression" dxfId="4865" priority="40">
      <formula>$B50=""</formula>
    </cfRule>
  </conditionalFormatting>
  <conditionalFormatting sqref="AL43:AS44">
    <cfRule type="expression" dxfId="4864" priority="41">
      <formula>AND($B43&lt;&gt;"",$B62="")</formula>
    </cfRule>
    <cfRule type="expression" dxfId="4863" priority="42">
      <formula>$B43=""</formula>
    </cfRule>
  </conditionalFormatting>
  <conditionalFormatting sqref="AL63:AS63">
    <cfRule type="expression" dxfId="4862" priority="43">
      <formula>AND($B63&lt;&gt;"",#REF!="")</formula>
    </cfRule>
    <cfRule type="expression" dxfId="4861" priority="44">
      <formula>$B63=""</formula>
    </cfRule>
  </conditionalFormatting>
  <conditionalFormatting sqref="AL61:AS61">
    <cfRule type="expression" dxfId="4860" priority="45">
      <formula>AND($B61&lt;&gt;"",$B64="")</formula>
    </cfRule>
    <cfRule type="expression" dxfId="4859" priority="46">
      <formula>$B61=""</formula>
    </cfRule>
  </conditionalFormatting>
  <conditionalFormatting sqref="AL57:AS60">
    <cfRule type="expression" dxfId="4858" priority="47">
      <formula>AND($B57&lt;&gt;"",#REF!="")</formula>
    </cfRule>
    <cfRule type="expression" dxfId="4857" priority="48">
      <formula>$B57=""</formula>
    </cfRule>
  </conditionalFormatting>
  <conditionalFormatting sqref="AL55:AS55">
    <cfRule type="expression" dxfId="4856" priority="49">
      <formula>AND($B55&lt;&gt;"",$B64="")</formula>
    </cfRule>
    <cfRule type="expression" dxfId="4855" priority="50">
      <formula>$B55=""</formula>
    </cfRule>
  </conditionalFormatting>
  <conditionalFormatting sqref="AL51:AS54">
    <cfRule type="expression" dxfId="4854" priority="51">
      <formula>AND($B51&lt;&gt;"",#REF!="")</formula>
    </cfRule>
    <cfRule type="expression" dxfId="4853" priority="52">
      <formula>$B51=""</formula>
    </cfRule>
  </conditionalFormatting>
  <conditionalFormatting sqref="AL45:AS63">
    <cfRule type="expression" dxfId="4852" priority="53">
      <formula>AND($B45&lt;&gt;"",#REF!="")</formula>
    </cfRule>
    <cfRule type="expression" dxfId="4851" priority="54">
      <formula>$B45=""</formula>
    </cfRule>
  </conditionalFormatting>
  <conditionalFormatting sqref="AL12:AU12">
    <cfRule type="expression" dxfId="4850" priority="34">
      <formula>COUNTA(AL$14:AL$63)&gt;0</formula>
    </cfRule>
  </conditionalFormatting>
  <conditionalFormatting sqref="AT14:AU63">
    <cfRule type="expression" dxfId="4849" priority="14">
      <formula>AND($B14&lt;&gt;"",$B15="")</formula>
    </cfRule>
    <cfRule type="expression" dxfId="4848" priority="15">
      <formula>$B14=""</formula>
    </cfRule>
  </conditionalFormatting>
  <conditionalFormatting sqref="AT56:AU56">
    <cfRule type="expression" dxfId="4847" priority="16">
      <formula>AND($B56&lt;&gt;"",$B63="")</formula>
    </cfRule>
    <cfRule type="expression" dxfId="4846" priority="17">
      <formula>$B56=""</formula>
    </cfRule>
  </conditionalFormatting>
  <conditionalFormatting sqref="AT50:AU50">
    <cfRule type="expression" dxfId="4845" priority="18">
      <formula>AND($B50&lt;&gt;"",$B63="")</formula>
    </cfRule>
    <cfRule type="expression" dxfId="4844" priority="19">
      <formula>$B50=""</formula>
    </cfRule>
  </conditionalFormatting>
  <conditionalFormatting sqref="AT43:AU44">
    <cfRule type="expression" dxfId="4843" priority="20">
      <formula>AND($B43&lt;&gt;"",$B62="")</formula>
    </cfRule>
    <cfRule type="expression" dxfId="4842" priority="21">
      <formula>$B43=""</formula>
    </cfRule>
  </conditionalFormatting>
  <conditionalFormatting sqref="AT63:AU63">
    <cfRule type="expression" dxfId="4841" priority="22">
      <formula>AND($B63&lt;&gt;"",#REF!="")</formula>
    </cfRule>
    <cfRule type="expression" dxfId="4840" priority="23">
      <formula>$B63=""</formula>
    </cfRule>
  </conditionalFormatting>
  <conditionalFormatting sqref="AT61:AU61">
    <cfRule type="expression" dxfId="4839" priority="24">
      <formula>AND($B61&lt;&gt;"",$B64="")</formula>
    </cfRule>
    <cfRule type="expression" dxfId="4838" priority="25">
      <formula>$B61=""</formula>
    </cfRule>
  </conditionalFormatting>
  <conditionalFormatting sqref="AT57:AU60">
    <cfRule type="expression" dxfId="4837" priority="26">
      <formula>AND($B57&lt;&gt;"",#REF!="")</formula>
    </cfRule>
    <cfRule type="expression" dxfId="4836" priority="27">
      <formula>$B57=""</formula>
    </cfRule>
  </conditionalFormatting>
  <conditionalFormatting sqref="AT55:AU55">
    <cfRule type="expression" dxfId="4835" priority="28">
      <formula>AND($B55&lt;&gt;"",$B64="")</formula>
    </cfRule>
    <cfRule type="expression" dxfId="4834" priority="29">
      <formula>$B55=""</formula>
    </cfRule>
  </conditionalFormatting>
  <conditionalFormatting sqref="AT51:AU54">
    <cfRule type="expression" dxfId="4833" priority="30">
      <formula>AND($B51&lt;&gt;"",#REF!="")</formula>
    </cfRule>
    <cfRule type="expression" dxfId="4832" priority="31">
      <formula>$B51=""</formula>
    </cfRule>
  </conditionalFormatting>
  <conditionalFormatting sqref="AT45:AU63">
    <cfRule type="expression" dxfId="4831" priority="32">
      <formula>AND($B45&lt;&gt;"",#REF!="")</formula>
    </cfRule>
    <cfRule type="expression" dxfId="4830" priority="33">
      <formula>$B45=""</formula>
    </cfRule>
  </conditionalFormatting>
  <conditionalFormatting sqref="AL14:AU63">
    <cfRule type="expression" dxfId="4829" priority="55">
      <formula>COUNTIF($AX14:$BE14,AL14)&gt;1</formula>
    </cfRule>
  </conditionalFormatting>
  <conditionalFormatting sqref="F61:S63 U61:BN63">
    <cfRule type="expression" dxfId="4828" priority="170">
      <formula>AND($B61&lt;&gt;"",$B65="")</formula>
    </cfRule>
    <cfRule type="expression" dxfId="4827" priority="171">
      <formula>$B61=""</formula>
    </cfRule>
  </conditionalFormatting>
  <conditionalFormatting sqref="F50:S60 U50:BN60">
    <cfRule type="expression" dxfId="4826" priority="172">
      <formula>AND($B50&lt;&gt;"",#REF!="")</formula>
    </cfRule>
    <cfRule type="expression" dxfId="4825" priority="173">
      <formula>$B50=""</formula>
    </cfRule>
  </conditionalFormatting>
  <conditionalFormatting sqref="T2">
    <cfRule type="expression" dxfId="4824" priority="13">
      <formula>COUNTA(F$14:F$63)&gt;0</formula>
    </cfRule>
  </conditionalFormatting>
  <conditionalFormatting sqref="T3">
    <cfRule type="expression" dxfId="4823" priority="174">
      <formula>COUNTA(G$14:G$63)&gt;0</formula>
    </cfRule>
  </conditionalFormatting>
  <conditionalFormatting sqref="T4">
    <cfRule type="expression" dxfId="4822" priority="175">
      <formula>COUNTA(H$14:H$63)&gt;0</formula>
    </cfRule>
  </conditionalFormatting>
  <conditionalFormatting sqref="T5">
    <cfRule type="expression" dxfId="4821" priority="176">
      <formula>COUNTA(I$14:I$63)&gt;0</formula>
    </cfRule>
  </conditionalFormatting>
  <conditionalFormatting sqref="T7">
    <cfRule type="expression" dxfId="4820" priority="12">
      <formula>COUNTA(K$14:K$63)&gt;0</formula>
    </cfRule>
  </conditionalFormatting>
  <conditionalFormatting sqref="T11">
    <cfRule type="expression" dxfId="4819" priority="177">
      <formula>COUNTA(O$14:O$63)&gt;0</formula>
    </cfRule>
  </conditionalFormatting>
  <conditionalFormatting sqref="T10">
    <cfRule type="expression" dxfId="4818" priority="178">
      <formula>COUNTA(N$14:N$63)&gt;0</formula>
    </cfRule>
  </conditionalFormatting>
  <conditionalFormatting sqref="T9">
    <cfRule type="expression" dxfId="4817" priority="179">
      <formula>COUNTA(M$14:M$63)&gt;0</formula>
    </cfRule>
  </conditionalFormatting>
  <conditionalFormatting sqref="T8">
    <cfRule type="expression" dxfId="4816" priority="180">
      <formula>COUNTA(L$14:L$63)&gt;0</formula>
    </cfRule>
  </conditionalFormatting>
  <conditionalFormatting sqref="T6">
    <cfRule type="expression" dxfId="4815" priority="11">
      <formula>COUNTA(J$14:J$63)&gt;0</formula>
    </cfRule>
  </conditionalFormatting>
  <conditionalFormatting sqref="AW2">
    <cfRule type="expression" dxfId="4814" priority="10">
      <formula>COUNTA(AL$14:AL$63)&gt;0</formula>
    </cfRule>
  </conditionalFormatting>
  <conditionalFormatting sqref="AW3">
    <cfRule type="expression" dxfId="4813" priority="9">
      <formula>COUNTA(AM$14:AM$63)&gt;0</formula>
    </cfRule>
  </conditionalFormatting>
  <conditionalFormatting sqref="AW4">
    <cfRule type="expression" dxfId="4812" priority="8">
      <formula>COUNTA(AN$14:AN$63)&gt;0</formula>
    </cfRule>
  </conditionalFormatting>
  <conditionalFormatting sqref="AW5">
    <cfRule type="expression" dxfId="4811" priority="7">
      <formula>COUNTA(AO$14:AO$63)&gt;0</formula>
    </cfRule>
  </conditionalFormatting>
  <conditionalFormatting sqref="AW6">
    <cfRule type="expression" dxfId="4810" priority="6">
      <formula>COUNTA(AP$14:AP$63)&gt;0</formula>
    </cfRule>
  </conditionalFormatting>
  <conditionalFormatting sqref="AW7">
    <cfRule type="expression" dxfId="4809" priority="5">
      <formula>COUNTA(AQ$14:AQ$63)&gt;0</formula>
    </cfRule>
  </conditionalFormatting>
  <conditionalFormatting sqref="AW8">
    <cfRule type="expression" dxfId="4808" priority="4">
      <formula>COUNTA(AR$14:AR$63)&gt;0</formula>
    </cfRule>
  </conditionalFormatting>
  <conditionalFormatting sqref="AW9">
    <cfRule type="expression" dxfId="4807" priority="3">
      <formula>COUNTA(AS$14:AS$63)&gt;0</formula>
    </cfRule>
  </conditionalFormatting>
  <conditionalFormatting sqref="AW10">
    <cfRule type="expression" dxfId="4806" priority="2">
      <formula>COUNTA(AT$14:AT$63)&gt;0</formula>
    </cfRule>
  </conditionalFormatting>
  <conditionalFormatting sqref="AW11">
    <cfRule type="expression" dxfId="4805" priority="1">
      <formula>COUNTA(AU$14:AU$63)&gt;0</formula>
    </cfRule>
  </conditionalFormatting>
  <dataValidations count="6">
    <dataValidation type="whole" allowBlank="1" showInputMessage="1" showErrorMessage="1" errorTitle="Petunjuk" error="Nilai 0-100" sqref="Q14:R63 F14:O63 AL14:AU63">
      <formula1>0</formula1>
      <formula2>100</formula2>
    </dataValidation>
    <dataValidation allowBlank="1" showInputMessage="1" showErrorMessage="1" promptTitle="Tulis Bobot Nilai" prompt="Berupa Nilai Praktik, Portofolio atau Proyek._x000a_Bobot Praktik disarankan lebih tinggi" sqref="AL13:AU13 AX13:BG13"/>
    <dataValidation allowBlank="1" showInputMessage="1" showErrorMessage="1" prompt="Rata-rata Harian" sqref="P12 AV12"/>
    <dataValidation allowBlank="1" showInputMessage="1" showErrorMessage="1" prompt="Bobot Nilai" sqref="P13:R13 BH11 AE12:AF12"/>
    <dataValidation allowBlank="1" showInputMessage="1" showErrorMessage="1" prompt="KKM" sqref="H69:H70"/>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0866141732283472" right="0.43307086614173229" top="0.27559055118110237" bottom="0.31496062992125984" header="0.31496062992125984" footer="0.23622047244094491"/>
  <pageSetup paperSize="9" orientation="landscape" blackAndWhite="1"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00FF"/>
  </sheetPr>
  <dimension ref="A1:DG97"/>
  <sheetViews>
    <sheetView showGridLines="0" showRowColHeaders="0" workbookViewId="0">
      <pane xSplit="5" ySplit="13" topLeftCell="F44" activePane="bottomRight" state="frozen"/>
      <selection activeCell="AW5" sqref="AW5:BN7"/>
      <selection pane="topRight" activeCell="AW5" sqref="AW5:BN7"/>
      <selection pane="bottomLeft" activeCell="AW5" sqref="AW5:BN7"/>
      <selection pane="bottomRight" activeCell="AL14" sqref="AL14:AO50"/>
    </sheetView>
  </sheetViews>
  <sheetFormatPr defaultColWidth="0" defaultRowHeight="0" customHeight="1"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t="str">
        <f>Data2!C9</f>
        <v>Bahasa Inggris</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74" t="s">
        <v>1625</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79" t="s">
        <v>1629</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1626</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1630</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1627</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1631</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t="s">
        <v>1628</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1632</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1154</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1281</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1155</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1282</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1156</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1283</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1157</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1284</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1158</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1285</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1159</v>
      </c>
      <c r="AL11" s="1800"/>
      <c r="AM11" s="1803"/>
      <c r="AN11" s="1803"/>
      <c r="AO11" s="1803"/>
      <c r="AP11" s="1803"/>
      <c r="AQ11" s="1803"/>
      <c r="AR11" s="1803"/>
      <c r="AS11" s="1803"/>
      <c r="AT11" s="1803"/>
      <c r="AU11" s="1804"/>
      <c r="AV11" s="1196">
        <v>10</v>
      </c>
      <c r="AW11" s="1197" t="s">
        <v>929</v>
      </c>
      <c r="AX11" s="1198">
        <f t="shared" ref="AX11:BG11" si="1">IF(COUNT(AX14:AX63)&gt;0,AX13,"")</f>
        <v>1</v>
      </c>
      <c r="AY11" s="1198">
        <f t="shared" si="1"/>
        <v>1</v>
      </c>
      <c r="AZ11" s="1198">
        <f t="shared" si="1"/>
        <v>1</v>
      </c>
      <c r="BA11" s="1198">
        <f t="shared" si="1"/>
        <v>1</v>
      </c>
      <c r="BB11" s="1198" t="str">
        <f t="shared" si="1"/>
        <v/>
      </c>
      <c r="BC11" s="1198" t="str">
        <f t="shared" si="1"/>
        <v/>
      </c>
      <c r="BD11" s="1198" t="str">
        <f t="shared" si="1"/>
        <v/>
      </c>
      <c r="BE11" s="1198" t="str">
        <f t="shared" si="1"/>
        <v/>
      </c>
      <c r="BF11" s="1198" t="str">
        <f t="shared" si="1"/>
        <v/>
      </c>
      <c r="BG11" s="1198" t="str">
        <f t="shared" si="1"/>
        <v/>
      </c>
      <c r="BH11" s="1198">
        <f>SUM(AX11:BG11)</f>
        <v>4</v>
      </c>
      <c r="BI11" s="1199"/>
      <c r="BJ11" s="1199"/>
      <c r="BK11" s="1199"/>
      <c r="BL11" s="1199"/>
      <c r="BM11" s="1199"/>
      <c r="BN11" s="1186" t="s">
        <v>1286</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f t="shared" ref="U12:AD12" si="2">IF(COUNT(U14:U63)&gt;0,1,"")</f>
        <v>1</v>
      </c>
      <c r="V12" s="1201">
        <f t="shared" si="2"/>
        <v>1</v>
      </c>
      <c r="W12" s="1201">
        <f t="shared" si="2"/>
        <v>1</v>
      </c>
      <c r="X12" s="1201">
        <f t="shared" si="2"/>
        <v>1</v>
      </c>
      <c r="Y12" s="1201" t="str">
        <f t="shared" si="2"/>
        <v/>
      </c>
      <c r="Z12" s="1201" t="str">
        <f t="shared" si="2"/>
        <v/>
      </c>
      <c r="AA12" s="1201" t="str">
        <f t="shared" si="2"/>
        <v/>
      </c>
      <c r="AB12" s="1201" t="str">
        <f t="shared" si="2"/>
        <v/>
      </c>
      <c r="AC12" s="1201" t="str">
        <f t="shared" si="2"/>
        <v/>
      </c>
      <c r="AD12" s="1201" t="str">
        <f t="shared" si="2"/>
        <v/>
      </c>
      <c r="AE12" s="1202">
        <f>SUM(U12:AD12)</f>
        <v>4</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v>80</v>
      </c>
      <c r="G14" s="277">
        <v>80</v>
      </c>
      <c r="H14" s="277">
        <v>84</v>
      </c>
      <c r="I14" s="277">
        <v>85</v>
      </c>
      <c r="J14" s="277"/>
      <c r="K14" s="277"/>
      <c r="L14" s="277"/>
      <c r="M14" s="280"/>
      <c r="N14" s="277"/>
      <c r="O14" s="278"/>
      <c r="P14" s="279">
        <f t="shared" ref="P14" si="4">IF(COUNT(U14:AD14)&lt;2,"",ROUND(SUM(U14:AD14)/$AE$12,0))</f>
        <v>82</v>
      </c>
      <c r="Q14" s="1480">
        <v>85</v>
      </c>
      <c r="R14" s="1481">
        <v>85</v>
      </c>
      <c r="S14" s="281">
        <f t="shared" ref="S14" si="5">IFERROR(ROUND(((P14*$P$13)+(Q14*$Q$13)+(R14*$R$13))/$AF$12,0),"")</f>
        <v>84</v>
      </c>
      <c r="T14" s="295" t="str">
        <f t="shared" ref="T14" si="6">IF(S14="","",IF(S14&gt;$H$76,$Q$75,IF(S14&gt;$H$77,$Q$76,IF(S14&gt;$H$78,$Q$77,$Q$78))))</f>
        <v>C</v>
      </c>
      <c r="U14" s="1215">
        <f t="shared" ref="U14:AD29" si="7">IF(F14="","",F14+U$13)</f>
        <v>80.010000000000005</v>
      </c>
      <c r="V14" s="1216">
        <f t="shared" si="7"/>
        <v>80.02</v>
      </c>
      <c r="W14" s="1216">
        <f t="shared" si="7"/>
        <v>84.03</v>
      </c>
      <c r="X14" s="1216">
        <f t="shared" si="7"/>
        <v>85.04</v>
      </c>
      <c r="Y14" s="1216" t="str">
        <f t="shared" si="7"/>
        <v/>
      </c>
      <c r="Z14" s="1216" t="str">
        <f t="shared" si="7"/>
        <v/>
      </c>
      <c r="AA14" s="1216" t="str">
        <f t="shared" si="7"/>
        <v/>
      </c>
      <c r="AB14" s="1217" t="str">
        <f t="shared" si="7"/>
        <v/>
      </c>
      <c r="AC14" s="1216" t="str">
        <f t="shared" si="7"/>
        <v/>
      </c>
      <c r="AD14" s="1218" t="str">
        <f t="shared" si="7"/>
        <v/>
      </c>
      <c r="AE14" s="1219">
        <f t="shared" ref="AE14" si="8">MAX(U14:AD14)</f>
        <v>85.04</v>
      </c>
      <c r="AF14" s="282">
        <f t="shared" ref="AF14" si="9">MIN(U14:AD14)</f>
        <v>80.010000000000005</v>
      </c>
      <c r="AG14" s="282" t="str">
        <f t="shared" ref="AG14:AH29" si="10">IF(AE14&gt;$H$76,$I$75,IF(AE14&gt;$H$77,$I$76,IF(AE14&gt;$H$78,$I$77,$I$78)))</f>
        <v>baik</v>
      </c>
      <c r="AH14" s="282" t="str">
        <f t="shared" si="10"/>
        <v>cukup</v>
      </c>
      <c r="AI14" s="282">
        <f t="shared" ref="AI14" si="11">IFERROR(MATCH(AE14,U14:AD14,0),"")</f>
        <v>4</v>
      </c>
      <c r="AJ14" s="283">
        <f t="shared" ref="AJ14" si="12">IFERROR(MATCH(AF14,U14:AD14,0),"")</f>
        <v>1</v>
      </c>
      <c r="AK14" s="284" t="str">
        <f t="shared" ref="AK14" si="13">IF(S14="","",IFERROR("Memiliki kemampuan "&amp;IF(AG14=AH14,AG14&amp;" dalam "&amp;VLOOKUP(AI14,$S$2:$AK$11,19)&amp;" dan "&amp;VLOOKUP(AJ14,$S$2:$AK$11,19),AG14&amp;" dalam "&amp;VLOOKUP(AI14,$S$2:$AK$11,19)&amp;", "&amp;AH14&amp;" kemampuan dalam "&amp;VLOOKUP(AJ14,$S$2:$AK$11,19)),""))</f>
        <v>Memiliki kemampuan baik dalam Menafsirkan unsur dan fungsi dari sebuah lirik lagu , cukup kemampuan dalam Memahami teks memberi dan meminta informasi di masa lalu</v>
      </c>
      <c r="AL14" s="276">
        <v>85</v>
      </c>
      <c r="AM14" s="277">
        <v>85</v>
      </c>
      <c r="AN14" s="277">
        <v>85</v>
      </c>
      <c r="AO14" s="277">
        <v>90</v>
      </c>
      <c r="AP14" s="277"/>
      <c r="AQ14" s="277"/>
      <c r="AR14" s="277"/>
      <c r="AS14" s="280"/>
      <c r="AT14" s="277"/>
      <c r="AU14" s="278"/>
      <c r="AV14" s="285">
        <f t="shared" ref="AV14" si="14">IF(COUNT(AL14:AU14)&lt;2,"",ROUND(((AL14*$AX$13)+(AM14*$AY$13)+(AN14*$AZ$13)+(AO14*$BA$13)+(AP14*$BB$13)+(AQ14*$BC$13)+(AR14*$BD$13)+(AS14*$BE$13)+(AT14*$BF$13)+(AU14*$BG$13))/$BH$11,0))</f>
        <v>86</v>
      </c>
      <c r="AW14" s="296" t="str">
        <f t="shared" ref="AW14" si="15">IF(AV14="","",IF(AV14&gt;$AN$76,$AV$75,IF(AV14&gt;$AN$77,$AV$76,IF(AV14&gt;$AN$78,$AV$77,$AV$78))))</f>
        <v>B</v>
      </c>
      <c r="AX14" s="1220">
        <f t="shared" ref="AX14:BG29" si="16">IF(AL14="","",AL14+AX$12)</f>
        <v>85.01</v>
      </c>
      <c r="AY14" s="1221">
        <f t="shared" si="16"/>
        <v>85.02</v>
      </c>
      <c r="AZ14" s="1221">
        <f t="shared" si="16"/>
        <v>85.03</v>
      </c>
      <c r="BA14" s="1221">
        <f t="shared" si="16"/>
        <v>90.04</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90.04</v>
      </c>
      <c r="BI14" s="286">
        <f t="shared" ref="BI14" si="18">MIN(AX14:BG14)</f>
        <v>85.01</v>
      </c>
      <c r="BJ14" s="287" t="str">
        <f t="shared" ref="BJ14:BK14" si="19">IF(BH14&gt;$H$76,$AO$75,IF(BH14&gt;$H$77,$AO$76,IF(BH14&gt;$H$78,$AO$77,$AO$78)))</f>
        <v>baik</v>
      </c>
      <c r="BK14" s="287" t="str">
        <f t="shared" si="19"/>
        <v>baik</v>
      </c>
      <c r="BL14" s="286">
        <f t="shared" ref="BL14" si="20">MATCH(BH14,AX14:BG14,0)</f>
        <v>4</v>
      </c>
      <c r="BM14" s="288">
        <f t="shared" ref="BM14" si="21">MATCH(BI14,AX14:BG14,0)</f>
        <v>1</v>
      </c>
      <c r="BN14" s="289" t="str">
        <f t="shared" ref="BN14" si="22">IF(AV14="","",IFERROR("Memiliki keterampilan "&amp;IF(BJ14=BK14,BJ14&amp;" dalam "&amp;VLOOKUP(BL14,$AV$2:$BN$11,19)&amp;" dan "&amp;VLOOKUP(BM14,$AV$2:$BN$11,19),BJ14&amp;" dalam "&amp;VLOOKUP(BL14,$AV$2:$BN$11,19)&amp;", "&amp;BK14&amp;" keterampilan dalam "&amp;VLOOKUP(BM14,$AV$2:$BN$11,19)),""))</f>
        <v>Memiliki keterampilan baik dalam Menyayikan sebuah lagu bahasa inggris sederhana dan Menyusun teks tentang Past Event</v>
      </c>
      <c r="BO14" s="67"/>
    </row>
    <row r="15" spans="1:67" ht="33" customHeight="1">
      <c r="A15" s="67"/>
      <c r="B15" s="272">
        <f>IF(D15="","",B14+1)</f>
        <v>2</v>
      </c>
      <c r="C15" s="273">
        <f>IF(Data!F6="","",Data!F6)</f>
        <v>0</v>
      </c>
      <c r="D15" s="274" t="str">
        <f>IF(Data!H6="","",Data!H6)</f>
        <v>Aprianus Bira</v>
      </c>
      <c r="E15" s="275" t="str">
        <f>IF(Data!I6="","",Data!I6)</f>
        <v>L</v>
      </c>
      <c r="F15" s="276">
        <v>85</v>
      </c>
      <c r="G15" s="277">
        <v>85</v>
      </c>
      <c r="H15" s="277">
        <v>85</v>
      </c>
      <c r="I15" s="277">
        <v>85</v>
      </c>
      <c r="J15" s="277"/>
      <c r="K15" s="277"/>
      <c r="L15" s="277"/>
      <c r="M15" s="280"/>
      <c r="N15" s="277"/>
      <c r="O15" s="278"/>
      <c r="P15" s="279">
        <f>IF(COUNT(U15:AD15)&lt;2,"",ROUND(SUM(U15:AD15)/$AE$12,0))</f>
        <v>85</v>
      </c>
      <c r="Q15" s="277">
        <v>85</v>
      </c>
      <c r="R15" s="280">
        <v>85</v>
      </c>
      <c r="S15" s="281">
        <f>IFERROR(ROUND(((P15*$P$13)+(Q15*$Q$13)+(R15*$R$13))/$AF$12,0),"")</f>
        <v>85</v>
      </c>
      <c r="T15" s="295" t="str">
        <f>IF(S15="","",IF(S15&gt;$H$76,$Q$75,IF(S15&gt;$H$77,$Q$76,IF(S15&gt;$H$78,$Q$77,$Q$78))))</f>
        <v>B</v>
      </c>
      <c r="U15" s="1215">
        <f t="shared" si="7"/>
        <v>85.01</v>
      </c>
      <c r="V15" s="1216">
        <f t="shared" si="7"/>
        <v>85.02</v>
      </c>
      <c r="W15" s="1216">
        <f t="shared" si="7"/>
        <v>85.03</v>
      </c>
      <c r="X15" s="1216">
        <f t="shared" si="7"/>
        <v>85.04</v>
      </c>
      <c r="Y15" s="1216" t="str">
        <f t="shared" si="7"/>
        <v/>
      </c>
      <c r="Z15" s="1216" t="str">
        <f t="shared" si="7"/>
        <v/>
      </c>
      <c r="AA15" s="1216" t="str">
        <f t="shared" si="7"/>
        <v/>
      </c>
      <c r="AB15" s="1217" t="str">
        <f t="shared" si="7"/>
        <v/>
      </c>
      <c r="AC15" s="1216" t="str">
        <f t="shared" si="7"/>
        <v/>
      </c>
      <c r="AD15" s="1218" t="str">
        <f t="shared" si="7"/>
        <v/>
      </c>
      <c r="AE15" s="1219">
        <f>MAX(U15:AD15)</f>
        <v>85.04</v>
      </c>
      <c r="AF15" s="282">
        <f>MIN(U15:AD15)</f>
        <v>85.01</v>
      </c>
      <c r="AG15" s="282" t="str">
        <f>IF(AE15&gt;$H$76,$I$75,IF(AE15&gt;$H$77,$I$76,IF(AE15&gt;$H$78,$I$77,$I$78)))</f>
        <v>baik</v>
      </c>
      <c r="AH15" s="282" t="str">
        <f t="shared" si="10"/>
        <v>baik</v>
      </c>
      <c r="AI15" s="282">
        <f>IFERROR(MATCH(AE15,U15:AD15,0),"")</f>
        <v>4</v>
      </c>
      <c r="AJ15" s="283">
        <f>IFERROR(MATCH(AF15,U15:AD15,0),"")</f>
        <v>1</v>
      </c>
      <c r="AK15" s="284" t="str">
        <f>IF(S15="","",IFERROR("Memiliki kemampuan "&amp;IF(AG15=AH15,AG15&amp;" dalam "&amp;VLOOKUP(AI15,$S$2:$AK$11,19)&amp;" dan "&amp;VLOOKUP(AJ15,$S$2:$AK$11,19),AG15&amp;" dalam "&amp;VLOOKUP(AI15,$S$2:$AK$11,19)&amp;", "&amp;AH15&amp;" kemampuan dalam "&amp;VLOOKUP(AJ15,$S$2:$AK$11,19)),""))</f>
        <v>Memiliki kemampuan baik dalam Menafsirkan unsur dan fungsi dari sebuah lirik lagu  dan Memahami teks memberi dan meminta informasi di masa lalu</v>
      </c>
      <c r="AL15" s="276">
        <v>85</v>
      </c>
      <c r="AM15" s="277">
        <v>85</v>
      </c>
      <c r="AN15" s="277">
        <v>85</v>
      </c>
      <c r="AO15" s="277">
        <v>90</v>
      </c>
      <c r="AP15" s="277"/>
      <c r="AQ15" s="277"/>
      <c r="AR15" s="277"/>
      <c r="AS15" s="280"/>
      <c r="AT15" s="277"/>
      <c r="AU15" s="278"/>
      <c r="AV15" s="285">
        <f>IF(COUNT(AL15:AU15)&lt;2,"",ROUND(((AL15*$AX$13)+(AM15*$AY$13)+(AN15*$AZ$13)+(AO15*$BA$13)+(AP15*$BB$13)+(AQ15*$BC$13)+(AR15*$BD$13)+(AS15*$BE$13)+(AT15*$BF$13)+(AU15*$BG$13))/$BH$11,0))</f>
        <v>86</v>
      </c>
      <c r="AW15" s="296" t="str">
        <f>IF(AV15="","",IF(AV15&gt;$AN$76,$AV$75,IF(AV15&gt;$AN$77,$AV$76,IF(AV15&gt;$AN$78,$AV$77,$AV$78))))</f>
        <v>B</v>
      </c>
      <c r="AX15" s="1220">
        <f t="shared" si="16"/>
        <v>85.01</v>
      </c>
      <c r="AY15" s="1221">
        <f t="shared" si="16"/>
        <v>85.02</v>
      </c>
      <c r="AZ15" s="1221">
        <f>IF(AN15="","",AN15+AZ$12)</f>
        <v>85.03</v>
      </c>
      <c r="BA15" s="1221">
        <f t="shared" si="16"/>
        <v>90.04</v>
      </c>
      <c r="BB15" s="1221" t="str">
        <f t="shared" si="16"/>
        <v/>
      </c>
      <c r="BC15" s="1221" t="str">
        <f t="shared" si="16"/>
        <v/>
      </c>
      <c r="BD15" s="1221" t="str">
        <f t="shared" si="16"/>
        <v/>
      </c>
      <c r="BE15" s="1222" t="str">
        <f t="shared" si="16"/>
        <v/>
      </c>
      <c r="BF15" s="1221" t="str">
        <f t="shared" si="16"/>
        <v/>
      </c>
      <c r="BG15" s="1223" t="str">
        <f t="shared" si="16"/>
        <v/>
      </c>
      <c r="BH15" s="286">
        <f>MAX(AX15:BG15)</f>
        <v>90.04</v>
      </c>
      <c r="BI15" s="286">
        <f>MIN(AX15:BG15)</f>
        <v>85.01</v>
      </c>
      <c r="BJ15" s="287" t="str">
        <f>IF(BH15&gt;$H$76,$AO$75,IF(BH15&gt;$H$77,$AO$76,IF(BH15&gt;$H$78,$AO$77,$AO$78)))</f>
        <v>baik</v>
      </c>
      <c r="BK15" s="287" t="str">
        <f>IF(BI15&gt;$H$76,$AO$75,IF(BI15&gt;$H$77,$AO$76,IF(BI15&gt;$H$78,$AO$77,$AO$78)))</f>
        <v>baik</v>
      </c>
      <c r="BL15" s="286">
        <f>MATCH(BH15,AX15:BG15,0)</f>
        <v>4</v>
      </c>
      <c r="BM15" s="288">
        <f>MATCH(BI15,AX15:BG15,0)</f>
        <v>1</v>
      </c>
      <c r="BN15" s="289" t="str">
        <f>IF(AV15="","",IFERROR("Memiliki keterampilan "&amp;IF(BJ15=BK15,BJ15&amp;" dalam "&amp;VLOOKUP(BL15,$AV$2:$BN$11,19)&amp;" dan "&amp;VLOOKUP(BM15,$AV$2:$BN$11,19),BJ15&amp;" dalam "&amp;VLOOKUP(BL15,$AV$2:$BN$11,19)&amp;", "&amp;BK15&amp;" keterampilan dalam "&amp;VLOOKUP(BM15,$AV$2:$BN$11,19)),""))</f>
        <v>Memiliki keterampilan baik dalam Menyayikan sebuah lagu bahasa inggris sederhana dan Menyusun teks tentang Past Event</v>
      </c>
      <c r="BO15" s="67"/>
    </row>
    <row r="16" spans="1:67" ht="33" customHeight="1">
      <c r="A16" s="67"/>
      <c r="B16" s="272">
        <f t="shared" ref="B16:B37" si="23">IF(D16="","",B15+1)</f>
        <v>3</v>
      </c>
      <c r="C16" s="273">
        <f>IF(Data!F7="","",Data!F7)</f>
        <v>0</v>
      </c>
      <c r="D16" s="274" t="str">
        <f>IF(Data!H7="","",Data!H7)</f>
        <v>Asri Aldina Baksuni</v>
      </c>
      <c r="E16" s="275" t="str">
        <f>IF(Data!I7="","",Data!I7)</f>
        <v>P</v>
      </c>
      <c r="F16" s="276">
        <v>85</v>
      </c>
      <c r="G16" s="277">
        <v>87</v>
      </c>
      <c r="H16" s="277">
        <v>87</v>
      </c>
      <c r="I16" s="277">
        <v>90</v>
      </c>
      <c r="J16" s="277"/>
      <c r="K16" s="277"/>
      <c r="L16" s="277"/>
      <c r="M16" s="280"/>
      <c r="N16" s="277"/>
      <c r="O16" s="278"/>
      <c r="P16" s="279">
        <f t="shared" ref="P16:P63" si="24">IF(COUNT(U16:AD16)&lt;2,"",ROUND(SUM(U16:AD16)/$AE$12,0))</f>
        <v>87</v>
      </c>
      <c r="Q16" s="277">
        <v>86</v>
      </c>
      <c r="R16" s="280">
        <v>88</v>
      </c>
      <c r="S16" s="281">
        <f t="shared" ref="S16:S63" si="25">IFERROR(ROUND(((P16*$P$13)+(Q16*$Q$13)+(R16*$R$13))/$AF$12,0),"")</f>
        <v>87</v>
      </c>
      <c r="T16" s="295" t="str">
        <f t="shared" ref="T16:T63" si="26">IF(S16="","",IF(S16&gt;$H$76,$Q$75,IF(S16&gt;$H$77,$Q$76,IF(S16&gt;$H$78,$Q$77,$Q$78))))</f>
        <v>B</v>
      </c>
      <c r="U16" s="1215">
        <f t="shared" si="7"/>
        <v>85.01</v>
      </c>
      <c r="V16" s="1216">
        <f t="shared" si="7"/>
        <v>87.02</v>
      </c>
      <c r="W16" s="1216">
        <f t="shared" si="7"/>
        <v>87.03</v>
      </c>
      <c r="X16" s="1216">
        <f t="shared" si="7"/>
        <v>90.04</v>
      </c>
      <c r="Y16" s="1216" t="str">
        <f t="shared" si="7"/>
        <v/>
      </c>
      <c r="Z16" s="1216" t="str">
        <f t="shared" si="7"/>
        <v/>
      </c>
      <c r="AA16" s="1216" t="str">
        <f t="shared" si="7"/>
        <v/>
      </c>
      <c r="AB16" s="1217" t="str">
        <f t="shared" si="7"/>
        <v/>
      </c>
      <c r="AC16" s="1216" t="str">
        <f t="shared" si="7"/>
        <v/>
      </c>
      <c r="AD16" s="1218" t="str">
        <f t="shared" si="7"/>
        <v/>
      </c>
      <c r="AE16" s="1219">
        <f t="shared" ref="AE16:AE63" si="27">MAX(U16:AD16)</f>
        <v>90.04</v>
      </c>
      <c r="AF16" s="282">
        <f t="shared" ref="AF16:AF63" si="28">MIN(U16:AD16)</f>
        <v>85.01</v>
      </c>
      <c r="AG16" s="282" t="str">
        <f t="shared" ref="AG16:AH63" si="29">IF(AE16&gt;$H$76,$I$75,IF(AE16&gt;$H$77,$I$76,IF(AE16&gt;$H$78,$I$77,$I$78)))</f>
        <v>baik</v>
      </c>
      <c r="AH16" s="282" t="str">
        <f t="shared" si="10"/>
        <v>baik</v>
      </c>
      <c r="AI16" s="282">
        <f t="shared" ref="AI16:AI63" si="30">IFERROR(MATCH(AE16,U16:AD16,0),"")</f>
        <v>4</v>
      </c>
      <c r="AJ16" s="283">
        <f t="shared" ref="AJ16:AJ63" si="31">IFERROR(MATCH(AF16,U16:AD16,0),"")</f>
        <v>1</v>
      </c>
      <c r="AK16" s="284" t="str">
        <f t="shared" ref="AK16:AK63" si="32">IF(S16="","",IFERROR("Memiliki kemampuan "&amp;IF(AG16=AH16,AG16&amp;" dalam "&amp;VLOOKUP(AI16,$S$2:$AK$11,19)&amp;" dan "&amp;VLOOKUP(AJ16,$S$2:$AK$11,19),AG16&amp;" dalam "&amp;VLOOKUP(AI16,$S$2:$AK$11,19)&amp;", "&amp;AH16&amp;" kemampuan dalam "&amp;VLOOKUP(AJ16,$S$2:$AK$11,19)),""))</f>
        <v>Memiliki kemampuan baik dalam Menafsirkan unsur dan fungsi dari sebuah lirik lagu  dan Memahami teks memberi dan meminta informasi di masa lalu</v>
      </c>
      <c r="AL16" s="276">
        <v>85</v>
      </c>
      <c r="AM16" s="277">
        <v>85</v>
      </c>
      <c r="AN16" s="277">
        <v>85</v>
      </c>
      <c r="AO16" s="277">
        <v>90</v>
      </c>
      <c r="AP16" s="277"/>
      <c r="AQ16" s="277"/>
      <c r="AR16" s="277"/>
      <c r="AS16" s="280"/>
      <c r="AT16" s="277"/>
      <c r="AU16" s="278"/>
      <c r="AV16" s="285">
        <f t="shared" ref="AV16:AV63" si="33">IF(COUNT(AL16:AU16)&lt;2,"",ROUND(((AL16*$AX$13)+(AM16*$AY$13)+(AN16*$AZ$13)+(AO16*$BA$13)+(AP16*$BB$13)+(AQ16*$BC$13)+(AR16*$BD$13)+(AS16*$BE$13)+(AT16*$BF$13)+(AU16*$BG$13))/$BH$11,0))</f>
        <v>86</v>
      </c>
      <c r="AW16" s="296" t="str">
        <f t="shared" ref="AW16:AW63" si="34">IF(AV16="","",IF(AV16&gt;$AN$76,$AV$75,IF(AV16&gt;$AN$77,$AV$76,IF(AV16&gt;$AN$78,$AV$77,$AV$78))))</f>
        <v>B</v>
      </c>
      <c r="AX16" s="1220">
        <f t="shared" si="16"/>
        <v>85.01</v>
      </c>
      <c r="AY16" s="1221">
        <f t="shared" si="16"/>
        <v>85.02</v>
      </c>
      <c r="AZ16" s="1221">
        <f t="shared" si="16"/>
        <v>85.03</v>
      </c>
      <c r="BA16" s="1221">
        <f t="shared" si="16"/>
        <v>90.04</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90.04</v>
      </c>
      <c r="BI16" s="286">
        <f t="shared" ref="BI16:BI63" si="36">MIN(AX16:BG16)</f>
        <v>85.01</v>
      </c>
      <c r="BJ16" s="287" t="str">
        <f t="shared" ref="BJ16:BK63" si="37">IF(BH16&gt;$H$76,$AO$75,IF(BH16&gt;$H$77,$AO$76,IF(BH16&gt;$H$78,$AO$77,$AO$78)))</f>
        <v>baik</v>
      </c>
      <c r="BK16" s="287" t="str">
        <f t="shared" si="37"/>
        <v>baik</v>
      </c>
      <c r="BL16" s="286">
        <f t="shared" ref="BL16:BL63" si="38">MATCH(BH16,AX16:BG16,0)</f>
        <v>4</v>
      </c>
      <c r="BM16" s="288">
        <f t="shared" ref="BM16:BM63" si="39">MATCH(BI16,AX16:BG16,0)</f>
        <v>1</v>
      </c>
      <c r="BN16" s="289" t="str">
        <f t="shared" ref="BN16:BN63" si="40">IF(AV16="","",IFERROR("Memiliki keterampilan "&amp;IF(BJ16=BK16,BJ16&amp;" dalam "&amp;VLOOKUP(BL16,$AV$2:$BN$11,19)&amp;" dan "&amp;VLOOKUP(BM16,$AV$2:$BN$11,19),BJ16&amp;" dalam "&amp;VLOOKUP(BL16,$AV$2:$BN$11,19)&amp;", "&amp;BK16&amp;" keterampilan dalam "&amp;VLOOKUP(BM16,$AV$2:$BN$11,19)),""))</f>
        <v>Memiliki keterampilan baik dalam Menyayikan sebuah lagu bahasa inggris sederhana dan Menyusun teks tentang Past Event</v>
      </c>
      <c r="BO16" s="67"/>
    </row>
    <row r="17" spans="1:67" ht="33" customHeight="1">
      <c r="A17" s="67"/>
      <c r="B17" s="272">
        <f t="shared" si="23"/>
        <v>4</v>
      </c>
      <c r="C17" s="273">
        <f>IF(Data!F8="","",Data!F8)</f>
        <v>0</v>
      </c>
      <c r="D17" s="274" t="str">
        <f>IF(Data!H8="","",Data!H8)</f>
        <v>Asti Welmince Welkis</v>
      </c>
      <c r="E17" s="275" t="str">
        <f>IF(Data!I8="","",Data!I8)</f>
        <v>P</v>
      </c>
      <c r="F17" s="276">
        <v>80</v>
      </c>
      <c r="G17" s="277">
        <v>84</v>
      </c>
      <c r="H17" s="277">
        <v>84</v>
      </c>
      <c r="I17" s="277">
        <v>85</v>
      </c>
      <c r="J17" s="277"/>
      <c r="K17" s="277"/>
      <c r="L17" s="277"/>
      <c r="M17" s="280"/>
      <c r="N17" s="277"/>
      <c r="O17" s="278"/>
      <c r="P17" s="279">
        <f t="shared" si="24"/>
        <v>83</v>
      </c>
      <c r="Q17" s="277">
        <v>85</v>
      </c>
      <c r="R17" s="280">
        <v>85</v>
      </c>
      <c r="S17" s="281">
        <f t="shared" si="25"/>
        <v>84</v>
      </c>
      <c r="T17" s="295" t="str">
        <f t="shared" si="26"/>
        <v>C</v>
      </c>
      <c r="U17" s="1215">
        <f t="shared" si="7"/>
        <v>80.010000000000005</v>
      </c>
      <c r="V17" s="1216">
        <f t="shared" si="7"/>
        <v>84.02</v>
      </c>
      <c r="W17" s="1216">
        <f t="shared" si="7"/>
        <v>84.03</v>
      </c>
      <c r="X17" s="1216">
        <f t="shared" si="7"/>
        <v>85.04</v>
      </c>
      <c r="Y17" s="1216" t="str">
        <f t="shared" si="7"/>
        <v/>
      </c>
      <c r="Z17" s="1216" t="str">
        <f t="shared" si="7"/>
        <v/>
      </c>
      <c r="AA17" s="1216" t="str">
        <f t="shared" si="7"/>
        <v/>
      </c>
      <c r="AB17" s="1217" t="str">
        <f t="shared" si="7"/>
        <v/>
      </c>
      <c r="AC17" s="1216" t="str">
        <f t="shared" si="7"/>
        <v/>
      </c>
      <c r="AD17" s="1218" t="str">
        <f t="shared" si="7"/>
        <v/>
      </c>
      <c r="AE17" s="1219">
        <f t="shared" si="27"/>
        <v>85.04</v>
      </c>
      <c r="AF17" s="282">
        <f t="shared" si="28"/>
        <v>80.010000000000005</v>
      </c>
      <c r="AG17" s="282" t="str">
        <f t="shared" si="29"/>
        <v>baik</v>
      </c>
      <c r="AH17" s="282" t="str">
        <f t="shared" si="10"/>
        <v>cukup</v>
      </c>
      <c r="AI17" s="282">
        <f t="shared" si="30"/>
        <v>4</v>
      </c>
      <c r="AJ17" s="283">
        <f t="shared" si="31"/>
        <v>1</v>
      </c>
      <c r="AK17" s="284" t="str">
        <f t="shared" si="32"/>
        <v>Memiliki kemampuan baik dalam Menafsirkan unsur dan fungsi dari sebuah lirik lagu , cukup kemampuan dalam Memahami teks memberi dan meminta informasi di masa lalu</v>
      </c>
      <c r="AL17" s="276">
        <v>85</v>
      </c>
      <c r="AM17" s="277">
        <v>85</v>
      </c>
      <c r="AN17" s="277">
        <v>85</v>
      </c>
      <c r="AO17" s="277">
        <v>90</v>
      </c>
      <c r="AP17" s="277"/>
      <c r="AQ17" s="277"/>
      <c r="AR17" s="277"/>
      <c r="AS17" s="280"/>
      <c r="AT17" s="277"/>
      <c r="AU17" s="278"/>
      <c r="AV17" s="285">
        <f t="shared" si="33"/>
        <v>86</v>
      </c>
      <c r="AW17" s="296" t="str">
        <f t="shared" si="34"/>
        <v>B</v>
      </c>
      <c r="AX17" s="1220">
        <f t="shared" si="16"/>
        <v>85.01</v>
      </c>
      <c r="AY17" s="1221">
        <f t="shared" si="16"/>
        <v>85.02</v>
      </c>
      <c r="AZ17" s="1221">
        <f t="shared" si="16"/>
        <v>85.03</v>
      </c>
      <c r="BA17" s="1221">
        <f t="shared" si="16"/>
        <v>90.04</v>
      </c>
      <c r="BB17" s="1221" t="str">
        <f t="shared" si="16"/>
        <v/>
      </c>
      <c r="BC17" s="1221" t="str">
        <f t="shared" si="16"/>
        <v/>
      </c>
      <c r="BD17" s="1221" t="str">
        <f t="shared" si="16"/>
        <v/>
      </c>
      <c r="BE17" s="1222" t="str">
        <f t="shared" si="16"/>
        <v/>
      </c>
      <c r="BF17" s="1221" t="str">
        <f t="shared" si="16"/>
        <v/>
      </c>
      <c r="BG17" s="1223" t="str">
        <f t="shared" si="16"/>
        <v/>
      </c>
      <c r="BH17" s="286">
        <f t="shared" si="35"/>
        <v>90.04</v>
      </c>
      <c r="BI17" s="286">
        <f t="shared" si="36"/>
        <v>85.01</v>
      </c>
      <c r="BJ17" s="287" t="str">
        <f t="shared" si="37"/>
        <v>baik</v>
      </c>
      <c r="BK17" s="287" t="str">
        <f t="shared" si="37"/>
        <v>baik</v>
      </c>
      <c r="BL17" s="286">
        <f t="shared" si="38"/>
        <v>4</v>
      </c>
      <c r="BM17" s="288">
        <f t="shared" si="39"/>
        <v>1</v>
      </c>
      <c r="BN17" s="289" t="str">
        <f t="shared" si="40"/>
        <v>Memiliki keterampilan baik dalam Menyayikan sebuah lagu bahasa inggris sederhana dan Menyusun teks tentang Past Event</v>
      </c>
      <c r="BO17" s="67"/>
    </row>
    <row r="18" spans="1:67" ht="33" customHeight="1">
      <c r="A18" s="67"/>
      <c r="B18" s="272">
        <f t="shared" si="23"/>
        <v>5</v>
      </c>
      <c r="C18" s="273">
        <f>IF(Data!F9="","",Data!F9)</f>
        <v>0</v>
      </c>
      <c r="D18" s="274" t="str">
        <f>IF(Data!H9="","",Data!H9)</f>
        <v>Aulya Noviyanti Mbura</v>
      </c>
      <c r="E18" s="275" t="str">
        <f>IF(Data!I9="","",Data!I9)</f>
        <v>P</v>
      </c>
      <c r="F18" s="276">
        <v>85</v>
      </c>
      <c r="G18" s="277">
        <v>86</v>
      </c>
      <c r="H18" s="277">
        <v>89</v>
      </c>
      <c r="I18" s="277">
        <v>85</v>
      </c>
      <c r="J18" s="277"/>
      <c r="K18" s="277"/>
      <c r="L18" s="277"/>
      <c r="M18" s="280"/>
      <c r="N18" s="277"/>
      <c r="O18" s="278"/>
      <c r="P18" s="279">
        <f t="shared" si="24"/>
        <v>86</v>
      </c>
      <c r="Q18" s="277">
        <v>85</v>
      </c>
      <c r="R18" s="280">
        <v>88</v>
      </c>
      <c r="S18" s="281">
        <f t="shared" si="25"/>
        <v>86</v>
      </c>
      <c r="T18" s="295" t="str">
        <f t="shared" si="26"/>
        <v>B</v>
      </c>
      <c r="U18" s="1215">
        <f t="shared" si="7"/>
        <v>85.01</v>
      </c>
      <c r="V18" s="1216">
        <f t="shared" si="7"/>
        <v>86.02</v>
      </c>
      <c r="W18" s="1216">
        <f t="shared" si="7"/>
        <v>89.03</v>
      </c>
      <c r="X18" s="1216">
        <f t="shared" si="7"/>
        <v>85.04</v>
      </c>
      <c r="Y18" s="1216" t="str">
        <f t="shared" si="7"/>
        <v/>
      </c>
      <c r="Z18" s="1216" t="str">
        <f t="shared" si="7"/>
        <v/>
      </c>
      <c r="AA18" s="1216" t="str">
        <f t="shared" si="7"/>
        <v/>
      </c>
      <c r="AB18" s="1217" t="str">
        <f t="shared" si="7"/>
        <v/>
      </c>
      <c r="AC18" s="1216" t="str">
        <f t="shared" si="7"/>
        <v/>
      </c>
      <c r="AD18" s="1218" t="str">
        <f t="shared" si="7"/>
        <v/>
      </c>
      <c r="AE18" s="1219">
        <f t="shared" si="27"/>
        <v>89.03</v>
      </c>
      <c r="AF18" s="282">
        <f t="shared" si="28"/>
        <v>85.01</v>
      </c>
      <c r="AG18" s="282" t="str">
        <f t="shared" si="29"/>
        <v>baik</v>
      </c>
      <c r="AH18" s="282" t="str">
        <f t="shared" si="10"/>
        <v>baik</v>
      </c>
      <c r="AI18" s="282">
        <f t="shared" si="30"/>
        <v>3</v>
      </c>
      <c r="AJ18" s="283">
        <f t="shared" si="31"/>
        <v>1</v>
      </c>
      <c r="AK18" s="284" t="str">
        <f t="shared" si="32"/>
        <v>Memiliki kemampuan baik dalam Memahami unsur-unsur penting dalam menyusun teks naratif dan Memahami teks memberi dan meminta informasi di masa lalu</v>
      </c>
      <c r="AL18" s="276">
        <v>85</v>
      </c>
      <c r="AM18" s="277">
        <v>85</v>
      </c>
      <c r="AN18" s="277">
        <v>85</v>
      </c>
      <c r="AO18" s="277">
        <v>90</v>
      </c>
      <c r="AP18" s="277"/>
      <c r="AQ18" s="277"/>
      <c r="AR18" s="277"/>
      <c r="AS18" s="280"/>
      <c r="AT18" s="277"/>
      <c r="AU18" s="278"/>
      <c r="AV18" s="285">
        <f t="shared" si="33"/>
        <v>86</v>
      </c>
      <c r="AW18" s="296" t="str">
        <f t="shared" si="34"/>
        <v>B</v>
      </c>
      <c r="AX18" s="1220">
        <f t="shared" si="16"/>
        <v>85.01</v>
      </c>
      <c r="AY18" s="1221">
        <f t="shared" si="16"/>
        <v>85.02</v>
      </c>
      <c r="AZ18" s="1221">
        <f t="shared" si="16"/>
        <v>85.03</v>
      </c>
      <c r="BA18" s="1221">
        <f t="shared" si="16"/>
        <v>90.04</v>
      </c>
      <c r="BB18" s="1221" t="str">
        <f t="shared" si="16"/>
        <v/>
      </c>
      <c r="BC18" s="1221" t="str">
        <f t="shared" si="16"/>
        <v/>
      </c>
      <c r="BD18" s="1221" t="str">
        <f t="shared" si="16"/>
        <v/>
      </c>
      <c r="BE18" s="1222" t="str">
        <f t="shared" si="16"/>
        <v/>
      </c>
      <c r="BF18" s="1221" t="str">
        <f t="shared" si="16"/>
        <v/>
      </c>
      <c r="BG18" s="1223" t="str">
        <f t="shared" si="16"/>
        <v/>
      </c>
      <c r="BH18" s="286">
        <f t="shared" si="35"/>
        <v>90.04</v>
      </c>
      <c r="BI18" s="286">
        <f t="shared" si="36"/>
        <v>85.01</v>
      </c>
      <c r="BJ18" s="287" t="str">
        <f t="shared" si="37"/>
        <v>baik</v>
      </c>
      <c r="BK18" s="287" t="str">
        <f t="shared" si="37"/>
        <v>baik</v>
      </c>
      <c r="BL18" s="286">
        <f t="shared" si="38"/>
        <v>4</v>
      </c>
      <c r="BM18" s="288">
        <f t="shared" si="39"/>
        <v>1</v>
      </c>
      <c r="BN18" s="289" t="str">
        <f t="shared" si="40"/>
        <v>Memiliki keterampilan baik dalam Menyayikan sebuah lagu bahasa inggris sederhana dan Menyusun teks tentang Past Event</v>
      </c>
      <c r="BO18" s="67"/>
    </row>
    <row r="19" spans="1:67" ht="33" customHeight="1">
      <c r="A19" s="67"/>
      <c r="B19" s="272">
        <f t="shared" si="23"/>
        <v>6</v>
      </c>
      <c r="C19" s="273">
        <f>IF(Data!F10="","",Data!F10)</f>
        <v>0</v>
      </c>
      <c r="D19" s="274" t="str">
        <f>IF(Data!H10="","",Data!H10)</f>
        <v>Ayu Oliberta Ranboki</v>
      </c>
      <c r="E19" s="275" t="str">
        <f>IF(Data!I10="","",Data!I10)</f>
        <v>P</v>
      </c>
      <c r="F19" s="276">
        <v>80</v>
      </c>
      <c r="G19" s="277">
        <v>85</v>
      </c>
      <c r="H19" s="277">
        <v>84</v>
      </c>
      <c r="I19" s="277">
        <v>85</v>
      </c>
      <c r="J19" s="277"/>
      <c r="K19" s="277"/>
      <c r="L19" s="277"/>
      <c r="M19" s="280"/>
      <c r="N19" s="277"/>
      <c r="O19" s="278"/>
      <c r="P19" s="279">
        <f t="shared" si="24"/>
        <v>84</v>
      </c>
      <c r="Q19" s="277">
        <v>85</v>
      </c>
      <c r="R19" s="280">
        <v>85</v>
      </c>
      <c r="S19" s="281">
        <f t="shared" si="25"/>
        <v>85</v>
      </c>
      <c r="T19" s="295" t="str">
        <f t="shared" si="26"/>
        <v>B</v>
      </c>
      <c r="U19" s="1215">
        <f t="shared" si="7"/>
        <v>80.010000000000005</v>
      </c>
      <c r="V19" s="1216">
        <f t="shared" si="7"/>
        <v>85.02</v>
      </c>
      <c r="W19" s="1216">
        <f t="shared" si="7"/>
        <v>84.03</v>
      </c>
      <c r="X19" s="1216">
        <f t="shared" si="7"/>
        <v>85.04</v>
      </c>
      <c r="Y19" s="1216" t="str">
        <f t="shared" si="7"/>
        <v/>
      </c>
      <c r="Z19" s="1216" t="str">
        <f t="shared" si="7"/>
        <v/>
      </c>
      <c r="AA19" s="1216" t="str">
        <f t="shared" si="7"/>
        <v/>
      </c>
      <c r="AB19" s="1217" t="str">
        <f t="shared" si="7"/>
        <v/>
      </c>
      <c r="AC19" s="1216" t="str">
        <f t="shared" si="7"/>
        <v/>
      </c>
      <c r="AD19" s="1218" t="str">
        <f t="shared" si="7"/>
        <v/>
      </c>
      <c r="AE19" s="1219">
        <f t="shared" si="27"/>
        <v>85.04</v>
      </c>
      <c r="AF19" s="282">
        <f t="shared" si="28"/>
        <v>80.010000000000005</v>
      </c>
      <c r="AG19" s="282" t="str">
        <f t="shared" si="29"/>
        <v>baik</v>
      </c>
      <c r="AH19" s="282" t="str">
        <f t="shared" si="10"/>
        <v>cukup</v>
      </c>
      <c r="AI19" s="282">
        <f t="shared" si="30"/>
        <v>4</v>
      </c>
      <c r="AJ19" s="283">
        <f t="shared" si="31"/>
        <v>1</v>
      </c>
      <c r="AK19" s="284" t="str">
        <f t="shared" si="32"/>
        <v>Memiliki kemampuan baik dalam Menafsirkan unsur dan fungsi dari sebuah lirik lagu , cukup kemampuan dalam Memahami teks memberi dan meminta informasi di masa lalu</v>
      </c>
      <c r="AL19" s="276">
        <v>85</v>
      </c>
      <c r="AM19" s="277">
        <v>85</v>
      </c>
      <c r="AN19" s="277">
        <v>85</v>
      </c>
      <c r="AO19" s="277">
        <v>90</v>
      </c>
      <c r="AP19" s="277"/>
      <c r="AQ19" s="277"/>
      <c r="AR19" s="277"/>
      <c r="AS19" s="280"/>
      <c r="AT19" s="277"/>
      <c r="AU19" s="278"/>
      <c r="AV19" s="285">
        <f t="shared" si="33"/>
        <v>86</v>
      </c>
      <c r="AW19" s="296" t="str">
        <f t="shared" si="34"/>
        <v>B</v>
      </c>
      <c r="AX19" s="1220">
        <f t="shared" si="16"/>
        <v>85.01</v>
      </c>
      <c r="AY19" s="1221">
        <f t="shared" si="16"/>
        <v>85.02</v>
      </c>
      <c r="AZ19" s="1221">
        <f t="shared" si="16"/>
        <v>85.03</v>
      </c>
      <c r="BA19" s="1221">
        <f t="shared" si="16"/>
        <v>90.04</v>
      </c>
      <c r="BB19" s="1221" t="str">
        <f t="shared" si="16"/>
        <v/>
      </c>
      <c r="BC19" s="1221" t="str">
        <f t="shared" si="16"/>
        <v/>
      </c>
      <c r="BD19" s="1221" t="str">
        <f t="shared" si="16"/>
        <v/>
      </c>
      <c r="BE19" s="1222" t="str">
        <f t="shared" si="16"/>
        <v/>
      </c>
      <c r="BF19" s="1221" t="str">
        <f t="shared" si="16"/>
        <v/>
      </c>
      <c r="BG19" s="1223" t="str">
        <f t="shared" si="16"/>
        <v/>
      </c>
      <c r="BH19" s="286">
        <f t="shared" si="35"/>
        <v>90.04</v>
      </c>
      <c r="BI19" s="286">
        <f t="shared" si="36"/>
        <v>85.01</v>
      </c>
      <c r="BJ19" s="287" t="str">
        <f t="shared" si="37"/>
        <v>baik</v>
      </c>
      <c r="BK19" s="287" t="str">
        <f t="shared" si="37"/>
        <v>baik</v>
      </c>
      <c r="BL19" s="286">
        <f t="shared" si="38"/>
        <v>4</v>
      </c>
      <c r="BM19" s="288">
        <f t="shared" si="39"/>
        <v>1</v>
      </c>
      <c r="BN19" s="289" t="str">
        <f t="shared" si="40"/>
        <v>Memiliki keterampilan baik dalam Menyayikan sebuah lagu bahasa inggris sederhana dan Menyusun teks tentang Past Event</v>
      </c>
      <c r="BO19" s="67"/>
    </row>
    <row r="20" spans="1:67" ht="33" customHeight="1">
      <c r="A20" s="67"/>
      <c r="B20" s="272">
        <f t="shared" si="23"/>
        <v>7</v>
      </c>
      <c r="C20" s="273">
        <f>IF(Data!F11="","",Data!F11)</f>
        <v>0</v>
      </c>
      <c r="D20" s="274" t="str">
        <f>IF(Data!H11="","",Data!H11)</f>
        <v>Benediktus Faot</v>
      </c>
      <c r="E20" s="275" t="str">
        <f>IF(Data!I11="","",Data!I11)</f>
        <v>L</v>
      </c>
      <c r="F20" s="276">
        <v>82</v>
      </c>
      <c r="G20" s="277">
        <v>85</v>
      </c>
      <c r="H20" s="277">
        <v>85</v>
      </c>
      <c r="I20" s="277">
        <v>80</v>
      </c>
      <c r="J20" s="277"/>
      <c r="K20" s="277"/>
      <c r="L20" s="277"/>
      <c r="M20" s="280"/>
      <c r="N20" s="277"/>
      <c r="O20" s="278"/>
      <c r="P20" s="279">
        <f t="shared" si="24"/>
        <v>83</v>
      </c>
      <c r="Q20" s="277">
        <v>83</v>
      </c>
      <c r="R20" s="280">
        <v>85</v>
      </c>
      <c r="S20" s="281">
        <f t="shared" si="25"/>
        <v>84</v>
      </c>
      <c r="T20" s="295" t="str">
        <f t="shared" si="26"/>
        <v>C</v>
      </c>
      <c r="U20" s="1215">
        <f t="shared" si="7"/>
        <v>82.01</v>
      </c>
      <c r="V20" s="1216">
        <f t="shared" si="7"/>
        <v>85.02</v>
      </c>
      <c r="W20" s="1216">
        <f t="shared" si="7"/>
        <v>85.03</v>
      </c>
      <c r="X20" s="1216">
        <f t="shared" si="7"/>
        <v>80.040000000000006</v>
      </c>
      <c r="Y20" s="1216" t="str">
        <f t="shared" si="7"/>
        <v/>
      </c>
      <c r="Z20" s="1216" t="str">
        <f t="shared" si="7"/>
        <v/>
      </c>
      <c r="AA20" s="1216" t="str">
        <f t="shared" si="7"/>
        <v/>
      </c>
      <c r="AB20" s="1217" t="str">
        <f t="shared" si="7"/>
        <v/>
      </c>
      <c r="AC20" s="1216" t="str">
        <f t="shared" si="7"/>
        <v/>
      </c>
      <c r="AD20" s="1218" t="str">
        <f t="shared" si="7"/>
        <v/>
      </c>
      <c r="AE20" s="1219">
        <f t="shared" si="27"/>
        <v>85.03</v>
      </c>
      <c r="AF20" s="282">
        <f t="shared" si="28"/>
        <v>80.040000000000006</v>
      </c>
      <c r="AG20" s="282" t="str">
        <f t="shared" si="29"/>
        <v>baik</v>
      </c>
      <c r="AH20" s="282" t="str">
        <f t="shared" si="10"/>
        <v>cukup</v>
      </c>
      <c r="AI20" s="282">
        <f t="shared" si="30"/>
        <v>3</v>
      </c>
      <c r="AJ20" s="283">
        <f t="shared" si="31"/>
        <v>4</v>
      </c>
      <c r="AK20" s="284" t="str">
        <f t="shared" si="32"/>
        <v xml:space="preserve">Memiliki kemampuan baik dalam Memahami unsur-unsur penting dalam menyusun teks naratif, cukup kemampuan dalam Menafsirkan unsur dan fungsi dari sebuah lirik lagu </v>
      </c>
      <c r="AL20" s="276">
        <v>85</v>
      </c>
      <c r="AM20" s="277">
        <v>85</v>
      </c>
      <c r="AN20" s="277">
        <v>85</v>
      </c>
      <c r="AO20" s="277">
        <v>90</v>
      </c>
      <c r="AP20" s="277"/>
      <c r="AQ20" s="277"/>
      <c r="AR20" s="277"/>
      <c r="AS20" s="280"/>
      <c r="AT20" s="277"/>
      <c r="AU20" s="278"/>
      <c r="AV20" s="285">
        <f t="shared" si="33"/>
        <v>86</v>
      </c>
      <c r="AW20" s="296" t="str">
        <f t="shared" si="34"/>
        <v>B</v>
      </c>
      <c r="AX20" s="1220">
        <f t="shared" si="16"/>
        <v>85.01</v>
      </c>
      <c r="AY20" s="1221">
        <f t="shared" si="16"/>
        <v>85.02</v>
      </c>
      <c r="AZ20" s="1221">
        <f t="shared" si="16"/>
        <v>85.03</v>
      </c>
      <c r="BA20" s="1221">
        <f t="shared" si="16"/>
        <v>90.04</v>
      </c>
      <c r="BB20" s="1221" t="str">
        <f t="shared" si="16"/>
        <v/>
      </c>
      <c r="BC20" s="1221" t="str">
        <f t="shared" si="16"/>
        <v/>
      </c>
      <c r="BD20" s="1221" t="str">
        <f t="shared" si="16"/>
        <v/>
      </c>
      <c r="BE20" s="1222" t="str">
        <f t="shared" si="16"/>
        <v/>
      </c>
      <c r="BF20" s="1221" t="str">
        <f t="shared" si="16"/>
        <v/>
      </c>
      <c r="BG20" s="1223" t="str">
        <f t="shared" si="16"/>
        <v/>
      </c>
      <c r="BH20" s="286">
        <f t="shared" si="35"/>
        <v>90.04</v>
      </c>
      <c r="BI20" s="286">
        <f t="shared" si="36"/>
        <v>85.01</v>
      </c>
      <c r="BJ20" s="287" t="str">
        <f t="shared" si="37"/>
        <v>baik</v>
      </c>
      <c r="BK20" s="287" t="str">
        <f t="shared" si="37"/>
        <v>baik</v>
      </c>
      <c r="BL20" s="286">
        <f t="shared" si="38"/>
        <v>4</v>
      </c>
      <c r="BM20" s="288">
        <f t="shared" si="39"/>
        <v>1</v>
      </c>
      <c r="BN20" s="289" t="str">
        <f t="shared" si="40"/>
        <v>Memiliki keterampilan baik dalam Menyayikan sebuah lagu bahasa inggris sederhana dan Menyusun teks tentang Past Event</v>
      </c>
      <c r="BO20" s="67"/>
    </row>
    <row r="21" spans="1:67" ht="33" customHeight="1">
      <c r="A21" s="67"/>
      <c r="B21" s="272">
        <f t="shared" si="23"/>
        <v>8</v>
      </c>
      <c r="C21" s="273">
        <f>IF(Data!F12="","",Data!F12)</f>
        <v>0</v>
      </c>
      <c r="D21" s="274" t="str">
        <f>IF(Data!H12="","",Data!H12)</f>
        <v>Betron Imanuel Kuni</v>
      </c>
      <c r="E21" s="275" t="str">
        <f>IF(Data!I12="","",Data!I12)</f>
        <v>L</v>
      </c>
      <c r="F21" s="276">
        <v>80</v>
      </c>
      <c r="G21" s="277">
        <v>80</v>
      </c>
      <c r="H21" s="277">
        <v>81</v>
      </c>
      <c r="I21" s="277">
        <v>80</v>
      </c>
      <c r="J21" s="277"/>
      <c r="K21" s="277"/>
      <c r="L21" s="277"/>
      <c r="M21" s="280"/>
      <c r="N21" s="277"/>
      <c r="O21" s="278"/>
      <c r="P21" s="279">
        <f t="shared" si="24"/>
        <v>80</v>
      </c>
      <c r="Q21" s="277">
        <v>80</v>
      </c>
      <c r="R21" s="280">
        <v>80</v>
      </c>
      <c r="S21" s="281">
        <f t="shared" si="25"/>
        <v>80</v>
      </c>
      <c r="T21" s="295" t="str">
        <f t="shared" si="26"/>
        <v>C</v>
      </c>
      <c r="U21" s="1215">
        <f t="shared" si="7"/>
        <v>80.010000000000005</v>
      </c>
      <c r="V21" s="1216">
        <f t="shared" si="7"/>
        <v>80.02</v>
      </c>
      <c r="W21" s="1216">
        <f t="shared" si="7"/>
        <v>81.03</v>
      </c>
      <c r="X21" s="1216">
        <f t="shared" si="7"/>
        <v>80.040000000000006</v>
      </c>
      <c r="Y21" s="1216" t="str">
        <f t="shared" si="7"/>
        <v/>
      </c>
      <c r="Z21" s="1216" t="str">
        <f t="shared" si="7"/>
        <v/>
      </c>
      <c r="AA21" s="1216" t="str">
        <f t="shared" si="7"/>
        <v/>
      </c>
      <c r="AB21" s="1217" t="str">
        <f t="shared" si="7"/>
        <v/>
      </c>
      <c r="AC21" s="1216" t="str">
        <f t="shared" si="7"/>
        <v/>
      </c>
      <c r="AD21" s="1218" t="str">
        <f t="shared" si="7"/>
        <v/>
      </c>
      <c r="AE21" s="1219">
        <f t="shared" si="27"/>
        <v>81.03</v>
      </c>
      <c r="AF21" s="282">
        <f t="shared" si="28"/>
        <v>80.010000000000005</v>
      </c>
      <c r="AG21" s="282" t="str">
        <f t="shared" si="29"/>
        <v>cukup</v>
      </c>
      <c r="AH21" s="282" t="str">
        <f t="shared" si="10"/>
        <v>cukup</v>
      </c>
      <c r="AI21" s="282">
        <f t="shared" si="30"/>
        <v>3</v>
      </c>
      <c r="AJ21" s="283">
        <f t="shared" si="31"/>
        <v>1</v>
      </c>
      <c r="AK21" s="284" t="str">
        <f t="shared" si="32"/>
        <v>Memiliki kemampuan cukup dalam Memahami unsur-unsur penting dalam menyusun teks naratif dan Memahami teks memberi dan meminta informasi di masa lalu</v>
      </c>
      <c r="AL21" s="276">
        <v>85</v>
      </c>
      <c r="AM21" s="277">
        <v>85</v>
      </c>
      <c r="AN21" s="277">
        <v>85</v>
      </c>
      <c r="AO21" s="277">
        <v>90</v>
      </c>
      <c r="AP21" s="277"/>
      <c r="AQ21" s="277"/>
      <c r="AR21" s="277"/>
      <c r="AS21" s="280"/>
      <c r="AT21" s="277"/>
      <c r="AU21" s="278"/>
      <c r="AV21" s="285">
        <f t="shared" si="33"/>
        <v>86</v>
      </c>
      <c r="AW21" s="296" t="str">
        <f t="shared" si="34"/>
        <v>B</v>
      </c>
      <c r="AX21" s="1220">
        <f t="shared" si="16"/>
        <v>85.01</v>
      </c>
      <c r="AY21" s="1221">
        <f t="shared" si="16"/>
        <v>85.02</v>
      </c>
      <c r="AZ21" s="1221">
        <f t="shared" si="16"/>
        <v>85.03</v>
      </c>
      <c r="BA21" s="1221">
        <f t="shared" si="16"/>
        <v>90.04</v>
      </c>
      <c r="BB21" s="1221" t="str">
        <f t="shared" si="16"/>
        <v/>
      </c>
      <c r="BC21" s="1221" t="str">
        <f t="shared" si="16"/>
        <v/>
      </c>
      <c r="BD21" s="1221" t="str">
        <f t="shared" si="16"/>
        <v/>
      </c>
      <c r="BE21" s="1222" t="str">
        <f t="shared" si="16"/>
        <v/>
      </c>
      <c r="BF21" s="1221" t="str">
        <f t="shared" si="16"/>
        <v/>
      </c>
      <c r="BG21" s="1223" t="str">
        <f t="shared" si="16"/>
        <v/>
      </c>
      <c r="BH21" s="286">
        <f t="shared" si="35"/>
        <v>90.04</v>
      </c>
      <c r="BI21" s="286">
        <f t="shared" si="36"/>
        <v>85.01</v>
      </c>
      <c r="BJ21" s="287" t="str">
        <f t="shared" si="37"/>
        <v>baik</v>
      </c>
      <c r="BK21" s="287" t="str">
        <f t="shared" si="37"/>
        <v>baik</v>
      </c>
      <c r="BL21" s="286">
        <f t="shared" si="38"/>
        <v>4</v>
      </c>
      <c r="BM21" s="288">
        <f t="shared" si="39"/>
        <v>1</v>
      </c>
      <c r="BN21" s="289" t="str">
        <f t="shared" si="40"/>
        <v>Memiliki keterampilan baik dalam Menyayikan sebuah lagu bahasa inggris sederhana dan Menyusun teks tentang Past Event</v>
      </c>
      <c r="BO21" s="67"/>
    </row>
    <row r="22" spans="1:67" ht="33" customHeight="1">
      <c r="A22" s="67"/>
      <c r="B22" s="272">
        <f t="shared" si="23"/>
        <v>9</v>
      </c>
      <c r="C22" s="273">
        <f>IF(Data!F13="","",Data!F13)</f>
        <v>0</v>
      </c>
      <c r="D22" s="274" t="str">
        <f>IF(Data!H13="","",Data!H13)</f>
        <v>Demrianus Ton</v>
      </c>
      <c r="E22" s="275" t="str">
        <f>IF(Data!I13="","",Data!I13)</f>
        <v>L</v>
      </c>
      <c r="F22" s="276">
        <v>80</v>
      </c>
      <c r="G22" s="277">
        <v>80</v>
      </c>
      <c r="H22" s="277">
        <v>80</v>
      </c>
      <c r="I22" s="277">
        <v>80</v>
      </c>
      <c r="J22" s="277"/>
      <c r="K22" s="277"/>
      <c r="L22" s="277"/>
      <c r="M22" s="280"/>
      <c r="N22" s="277"/>
      <c r="O22" s="278"/>
      <c r="P22" s="279">
        <f t="shared" si="24"/>
        <v>80</v>
      </c>
      <c r="Q22" s="277">
        <v>80</v>
      </c>
      <c r="R22" s="280">
        <v>80</v>
      </c>
      <c r="S22" s="281">
        <f t="shared" si="25"/>
        <v>80</v>
      </c>
      <c r="T22" s="295" t="str">
        <f t="shared" si="26"/>
        <v>C</v>
      </c>
      <c r="U22" s="1215">
        <f t="shared" si="7"/>
        <v>80.010000000000005</v>
      </c>
      <c r="V22" s="1216">
        <f t="shared" si="7"/>
        <v>80.02</v>
      </c>
      <c r="W22" s="1216">
        <f t="shared" si="7"/>
        <v>80.03</v>
      </c>
      <c r="X22" s="1216">
        <f t="shared" si="7"/>
        <v>80.040000000000006</v>
      </c>
      <c r="Y22" s="1216" t="str">
        <f t="shared" si="7"/>
        <v/>
      </c>
      <c r="Z22" s="1216" t="str">
        <f t="shared" si="7"/>
        <v/>
      </c>
      <c r="AA22" s="1216" t="str">
        <f t="shared" si="7"/>
        <v/>
      </c>
      <c r="AB22" s="1217" t="str">
        <f t="shared" si="7"/>
        <v/>
      </c>
      <c r="AC22" s="1216" t="str">
        <f t="shared" si="7"/>
        <v/>
      </c>
      <c r="AD22" s="1218" t="str">
        <f t="shared" si="7"/>
        <v/>
      </c>
      <c r="AE22" s="1219">
        <f t="shared" si="27"/>
        <v>80.040000000000006</v>
      </c>
      <c r="AF22" s="282">
        <f t="shared" si="28"/>
        <v>80.010000000000005</v>
      </c>
      <c r="AG22" s="282" t="str">
        <f t="shared" si="29"/>
        <v>cukup</v>
      </c>
      <c r="AH22" s="282" t="str">
        <f t="shared" si="10"/>
        <v>cukup</v>
      </c>
      <c r="AI22" s="282">
        <f t="shared" si="30"/>
        <v>4</v>
      </c>
      <c r="AJ22" s="283">
        <f t="shared" si="31"/>
        <v>1</v>
      </c>
      <c r="AK22" s="284" t="str">
        <f t="shared" si="32"/>
        <v>Memiliki kemampuan cukup dalam Menafsirkan unsur dan fungsi dari sebuah lirik lagu  dan Memahami teks memberi dan meminta informasi di masa lalu</v>
      </c>
      <c r="AL22" s="276">
        <v>85</v>
      </c>
      <c r="AM22" s="277">
        <v>85</v>
      </c>
      <c r="AN22" s="277">
        <v>85</v>
      </c>
      <c r="AO22" s="277">
        <v>90</v>
      </c>
      <c r="AP22" s="277"/>
      <c r="AQ22" s="277"/>
      <c r="AR22" s="277"/>
      <c r="AS22" s="280"/>
      <c r="AT22" s="277"/>
      <c r="AU22" s="278"/>
      <c r="AV22" s="285">
        <f t="shared" si="33"/>
        <v>86</v>
      </c>
      <c r="AW22" s="296" t="str">
        <f t="shared" si="34"/>
        <v>B</v>
      </c>
      <c r="AX22" s="1220">
        <f t="shared" si="16"/>
        <v>85.01</v>
      </c>
      <c r="AY22" s="1221">
        <f t="shared" si="16"/>
        <v>85.02</v>
      </c>
      <c r="AZ22" s="1221">
        <f t="shared" si="16"/>
        <v>85.03</v>
      </c>
      <c r="BA22" s="1221">
        <f t="shared" si="16"/>
        <v>90.04</v>
      </c>
      <c r="BB22" s="1221" t="str">
        <f t="shared" si="16"/>
        <v/>
      </c>
      <c r="BC22" s="1221" t="str">
        <f t="shared" si="16"/>
        <v/>
      </c>
      <c r="BD22" s="1221" t="str">
        <f t="shared" si="16"/>
        <v/>
      </c>
      <c r="BE22" s="1222" t="str">
        <f t="shared" si="16"/>
        <v/>
      </c>
      <c r="BF22" s="1221" t="str">
        <f t="shared" si="16"/>
        <v/>
      </c>
      <c r="BG22" s="1223" t="str">
        <f t="shared" si="16"/>
        <v/>
      </c>
      <c r="BH22" s="286">
        <f t="shared" si="35"/>
        <v>90.04</v>
      </c>
      <c r="BI22" s="286">
        <f t="shared" si="36"/>
        <v>85.01</v>
      </c>
      <c r="BJ22" s="287" t="str">
        <f t="shared" si="37"/>
        <v>baik</v>
      </c>
      <c r="BK22" s="287" t="str">
        <f t="shared" si="37"/>
        <v>baik</v>
      </c>
      <c r="BL22" s="286">
        <f t="shared" si="38"/>
        <v>4</v>
      </c>
      <c r="BM22" s="288">
        <f t="shared" si="39"/>
        <v>1</v>
      </c>
      <c r="BN22" s="289" t="str">
        <f t="shared" si="40"/>
        <v>Memiliki keterampilan baik dalam Menyayikan sebuah lagu bahasa inggris sederhana dan Menyusun teks tentang Past Event</v>
      </c>
      <c r="BO22" s="67"/>
    </row>
    <row r="23" spans="1:67" ht="33" customHeight="1">
      <c r="A23" s="67"/>
      <c r="B23" s="272">
        <f t="shared" si="23"/>
        <v>10</v>
      </c>
      <c r="C23" s="273">
        <f>IF(Data!F14="","",Data!F14)</f>
        <v>0</v>
      </c>
      <c r="D23" s="274" t="str">
        <f>IF(Data!H14="","",Data!H14)</f>
        <v>Desti Manggoa</v>
      </c>
      <c r="E23" s="275" t="str">
        <f>IF(Data!I14="","",Data!I14)</f>
        <v>P</v>
      </c>
      <c r="F23" s="276">
        <v>81</v>
      </c>
      <c r="G23" s="277">
        <v>84</v>
      </c>
      <c r="H23" s="277">
        <v>85</v>
      </c>
      <c r="I23" s="277">
        <v>85</v>
      </c>
      <c r="J23" s="277"/>
      <c r="K23" s="277"/>
      <c r="L23" s="277"/>
      <c r="M23" s="280"/>
      <c r="N23" s="277"/>
      <c r="O23" s="278"/>
      <c r="P23" s="279">
        <f t="shared" si="24"/>
        <v>84</v>
      </c>
      <c r="Q23" s="277">
        <v>85</v>
      </c>
      <c r="R23" s="280">
        <v>85</v>
      </c>
      <c r="S23" s="281">
        <f t="shared" si="25"/>
        <v>85</v>
      </c>
      <c r="T23" s="295" t="str">
        <f t="shared" si="26"/>
        <v>B</v>
      </c>
      <c r="U23" s="1215">
        <f t="shared" si="7"/>
        <v>81.010000000000005</v>
      </c>
      <c r="V23" s="1216">
        <f t="shared" si="7"/>
        <v>84.02</v>
      </c>
      <c r="W23" s="1216">
        <f t="shared" si="7"/>
        <v>85.03</v>
      </c>
      <c r="X23" s="1216">
        <f t="shared" si="7"/>
        <v>85.04</v>
      </c>
      <c r="Y23" s="1216" t="str">
        <f t="shared" si="7"/>
        <v/>
      </c>
      <c r="Z23" s="1216" t="str">
        <f t="shared" si="7"/>
        <v/>
      </c>
      <c r="AA23" s="1216" t="str">
        <f t="shared" si="7"/>
        <v/>
      </c>
      <c r="AB23" s="1217" t="str">
        <f t="shared" si="7"/>
        <v/>
      </c>
      <c r="AC23" s="1216" t="str">
        <f t="shared" si="7"/>
        <v/>
      </c>
      <c r="AD23" s="1218" t="str">
        <f t="shared" si="7"/>
        <v/>
      </c>
      <c r="AE23" s="1219">
        <f t="shared" si="27"/>
        <v>85.04</v>
      </c>
      <c r="AF23" s="282">
        <f t="shared" si="28"/>
        <v>81.010000000000005</v>
      </c>
      <c r="AG23" s="282" t="str">
        <f t="shared" si="29"/>
        <v>baik</v>
      </c>
      <c r="AH23" s="282" t="str">
        <f t="shared" si="10"/>
        <v>cukup</v>
      </c>
      <c r="AI23" s="282">
        <f t="shared" si="30"/>
        <v>4</v>
      </c>
      <c r="AJ23" s="283">
        <f t="shared" si="31"/>
        <v>1</v>
      </c>
      <c r="AK23" s="284" t="str">
        <f t="shared" si="32"/>
        <v>Memiliki kemampuan baik dalam Menafsirkan unsur dan fungsi dari sebuah lirik lagu , cukup kemampuan dalam Memahami teks memberi dan meminta informasi di masa lalu</v>
      </c>
      <c r="AL23" s="276">
        <v>85</v>
      </c>
      <c r="AM23" s="277">
        <v>85</v>
      </c>
      <c r="AN23" s="277">
        <v>85</v>
      </c>
      <c r="AO23" s="277">
        <v>90</v>
      </c>
      <c r="AP23" s="277"/>
      <c r="AQ23" s="277"/>
      <c r="AR23" s="277"/>
      <c r="AS23" s="280"/>
      <c r="AT23" s="277"/>
      <c r="AU23" s="278"/>
      <c r="AV23" s="285">
        <f t="shared" si="33"/>
        <v>86</v>
      </c>
      <c r="AW23" s="296" t="str">
        <f t="shared" si="34"/>
        <v>B</v>
      </c>
      <c r="AX23" s="1220">
        <f t="shared" si="16"/>
        <v>85.01</v>
      </c>
      <c r="AY23" s="1221">
        <f t="shared" si="16"/>
        <v>85.02</v>
      </c>
      <c r="AZ23" s="1221">
        <f t="shared" si="16"/>
        <v>85.03</v>
      </c>
      <c r="BA23" s="1221">
        <f t="shared" si="16"/>
        <v>90.04</v>
      </c>
      <c r="BB23" s="1221" t="str">
        <f t="shared" si="16"/>
        <v/>
      </c>
      <c r="BC23" s="1221" t="str">
        <f t="shared" si="16"/>
        <v/>
      </c>
      <c r="BD23" s="1221" t="str">
        <f t="shared" si="16"/>
        <v/>
      </c>
      <c r="BE23" s="1222" t="str">
        <f t="shared" si="16"/>
        <v/>
      </c>
      <c r="BF23" s="1221" t="str">
        <f t="shared" si="16"/>
        <v/>
      </c>
      <c r="BG23" s="1223" t="str">
        <f t="shared" si="16"/>
        <v/>
      </c>
      <c r="BH23" s="286">
        <f t="shared" si="35"/>
        <v>90.04</v>
      </c>
      <c r="BI23" s="286">
        <f t="shared" si="36"/>
        <v>85.01</v>
      </c>
      <c r="BJ23" s="287" t="str">
        <f t="shared" si="37"/>
        <v>baik</v>
      </c>
      <c r="BK23" s="287" t="str">
        <f t="shared" si="37"/>
        <v>baik</v>
      </c>
      <c r="BL23" s="286">
        <f t="shared" si="38"/>
        <v>4</v>
      </c>
      <c r="BM23" s="288">
        <f t="shared" si="39"/>
        <v>1</v>
      </c>
      <c r="BN23" s="289" t="str">
        <f t="shared" si="40"/>
        <v>Memiliki keterampilan baik dalam Menyayikan sebuah lagu bahasa inggris sederhana dan Menyusun teks tentang Past Event</v>
      </c>
      <c r="BO23" s="67"/>
    </row>
    <row r="24" spans="1:67" ht="33" customHeight="1">
      <c r="A24" s="67"/>
      <c r="B24" s="272">
        <f t="shared" si="23"/>
        <v>11</v>
      </c>
      <c r="C24" s="273">
        <f>IF(Data!F15="","",Data!F15)</f>
        <v>0</v>
      </c>
      <c r="D24" s="274" t="str">
        <f>IF(Data!H15="","",Data!H15)</f>
        <v>Dorkas Meliana Talita Kesnay</v>
      </c>
      <c r="E24" s="275" t="str">
        <f>IF(Data!I15="","",Data!I15)</f>
        <v>P</v>
      </c>
      <c r="F24" s="276">
        <v>84</v>
      </c>
      <c r="G24" s="277">
        <v>85</v>
      </c>
      <c r="H24" s="277">
        <v>85</v>
      </c>
      <c r="I24" s="277">
        <v>86</v>
      </c>
      <c r="J24" s="277"/>
      <c r="K24" s="277"/>
      <c r="L24" s="277"/>
      <c r="M24" s="280"/>
      <c r="N24" s="277"/>
      <c r="O24" s="278"/>
      <c r="P24" s="279">
        <f t="shared" si="24"/>
        <v>85</v>
      </c>
      <c r="Q24" s="277">
        <v>86</v>
      </c>
      <c r="R24" s="280">
        <v>86</v>
      </c>
      <c r="S24" s="281">
        <f t="shared" si="25"/>
        <v>86</v>
      </c>
      <c r="T24" s="295" t="str">
        <f t="shared" si="26"/>
        <v>B</v>
      </c>
      <c r="U24" s="1215">
        <f t="shared" si="7"/>
        <v>84.01</v>
      </c>
      <c r="V24" s="1216">
        <f t="shared" si="7"/>
        <v>85.02</v>
      </c>
      <c r="W24" s="1216">
        <f t="shared" si="7"/>
        <v>85.03</v>
      </c>
      <c r="X24" s="1216">
        <f t="shared" si="7"/>
        <v>86.04</v>
      </c>
      <c r="Y24" s="1216" t="str">
        <f t="shared" si="7"/>
        <v/>
      </c>
      <c r="Z24" s="1216" t="str">
        <f t="shared" si="7"/>
        <v/>
      </c>
      <c r="AA24" s="1216" t="str">
        <f t="shared" si="7"/>
        <v/>
      </c>
      <c r="AB24" s="1217" t="str">
        <f t="shared" si="7"/>
        <v/>
      </c>
      <c r="AC24" s="1216" t="str">
        <f t="shared" si="7"/>
        <v/>
      </c>
      <c r="AD24" s="1218" t="str">
        <f t="shared" si="7"/>
        <v/>
      </c>
      <c r="AE24" s="1219">
        <f t="shared" si="27"/>
        <v>86.04</v>
      </c>
      <c r="AF24" s="282">
        <f t="shared" si="28"/>
        <v>84.01</v>
      </c>
      <c r="AG24" s="282" t="str">
        <f t="shared" si="29"/>
        <v>baik</v>
      </c>
      <c r="AH24" s="282" t="str">
        <f t="shared" si="10"/>
        <v>cukup</v>
      </c>
      <c r="AI24" s="282">
        <f t="shared" si="30"/>
        <v>4</v>
      </c>
      <c r="AJ24" s="283">
        <f t="shared" si="31"/>
        <v>1</v>
      </c>
      <c r="AK24" s="284" t="str">
        <f t="shared" si="32"/>
        <v>Memiliki kemampuan baik dalam Menafsirkan unsur dan fungsi dari sebuah lirik lagu , cukup kemampuan dalam Memahami teks memberi dan meminta informasi di masa lalu</v>
      </c>
      <c r="AL24" s="276">
        <v>85</v>
      </c>
      <c r="AM24" s="277">
        <v>85</v>
      </c>
      <c r="AN24" s="277">
        <v>85</v>
      </c>
      <c r="AO24" s="277">
        <v>90</v>
      </c>
      <c r="AP24" s="277"/>
      <c r="AQ24" s="277"/>
      <c r="AR24" s="277"/>
      <c r="AS24" s="280"/>
      <c r="AT24" s="277"/>
      <c r="AU24" s="278"/>
      <c r="AV24" s="285">
        <f t="shared" si="33"/>
        <v>86</v>
      </c>
      <c r="AW24" s="296" t="str">
        <f t="shared" si="34"/>
        <v>B</v>
      </c>
      <c r="AX24" s="1220">
        <f t="shared" si="16"/>
        <v>85.01</v>
      </c>
      <c r="AY24" s="1221">
        <f t="shared" si="16"/>
        <v>85.02</v>
      </c>
      <c r="AZ24" s="1221">
        <f t="shared" si="16"/>
        <v>85.03</v>
      </c>
      <c r="BA24" s="1221">
        <f t="shared" si="16"/>
        <v>90.04</v>
      </c>
      <c r="BB24" s="1221" t="str">
        <f t="shared" si="16"/>
        <v/>
      </c>
      <c r="BC24" s="1221" t="str">
        <f t="shared" si="16"/>
        <v/>
      </c>
      <c r="BD24" s="1221" t="str">
        <f t="shared" si="16"/>
        <v/>
      </c>
      <c r="BE24" s="1222" t="str">
        <f t="shared" si="16"/>
        <v/>
      </c>
      <c r="BF24" s="1221" t="str">
        <f t="shared" si="16"/>
        <v/>
      </c>
      <c r="BG24" s="1223" t="str">
        <f t="shared" si="16"/>
        <v/>
      </c>
      <c r="BH24" s="286">
        <f t="shared" si="35"/>
        <v>90.04</v>
      </c>
      <c r="BI24" s="286">
        <f t="shared" si="36"/>
        <v>85.01</v>
      </c>
      <c r="BJ24" s="287" t="str">
        <f t="shared" si="37"/>
        <v>baik</v>
      </c>
      <c r="BK24" s="287" t="str">
        <f t="shared" si="37"/>
        <v>baik</v>
      </c>
      <c r="BL24" s="286">
        <f t="shared" si="38"/>
        <v>4</v>
      </c>
      <c r="BM24" s="288">
        <f t="shared" si="39"/>
        <v>1</v>
      </c>
      <c r="BN24" s="289" t="str">
        <f t="shared" si="40"/>
        <v>Memiliki keterampilan baik dalam Menyayikan sebuah lagu bahasa inggris sederhana dan Menyusun teks tentang Past Event</v>
      </c>
      <c r="BO24" s="67"/>
    </row>
    <row r="25" spans="1:67" ht="33" customHeight="1">
      <c r="A25" s="67"/>
      <c r="B25" s="272">
        <f t="shared" si="23"/>
        <v>12</v>
      </c>
      <c r="C25" s="273">
        <f>IF(Data!F16="","",Data!F16)</f>
        <v>0</v>
      </c>
      <c r="D25" s="274" t="str">
        <f>IF(Data!H16="","",Data!H16)</f>
        <v>Erto Seprianto Leukune</v>
      </c>
      <c r="E25" s="275" t="str">
        <f>IF(Data!I16="","",Data!I16)</f>
        <v>L</v>
      </c>
      <c r="F25" s="276">
        <v>85</v>
      </c>
      <c r="G25" s="277">
        <v>83</v>
      </c>
      <c r="H25" s="277">
        <v>83</v>
      </c>
      <c r="I25" s="277">
        <v>86</v>
      </c>
      <c r="J25" s="277"/>
      <c r="K25" s="277"/>
      <c r="L25" s="277"/>
      <c r="M25" s="280"/>
      <c r="N25" s="277"/>
      <c r="O25" s="278"/>
      <c r="P25" s="279">
        <f t="shared" si="24"/>
        <v>84</v>
      </c>
      <c r="Q25" s="277">
        <v>85</v>
      </c>
      <c r="R25" s="280">
        <v>85</v>
      </c>
      <c r="S25" s="281">
        <f t="shared" si="25"/>
        <v>85</v>
      </c>
      <c r="T25" s="295" t="str">
        <f t="shared" si="26"/>
        <v>B</v>
      </c>
      <c r="U25" s="1215">
        <f t="shared" si="7"/>
        <v>85.01</v>
      </c>
      <c r="V25" s="1216">
        <f t="shared" si="7"/>
        <v>83.02</v>
      </c>
      <c r="W25" s="1216">
        <f t="shared" si="7"/>
        <v>83.03</v>
      </c>
      <c r="X25" s="1216">
        <f t="shared" si="7"/>
        <v>86.04</v>
      </c>
      <c r="Y25" s="1216" t="str">
        <f t="shared" si="7"/>
        <v/>
      </c>
      <c r="Z25" s="1216" t="str">
        <f t="shared" si="7"/>
        <v/>
      </c>
      <c r="AA25" s="1216" t="str">
        <f t="shared" si="7"/>
        <v/>
      </c>
      <c r="AB25" s="1217" t="str">
        <f t="shared" si="7"/>
        <v/>
      </c>
      <c r="AC25" s="1216" t="str">
        <f t="shared" si="7"/>
        <v/>
      </c>
      <c r="AD25" s="1218" t="str">
        <f t="shared" si="7"/>
        <v/>
      </c>
      <c r="AE25" s="1219">
        <f t="shared" si="27"/>
        <v>86.04</v>
      </c>
      <c r="AF25" s="282">
        <f t="shared" si="28"/>
        <v>83.02</v>
      </c>
      <c r="AG25" s="282" t="str">
        <f t="shared" si="29"/>
        <v>baik</v>
      </c>
      <c r="AH25" s="282" t="str">
        <f t="shared" si="10"/>
        <v>cukup</v>
      </c>
      <c r="AI25" s="282">
        <f t="shared" si="30"/>
        <v>4</v>
      </c>
      <c r="AJ25" s="283">
        <f t="shared" si="31"/>
        <v>2</v>
      </c>
      <c r="AK25" s="284" t="str">
        <f t="shared" si="32"/>
        <v>Memiliki kemampuan baik dalam Menafsirkan unsur dan fungsi dari sebuah lirik lagu , cukup kemampuan dalam Memahami fungsi dan struktur teks Recount</v>
      </c>
      <c r="AL25" s="276">
        <v>85</v>
      </c>
      <c r="AM25" s="277">
        <v>85</v>
      </c>
      <c r="AN25" s="277">
        <v>85</v>
      </c>
      <c r="AO25" s="277">
        <v>90</v>
      </c>
      <c r="AP25" s="277"/>
      <c r="AQ25" s="277"/>
      <c r="AR25" s="277"/>
      <c r="AS25" s="280"/>
      <c r="AT25" s="277"/>
      <c r="AU25" s="278"/>
      <c r="AV25" s="285">
        <f t="shared" si="33"/>
        <v>86</v>
      </c>
      <c r="AW25" s="296" t="str">
        <f t="shared" si="34"/>
        <v>B</v>
      </c>
      <c r="AX25" s="1220">
        <f t="shared" si="16"/>
        <v>85.01</v>
      </c>
      <c r="AY25" s="1221">
        <f t="shared" si="16"/>
        <v>85.02</v>
      </c>
      <c r="AZ25" s="1221">
        <f t="shared" si="16"/>
        <v>85.03</v>
      </c>
      <c r="BA25" s="1221">
        <f t="shared" si="16"/>
        <v>90.04</v>
      </c>
      <c r="BB25" s="1221" t="str">
        <f t="shared" si="16"/>
        <v/>
      </c>
      <c r="BC25" s="1221" t="str">
        <f t="shared" si="16"/>
        <v/>
      </c>
      <c r="BD25" s="1221" t="str">
        <f t="shared" si="16"/>
        <v/>
      </c>
      <c r="BE25" s="1222" t="str">
        <f t="shared" si="16"/>
        <v/>
      </c>
      <c r="BF25" s="1221" t="str">
        <f t="shared" si="16"/>
        <v/>
      </c>
      <c r="BG25" s="1223" t="str">
        <f t="shared" si="16"/>
        <v/>
      </c>
      <c r="BH25" s="286">
        <f t="shared" si="35"/>
        <v>90.04</v>
      </c>
      <c r="BI25" s="286">
        <f t="shared" si="36"/>
        <v>85.01</v>
      </c>
      <c r="BJ25" s="287" t="str">
        <f t="shared" si="37"/>
        <v>baik</v>
      </c>
      <c r="BK25" s="287" t="str">
        <f t="shared" si="37"/>
        <v>baik</v>
      </c>
      <c r="BL25" s="286">
        <f t="shared" si="38"/>
        <v>4</v>
      </c>
      <c r="BM25" s="288">
        <f t="shared" si="39"/>
        <v>1</v>
      </c>
      <c r="BN25" s="289" t="str">
        <f t="shared" si="40"/>
        <v>Memiliki keterampilan baik dalam Menyayikan sebuah lagu bahasa inggris sederhana dan Menyusun teks tentang Past Event</v>
      </c>
      <c r="BO25" s="67"/>
    </row>
    <row r="26" spans="1:67" ht="33" customHeight="1">
      <c r="A26" s="67"/>
      <c r="B26" s="272">
        <f t="shared" si="23"/>
        <v>13</v>
      </c>
      <c r="C26" s="273">
        <f>IF(Data!F17="","",Data!F17)</f>
        <v>0</v>
      </c>
      <c r="D26" s="274" t="str">
        <f>IF(Data!H17="","",Data!H17)</f>
        <v>Feli Tipnoni</v>
      </c>
      <c r="E26" s="275" t="str">
        <f>IF(Data!I17="","",Data!I17)</f>
        <v>P</v>
      </c>
      <c r="F26" s="276">
        <v>85</v>
      </c>
      <c r="G26" s="277">
        <v>85</v>
      </c>
      <c r="H26" s="277">
        <v>86</v>
      </c>
      <c r="I26" s="277">
        <v>85</v>
      </c>
      <c r="J26" s="277"/>
      <c r="K26" s="277"/>
      <c r="L26" s="277"/>
      <c r="M26" s="280"/>
      <c r="N26" s="277"/>
      <c r="O26" s="278"/>
      <c r="P26" s="279">
        <f t="shared" si="24"/>
        <v>85</v>
      </c>
      <c r="Q26" s="277">
        <v>85</v>
      </c>
      <c r="R26" s="280">
        <v>85</v>
      </c>
      <c r="S26" s="281">
        <f t="shared" si="25"/>
        <v>85</v>
      </c>
      <c r="T26" s="295" t="str">
        <f t="shared" si="26"/>
        <v>B</v>
      </c>
      <c r="U26" s="1215">
        <f t="shared" si="7"/>
        <v>85.01</v>
      </c>
      <c r="V26" s="1216">
        <f t="shared" si="7"/>
        <v>85.02</v>
      </c>
      <c r="W26" s="1216">
        <f t="shared" si="7"/>
        <v>86.03</v>
      </c>
      <c r="X26" s="1216">
        <f t="shared" si="7"/>
        <v>85.04</v>
      </c>
      <c r="Y26" s="1216" t="str">
        <f t="shared" si="7"/>
        <v/>
      </c>
      <c r="Z26" s="1216" t="str">
        <f t="shared" si="7"/>
        <v/>
      </c>
      <c r="AA26" s="1216" t="str">
        <f t="shared" si="7"/>
        <v/>
      </c>
      <c r="AB26" s="1217" t="str">
        <f t="shared" si="7"/>
        <v/>
      </c>
      <c r="AC26" s="1216" t="str">
        <f t="shared" si="7"/>
        <v/>
      </c>
      <c r="AD26" s="1218" t="str">
        <f t="shared" si="7"/>
        <v/>
      </c>
      <c r="AE26" s="1219">
        <f t="shared" si="27"/>
        <v>86.03</v>
      </c>
      <c r="AF26" s="282">
        <f t="shared" si="28"/>
        <v>85.01</v>
      </c>
      <c r="AG26" s="282" t="str">
        <f t="shared" si="29"/>
        <v>baik</v>
      </c>
      <c r="AH26" s="282" t="str">
        <f t="shared" si="10"/>
        <v>baik</v>
      </c>
      <c r="AI26" s="282">
        <f t="shared" si="30"/>
        <v>3</v>
      </c>
      <c r="AJ26" s="283">
        <f t="shared" si="31"/>
        <v>1</v>
      </c>
      <c r="AK26" s="284" t="str">
        <f t="shared" si="32"/>
        <v>Memiliki kemampuan baik dalam Memahami unsur-unsur penting dalam menyusun teks naratif dan Memahami teks memberi dan meminta informasi di masa lalu</v>
      </c>
      <c r="AL26" s="276">
        <v>85</v>
      </c>
      <c r="AM26" s="277">
        <v>85</v>
      </c>
      <c r="AN26" s="277">
        <v>85</v>
      </c>
      <c r="AO26" s="277">
        <v>90</v>
      </c>
      <c r="AP26" s="277"/>
      <c r="AQ26" s="277"/>
      <c r="AR26" s="277"/>
      <c r="AS26" s="280"/>
      <c r="AT26" s="277"/>
      <c r="AU26" s="278"/>
      <c r="AV26" s="285">
        <f t="shared" si="33"/>
        <v>86</v>
      </c>
      <c r="AW26" s="296" t="str">
        <f t="shared" si="34"/>
        <v>B</v>
      </c>
      <c r="AX26" s="1220">
        <f t="shared" si="16"/>
        <v>85.01</v>
      </c>
      <c r="AY26" s="1221">
        <f t="shared" si="16"/>
        <v>85.02</v>
      </c>
      <c r="AZ26" s="1221">
        <f t="shared" si="16"/>
        <v>85.03</v>
      </c>
      <c r="BA26" s="1221">
        <f t="shared" si="16"/>
        <v>90.04</v>
      </c>
      <c r="BB26" s="1221" t="str">
        <f t="shared" si="16"/>
        <v/>
      </c>
      <c r="BC26" s="1221" t="str">
        <f t="shared" si="16"/>
        <v/>
      </c>
      <c r="BD26" s="1221" t="str">
        <f t="shared" si="16"/>
        <v/>
      </c>
      <c r="BE26" s="1222" t="str">
        <f t="shared" si="16"/>
        <v/>
      </c>
      <c r="BF26" s="1221" t="str">
        <f t="shared" si="16"/>
        <v/>
      </c>
      <c r="BG26" s="1223" t="str">
        <f t="shared" si="16"/>
        <v/>
      </c>
      <c r="BH26" s="286">
        <f t="shared" si="35"/>
        <v>90.04</v>
      </c>
      <c r="BI26" s="286">
        <f t="shared" si="36"/>
        <v>85.01</v>
      </c>
      <c r="BJ26" s="287" t="str">
        <f t="shared" si="37"/>
        <v>baik</v>
      </c>
      <c r="BK26" s="287" t="str">
        <f t="shared" si="37"/>
        <v>baik</v>
      </c>
      <c r="BL26" s="286">
        <f t="shared" si="38"/>
        <v>4</v>
      </c>
      <c r="BM26" s="288">
        <f t="shared" si="39"/>
        <v>1</v>
      </c>
      <c r="BN26" s="289" t="str">
        <f t="shared" si="40"/>
        <v>Memiliki keterampilan baik dalam Menyayikan sebuah lagu bahasa inggris sederhana dan Menyusun teks tentang Past Event</v>
      </c>
      <c r="BO26" s="67"/>
    </row>
    <row r="27" spans="1:67" ht="33" customHeight="1">
      <c r="A27" s="67"/>
      <c r="B27" s="272">
        <f t="shared" si="23"/>
        <v>14</v>
      </c>
      <c r="C27" s="273">
        <f>IF(Data!F18="","",Data!F18)</f>
        <v>0</v>
      </c>
      <c r="D27" s="274" t="str">
        <f>IF(Data!H18="","",Data!H18)</f>
        <v xml:space="preserve">Ferdinandes Sakbana </v>
      </c>
      <c r="E27" s="275" t="str">
        <f>IF(Data!I18="","",Data!I18)</f>
        <v>L</v>
      </c>
      <c r="F27" s="276">
        <v>80</v>
      </c>
      <c r="G27" s="277">
        <v>82</v>
      </c>
      <c r="H27" s="277">
        <v>85</v>
      </c>
      <c r="I27" s="277">
        <v>80</v>
      </c>
      <c r="J27" s="277"/>
      <c r="K27" s="277"/>
      <c r="L27" s="277"/>
      <c r="M27" s="280"/>
      <c r="N27" s="277"/>
      <c r="O27" s="278"/>
      <c r="P27" s="279">
        <f t="shared" si="24"/>
        <v>82</v>
      </c>
      <c r="Q27" s="277">
        <v>80</v>
      </c>
      <c r="R27" s="280">
        <v>80</v>
      </c>
      <c r="S27" s="281">
        <f t="shared" si="25"/>
        <v>81</v>
      </c>
      <c r="T27" s="295" t="str">
        <f t="shared" si="26"/>
        <v>C</v>
      </c>
      <c r="U27" s="1215">
        <f t="shared" si="7"/>
        <v>80.010000000000005</v>
      </c>
      <c r="V27" s="1216">
        <f t="shared" si="7"/>
        <v>82.02</v>
      </c>
      <c r="W27" s="1216">
        <f t="shared" si="7"/>
        <v>85.03</v>
      </c>
      <c r="X27" s="1216">
        <f t="shared" si="7"/>
        <v>80.040000000000006</v>
      </c>
      <c r="Y27" s="1216" t="str">
        <f t="shared" si="7"/>
        <v/>
      </c>
      <c r="Z27" s="1216" t="str">
        <f t="shared" si="7"/>
        <v/>
      </c>
      <c r="AA27" s="1216" t="str">
        <f t="shared" si="7"/>
        <v/>
      </c>
      <c r="AB27" s="1217" t="str">
        <f t="shared" si="7"/>
        <v/>
      </c>
      <c r="AC27" s="1216" t="str">
        <f t="shared" si="7"/>
        <v/>
      </c>
      <c r="AD27" s="1218" t="str">
        <f t="shared" si="7"/>
        <v/>
      </c>
      <c r="AE27" s="1219">
        <f t="shared" si="27"/>
        <v>85.03</v>
      </c>
      <c r="AF27" s="282">
        <f t="shared" si="28"/>
        <v>80.010000000000005</v>
      </c>
      <c r="AG27" s="282" t="str">
        <f t="shared" si="29"/>
        <v>baik</v>
      </c>
      <c r="AH27" s="282" t="str">
        <f t="shared" si="10"/>
        <v>cukup</v>
      </c>
      <c r="AI27" s="282">
        <f t="shared" si="30"/>
        <v>3</v>
      </c>
      <c r="AJ27" s="283">
        <f t="shared" si="31"/>
        <v>1</v>
      </c>
      <c r="AK27" s="284" t="str">
        <f t="shared" si="32"/>
        <v>Memiliki kemampuan baik dalam Memahami unsur-unsur penting dalam menyusun teks naratif, cukup kemampuan dalam Memahami teks memberi dan meminta informasi di masa lalu</v>
      </c>
      <c r="AL27" s="276">
        <v>85</v>
      </c>
      <c r="AM27" s="277">
        <v>85</v>
      </c>
      <c r="AN27" s="277">
        <v>85</v>
      </c>
      <c r="AO27" s="277">
        <v>90</v>
      </c>
      <c r="AP27" s="277"/>
      <c r="AQ27" s="277"/>
      <c r="AR27" s="277"/>
      <c r="AS27" s="280"/>
      <c r="AT27" s="277"/>
      <c r="AU27" s="278"/>
      <c r="AV27" s="285">
        <f t="shared" si="33"/>
        <v>86</v>
      </c>
      <c r="AW27" s="296" t="str">
        <f t="shared" si="34"/>
        <v>B</v>
      </c>
      <c r="AX27" s="1220">
        <f t="shared" si="16"/>
        <v>85.01</v>
      </c>
      <c r="AY27" s="1221">
        <f t="shared" si="16"/>
        <v>85.02</v>
      </c>
      <c r="AZ27" s="1221">
        <f t="shared" si="16"/>
        <v>85.03</v>
      </c>
      <c r="BA27" s="1221">
        <f t="shared" si="16"/>
        <v>90.04</v>
      </c>
      <c r="BB27" s="1221" t="str">
        <f t="shared" si="16"/>
        <v/>
      </c>
      <c r="BC27" s="1221" t="str">
        <f t="shared" si="16"/>
        <v/>
      </c>
      <c r="BD27" s="1221" t="str">
        <f t="shared" si="16"/>
        <v/>
      </c>
      <c r="BE27" s="1222" t="str">
        <f t="shared" si="16"/>
        <v/>
      </c>
      <c r="BF27" s="1221" t="str">
        <f t="shared" si="16"/>
        <v/>
      </c>
      <c r="BG27" s="1223" t="str">
        <f t="shared" si="16"/>
        <v/>
      </c>
      <c r="BH27" s="286">
        <f t="shared" si="35"/>
        <v>90.04</v>
      </c>
      <c r="BI27" s="286">
        <f t="shared" si="36"/>
        <v>85.01</v>
      </c>
      <c r="BJ27" s="287" t="str">
        <f t="shared" si="37"/>
        <v>baik</v>
      </c>
      <c r="BK27" s="287" t="str">
        <f t="shared" si="37"/>
        <v>baik</v>
      </c>
      <c r="BL27" s="286">
        <f t="shared" si="38"/>
        <v>4</v>
      </c>
      <c r="BM27" s="288">
        <f t="shared" si="39"/>
        <v>1</v>
      </c>
      <c r="BN27" s="289" t="str">
        <f t="shared" si="40"/>
        <v>Memiliki keterampilan baik dalam Menyayikan sebuah lagu bahasa inggris sederhana dan Menyusun teks tentang Past Event</v>
      </c>
      <c r="BO27" s="67"/>
    </row>
    <row r="28" spans="1:67" ht="33" customHeight="1">
      <c r="A28" s="67"/>
      <c r="B28" s="272">
        <f t="shared" si="23"/>
        <v>15</v>
      </c>
      <c r="C28" s="273">
        <f>IF(Data!F19="","",Data!F19)</f>
        <v>0</v>
      </c>
      <c r="D28" s="274" t="str">
        <f>IF(Data!H19="","",Data!H19)</f>
        <v>Fitri Novani Nitbani</v>
      </c>
      <c r="E28" s="275" t="str">
        <f>IF(Data!I19="","",Data!I19)</f>
        <v>P</v>
      </c>
      <c r="F28" s="276">
        <v>84</v>
      </c>
      <c r="G28" s="277">
        <v>85</v>
      </c>
      <c r="H28" s="277">
        <v>85</v>
      </c>
      <c r="I28" s="277">
        <v>85</v>
      </c>
      <c r="J28" s="277"/>
      <c r="K28" s="277"/>
      <c r="L28" s="277"/>
      <c r="M28" s="280"/>
      <c r="N28" s="277"/>
      <c r="O28" s="278"/>
      <c r="P28" s="279">
        <f t="shared" si="24"/>
        <v>85</v>
      </c>
      <c r="Q28" s="277">
        <v>85</v>
      </c>
      <c r="R28" s="280">
        <v>85</v>
      </c>
      <c r="S28" s="281">
        <f t="shared" si="25"/>
        <v>85</v>
      </c>
      <c r="T28" s="295" t="str">
        <f t="shared" si="26"/>
        <v>B</v>
      </c>
      <c r="U28" s="1215">
        <f t="shared" si="7"/>
        <v>84.01</v>
      </c>
      <c r="V28" s="1216">
        <f t="shared" si="7"/>
        <v>85.02</v>
      </c>
      <c r="W28" s="1216">
        <f t="shared" si="7"/>
        <v>85.03</v>
      </c>
      <c r="X28" s="1216">
        <f t="shared" si="7"/>
        <v>85.04</v>
      </c>
      <c r="Y28" s="1216" t="str">
        <f t="shared" si="7"/>
        <v/>
      </c>
      <c r="Z28" s="1216" t="str">
        <f t="shared" si="7"/>
        <v/>
      </c>
      <c r="AA28" s="1216" t="str">
        <f t="shared" si="7"/>
        <v/>
      </c>
      <c r="AB28" s="1217" t="str">
        <f t="shared" si="7"/>
        <v/>
      </c>
      <c r="AC28" s="1216" t="str">
        <f t="shared" si="7"/>
        <v/>
      </c>
      <c r="AD28" s="1218" t="str">
        <f t="shared" si="7"/>
        <v/>
      </c>
      <c r="AE28" s="1219">
        <f t="shared" si="27"/>
        <v>85.04</v>
      </c>
      <c r="AF28" s="282">
        <f t="shared" si="28"/>
        <v>84.01</v>
      </c>
      <c r="AG28" s="282" t="str">
        <f t="shared" si="29"/>
        <v>baik</v>
      </c>
      <c r="AH28" s="282" t="str">
        <f t="shared" si="10"/>
        <v>cukup</v>
      </c>
      <c r="AI28" s="282">
        <f t="shared" si="30"/>
        <v>4</v>
      </c>
      <c r="AJ28" s="283">
        <f t="shared" si="31"/>
        <v>1</v>
      </c>
      <c r="AK28" s="284" t="str">
        <f t="shared" si="32"/>
        <v>Memiliki kemampuan baik dalam Menafsirkan unsur dan fungsi dari sebuah lirik lagu , cukup kemampuan dalam Memahami teks memberi dan meminta informasi di masa lalu</v>
      </c>
      <c r="AL28" s="276">
        <v>85</v>
      </c>
      <c r="AM28" s="277">
        <v>85</v>
      </c>
      <c r="AN28" s="277">
        <v>85</v>
      </c>
      <c r="AO28" s="277">
        <v>90</v>
      </c>
      <c r="AP28" s="277"/>
      <c r="AQ28" s="277"/>
      <c r="AR28" s="277"/>
      <c r="AS28" s="280"/>
      <c r="AT28" s="277"/>
      <c r="AU28" s="278"/>
      <c r="AV28" s="285">
        <f t="shared" si="33"/>
        <v>86</v>
      </c>
      <c r="AW28" s="296" t="str">
        <f t="shared" si="34"/>
        <v>B</v>
      </c>
      <c r="AX28" s="1220">
        <f t="shared" si="16"/>
        <v>85.01</v>
      </c>
      <c r="AY28" s="1221">
        <f t="shared" si="16"/>
        <v>85.02</v>
      </c>
      <c r="AZ28" s="1221">
        <f t="shared" si="16"/>
        <v>85.03</v>
      </c>
      <c r="BA28" s="1221">
        <f t="shared" si="16"/>
        <v>90.04</v>
      </c>
      <c r="BB28" s="1221" t="str">
        <f t="shared" si="16"/>
        <v/>
      </c>
      <c r="BC28" s="1221" t="str">
        <f t="shared" si="16"/>
        <v/>
      </c>
      <c r="BD28" s="1221" t="str">
        <f t="shared" si="16"/>
        <v/>
      </c>
      <c r="BE28" s="1222" t="str">
        <f t="shared" si="16"/>
        <v/>
      </c>
      <c r="BF28" s="1221" t="str">
        <f t="shared" si="16"/>
        <v/>
      </c>
      <c r="BG28" s="1223" t="str">
        <f t="shared" si="16"/>
        <v/>
      </c>
      <c r="BH28" s="286">
        <f t="shared" si="35"/>
        <v>90.04</v>
      </c>
      <c r="BI28" s="286">
        <f t="shared" si="36"/>
        <v>85.01</v>
      </c>
      <c r="BJ28" s="287" t="str">
        <f t="shared" si="37"/>
        <v>baik</v>
      </c>
      <c r="BK28" s="287" t="str">
        <f t="shared" si="37"/>
        <v>baik</v>
      </c>
      <c r="BL28" s="286">
        <f t="shared" si="38"/>
        <v>4</v>
      </c>
      <c r="BM28" s="288">
        <f t="shared" si="39"/>
        <v>1</v>
      </c>
      <c r="BN28" s="289" t="str">
        <f t="shared" si="40"/>
        <v>Memiliki keterampilan baik dalam Menyayikan sebuah lagu bahasa inggris sederhana dan Menyusun teks tentang Past Event</v>
      </c>
      <c r="BO28" s="67"/>
    </row>
    <row r="29" spans="1:67" ht="33" customHeight="1">
      <c r="A29" s="67"/>
      <c r="B29" s="272">
        <f t="shared" si="23"/>
        <v>16</v>
      </c>
      <c r="C29" s="273">
        <f>IF(Data!F20="","",Data!F20)</f>
        <v>0</v>
      </c>
      <c r="D29" s="274" t="str">
        <f>IF(Data!H20="","",Data!H20)</f>
        <v>Helsina Benu</v>
      </c>
      <c r="E29" s="275" t="str">
        <f>IF(Data!I20="","",Data!I20)</f>
        <v>P</v>
      </c>
      <c r="F29" s="276">
        <v>85</v>
      </c>
      <c r="G29" s="277">
        <v>85</v>
      </c>
      <c r="H29" s="277">
        <v>85</v>
      </c>
      <c r="I29" s="277">
        <v>85</v>
      </c>
      <c r="J29" s="277"/>
      <c r="K29" s="277"/>
      <c r="L29" s="277"/>
      <c r="M29" s="280"/>
      <c r="N29" s="277"/>
      <c r="O29" s="278"/>
      <c r="P29" s="279">
        <f t="shared" si="24"/>
        <v>85</v>
      </c>
      <c r="Q29" s="277">
        <v>85</v>
      </c>
      <c r="R29" s="280">
        <v>85</v>
      </c>
      <c r="S29" s="281">
        <f t="shared" si="25"/>
        <v>85</v>
      </c>
      <c r="T29" s="295" t="str">
        <f t="shared" si="26"/>
        <v>B</v>
      </c>
      <c r="U29" s="1215">
        <f t="shared" si="7"/>
        <v>85.01</v>
      </c>
      <c r="V29" s="1216">
        <f t="shared" si="7"/>
        <v>85.02</v>
      </c>
      <c r="W29" s="1216">
        <f t="shared" si="7"/>
        <v>85.03</v>
      </c>
      <c r="X29" s="1216">
        <f t="shared" si="7"/>
        <v>85.04</v>
      </c>
      <c r="Y29" s="1216" t="str">
        <f t="shared" si="7"/>
        <v/>
      </c>
      <c r="Z29" s="1216" t="str">
        <f t="shared" si="7"/>
        <v/>
      </c>
      <c r="AA29" s="1216" t="str">
        <f t="shared" si="7"/>
        <v/>
      </c>
      <c r="AB29" s="1217" t="str">
        <f t="shared" si="7"/>
        <v/>
      </c>
      <c r="AC29" s="1216" t="str">
        <f t="shared" si="7"/>
        <v/>
      </c>
      <c r="AD29" s="1218" t="str">
        <f t="shared" si="7"/>
        <v/>
      </c>
      <c r="AE29" s="1219">
        <f t="shared" si="27"/>
        <v>85.04</v>
      </c>
      <c r="AF29" s="282">
        <f t="shared" si="28"/>
        <v>85.01</v>
      </c>
      <c r="AG29" s="282" t="str">
        <f t="shared" si="29"/>
        <v>baik</v>
      </c>
      <c r="AH29" s="282" t="str">
        <f t="shared" si="10"/>
        <v>baik</v>
      </c>
      <c r="AI29" s="282">
        <f t="shared" si="30"/>
        <v>4</v>
      </c>
      <c r="AJ29" s="283">
        <f t="shared" si="31"/>
        <v>1</v>
      </c>
      <c r="AK29" s="284" t="str">
        <f t="shared" si="32"/>
        <v>Memiliki kemampuan baik dalam Menafsirkan unsur dan fungsi dari sebuah lirik lagu  dan Memahami teks memberi dan meminta informasi di masa lalu</v>
      </c>
      <c r="AL29" s="276">
        <v>85</v>
      </c>
      <c r="AM29" s="277">
        <v>85</v>
      </c>
      <c r="AN29" s="277">
        <v>85</v>
      </c>
      <c r="AO29" s="277">
        <v>90</v>
      </c>
      <c r="AP29" s="277"/>
      <c r="AQ29" s="277"/>
      <c r="AR29" s="277"/>
      <c r="AS29" s="280"/>
      <c r="AT29" s="277"/>
      <c r="AU29" s="278"/>
      <c r="AV29" s="285">
        <f t="shared" si="33"/>
        <v>86</v>
      </c>
      <c r="AW29" s="296" t="str">
        <f t="shared" si="34"/>
        <v>B</v>
      </c>
      <c r="AX29" s="1220">
        <f t="shared" si="16"/>
        <v>85.01</v>
      </c>
      <c r="AY29" s="1221">
        <f t="shared" si="16"/>
        <v>85.02</v>
      </c>
      <c r="AZ29" s="1221">
        <f t="shared" si="16"/>
        <v>85.03</v>
      </c>
      <c r="BA29" s="1221">
        <f t="shared" si="16"/>
        <v>90.04</v>
      </c>
      <c r="BB29" s="1221" t="str">
        <f t="shared" si="16"/>
        <v/>
      </c>
      <c r="BC29" s="1221" t="str">
        <f t="shared" si="16"/>
        <v/>
      </c>
      <c r="BD29" s="1221" t="str">
        <f t="shared" si="16"/>
        <v/>
      </c>
      <c r="BE29" s="1222" t="str">
        <f t="shared" si="16"/>
        <v/>
      </c>
      <c r="BF29" s="1221" t="str">
        <f t="shared" si="16"/>
        <v/>
      </c>
      <c r="BG29" s="1223" t="str">
        <f t="shared" si="16"/>
        <v/>
      </c>
      <c r="BH29" s="286">
        <f t="shared" si="35"/>
        <v>90.04</v>
      </c>
      <c r="BI29" s="286">
        <f t="shared" si="36"/>
        <v>85.01</v>
      </c>
      <c r="BJ29" s="287" t="str">
        <f t="shared" si="37"/>
        <v>baik</v>
      </c>
      <c r="BK29" s="287" t="str">
        <f t="shared" si="37"/>
        <v>baik</v>
      </c>
      <c r="BL29" s="286">
        <f t="shared" si="38"/>
        <v>4</v>
      </c>
      <c r="BM29" s="288">
        <f t="shared" si="39"/>
        <v>1</v>
      </c>
      <c r="BN29" s="289" t="str">
        <f t="shared" si="40"/>
        <v>Memiliki keterampilan baik dalam Menyayikan sebuah lagu bahasa inggris sederhana dan Menyusun teks tentang Past Event</v>
      </c>
      <c r="BO29" s="67"/>
    </row>
    <row r="30" spans="1:67" ht="33" customHeight="1">
      <c r="A30" s="67"/>
      <c r="B30" s="272">
        <f t="shared" si="23"/>
        <v>17</v>
      </c>
      <c r="C30" s="273">
        <f>IF(Data!F21="","",Data!F21)</f>
        <v>0</v>
      </c>
      <c r="D30" s="274" t="str">
        <f>IF(Data!H21="","",Data!H21)</f>
        <v xml:space="preserve">Hezron Nubatonis </v>
      </c>
      <c r="E30" s="275" t="str">
        <f>IF(Data!I21="","",Data!I21)</f>
        <v>L</v>
      </c>
      <c r="F30" s="276">
        <v>80</v>
      </c>
      <c r="G30" s="277">
        <v>80</v>
      </c>
      <c r="H30" s="277">
        <v>80</v>
      </c>
      <c r="I30" s="277">
        <v>80</v>
      </c>
      <c r="J30" s="277"/>
      <c r="K30" s="277"/>
      <c r="L30" s="277"/>
      <c r="M30" s="280"/>
      <c r="N30" s="277"/>
      <c r="O30" s="278"/>
      <c r="P30" s="279">
        <f t="shared" si="24"/>
        <v>80</v>
      </c>
      <c r="Q30" s="277">
        <v>80</v>
      </c>
      <c r="R30" s="280">
        <v>80</v>
      </c>
      <c r="S30" s="281">
        <f t="shared" si="25"/>
        <v>80</v>
      </c>
      <c r="T30" s="295" t="str">
        <f t="shared" si="26"/>
        <v>C</v>
      </c>
      <c r="U30" s="1215">
        <f t="shared" ref="U30:AD55" si="41">IF(F30="","",F30+U$13)</f>
        <v>80.010000000000005</v>
      </c>
      <c r="V30" s="1216">
        <f t="shared" si="41"/>
        <v>80.02</v>
      </c>
      <c r="W30" s="1216">
        <f t="shared" si="41"/>
        <v>80.03</v>
      </c>
      <c r="X30" s="1216">
        <f t="shared" si="41"/>
        <v>80.040000000000006</v>
      </c>
      <c r="Y30" s="1216" t="str">
        <f t="shared" si="41"/>
        <v/>
      </c>
      <c r="Z30" s="1216" t="str">
        <f t="shared" si="41"/>
        <v/>
      </c>
      <c r="AA30" s="1216" t="str">
        <f t="shared" si="41"/>
        <v/>
      </c>
      <c r="AB30" s="1217" t="str">
        <f t="shared" si="41"/>
        <v/>
      </c>
      <c r="AC30" s="1216" t="str">
        <f t="shared" si="41"/>
        <v/>
      </c>
      <c r="AD30" s="1218" t="str">
        <f t="shared" si="41"/>
        <v/>
      </c>
      <c r="AE30" s="1219">
        <f t="shared" si="27"/>
        <v>80.040000000000006</v>
      </c>
      <c r="AF30" s="282">
        <f t="shared" si="28"/>
        <v>80.010000000000005</v>
      </c>
      <c r="AG30" s="282" t="str">
        <f t="shared" si="29"/>
        <v>cukup</v>
      </c>
      <c r="AH30" s="282" t="str">
        <f t="shared" si="29"/>
        <v>cukup</v>
      </c>
      <c r="AI30" s="282">
        <f t="shared" si="30"/>
        <v>4</v>
      </c>
      <c r="AJ30" s="283">
        <f t="shared" si="31"/>
        <v>1</v>
      </c>
      <c r="AK30" s="284" t="str">
        <f t="shared" si="32"/>
        <v>Memiliki kemampuan cukup dalam Menafsirkan unsur dan fungsi dari sebuah lirik lagu  dan Memahami teks memberi dan meminta informasi di masa lalu</v>
      </c>
      <c r="AL30" s="276">
        <v>85</v>
      </c>
      <c r="AM30" s="277">
        <v>85</v>
      </c>
      <c r="AN30" s="277">
        <v>85</v>
      </c>
      <c r="AO30" s="277">
        <v>90</v>
      </c>
      <c r="AP30" s="277"/>
      <c r="AQ30" s="277"/>
      <c r="AR30" s="277"/>
      <c r="AS30" s="280"/>
      <c r="AT30" s="277"/>
      <c r="AU30" s="278"/>
      <c r="AV30" s="285">
        <f t="shared" si="33"/>
        <v>86</v>
      </c>
      <c r="AW30" s="296" t="str">
        <f t="shared" si="34"/>
        <v>B</v>
      </c>
      <c r="AX30" s="1220">
        <f t="shared" ref="AX30:BG55" si="42">IF(AL30="","",AL30+AX$12)</f>
        <v>85.01</v>
      </c>
      <c r="AY30" s="1221">
        <f t="shared" si="42"/>
        <v>85.02</v>
      </c>
      <c r="AZ30" s="1221">
        <f t="shared" si="42"/>
        <v>85.03</v>
      </c>
      <c r="BA30" s="1221">
        <f t="shared" si="42"/>
        <v>90.04</v>
      </c>
      <c r="BB30" s="1221" t="str">
        <f t="shared" si="42"/>
        <v/>
      </c>
      <c r="BC30" s="1221" t="str">
        <f t="shared" si="42"/>
        <v/>
      </c>
      <c r="BD30" s="1221" t="str">
        <f t="shared" si="42"/>
        <v/>
      </c>
      <c r="BE30" s="1222" t="str">
        <f t="shared" si="42"/>
        <v/>
      </c>
      <c r="BF30" s="1221" t="str">
        <f t="shared" si="42"/>
        <v/>
      </c>
      <c r="BG30" s="1223" t="str">
        <f t="shared" si="42"/>
        <v/>
      </c>
      <c r="BH30" s="286">
        <f t="shared" si="35"/>
        <v>90.04</v>
      </c>
      <c r="BI30" s="286">
        <f t="shared" si="36"/>
        <v>85.01</v>
      </c>
      <c r="BJ30" s="287" t="str">
        <f t="shared" si="37"/>
        <v>baik</v>
      </c>
      <c r="BK30" s="287" t="str">
        <f t="shared" si="37"/>
        <v>baik</v>
      </c>
      <c r="BL30" s="286">
        <f t="shared" si="38"/>
        <v>4</v>
      </c>
      <c r="BM30" s="288">
        <f t="shared" si="39"/>
        <v>1</v>
      </c>
      <c r="BN30" s="289" t="str">
        <f t="shared" si="40"/>
        <v>Memiliki keterampilan baik dalam Menyayikan sebuah lagu bahasa inggris sederhana dan Menyusun teks tentang Past Event</v>
      </c>
      <c r="BO30" s="67"/>
    </row>
    <row r="31" spans="1:67" ht="33" customHeight="1">
      <c r="A31" s="67"/>
      <c r="B31" s="272">
        <f t="shared" si="23"/>
        <v>18</v>
      </c>
      <c r="C31" s="273">
        <f>IF(Data!F22="","",Data!F22)</f>
        <v>0</v>
      </c>
      <c r="D31" s="274" t="str">
        <f>IF(Data!H22="","",Data!H22)</f>
        <v>Jelita Anita Boimau</v>
      </c>
      <c r="E31" s="275" t="str">
        <f>IF(Data!I22="","",Data!I22)</f>
        <v>P</v>
      </c>
      <c r="F31" s="276">
        <v>82</v>
      </c>
      <c r="G31" s="277">
        <v>84</v>
      </c>
      <c r="H31" s="277">
        <v>85</v>
      </c>
      <c r="I31" s="277">
        <v>85</v>
      </c>
      <c r="J31" s="277"/>
      <c r="K31" s="277"/>
      <c r="L31" s="277"/>
      <c r="M31" s="280"/>
      <c r="N31" s="277"/>
      <c r="O31" s="278"/>
      <c r="P31" s="279">
        <f t="shared" si="24"/>
        <v>84</v>
      </c>
      <c r="Q31" s="277">
        <v>85</v>
      </c>
      <c r="R31" s="280">
        <v>85</v>
      </c>
      <c r="S31" s="281">
        <f t="shared" si="25"/>
        <v>85</v>
      </c>
      <c r="T31" s="295" t="str">
        <f t="shared" si="26"/>
        <v>B</v>
      </c>
      <c r="U31" s="1215">
        <f t="shared" si="41"/>
        <v>82.01</v>
      </c>
      <c r="V31" s="1216">
        <f t="shared" si="41"/>
        <v>84.02</v>
      </c>
      <c r="W31" s="1216">
        <f t="shared" si="41"/>
        <v>85.03</v>
      </c>
      <c r="X31" s="1216">
        <f t="shared" si="41"/>
        <v>85.04</v>
      </c>
      <c r="Y31" s="1216" t="str">
        <f t="shared" si="41"/>
        <v/>
      </c>
      <c r="Z31" s="1216" t="str">
        <f t="shared" si="41"/>
        <v/>
      </c>
      <c r="AA31" s="1216" t="str">
        <f t="shared" si="41"/>
        <v/>
      </c>
      <c r="AB31" s="1217" t="str">
        <f t="shared" si="41"/>
        <v/>
      </c>
      <c r="AC31" s="1216" t="str">
        <f t="shared" si="41"/>
        <v/>
      </c>
      <c r="AD31" s="1218" t="str">
        <f t="shared" si="41"/>
        <v/>
      </c>
      <c r="AE31" s="1219">
        <f t="shared" si="27"/>
        <v>85.04</v>
      </c>
      <c r="AF31" s="282">
        <f t="shared" si="28"/>
        <v>82.01</v>
      </c>
      <c r="AG31" s="282" t="str">
        <f t="shared" si="29"/>
        <v>baik</v>
      </c>
      <c r="AH31" s="282" t="str">
        <f t="shared" si="29"/>
        <v>cukup</v>
      </c>
      <c r="AI31" s="282">
        <f t="shared" si="30"/>
        <v>4</v>
      </c>
      <c r="AJ31" s="283">
        <f t="shared" si="31"/>
        <v>1</v>
      </c>
      <c r="AK31" s="284" t="str">
        <f t="shared" si="32"/>
        <v>Memiliki kemampuan baik dalam Menafsirkan unsur dan fungsi dari sebuah lirik lagu , cukup kemampuan dalam Memahami teks memberi dan meminta informasi di masa lalu</v>
      </c>
      <c r="AL31" s="276">
        <v>85</v>
      </c>
      <c r="AM31" s="277">
        <v>85</v>
      </c>
      <c r="AN31" s="277">
        <v>85</v>
      </c>
      <c r="AO31" s="277">
        <v>90</v>
      </c>
      <c r="AP31" s="277"/>
      <c r="AQ31" s="277"/>
      <c r="AR31" s="277"/>
      <c r="AS31" s="280"/>
      <c r="AT31" s="277"/>
      <c r="AU31" s="278"/>
      <c r="AV31" s="285">
        <f t="shared" si="33"/>
        <v>86</v>
      </c>
      <c r="AW31" s="296" t="str">
        <f t="shared" si="34"/>
        <v>B</v>
      </c>
      <c r="AX31" s="1220">
        <f t="shared" si="42"/>
        <v>85.01</v>
      </c>
      <c r="AY31" s="1221">
        <f t="shared" si="42"/>
        <v>85.02</v>
      </c>
      <c r="AZ31" s="1221">
        <f t="shared" si="42"/>
        <v>85.03</v>
      </c>
      <c r="BA31" s="1221">
        <f t="shared" si="42"/>
        <v>90.04</v>
      </c>
      <c r="BB31" s="1221" t="str">
        <f t="shared" si="42"/>
        <v/>
      </c>
      <c r="BC31" s="1221" t="str">
        <f t="shared" si="42"/>
        <v/>
      </c>
      <c r="BD31" s="1221" t="str">
        <f t="shared" si="42"/>
        <v/>
      </c>
      <c r="BE31" s="1222" t="str">
        <f t="shared" si="42"/>
        <v/>
      </c>
      <c r="BF31" s="1221" t="str">
        <f t="shared" si="42"/>
        <v/>
      </c>
      <c r="BG31" s="1223" t="str">
        <f t="shared" si="42"/>
        <v/>
      </c>
      <c r="BH31" s="286">
        <f t="shared" si="35"/>
        <v>90.04</v>
      </c>
      <c r="BI31" s="286">
        <f t="shared" si="36"/>
        <v>85.01</v>
      </c>
      <c r="BJ31" s="287" t="str">
        <f t="shared" si="37"/>
        <v>baik</v>
      </c>
      <c r="BK31" s="287" t="str">
        <f t="shared" si="37"/>
        <v>baik</v>
      </c>
      <c r="BL31" s="286">
        <f t="shared" si="38"/>
        <v>4</v>
      </c>
      <c r="BM31" s="288">
        <f t="shared" si="39"/>
        <v>1</v>
      </c>
      <c r="BN31" s="289" t="str">
        <f t="shared" si="40"/>
        <v>Memiliki keterampilan baik dalam Menyayikan sebuah lagu bahasa inggris sederhana dan Menyusun teks tentang Past Event</v>
      </c>
      <c r="BO31" s="67"/>
    </row>
    <row r="32" spans="1:67" ht="33" customHeight="1">
      <c r="A32" s="67"/>
      <c r="B32" s="272">
        <f t="shared" si="23"/>
        <v>19</v>
      </c>
      <c r="C32" s="273">
        <f>IF(Data!F23="","",Data!F23)</f>
        <v>0</v>
      </c>
      <c r="D32" s="274" t="str">
        <f>IF(Data!H23="","",Data!H23)</f>
        <v>Jidon Nubatonis</v>
      </c>
      <c r="E32" s="275" t="str">
        <f>IF(Data!I23="","",Data!I23)</f>
        <v>L</v>
      </c>
      <c r="F32" s="276">
        <v>80</v>
      </c>
      <c r="G32" s="277">
        <v>80</v>
      </c>
      <c r="H32" s="277">
        <v>80</v>
      </c>
      <c r="I32" s="277">
        <v>80</v>
      </c>
      <c r="J32" s="277"/>
      <c r="K32" s="277"/>
      <c r="L32" s="277"/>
      <c r="M32" s="280"/>
      <c r="N32" s="277"/>
      <c r="O32" s="278"/>
      <c r="P32" s="279">
        <f t="shared" si="24"/>
        <v>80</v>
      </c>
      <c r="Q32" s="277">
        <v>80</v>
      </c>
      <c r="R32" s="280">
        <v>80</v>
      </c>
      <c r="S32" s="281">
        <f t="shared" si="25"/>
        <v>80</v>
      </c>
      <c r="T32" s="295" t="str">
        <f t="shared" si="26"/>
        <v>C</v>
      </c>
      <c r="U32" s="1215">
        <f t="shared" si="41"/>
        <v>80.010000000000005</v>
      </c>
      <c r="V32" s="1216">
        <f t="shared" si="41"/>
        <v>80.02</v>
      </c>
      <c r="W32" s="1216">
        <f t="shared" si="41"/>
        <v>80.03</v>
      </c>
      <c r="X32" s="1216">
        <f t="shared" si="41"/>
        <v>80.040000000000006</v>
      </c>
      <c r="Y32" s="1216" t="str">
        <f t="shared" si="41"/>
        <v/>
      </c>
      <c r="Z32" s="1216" t="str">
        <f t="shared" si="41"/>
        <v/>
      </c>
      <c r="AA32" s="1216" t="str">
        <f t="shared" si="41"/>
        <v/>
      </c>
      <c r="AB32" s="1217" t="str">
        <f t="shared" si="41"/>
        <v/>
      </c>
      <c r="AC32" s="1216" t="str">
        <f t="shared" si="41"/>
        <v/>
      </c>
      <c r="AD32" s="1218" t="str">
        <f t="shared" si="41"/>
        <v/>
      </c>
      <c r="AE32" s="1219">
        <f t="shared" si="27"/>
        <v>80.040000000000006</v>
      </c>
      <c r="AF32" s="282">
        <f t="shared" si="28"/>
        <v>80.010000000000005</v>
      </c>
      <c r="AG32" s="282" t="str">
        <f t="shared" si="29"/>
        <v>cukup</v>
      </c>
      <c r="AH32" s="282" t="str">
        <f t="shared" si="29"/>
        <v>cukup</v>
      </c>
      <c r="AI32" s="282">
        <f t="shared" si="30"/>
        <v>4</v>
      </c>
      <c r="AJ32" s="283">
        <f t="shared" si="31"/>
        <v>1</v>
      </c>
      <c r="AK32" s="284" t="str">
        <f t="shared" si="32"/>
        <v>Memiliki kemampuan cukup dalam Menafsirkan unsur dan fungsi dari sebuah lirik lagu  dan Memahami teks memberi dan meminta informasi di masa lalu</v>
      </c>
      <c r="AL32" s="276">
        <v>85</v>
      </c>
      <c r="AM32" s="277">
        <v>85</v>
      </c>
      <c r="AN32" s="277">
        <v>85</v>
      </c>
      <c r="AO32" s="277">
        <v>90</v>
      </c>
      <c r="AP32" s="277"/>
      <c r="AQ32" s="277"/>
      <c r="AR32" s="277"/>
      <c r="AS32" s="280"/>
      <c r="AT32" s="277"/>
      <c r="AU32" s="278"/>
      <c r="AV32" s="285">
        <f t="shared" si="33"/>
        <v>86</v>
      </c>
      <c r="AW32" s="296" t="str">
        <f t="shared" si="34"/>
        <v>B</v>
      </c>
      <c r="AX32" s="1220">
        <f t="shared" si="42"/>
        <v>85.01</v>
      </c>
      <c r="AY32" s="1221">
        <f t="shared" si="42"/>
        <v>85.02</v>
      </c>
      <c r="AZ32" s="1221">
        <f t="shared" si="42"/>
        <v>85.03</v>
      </c>
      <c r="BA32" s="1221">
        <f t="shared" si="42"/>
        <v>90.04</v>
      </c>
      <c r="BB32" s="1221" t="str">
        <f t="shared" si="42"/>
        <v/>
      </c>
      <c r="BC32" s="1221" t="str">
        <f t="shared" si="42"/>
        <v/>
      </c>
      <c r="BD32" s="1221" t="str">
        <f t="shared" si="42"/>
        <v/>
      </c>
      <c r="BE32" s="1222" t="str">
        <f t="shared" si="42"/>
        <v/>
      </c>
      <c r="BF32" s="1221" t="str">
        <f t="shared" si="42"/>
        <v/>
      </c>
      <c r="BG32" s="1223" t="str">
        <f t="shared" si="42"/>
        <v/>
      </c>
      <c r="BH32" s="286">
        <f t="shared" si="35"/>
        <v>90.04</v>
      </c>
      <c r="BI32" s="286">
        <f t="shared" si="36"/>
        <v>85.01</v>
      </c>
      <c r="BJ32" s="287" t="str">
        <f t="shared" si="37"/>
        <v>baik</v>
      </c>
      <c r="BK32" s="287" t="str">
        <f t="shared" si="37"/>
        <v>baik</v>
      </c>
      <c r="BL32" s="286">
        <f t="shared" si="38"/>
        <v>4</v>
      </c>
      <c r="BM32" s="288">
        <f t="shared" si="39"/>
        <v>1</v>
      </c>
      <c r="BN32" s="289" t="str">
        <f t="shared" si="40"/>
        <v>Memiliki keterampilan baik dalam Menyayikan sebuah lagu bahasa inggris sederhana dan Menyusun teks tentang Past Event</v>
      </c>
      <c r="BO32" s="67"/>
    </row>
    <row r="33" spans="1:67" ht="33" customHeight="1">
      <c r="A33" s="67"/>
      <c r="B33" s="272">
        <f t="shared" si="23"/>
        <v>20</v>
      </c>
      <c r="C33" s="273">
        <f>IF(Data!F24="","",Data!F24)</f>
        <v>0</v>
      </c>
      <c r="D33" s="274" t="str">
        <f>IF(Data!H24="","",Data!H24)</f>
        <v>Jitro Andro Baran</v>
      </c>
      <c r="E33" s="275" t="str">
        <f>IF(Data!I24="","",Data!I24)</f>
        <v>L</v>
      </c>
      <c r="F33" s="276">
        <v>80</v>
      </c>
      <c r="G33" s="277">
        <v>80</v>
      </c>
      <c r="H33" s="277">
        <v>85</v>
      </c>
      <c r="I33" s="277">
        <v>80</v>
      </c>
      <c r="J33" s="277"/>
      <c r="K33" s="277"/>
      <c r="L33" s="277"/>
      <c r="M33" s="280"/>
      <c r="N33" s="277"/>
      <c r="O33" s="278"/>
      <c r="P33" s="279">
        <f t="shared" si="24"/>
        <v>81</v>
      </c>
      <c r="Q33" s="277">
        <v>78</v>
      </c>
      <c r="R33" s="280">
        <v>80</v>
      </c>
      <c r="S33" s="281">
        <f t="shared" si="25"/>
        <v>80</v>
      </c>
      <c r="T33" s="295" t="str">
        <f t="shared" si="26"/>
        <v>C</v>
      </c>
      <c r="U33" s="1215">
        <f t="shared" si="41"/>
        <v>80.010000000000005</v>
      </c>
      <c r="V33" s="1216">
        <f t="shared" si="41"/>
        <v>80.02</v>
      </c>
      <c r="W33" s="1216">
        <f t="shared" si="41"/>
        <v>85.03</v>
      </c>
      <c r="X33" s="1216">
        <f t="shared" si="41"/>
        <v>80.040000000000006</v>
      </c>
      <c r="Y33" s="1216" t="str">
        <f t="shared" si="41"/>
        <v/>
      </c>
      <c r="Z33" s="1216" t="str">
        <f t="shared" si="41"/>
        <v/>
      </c>
      <c r="AA33" s="1216" t="str">
        <f t="shared" si="41"/>
        <v/>
      </c>
      <c r="AB33" s="1217" t="str">
        <f t="shared" si="41"/>
        <v/>
      </c>
      <c r="AC33" s="1216" t="str">
        <f t="shared" si="41"/>
        <v/>
      </c>
      <c r="AD33" s="1218" t="str">
        <f t="shared" si="41"/>
        <v/>
      </c>
      <c r="AE33" s="1219">
        <f t="shared" si="27"/>
        <v>85.03</v>
      </c>
      <c r="AF33" s="282">
        <f t="shared" si="28"/>
        <v>80.010000000000005</v>
      </c>
      <c r="AG33" s="282" t="str">
        <f t="shared" si="29"/>
        <v>baik</v>
      </c>
      <c r="AH33" s="282" t="str">
        <f t="shared" si="29"/>
        <v>cukup</v>
      </c>
      <c r="AI33" s="282">
        <f t="shared" si="30"/>
        <v>3</v>
      </c>
      <c r="AJ33" s="283">
        <f t="shared" si="31"/>
        <v>1</v>
      </c>
      <c r="AK33" s="284" t="str">
        <f t="shared" si="32"/>
        <v>Memiliki kemampuan baik dalam Memahami unsur-unsur penting dalam menyusun teks naratif, cukup kemampuan dalam Memahami teks memberi dan meminta informasi di masa lalu</v>
      </c>
      <c r="AL33" s="276">
        <v>85</v>
      </c>
      <c r="AM33" s="277">
        <v>85</v>
      </c>
      <c r="AN33" s="277">
        <v>85</v>
      </c>
      <c r="AO33" s="277">
        <v>90</v>
      </c>
      <c r="AP33" s="277"/>
      <c r="AQ33" s="277"/>
      <c r="AR33" s="277"/>
      <c r="AS33" s="280"/>
      <c r="AT33" s="277"/>
      <c r="AU33" s="278"/>
      <c r="AV33" s="285">
        <f t="shared" si="33"/>
        <v>86</v>
      </c>
      <c r="AW33" s="296" t="str">
        <f t="shared" si="34"/>
        <v>B</v>
      </c>
      <c r="AX33" s="1220">
        <f t="shared" si="42"/>
        <v>85.01</v>
      </c>
      <c r="AY33" s="1221">
        <f t="shared" si="42"/>
        <v>85.02</v>
      </c>
      <c r="AZ33" s="1221">
        <f t="shared" si="42"/>
        <v>85.03</v>
      </c>
      <c r="BA33" s="1221">
        <f t="shared" si="42"/>
        <v>90.04</v>
      </c>
      <c r="BB33" s="1221" t="str">
        <f t="shared" si="42"/>
        <v/>
      </c>
      <c r="BC33" s="1221" t="str">
        <f t="shared" si="42"/>
        <v/>
      </c>
      <c r="BD33" s="1221" t="str">
        <f t="shared" si="42"/>
        <v/>
      </c>
      <c r="BE33" s="1222" t="str">
        <f t="shared" si="42"/>
        <v/>
      </c>
      <c r="BF33" s="1221" t="str">
        <f t="shared" si="42"/>
        <v/>
      </c>
      <c r="BG33" s="1223" t="str">
        <f t="shared" si="42"/>
        <v/>
      </c>
      <c r="BH33" s="286">
        <f t="shared" si="35"/>
        <v>90.04</v>
      </c>
      <c r="BI33" s="286">
        <f t="shared" si="36"/>
        <v>85.01</v>
      </c>
      <c r="BJ33" s="287" t="str">
        <f t="shared" si="37"/>
        <v>baik</v>
      </c>
      <c r="BK33" s="287" t="str">
        <f t="shared" si="37"/>
        <v>baik</v>
      </c>
      <c r="BL33" s="286">
        <f t="shared" si="38"/>
        <v>4</v>
      </c>
      <c r="BM33" s="288">
        <f t="shared" si="39"/>
        <v>1</v>
      </c>
      <c r="BN33" s="289" t="str">
        <f t="shared" si="40"/>
        <v>Memiliki keterampilan baik dalam Menyayikan sebuah lagu bahasa inggris sederhana dan Menyusun teks tentang Past Event</v>
      </c>
      <c r="BO33" s="67"/>
    </row>
    <row r="34" spans="1:67" ht="33" customHeight="1">
      <c r="A34" s="67"/>
      <c r="B34" s="272">
        <f t="shared" si="23"/>
        <v>21</v>
      </c>
      <c r="C34" s="273">
        <f>IF(Data!F25="","",Data!F25)</f>
        <v>0</v>
      </c>
      <c r="D34" s="274" t="str">
        <f>IF(Data!H25="","",Data!H25)</f>
        <v>Juan Manuel Boys</v>
      </c>
      <c r="E34" s="275" t="str">
        <f>IF(Data!I25="","",Data!I25)</f>
        <v>L</v>
      </c>
      <c r="F34" s="276">
        <v>80</v>
      </c>
      <c r="G34" s="277">
        <v>80</v>
      </c>
      <c r="H34" s="277">
        <v>80</v>
      </c>
      <c r="I34" s="277">
        <v>80</v>
      </c>
      <c r="J34" s="277"/>
      <c r="K34" s="277"/>
      <c r="L34" s="277"/>
      <c r="M34" s="280"/>
      <c r="N34" s="277"/>
      <c r="O34" s="278"/>
      <c r="P34" s="279">
        <f t="shared" si="24"/>
        <v>80</v>
      </c>
      <c r="Q34" s="277">
        <v>78</v>
      </c>
      <c r="R34" s="280">
        <v>80</v>
      </c>
      <c r="S34" s="281">
        <f t="shared" si="25"/>
        <v>80</v>
      </c>
      <c r="T34" s="295" t="str">
        <f t="shared" si="26"/>
        <v>C</v>
      </c>
      <c r="U34" s="1215">
        <f t="shared" si="41"/>
        <v>80.010000000000005</v>
      </c>
      <c r="V34" s="1216">
        <f t="shared" si="41"/>
        <v>80.02</v>
      </c>
      <c r="W34" s="1216">
        <f t="shared" si="41"/>
        <v>80.03</v>
      </c>
      <c r="X34" s="1216">
        <f t="shared" si="41"/>
        <v>80.040000000000006</v>
      </c>
      <c r="Y34" s="1216" t="str">
        <f t="shared" si="41"/>
        <v/>
      </c>
      <c r="Z34" s="1216" t="str">
        <f t="shared" si="41"/>
        <v/>
      </c>
      <c r="AA34" s="1216" t="str">
        <f t="shared" si="41"/>
        <v/>
      </c>
      <c r="AB34" s="1217" t="str">
        <f t="shared" si="41"/>
        <v/>
      </c>
      <c r="AC34" s="1216" t="str">
        <f t="shared" si="41"/>
        <v/>
      </c>
      <c r="AD34" s="1218" t="str">
        <f t="shared" si="41"/>
        <v/>
      </c>
      <c r="AE34" s="1219">
        <f t="shared" si="27"/>
        <v>80.040000000000006</v>
      </c>
      <c r="AF34" s="282">
        <f t="shared" si="28"/>
        <v>80.010000000000005</v>
      </c>
      <c r="AG34" s="282" t="str">
        <f t="shared" si="29"/>
        <v>cukup</v>
      </c>
      <c r="AH34" s="282" t="str">
        <f t="shared" si="29"/>
        <v>cukup</v>
      </c>
      <c r="AI34" s="282">
        <f t="shared" si="30"/>
        <v>4</v>
      </c>
      <c r="AJ34" s="283">
        <f t="shared" si="31"/>
        <v>1</v>
      </c>
      <c r="AK34" s="284" t="str">
        <f t="shared" si="32"/>
        <v>Memiliki kemampuan cukup dalam Menafsirkan unsur dan fungsi dari sebuah lirik lagu  dan Memahami teks memberi dan meminta informasi di masa lalu</v>
      </c>
      <c r="AL34" s="276">
        <v>85</v>
      </c>
      <c r="AM34" s="277">
        <v>85</v>
      </c>
      <c r="AN34" s="277">
        <v>85</v>
      </c>
      <c r="AO34" s="277">
        <v>90</v>
      </c>
      <c r="AP34" s="277"/>
      <c r="AQ34" s="277"/>
      <c r="AR34" s="277"/>
      <c r="AS34" s="280"/>
      <c r="AT34" s="277"/>
      <c r="AU34" s="278"/>
      <c r="AV34" s="285">
        <f t="shared" si="33"/>
        <v>86</v>
      </c>
      <c r="AW34" s="296" t="str">
        <f t="shared" si="34"/>
        <v>B</v>
      </c>
      <c r="AX34" s="1220">
        <f t="shared" si="42"/>
        <v>85.01</v>
      </c>
      <c r="AY34" s="1221">
        <f t="shared" si="42"/>
        <v>85.02</v>
      </c>
      <c r="AZ34" s="1221">
        <f t="shared" si="42"/>
        <v>85.03</v>
      </c>
      <c r="BA34" s="1221">
        <f t="shared" si="42"/>
        <v>90.04</v>
      </c>
      <c r="BB34" s="1221" t="str">
        <f t="shared" si="42"/>
        <v/>
      </c>
      <c r="BC34" s="1221" t="str">
        <f t="shared" si="42"/>
        <v/>
      </c>
      <c r="BD34" s="1221" t="str">
        <f t="shared" si="42"/>
        <v/>
      </c>
      <c r="BE34" s="1222" t="str">
        <f t="shared" si="42"/>
        <v/>
      </c>
      <c r="BF34" s="1221" t="str">
        <f t="shared" si="42"/>
        <v/>
      </c>
      <c r="BG34" s="1223" t="str">
        <f t="shared" si="42"/>
        <v/>
      </c>
      <c r="BH34" s="286">
        <f t="shared" si="35"/>
        <v>90.04</v>
      </c>
      <c r="BI34" s="286">
        <f t="shared" si="36"/>
        <v>85.01</v>
      </c>
      <c r="BJ34" s="287" t="str">
        <f t="shared" si="37"/>
        <v>baik</v>
      </c>
      <c r="BK34" s="287" t="str">
        <f t="shared" si="37"/>
        <v>baik</v>
      </c>
      <c r="BL34" s="286">
        <f t="shared" si="38"/>
        <v>4</v>
      </c>
      <c r="BM34" s="288">
        <f t="shared" si="39"/>
        <v>1</v>
      </c>
      <c r="BN34" s="289" t="str">
        <f t="shared" si="40"/>
        <v>Memiliki keterampilan baik dalam Menyayikan sebuah lagu bahasa inggris sederhana dan Menyusun teks tentang Past Event</v>
      </c>
      <c r="BO34" s="67"/>
    </row>
    <row r="35" spans="1:67" ht="33" customHeight="1">
      <c r="A35" s="67"/>
      <c r="B35" s="272">
        <f t="shared" si="23"/>
        <v>22</v>
      </c>
      <c r="C35" s="273">
        <f>IF(Data!F26="","",Data!F26)</f>
        <v>0</v>
      </c>
      <c r="D35" s="274" t="str">
        <f>IF(Data!H26="","",Data!H26)</f>
        <v>Krisyanti Ernela Kesnay</v>
      </c>
      <c r="E35" s="275" t="str">
        <f>IF(Data!I26="","",Data!I26)</f>
        <v>P</v>
      </c>
      <c r="F35" s="276">
        <v>84</v>
      </c>
      <c r="G35" s="277">
        <v>85</v>
      </c>
      <c r="H35" s="277">
        <v>85</v>
      </c>
      <c r="I35" s="277">
        <v>85</v>
      </c>
      <c r="J35" s="277"/>
      <c r="K35" s="277"/>
      <c r="L35" s="277"/>
      <c r="M35" s="280"/>
      <c r="N35" s="277"/>
      <c r="O35" s="278"/>
      <c r="P35" s="279">
        <f t="shared" si="24"/>
        <v>85</v>
      </c>
      <c r="Q35" s="277">
        <v>85</v>
      </c>
      <c r="R35" s="280">
        <v>85</v>
      </c>
      <c r="S35" s="281">
        <f t="shared" si="25"/>
        <v>85</v>
      </c>
      <c r="T35" s="295" t="str">
        <f t="shared" si="26"/>
        <v>B</v>
      </c>
      <c r="U35" s="1215">
        <f t="shared" si="41"/>
        <v>84.01</v>
      </c>
      <c r="V35" s="1216">
        <f t="shared" si="41"/>
        <v>85.02</v>
      </c>
      <c r="W35" s="1216">
        <f t="shared" si="41"/>
        <v>85.03</v>
      </c>
      <c r="X35" s="1216">
        <f t="shared" si="41"/>
        <v>85.04</v>
      </c>
      <c r="Y35" s="1216" t="str">
        <f t="shared" si="41"/>
        <v/>
      </c>
      <c r="Z35" s="1216" t="str">
        <f t="shared" si="41"/>
        <v/>
      </c>
      <c r="AA35" s="1216" t="str">
        <f t="shared" si="41"/>
        <v/>
      </c>
      <c r="AB35" s="1217" t="str">
        <f t="shared" si="41"/>
        <v/>
      </c>
      <c r="AC35" s="1216" t="str">
        <f t="shared" si="41"/>
        <v/>
      </c>
      <c r="AD35" s="1218" t="str">
        <f t="shared" si="41"/>
        <v/>
      </c>
      <c r="AE35" s="1219">
        <f t="shared" si="27"/>
        <v>85.04</v>
      </c>
      <c r="AF35" s="282">
        <f t="shared" si="28"/>
        <v>84.01</v>
      </c>
      <c r="AG35" s="282" t="str">
        <f t="shared" si="29"/>
        <v>baik</v>
      </c>
      <c r="AH35" s="282" t="str">
        <f t="shared" si="29"/>
        <v>cukup</v>
      </c>
      <c r="AI35" s="282">
        <f t="shared" si="30"/>
        <v>4</v>
      </c>
      <c r="AJ35" s="283">
        <f t="shared" si="31"/>
        <v>1</v>
      </c>
      <c r="AK35" s="284" t="str">
        <f t="shared" si="32"/>
        <v>Memiliki kemampuan baik dalam Menafsirkan unsur dan fungsi dari sebuah lirik lagu , cukup kemampuan dalam Memahami teks memberi dan meminta informasi di masa lalu</v>
      </c>
      <c r="AL35" s="276">
        <v>85</v>
      </c>
      <c r="AM35" s="277">
        <v>85</v>
      </c>
      <c r="AN35" s="277">
        <v>85</v>
      </c>
      <c r="AO35" s="277">
        <v>90</v>
      </c>
      <c r="AP35" s="277"/>
      <c r="AQ35" s="277"/>
      <c r="AR35" s="277"/>
      <c r="AS35" s="280"/>
      <c r="AT35" s="277"/>
      <c r="AU35" s="278"/>
      <c r="AV35" s="285">
        <f t="shared" si="33"/>
        <v>86</v>
      </c>
      <c r="AW35" s="296" t="str">
        <f t="shared" si="34"/>
        <v>B</v>
      </c>
      <c r="AX35" s="1220">
        <f t="shared" si="42"/>
        <v>85.01</v>
      </c>
      <c r="AY35" s="1221">
        <f t="shared" si="42"/>
        <v>85.02</v>
      </c>
      <c r="AZ35" s="1221">
        <f t="shared" si="42"/>
        <v>85.03</v>
      </c>
      <c r="BA35" s="1221">
        <f t="shared" si="42"/>
        <v>90.04</v>
      </c>
      <c r="BB35" s="1221" t="str">
        <f t="shared" si="42"/>
        <v/>
      </c>
      <c r="BC35" s="1221" t="str">
        <f t="shared" si="42"/>
        <v/>
      </c>
      <c r="BD35" s="1221" t="str">
        <f t="shared" si="42"/>
        <v/>
      </c>
      <c r="BE35" s="1222" t="str">
        <f t="shared" si="42"/>
        <v/>
      </c>
      <c r="BF35" s="1221" t="str">
        <f t="shared" si="42"/>
        <v/>
      </c>
      <c r="BG35" s="1223" t="str">
        <f t="shared" si="42"/>
        <v/>
      </c>
      <c r="BH35" s="286">
        <f t="shared" si="35"/>
        <v>90.04</v>
      </c>
      <c r="BI35" s="286">
        <f t="shared" si="36"/>
        <v>85.01</v>
      </c>
      <c r="BJ35" s="287" t="str">
        <f t="shared" si="37"/>
        <v>baik</v>
      </c>
      <c r="BK35" s="287" t="str">
        <f t="shared" si="37"/>
        <v>baik</v>
      </c>
      <c r="BL35" s="286">
        <f t="shared" si="38"/>
        <v>4</v>
      </c>
      <c r="BM35" s="288">
        <f t="shared" si="39"/>
        <v>1</v>
      </c>
      <c r="BN35" s="289" t="str">
        <f t="shared" si="40"/>
        <v>Memiliki keterampilan baik dalam Menyayikan sebuah lagu bahasa inggris sederhana dan Menyusun teks tentang Past Event</v>
      </c>
      <c r="BO35" s="67"/>
    </row>
    <row r="36" spans="1:67" ht="33" customHeight="1">
      <c r="A36" s="67"/>
      <c r="B36" s="272">
        <f t="shared" si="23"/>
        <v>23</v>
      </c>
      <c r="C36" s="273">
        <f>IF(Data!F27="","",Data!F27)</f>
        <v>0</v>
      </c>
      <c r="D36" s="274" t="str">
        <f>IF(Data!H27="","",Data!H27)</f>
        <v>Leni Aknesia Knoan</v>
      </c>
      <c r="E36" s="275" t="str">
        <f>IF(Data!I27="","",Data!I27)</f>
        <v>P</v>
      </c>
      <c r="F36" s="276">
        <v>80</v>
      </c>
      <c r="G36" s="277">
        <v>83</v>
      </c>
      <c r="H36" s="277">
        <v>84</v>
      </c>
      <c r="I36" s="277">
        <v>84</v>
      </c>
      <c r="J36" s="277"/>
      <c r="K36" s="277"/>
      <c r="L36" s="277"/>
      <c r="M36" s="280"/>
      <c r="N36" s="277"/>
      <c r="O36" s="278"/>
      <c r="P36" s="279">
        <f t="shared" si="24"/>
        <v>83</v>
      </c>
      <c r="Q36" s="277">
        <v>85</v>
      </c>
      <c r="R36" s="280">
        <v>83</v>
      </c>
      <c r="S36" s="281">
        <f t="shared" si="25"/>
        <v>84</v>
      </c>
      <c r="T36" s="295" t="str">
        <f t="shared" si="26"/>
        <v>C</v>
      </c>
      <c r="U36" s="1215">
        <f t="shared" si="41"/>
        <v>80.010000000000005</v>
      </c>
      <c r="V36" s="1216">
        <f t="shared" si="41"/>
        <v>83.02</v>
      </c>
      <c r="W36" s="1216">
        <f t="shared" si="41"/>
        <v>84.03</v>
      </c>
      <c r="X36" s="1216">
        <f t="shared" si="41"/>
        <v>84.04</v>
      </c>
      <c r="Y36" s="1216" t="str">
        <f t="shared" si="41"/>
        <v/>
      </c>
      <c r="Z36" s="1216" t="str">
        <f t="shared" si="41"/>
        <v/>
      </c>
      <c r="AA36" s="1216" t="str">
        <f t="shared" si="41"/>
        <v/>
      </c>
      <c r="AB36" s="1217" t="str">
        <f t="shared" si="41"/>
        <v/>
      </c>
      <c r="AC36" s="1216" t="str">
        <f t="shared" si="41"/>
        <v/>
      </c>
      <c r="AD36" s="1218" t="str">
        <f t="shared" si="41"/>
        <v/>
      </c>
      <c r="AE36" s="1219">
        <f t="shared" si="27"/>
        <v>84.04</v>
      </c>
      <c r="AF36" s="282">
        <f t="shared" si="28"/>
        <v>80.010000000000005</v>
      </c>
      <c r="AG36" s="282" t="str">
        <f t="shared" si="29"/>
        <v>cukup</v>
      </c>
      <c r="AH36" s="282" t="str">
        <f t="shared" si="29"/>
        <v>cukup</v>
      </c>
      <c r="AI36" s="282">
        <f t="shared" si="30"/>
        <v>4</v>
      </c>
      <c r="AJ36" s="283">
        <f t="shared" si="31"/>
        <v>1</v>
      </c>
      <c r="AK36" s="284" t="str">
        <f t="shared" si="32"/>
        <v>Memiliki kemampuan cukup dalam Menafsirkan unsur dan fungsi dari sebuah lirik lagu  dan Memahami teks memberi dan meminta informasi di masa lalu</v>
      </c>
      <c r="AL36" s="276">
        <v>85</v>
      </c>
      <c r="AM36" s="277">
        <v>85</v>
      </c>
      <c r="AN36" s="277">
        <v>85</v>
      </c>
      <c r="AO36" s="277">
        <v>90</v>
      </c>
      <c r="AP36" s="277"/>
      <c r="AQ36" s="277"/>
      <c r="AR36" s="277"/>
      <c r="AS36" s="280"/>
      <c r="AT36" s="277"/>
      <c r="AU36" s="278"/>
      <c r="AV36" s="285">
        <f t="shared" si="33"/>
        <v>86</v>
      </c>
      <c r="AW36" s="296" t="str">
        <f t="shared" si="34"/>
        <v>B</v>
      </c>
      <c r="AX36" s="1220">
        <f t="shared" si="42"/>
        <v>85.01</v>
      </c>
      <c r="AY36" s="1221">
        <f t="shared" si="42"/>
        <v>85.02</v>
      </c>
      <c r="AZ36" s="1221">
        <f t="shared" si="42"/>
        <v>85.03</v>
      </c>
      <c r="BA36" s="1221">
        <f t="shared" si="42"/>
        <v>90.04</v>
      </c>
      <c r="BB36" s="1221" t="str">
        <f t="shared" si="42"/>
        <v/>
      </c>
      <c r="BC36" s="1221" t="str">
        <f t="shared" si="42"/>
        <v/>
      </c>
      <c r="BD36" s="1221" t="str">
        <f t="shared" si="42"/>
        <v/>
      </c>
      <c r="BE36" s="1222" t="str">
        <f t="shared" si="42"/>
        <v/>
      </c>
      <c r="BF36" s="1221" t="str">
        <f t="shared" si="42"/>
        <v/>
      </c>
      <c r="BG36" s="1223" t="str">
        <f t="shared" si="42"/>
        <v/>
      </c>
      <c r="BH36" s="286">
        <f t="shared" si="35"/>
        <v>90.04</v>
      </c>
      <c r="BI36" s="286">
        <f t="shared" si="36"/>
        <v>85.01</v>
      </c>
      <c r="BJ36" s="287" t="str">
        <f t="shared" si="37"/>
        <v>baik</v>
      </c>
      <c r="BK36" s="287" t="str">
        <f t="shared" si="37"/>
        <v>baik</v>
      </c>
      <c r="BL36" s="286">
        <f t="shared" si="38"/>
        <v>4</v>
      </c>
      <c r="BM36" s="288">
        <f t="shared" si="39"/>
        <v>1</v>
      </c>
      <c r="BN36" s="289" t="str">
        <f t="shared" si="40"/>
        <v>Memiliki keterampilan baik dalam Menyayikan sebuah lagu bahasa inggris sederhana dan Menyusun teks tentang Past Event</v>
      </c>
      <c r="BO36" s="67"/>
    </row>
    <row r="37" spans="1:67" ht="33" customHeight="1">
      <c r="A37" s="67"/>
      <c r="B37" s="272">
        <f t="shared" si="23"/>
        <v>24</v>
      </c>
      <c r="C37" s="273">
        <f>IF(Data!F28="","",Data!F28)</f>
        <v>0</v>
      </c>
      <c r="D37" s="274" t="str">
        <f>IF(Data!H28="","",Data!H28)</f>
        <v>Marlon Dioninsius Lalus</v>
      </c>
      <c r="E37" s="275" t="str">
        <f>IF(Data!I28="","",Data!I28)</f>
        <v>L</v>
      </c>
      <c r="F37" s="276">
        <v>80</v>
      </c>
      <c r="G37" s="277">
        <v>84</v>
      </c>
      <c r="H37" s="277">
        <v>85</v>
      </c>
      <c r="I37" s="277">
        <v>85</v>
      </c>
      <c r="J37" s="277"/>
      <c r="K37" s="277"/>
      <c r="L37" s="277"/>
      <c r="M37" s="280"/>
      <c r="N37" s="277"/>
      <c r="O37" s="278"/>
      <c r="P37" s="279">
        <f t="shared" si="24"/>
        <v>84</v>
      </c>
      <c r="Q37" s="277">
        <v>85</v>
      </c>
      <c r="R37" s="280">
        <v>85</v>
      </c>
      <c r="S37" s="281">
        <f t="shared" si="25"/>
        <v>85</v>
      </c>
      <c r="T37" s="295" t="str">
        <f t="shared" si="26"/>
        <v>B</v>
      </c>
      <c r="U37" s="1215">
        <f t="shared" si="41"/>
        <v>80.010000000000005</v>
      </c>
      <c r="V37" s="1216">
        <f t="shared" si="41"/>
        <v>84.02</v>
      </c>
      <c r="W37" s="1216">
        <f t="shared" si="41"/>
        <v>85.03</v>
      </c>
      <c r="X37" s="1216">
        <f t="shared" si="41"/>
        <v>85.04</v>
      </c>
      <c r="Y37" s="1216" t="str">
        <f t="shared" si="41"/>
        <v/>
      </c>
      <c r="Z37" s="1216" t="str">
        <f t="shared" si="41"/>
        <v/>
      </c>
      <c r="AA37" s="1216" t="str">
        <f t="shared" si="41"/>
        <v/>
      </c>
      <c r="AB37" s="1217" t="str">
        <f t="shared" si="41"/>
        <v/>
      </c>
      <c r="AC37" s="1216" t="str">
        <f t="shared" si="41"/>
        <v/>
      </c>
      <c r="AD37" s="1218" t="str">
        <f t="shared" si="41"/>
        <v/>
      </c>
      <c r="AE37" s="1219">
        <f t="shared" si="27"/>
        <v>85.04</v>
      </c>
      <c r="AF37" s="282">
        <f t="shared" si="28"/>
        <v>80.010000000000005</v>
      </c>
      <c r="AG37" s="282" t="str">
        <f t="shared" si="29"/>
        <v>baik</v>
      </c>
      <c r="AH37" s="282" t="str">
        <f t="shared" si="29"/>
        <v>cukup</v>
      </c>
      <c r="AI37" s="282">
        <f t="shared" si="30"/>
        <v>4</v>
      </c>
      <c r="AJ37" s="283">
        <f t="shared" si="31"/>
        <v>1</v>
      </c>
      <c r="AK37" s="284" t="str">
        <f t="shared" si="32"/>
        <v>Memiliki kemampuan baik dalam Menafsirkan unsur dan fungsi dari sebuah lirik lagu , cukup kemampuan dalam Memahami teks memberi dan meminta informasi di masa lalu</v>
      </c>
      <c r="AL37" s="276">
        <v>85</v>
      </c>
      <c r="AM37" s="277">
        <v>85</v>
      </c>
      <c r="AN37" s="277">
        <v>85</v>
      </c>
      <c r="AO37" s="277">
        <v>90</v>
      </c>
      <c r="AP37" s="277"/>
      <c r="AQ37" s="277"/>
      <c r="AR37" s="277"/>
      <c r="AS37" s="280"/>
      <c r="AT37" s="277"/>
      <c r="AU37" s="278"/>
      <c r="AV37" s="285">
        <f t="shared" si="33"/>
        <v>86</v>
      </c>
      <c r="AW37" s="296" t="str">
        <f t="shared" si="34"/>
        <v>B</v>
      </c>
      <c r="AX37" s="1220">
        <f t="shared" si="42"/>
        <v>85.01</v>
      </c>
      <c r="AY37" s="1221">
        <f t="shared" si="42"/>
        <v>85.02</v>
      </c>
      <c r="AZ37" s="1221">
        <f t="shared" si="42"/>
        <v>85.03</v>
      </c>
      <c r="BA37" s="1221">
        <f t="shared" si="42"/>
        <v>90.04</v>
      </c>
      <c r="BB37" s="1221" t="str">
        <f t="shared" si="42"/>
        <v/>
      </c>
      <c r="BC37" s="1221" t="str">
        <f t="shared" si="42"/>
        <v/>
      </c>
      <c r="BD37" s="1221" t="str">
        <f t="shared" si="42"/>
        <v/>
      </c>
      <c r="BE37" s="1222" t="str">
        <f t="shared" si="42"/>
        <v/>
      </c>
      <c r="BF37" s="1221" t="str">
        <f t="shared" si="42"/>
        <v/>
      </c>
      <c r="BG37" s="1223" t="str">
        <f t="shared" si="42"/>
        <v/>
      </c>
      <c r="BH37" s="286">
        <f t="shared" si="35"/>
        <v>90.04</v>
      </c>
      <c r="BI37" s="286">
        <f t="shared" si="36"/>
        <v>85.01</v>
      </c>
      <c r="BJ37" s="287" t="str">
        <f t="shared" si="37"/>
        <v>baik</v>
      </c>
      <c r="BK37" s="287" t="str">
        <f t="shared" si="37"/>
        <v>baik</v>
      </c>
      <c r="BL37" s="286">
        <f t="shared" si="38"/>
        <v>4</v>
      </c>
      <c r="BM37" s="288">
        <f t="shared" si="39"/>
        <v>1</v>
      </c>
      <c r="BN37" s="289" t="str">
        <f t="shared" si="40"/>
        <v>Memiliki keterampilan baik dalam Menyayikan sebuah lagu bahasa inggris sederhana dan Menyusun teks tentang Past Event</v>
      </c>
      <c r="BO37" s="67"/>
    </row>
    <row r="38" spans="1:67" ht="33" customHeight="1">
      <c r="A38" s="67"/>
      <c r="B38" s="272">
        <f t="shared" ref="B38:B46" si="43">IF(D38="","",B37+1)</f>
        <v>25</v>
      </c>
      <c r="C38" s="273">
        <f>IF(Data!F29="","",Data!F29)</f>
        <v>0</v>
      </c>
      <c r="D38" s="274" t="str">
        <f>IF(Data!H29="","",Data!H29)</f>
        <v>Maya Trifena Niobe</v>
      </c>
      <c r="E38" s="275" t="str">
        <f>IF(Data!I29="","",Data!I29)</f>
        <v>P</v>
      </c>
      <c r="F38" s="276">
        <v>85</v>
      </c>
      <c r="G38" s="277">
        <v>85</v>
      </c>
      <c r="H38" s="277">
        <v>85</v>
      </c>
      <c r="I38" s="277">
        <v>87</v>
      </c>
      <c r="J38" s="277"/>
      <c r="K38" s="277"/>
      <c r="L38" s="277"/>
      <c r="M38" s="280"/>
      <c r="N38" s="277"/>
      <c r="O38" s="278"/>
      <c r="P38" s="279">
        <f t="shared" si="24"/>
        <v>86</v>
      </c>
      <c r="Q38" s="277">
        <v>85</v>
      </c>
      <c r="R38" s="280">
        <v>85</v>
      </c>
      <c r="S38" s="281">
        <f t="shared" si="25"/>
        <v>86</v>
      </c>
      <c r="T38" s="295" t="str">
        <f t="shared" si="26"/>
        <v>B</v>
      </c>
      <c r="U38" s="1215">
        <f t="shared" si="41"/>
        <v>85.01</v>
      </c>
      <c r="V38" s="1216">
        <f t="shared" si="41"/>
        <v>85.02</v>
      </c>
      <c r="W38" s="1216">
        <f t="shared" si="41"/>
        <v>85.03</v>
      </c>
      <c r="X38" s="1216">
        <f t="shared" si="41"/>
        <v>87.04</v>
      </c>
      <c r="Y38" s="1216" t="str">
        <f t="shared" si="41"/>
        <v/>
      </c>
      <c r="Z38" s="1216" t="str">
        <f t="shared" si="41"/>
        <v/>
      </c>
      <c r="AA38" s="1216" t="str">
        <f t="shared" si="41"/>
        <v/>
      </c>
      <c r="AB38" s="1217" t="str">
        <f t="shared" si="41"/>
        <v/>
      </c>
      <c r="AC38" s="1216" t="str">
        <f t="shared" si="41"/>
        <v/>
      </c>
      <c r="AD38" s="1218" t="str">
        <f t="shared" si="41"/>
        <v/>
      </c>
      <c r="AE38" s="1219">
        <f t="shared" si="27"/>
        <v>87.04</v>
      </c>
      <c r="AF38" s="282">
        <f t="shared" si="28"/>
        <v>85.01</v>
      </c>
      <c r="AG38" s="282" t="str">
        <f t="shared" si="29"/>
        <v>baik</v>
      </c>
      <c r="AH38" s="282" t="str">
        <f t="shared" si="29"/>
        <v>baik</v>
      </c>
      <c r="AI38" s="282">
        <f t="shared" si="30"/>
        <v>4</v>
      </c>
      <c r="AJ38" s="283">
        <f t="shared" si="31"/>
        <v>1</v>
      </c>
      <c r="AK38" s="284" t="str">
        <f t="shared" si="32"/>
        <v>Memiliki kemampuan baik dalam Menafsirkan unsur dan fungsi dari sebuah lirik lagu  dan Memahami teks memberi dan meminta informasi di masa lalu</v>
      </c>
      <c r="AL38" s="276">
        <v>85</v>
      </c>
      <c r="AM38" s="277">
        <v>85</v>
      </c>
      <c r="AN38" s="277">
        <v>85</v>
      </c>
      <c r="AO38" s="277">
        <v>90</v>
      </c>
      <c r="AP38" s="277"/>
      <c r="AQ38" s="277"/>
      <c r="AR38" s="277"/>
      <c r="AS38" s="280"/>
      <c r="AT38" s="277"/>
      <c r="AU38" s="278"/>
      <c r="AV38" s="285">
        <f t="shared" si="33"/>
        <v>86</v>
      </c>
      <c r="AW38" s="296" t="str">
        <f t="shared" si="34"/>
        <v>B</v>
      </c>
      <c r="AX38" s="1220">
        <f t="shared" si="42"/>
        <v>85.01</v>
      </c>
      <c r="AY38" s="1221">
        <f t="shared" si="42"/>
        <v>85.02</v>
      </c>
      <c r="AZ38" s="1221">
        <f t="shared" si="42"/>
        <v>85.03</v>
      </c>
      <c r="BA38" s="1221">
        <f t="shared" si="42"/>
        <v>90.04</v>
      </c>
      <c r="BB38" s="1221" t="str">
        <f t="shared" si="42"/>
        <v/>
      </c>
      <c r="BC38" s="1221" t="str">
        <f t="shared" si="42"/>
        <v/>
      </c>
      <c r="BD38" s="1221" t="str">
        <f t="shared" si="42"/>
        <v/>
      </c>
      <c r="BE38" s="1222" t="str">
        <f t="shared" si="42"/>
        <v/>
      </c>
      <c r="BF38" s="1221" t="str">
        <f t="shared" si="42"/>
        <v/>
      </c>
      <c r="BG38" s="1223" t="str">
        <f t="shared" si="42"/>
        <v/>
      </c>
      <c r="BH38" s="286">
        <f t="shared" si="35"/>
        <v>90.04</v>
      </c>
      <c r="BI38" s="286">
        <f t="shared" si="36"/>
        <v>85.01</v>
      </c>
      <c r="BJ38" s="287" t="str">
        <f t="shared" si="37"/>
        <v>baik</v>
      </c>
      <c r="BK38" s="287" t="str">
        <f t="shared" si="37"/>
        <v>baik</v>
      </c>
      <c r="BL38" s="286">
        <f t="shared" si="38"/>
        <v>4</v>
      </c>
      <c r="BM38" s="288">
        <f t="shared" si="39"/>
        <v>1</v>
      </c>
      <c r="BN38" s="289" t="str">
        <f t="shared" si="40"/>
        <v>Memiliki keterampilan baik dalam Menyayikan sebuah lagu bahasa inggris sederhana dan Menyusun teks tentang Past Event</v>
      </c>
      <c r="BO38" s="67"/>
    </row>
    <row r="39" spans="1:67" ht="33" customHeight="1">
      <c r="A39" s="67"/>
      <c r="B39" s="272">
        <f t="shared" si="43"/>
        <v>26</v>
      </c>
      <c r="C39" s="273">
        <f>IF(Data!F30="","",Data!F30)</f>
        <v>0</v>
      </c>
      <c r="D39" s="274" t="str">
        <f>IF(Data!H30="","",Data!H30)</f>
        <v>Misel Miranda Sora</v>
      </c>
      <c r="E39" s="275" t="str">
        <f>IF(Data!I30="","",Data!I30)</f>
        <v>P</v>
      </c>
      <c r="F39" s="276">
        <v>80</v>
      </c>
      <c r="G39" s="277">
        <v>80</v>
      </c>
      <c r="H39" s="277">
        <v>86</v>
      </c>
      <c r="I39" s="277">
        <v>87</v>
      </c>
      <c r="J39" s="277"/>
      <c r="K39" s="277"/>
      <c r="L39" s="277"/>
      <c r="M39" s="280"/>
      <c r="N39" s="277"/>
      <c r="O39" s="278"/>
      <c r="P39" s="279">
        <f t="shared" si="24"/>
        <v>83</v>
      </c>
      <c r="Q39" s="277">
        <v>86</v>
      </c>
      <c r="R39" s="280">
        <v>86</v>
      </c>
      <c r="S39" s="281">
        <f t="shared" si="25"/>
        <v>85</v>
      </c>
      <c r="T39" s="295" t="str">
        <f t="shared" si="26"/>
        <v>B</v>
      </c>
      <c r="U39" s="1215">
        <f t="shared" si="41"/>
        <v>80.010000000000005</v>
      </c>
      <c r="V39" s="1216">
        <f t="shared" si="41"/>
        <v>80.02</v>
      </c>
      <c r="W39" s="1216">
        <f t="shared" si="41"/>
        <v>86.03</v>
      </c>
      <c r="X39" s="1216">
        <f t="shared" si="41"/>
        <v>87.04</v>
      </c>
      <c r="Y39" s="1216" t="str">
        <f t="shared" si="41"/>
        <v/>
      </c>
      <c r="Z39" s="1216" t="str">
        <f t="shared" si="41"/>
        <v/>
      </c>
      <c r="AA39" s="1216" t="str">
        <f t="shared" si="41"/>
        <v/>
      </c>
      <c r="AB39" s="1217" t="str">
        <f t="shared" si="41"/>
        <v/>
      </c>
      <c r="AC39" s="1216" t="str">
        <f t="shared" si="41"/>
        <v/>
      </c>
      <c r="AD39" s="1218" t="str">
        <f t="shared" si="41"/>
        <v/>
      </c>
      <c r="AE39" s="1219">
        <f t="shared" si="27"/>
        <v>87.04</v>
      </c>
      <c r="AF39" s="282">
        <f t="shared" si="28"/>
        <v>80.010000000000005</v>
      </c>
      <c r="AG39" s="282" t="str">
        <f t="shared" si="29"/>
        <v>baik</v>
      </c>
      <c r="AH39" s="282" t="str">
        <f t="shared" si="29"/>
        <v>cukup</v>
      </c>
      <c r="AI39" s="282">
        <f t="shared" si="30"/>
        <v>4</v>
      </c>
      <c r="AJ39" s="283">
        <f t="shared" si="31"/>
        <v>1</v>
      </c>
      <c r="AK39" s="284" t="str">
        <f t="shared" si="32"/>
        <v>Memiliki kemampuan baik dalam Menafsirkan unsur dan fungsi dari sebuah lirik lagu , cukup kemampuan dalam Memahami teks memberi dan meminta informasi di masa lalu</v>
      </c>
      <c r="AL39" s="276">
        <v>85</v>
      </c>
      <c r="AM39" s="277">
        <v>85</v>
      </c>
      <c r="AN39" s="277">
        <v>85</v>
      </c>
      <c r="AO39" s="277">
        <v>90</v>
      </c>
      <c r="AP39" s="277"/>
      <c r="AQ39" s="277"/>
      <c r="AR39" s="277"/>
      <c r="AS39" s="280"/>
      <c r="AT39" s="277"/>
      <c r="AU39" s="278"/>
      <c r="AV39" s="285">
        <f t="shared" si="33"/>
        <v>86</v>
      </c>
      <c r="AW39" s="296" t="str">
        <f t="shared" si="34"/>
        <v>B</v>
      </c>
      <c r="AX39" s="1220">
        <f t="shared" si="42"/>
        <v>85.01</v>
      </c>
      <c r="AY39" s="1221">
        <f t="shared" si="42"/>
        <v>85.02</v>
      </c>
      <c r="AZ39" s="1221">
        <f t="shared" si="42"/>
        <v>85.03</v>
      </c>
      <c r="BA39" s="1221">
        <f t="shared" si="42"/>
        <v>90.04</v>
      </c>
      <c r="BB39" s="1221" t="str">
        <f t="shared" si="42"/>
        <v/>
      </c>
      <c r="BC39" s="1221" t="str">
        <f t="shared" si="42"/>
        <v/>
      </c>
      <c r="BD39" s="1221" t="str">
        <f t="shared" si="42"/>
        <v/>
      </c>
      <c r="BE39" s="1222" t="str">
        <f t="shared" si="42"/>
        <v/>
      </c>
      <c r="BF39" s="1221" t="str">
        <f t="shared" si="42"/>
        <v/>
      </c>
      <c r="BG39" s="1223" t="str">
        <f t="shared" si="42"/>
        <v/>
      </c>
      <c r="BH39" s="286">
        <f t="shared" si="35"/>
        <v>90.04</v>
      </c>
      <c r="BI39" s="286">
        <f t="shared" si="36"/>
        <v>85.01</v>
      </c>
      <c r="BJ39" s="287" t="str">
        <f t="shared" si="37"/>
        <v>baik</v>
      </c>
      <c r="BK39" s="287" t="str">
        <f t="shared" si="37"/>
        <v>baik</v>
      </c>
      <c r="BL39" s="286">
        <f t="shared" si="38"/>
        <v>4</v>
      </c>
      <c r="BM39" s="288">
        <f t="shared" si="39"/>
        <v>1</v>
      </c>
      <c r="BN39" s="289" t="str">
        <f t="shared" si="40"/>
        <v>Memiliki keterampilan baik dalam Menyayikan sebuah lagu bahasa inggris sederhana dan Menyusun teks tentang Past Event</v>
      </c>
      <c r="BO39" s="67"/>
    </row>
    <row r="40" spans="1:67" ht="33" customHeight="1">
      <c r="A40" s="67"/>
      <c r="B40" s="272">
        <f t="shared" si="43"/>
        <v>27</v>
      </c>
      <c r="C40" s="273">
        <f>IF(Data!F31="","",Data!F31)</f>
        <v>0</v>
      </c>
      <c r="D40" s="274" t="str">
        <f>IF(Data!H31="","",Data!H31)</f>
        <v>Nofianti Tainmeta</v>
      </c>
      <c r="E40" s="275" t="str">
        <f>IF(Data!I31="","",Data!I31)</f>
        <v>P</v>
      </c>
      <c r="F40" s="276">
        <v>80</v>
      </c>
      <c r="G40" s="277">
        <v>80</v>
      </c>
      <c r="H40" s="277">
        <v>80</v>
      </c>
      <c r="I40" s="277">
        <v>80</v>
      </c>
      <c r="J40" s="277"/>
      <c r="K40" s="277"/>
      <c r="L40" s="277"/>
      <c r="M40" s="280"/>
      <c r="N40" s="277"/>
      <c r="O40" s="278"/>
      <c r="P40" s="279">
        <f t="shared" si="24"/>
        <v>80</v>
      </c>
      <c r="Q40" s="277">
        <v>80</v>
      </c>
      <c r="R40" s="280">
        <v>85</v>
      </c>
      <c r="S40" s="281">
        <f t="shared" si="25"/>
        <v>81</v>
      </c>
      <c r="T40" s="295" t="str">
        <f t="shared" si="26"/>
        <v>C</v>
      </c>
      <c r="U40" s="1215">
        <f t="shared" si="41"/>
        <v>80.010000000000005</v>
      </c>
      <c r="V40" s="1216">
        <f t="shared" si="41"/>
        <v>80.02</v>
      </c>
      <c r="W40" s="1216">
        <f t="shared" si="41"/>
        <v>80.03</v>
      </c>
      <c r="X40" s="1216">
        <f t="shared" si="41"/>
        <v>80.040000000000006</v>
      </c>
      <c r="Y40" s="1216" t="str">
        <f t="shared" si="41"/>
        <v/>
      </c>
      <c r="Z40" s="1216" t="str">
        <f t="shared" si="41"/>
        <v/>
      </c>
      <c r="AA40" s="1216" t="str">
        <f t="shared" si="41"/>
        <v/>
      </c>
      <c r="AB40" s="1217" t="str">
        <f t="shared" si="41"/>
        <v/>
      </c>
      <c r="AC40" s="1216" t="str">
        <f t="shared" si="41"/>
        <v/>
      </c>
      <c r="AD40" s="1218" t="str">
        <f t="shared" si="41"/>
        <v/>
      </c>
      <c r="AE40" s="1219">
        <f t="shared" si="27"/>
        <v>80.040000000000006</v>
      </c>
      <c r="AF40" s="282">
        <f t="shared" si="28"/>
        <v>80.010000000000005</v>
      </c>
      <c r="AG40" s="282" t="str">
        <f t="shared" si="29"/>
        <v>cukup</v>
      </c>
      <c r="AH40" s="282" t="str">
        <f t="shared" si="29"/>
        <v>cukup</v>
      </c>
      <c r="AI40" s="282">
        <f t="shared" si="30"/>
        <v>4</v>
      </c>
      <c r="AJ40" s="283">
        <f t="shared" si="31"/>
        <v>1</v>
      </c>
      <c r="AK40" s="284" t="str">
        <f t="shared" si="32"/>
        <v>Memiliki kemampuan cukup dalam Menafsirkan unsur dan fungsi dari sebuah lirik lagu  dan Memahami teks memberi dan meminta informasi di masa lalu</v>
      </c>
      <c r="AL40" s="276">
        <v>85</v>
      </c>
      <c r="AM40" s="277">
        <v>85</v>
      </c>
      <c r="AN40" s="277">
        <v>85</v>
      </c>
      <c r="AO40" s="277">
        <v>90</v>
      </c>
      <c r="AP40" s="277"/>
      <c r="AQ40" s="277"/>
      <c r="AR40" s="277"/>
      <c r="AS40" s="280"/>
      <c r="AT40" s="277"/>
      <c r="AU40" s="278"/>
      <c r="AV40" s="285">
        <f t="shared" si="33"/>
        <v>86</v>
      </c>
      <c r="AW40" s="296" t="str">
        <f t="shared" si="34"/>
        <v>B</v>
      </c>
      <c r="AX40" s="1220">
        <f t="shared" si="42"/>
        <v>85.01</v>
      </c>
      <c r="AY40" s="1221">
        <f t="shared" si="42"/>
        <v>85.02</v>
      </c>
      <c r="AZ40" s="1221">
        <f t="shared" si="42"/>
        <v>85.03</v>
      </c>
      <c r="BA40" s="1221">
        <f t="shared" si="42"/>
        <v>90.04</v>
      </c>
      <c r="BB40" s="1221" t="str">
        <f t="shared" si="42"/>
        <v/>
      </c>
      <c r="BC40" s="1221" t="str">
        <f t="shared" si="42"/>
        <v/>
      </c>
      <c r="BD40" s="1221" t="str">
        <f t="shared" si="42"/>
        <v/>
      </c>
      <c r="BE40" s="1222" t="str">
        <f t="shared" si="42"/>
        <v/>
      </c>
      <c r="BF40" s="1221" t="str">
        <f t="shared" si="42"/>
        <v/>
      </c>
      <c r="BG40" s="1223" t="str">
        <f t="shared" si="42"/>
        <v/>
      </c>
      <c r="BH40" s="286">
        <f t="shared" si="35"/>
        <v>90.04</v>
      </c>
      <c r="BI40" s="286">
        <f t="shared" si="36"/>
        <v>85.01</v>
      </c>
      <c r="BJ40" s="287" t="str">
        <f t="shared" si="37"/>
        <v>baik</v>
      </c>
      <c r="BK40" s="287" t="str">
        <f t="shared" si="37"/>
        <v>baik</v>
      </c>
      <c r="BL40" s="286">
        <f t="shared" si="38"/>
        <v>4</v>
      </c>
      <c r="BM40" s="288">
        <f t="shared" si="39"/>
        <v>1</v>
      </c>
      <c r="BN40" s="289" t="str">
        <f t="shared" si="40"/>
        <v>Memiliki keterampilan baik dalam Menyayikan sebuah lagu bahasa inggris sederhana dan Menyusun teks tentang Past Event</v>
      </c>
      <c r="BO40" s="67"/>
    </row>
    <row r="41" spans="1:67" ht="33" customHeight="1">
      <c r="A41" s="67"/>
      <c r="B41" s="272">
        <f t="shared" si="43"/>
        <v>28</v>
      </c>
      <c r="C41" s="273">
        <f>IF(Data!F32="","",Data!F32)</f>
        <v>0</v>
      </c>
      <c r="D41" s="274" t="str">
        <f>IF(Data!H32="","",Data!H32)</f>
        <v>Ofni Antrikus Banun</v>
      </c>
      <c r="E41" s="275" t="str">
        <f>IF(Data!I32="","",Data!I32)</f>
        <v>L</v>
      </c>
      <c r="F41" s="276">
        <v>80</v>
      </c>
      <c r="G41" s="277">
        <v>80</v>
      </c>
      <c r="H41" s="277">
        <v>80</v>
      </c>
      <c r="I41" s="277">
        <v>80</v>
      </c>
      <c r="J41" s="277"/>
      <c r="K41" s="277"/>
      <c r="L41" s="277"/>
      <c r="M41" s="280"/>
      <c r="N41" s="277"/>
      <c r="O41" s="278"/>
      <c r="P41" s="279">
        <f t="shared" si="24"/>
        <v>80</v>
      </c>
      <c r="Q41" s="277">
        <v>80</v>
      </c>
      <c r="R41" s="280">
        <v>80</v>
      </c>
      <c r="S41" s="281">
        <f t="shared" si="25"/>
        <v>80</v>
      </c>
      <c r="T41" s="295" t="str">
        <f t="shared" si="26"/>
        <v>C</v>
      </c>
      <c r="U41" s="1215">
        <f t="shared" si="41"/>
        <v>80.010000000000005</v>
      </c>
      <c r="V41" s="1216">
        <f t="shared" si="41"/>
        <v>80.02</v>
      </c>
      <c r="W41" s="1216">
        <f t="shared" si="41"/>
        <v>80.03</v>
      </c>
      <c r="X41" s="1216">
        <f t="shared" si="41"/>
        <v>80.040000000000006</v>
      </c>
      <c r="Y41" s="1216" t="str">
        <f t="shared" si="41"/>
        <v/>
      </c>
      <c r="Z41" s="1216" t="str">
        <f t="shared" si="41"/>
        <v/>
      </c>
      <c r="AA41" s="1216" t="str">
        <f t="shared" si="41"/>
        <v/>
      </c>
      <c r="AB41" s="1217" t="str">
        <f t="shared" si="41"/>
        <v/>
      </c>
      <c r="AC41" s="1216" t="str">
        <f t="shared" si="41"/>
        <v/>
      </c>
      <c r="AD41" s="1218" t="str">
        <f t="shared" si="41"/>
        <v/>
      </c>
      <c r="AE41" s="1219">
        <f t="shared" si="27"/>
        <v>80.040000000000006</v>
      </c>
      <c r="AF41" s="282">
        <f t="shared" si="28"/>
        <v>80.010000000000005</v>
      </c>
      <c r="AG41" s="282" t="str">
        <f t="shared" si="29"/>
        <v>cukup</v>
      </c>
      <c r="AH41" s="282" t="str">
        <f t="shared" si="29"/>
        <v>cukup</v>
      </c>
      <c r="AI41" s="282">
        <f t="shared" si="30"/>
        <v>4</v>
      </c>
      <c r="AJ41" s="283">
        <f t="shared" si="31"/>
        <v>1</v>
      </c>
      <c r="AK41" s="284" t="str">
        <f t="shared" si="32"/>
        <v>Memiliki kemampuan cukup dalam Menafsirkan unsur dan fungsi dari sebuah lirik lagu  dan Memahami teks memberi dan meminta informasi di masa lalu</v>
      </c>
      <c r="AL41" s="276">
        <v>85</v>
      </c>
      <c r="AM41" s="277">
        <v>85</v>
      </c>
      <c r="AN41" s="277">
        <v>85</v>
      </c>
      <c r="AO41" s="277">
        <v>90</v>
      </c>
      <c r="AP41" s="277"/>
      <c r="AQ41" s="277"/>
      <c r="AR41" s="277"/>
      <c r="AS41" s="280"/>
      <c r="AT41" s="277"/>
      <c r="AU41" s="278"/>
      <c r="AV41" s="285">
        <f t="shared" si="33"/>
        <v>86</v>
      </c>
      <c r="AW41" s="296" t="str">
        <f t="shared" si="34"/>
        <v>B</v>
      </c>
      <c r="AX41" s="1220">
        <f t="shared" si="42"/>
        <v>85.01</v>
      </c>
      <c r="AY41" s="1221">
        <f t="shared" si="42"/>
        <v>85.02</v>
      </c>
      <c r="AZ41" s="1221">
        <f t="shared" si="42"/>
        <v>85.03</v>
      </c>
      <c r="BA41" s="1221">
        <f t="shared" si="42"/>
        <v>90.04</v>
      </c>
      <c r="BB41" s="1221" t="str">
        <f t="shared" si="42"/>
        <v/>
      </c>
      <c r="BC41" s="1221" t="str">
        <f t="shared" si="42"/>
        <v/>
      </c>
      <c r="BD41" s="1221" t="str">
        <f t="shared" si="42"/>
        <v/>
      </c>
      <c r="BE41" s="1222" t="str">
        <f t="shared" si="42"/>
        <v/>
      </c>
      <c r="BF41" s="1221" t="str">
        <f t="shared" si="42"/>
        <v/>
      </c>
      <c r="BG41" s="1223" t="str">
        <f t="shared" si="42"/>
        <v/>
      </c>
      <c r="BH41" s="286">
        <f t="shared" si="35"/>
        <v>90.04</v>
      </c>
      <c r="BI41" s="286">
        <f t="shared" si="36"/>
        <v>85.01</v>
      </c>
      <c r="BJ41" s="287" t="str">
        <f t="shared" si="37"/>
        <v>baik</v>
      </c>
      <c r="BK41" s="287" t="str">
        <f t="shared" si="37"/>
        <v>baik</v>
      </c>
      <c r="BL41" s="286">
        <f t="shared" si="38"/>
        <v>4</v>
      </c>
      <c r="BM41" s="288">
        <f t="shared" si="39"/>
        <v>1</v>
      </c>
      <c r="BN41" s="289" t="str">
        <f t="shared" si="40"/>
        <v>Memiliki keterampilan baik dalam Menyayikan sebuah lagu bahasa inggris sederhana dan Menyusun teks tentang Past Event</v>
      </c>
      <c r="BO41" s="67"/>
    </row>
    <row r="42" spans="1:67" ht="33" customHeight="1">
      <c r="A42" s="67"/>
      <c r="B42" s="272">
        <f t="shared" si="43"/>
        <v>29</v>
      </c>
      <c r="C42" s="273">
        <f>IF(Data!F33="","",Data!F33)</f>
        <v>0</v>
      </c>
      <c r="D42" s="274" t="str">
        <f>IF(Data!H33="","",Data!H33)</f>
        <v>Roiyandi Saebesi</v>
      </c>
      <c r="E42" s="275" t="str">
        <f>IF(Data!I33="","",Data!I33)</f>
        <v>L</v>
      </c>
      <c r="F42" s="276">
        <v>80</v>
      </c>
      <c r="G42" s="277">
        <v>80</v>
      </c>
      <c r="H42" s="277">
        <v>80</v>
      </c>
      <c r="I42" s="277">
        <v>80</v>
      </c>
      <c r="J42" s="277"/>
      <c r="K42" s="277"/>
      <c r="L42" s="277"/>
      <c r="M42" s="280"/>
      <c r="N42" s="277"/>
      <c r="O42" s="278"/>
      <c r="P42" s="279">
        <f t="shared" si="24"/>
        <v>80</v>
      </c>
      <c r="Q42" s="277">
        <v>80</v>
      </c>
      <c r="R42" s="280">
        <v>80</v>
      </c>
      <c r="S42" s="281">
        <f t="shared" si="25"/>
        <v>80</v>
      </c>
      <c r="T42" s="295" t="str">
        <f t="shared" si="26"/>
        <v>C</v>
      </c>
      <c r="U42" s="1215">
        <f t="shared" si="41"/>
        <v>80.010000000000005</v>
      </c>
      <c r="V42" s="1216">
        <f t="shared" si="41"/>
        <v>80.02</v>
      </c>
      <c r="W42" s="1216">
        <f t="shared" si="41"/>
        <v>80.03</v>
      </c>
      <c r="X42" s="1216">
        <f t="shared" si="41"/>
        <v>80.040000000000006</v>
      </c>
      <c r="Y42" s="1216" t="str">
        <f t="shared" si="41"/>
        <v/>
      </c>
      <c r="Z42" s="1216" t="str">
        <f t="shared" si="41"/>
        <v/>
      </c>
      <c r="AA42" s="1216" t="str">
        <f t="shared" si="41"/>
        <v/>
      </c>
      <c r="AB42" s="1217" t="str">
        <f t="shared" si="41"/>
        <v/>
      </c>
      <c r="AC42" s="1216" t="str">
        <f t="shared" si="41"/>
        <v/>
      </c>
      <c r="AD42" s="1218" t="str">
        <f t="shared" si="41"/>
        <v/>
      </c>
      <c r="AE42" s="1219">
        <f t="shared" si="27"/>
        <v>80.040000000000006</v>
      </c>
      <c r="AF42" s="282">
        <f t="shared" si="28"/>
        <v>80.010000000000005</v>
      </c>
      <c r="AG42" s="282" t="str">
        <f t="shared" si="29"/>
        <v>cukup</v>
      </c>
      <c r="AH42" s="282" t="str">
        <f t="shared" si="29"/>
        <v>cukup</v>
      </c>
      <c r="AI42" s="282">
        <f t="shared" si="30"/>
        <v>4</v>
      </c>
      <c r="AJ42" s="283">
        <f t="shared" si="31"/>
        <v>1</v>
      </c>
      <c r="AK42" s="284" t="str">
        <f t="shared" si="32"/>
        <v>Memiliki kemampuan cukup dalam Menafsirkan unsur dan fungsi dari sebuah lirik lagu  dan Memahami teks memberi dan meminta informasi di masa lalu</v>
      </c>
      <c r="AL42" s="276">
        <v>85</v>
      </c>
      <c r="AM42" s="277">
        <v>85</v>
      </c>
      <c r="AN42" s="277">
        <v>85</v>
      </c>
      <c r="AO42" s="277">
        <v>90</v>
      </c>
      <c r="AP42" s="277"/>
      <c r="AQ42" s="277"/>
      <c r="AR42" s="277"/>
      <c r="AS42" s="280"/>
      <c r="AT42" s="277"/>
      <c r="AU42" s="278"/>
      <c r="AV42" s="285">
        <f t="shared" si="33"/>
        <v>86</v>
      </c>
      <c r="AW42" s="296" t="str">
        <f t="shared" si="34"/>
        <v>B</v>
      </c>
      <c r="AX42" s="1220">
        <f t="shared" si="42"/>
        <v>85.01</v>
      </c>
      <c r="AY42" s="1221">
        <f t="shared" si="42"/>
        <v>85.02</v>
      </c>
      <c r="AZ42" s="1221">
        <f t="shared" si="42"/>
        <v>85.03</v>
      </c>
      <c r="BA42" s="1221">
        <f t="shared" si="42"/>
        <v>90.04</v>
      </c>
      <c r="BB42" s="1221" t="str">
        <f t="shared" si="42"/>
        <v/>
      </c>
      <c r="BC42" s="1221" t="str">
        <f t="shared" si="42"/>
        <v/>
      </c>
      <c r="BD42" s="1221" t="str">
        <f t="shared" si="42"/>
        <v/>
      </c>
      <c r="BE42" s="1222" t="str">
        <f t="shared" si="42"/>
        <v/>
      </c>
      <c r="BF42" s="1221" t="str">
        <f t="shared" si="42"/>
        <v/>
      </c>
      <c r="BG42" s="1223" t="str">
        <f t="shared" si="42"/>
        <v/>
      </c>
      <c r="BH42" s="286">
        <f t="shared" si="35"/>
        <v>90.04</v>
      </c>
      <c r="BI42" s="286">
        <f t="shared" si="36"/>
        <v>85.01</v>
      </c>
      <c r="BJ42" s="287" t="str">
        <f t="shared" si="37"/>
        <v>baik</v>
      </c>
      <c r="BK42" s="287" t="str">
        <f t="shared" si="37"/>
        <v>baik</v>
      </c>
      <c r="BL42" s="286">
        <f t="shared" si="38"/>
        <v>4</v>
      </c>
      <c r="BM42" s="288">
        <f t="shared" si="39"/>
        <v>1</v>
      </c>
      <c r="BN42" s="289" t="str">
        <f t="shared" si="40"/>
        <v>Memiliki keterampilan baik dalam Menyayikan sebuah lagu bahasa inggris sederhana dan Menyusun teks tentang Past Event</v>
      </c>
      <c r="BO42" s="67"/>
    </row>
    <row r="43" spans="1:67" ht="33" customHeight="1">
      <c r="A43" s="67"/>
      <c r="B43" s="272">
        <f t="shared" si="43"/>
        <v>30</v>
      </c>
      <c r="C43" s="273">
        <f>IF(Data!F34="","",Data!F34)</f>
        <v>0</v>
      </c>
      <c r="D43" s="274" t="str">
        <f>IF(Data!H34="","",Data!H34)</f>
        <v>Roni Yohanis Bira</v>
      </c>
      <c r="E43" s="275" t="str">
        <f>IF(Data!I34="","",Data!I34)</f>
        <v>L</v>
      </c>
      <c r="F43" s="276">
        <v>85</v>
      </c>
      <c r="G43" s="277">
        <v>85</v>
      </c>
      <c r="H43" s="277">
        <v>87</v>
      </c>
      <c r="I43" s="277">
        <v>85</v>
      </c>
      <c r="J43" s="277"/>
      <c r="K43" s="277"/>
      <c r="L43" s="277"/>
      <c r="M43" s="280"/>
      <c r="N43" s="277"/>
      <c r="O43" s="278"/>
      <c r="P43" s="279">
        <f t="shared" si="24"/>
        <v>86</v>
      </c>
      <c r="Q43" s="277">
        <v>85</v>
      </c>
      <c r="R43" s="280">
        <v>88</v>
      </c>
      <c r="S43" s="281">
        <f t="shared" si="25"/>
        <v>86</v>
      </c>
      <c r="T43" s="295" t="str">
        <f t="shared" si="26"/>
        <v>B</v>
      </c>
      <c r="U43" s="1215">
        <f t="shared" si="41"/>
        <v>85.01</v>
      </c>
      <c r="V43" s="1216">
        <f t="shared" si="41"/>
        <v>85.02</v>
      </c>
      <c r="W43" s="1216">
        <f t="shared" si="41"/>
        <v>87.03</v>
      </c>
      <c r="X43" s="1216">
        <f t="shared" si="41"/>
        <v>85.04</v>
      </c>
      <c r="Y43" s="1216" t="str">
        <f t="shared" si="41"/>
        <v/>
      </c>
      <c r="Z43" s="1216" t="str">
        <f t="shared" si="41"/>
        <v/>
      </c>
      <c r="AA43" s="1216" t="str">
        <f t="shared" si="41"/>
        <v/>
      </c>
      <c r="AB43" s="1217" t="str">
        <f t="shared" si="41"/>
        <v/>
      </c>
      <c r="AC43" s="1216" t="str">
        <f t="shared" si="41"/>
        <v/>
      </c>
      <c r="AD43" s="1218" t="str">
        <f t="shared" si="41"/>
        <v/>
      </c>
      <c r="AE43" s="1219">
        <f t="shared" si="27"/>
        <v>87.03</v>
      </c>
      <c r="AF43" s="282">
        <f t="shared" si="28"/>
        <v>85.01</v>
      </c>
      <c r="AG43" s="282" t="str">
        <f t="shared" si="29"/>
        <v>baik</v>
      </c>
      <c r="AH43" s="282" t="str">
        <f t="shared" si="29"/>
        <v>baik</v>
      </c>
      <c r="AI43" s="282">
        <f t="shared" si="30"/>
        <v>3</v>
      </c>
      <c r="AJ43" s="283">
        <f t="shared" si="31"/>
        <v>1</v>
      </c>
      <c r="AK43" s="284" t="str">
        <f t="shared" si="32"/>
        <v>Memiliki kemampuan baik dalam Memahami unsur-unsur penting dalam menyusun teks naratif dan Memahami teks memberi dan meminta informasi di masa lalu</v>
      </c>
      <c r="AL43" s="276">
        <v>85</v>
      </c>
      <c r="AM43" s="277">
        <v>85</v>
      </c>
      <c r="AN43" s="277">
        <v>85</v>
      </c>
      <c r="AO43" s="277">
        <v>90</v>
      </c>
      <c r="AP43" s="277"/>
      <c r="AQ43" s="277"/>
      <c r="AR43" s="277"/>
      <c r="AS43" s="280"/>
      <c r="AT43" s="277"/>
      <c r="AU43" s="278"/>
      <c r="AV43" s="285">
        <f t="shared" si="33"/>
        <v>86</v>
      </c>
      <c r="AW43" s="296" t="str">
        <f t="shared" si="34"/>
        <v>B</v>
      </c>
      <c r="AX43" s="1220">
        <f t="shared" si="42"/>
        <v>85.01</v>
      </c>
      <c r="AY43" s="1221">
        <f t="shared" si="42"/>
        <v>85.02</v>
      </c>
      <c r="AZ43" s="1221">
        <f t="shared" si="42"/>
        <v>85.03</v>
      </c>
      <c r="BA43" s="1221">
        <f t="shared" si="42"/>
        <v>90.04</v>
      </c>
      <c r="BB43" s="1221" t="str">
        <f t="shared" si="42"/>
        <v/>
      </c>
      <c r="BC43" s="1221" t="str">
        <f t="shared" si="42"/>
        <v/>
      </c>
      <c r="BD43" s="1221" t="str">
        <f t="shared" si="42"/>
        <v/>
      </c>
      <c r="BE43" s="1222" t="str">
        <f t="shared" si="42"/>
        <v/>
      </c>
      <c r="BF43" s="1221" t="str">
        <f t="shared" si="42"/>
        <v/>
      </c>
      <c r="BG43" s="1223" t="str">
        <f t="shared" si="42"/>
        <v/>
      </c>
      <c r="BH43" s="286">
        <f t="shared" si="35"/>
        <v>90.04</v>
      </c>
      <c r="BI43" s="286">
        <f t="shared" si="36"/>
        <v>85.01</v>
      </c>
      <c r="BJ43" s="287" t="str">
        <f t="shared" si="37"/>
        <v>baik</v>
      </c>
      <c r="BK43" s="287" t="str">
        <f t="shared" si="37"/>
        <v>baik</v>
      </c>
      <c r="BL43" s="286">
        <f t="shared" si="38"/>
        <v>4</v>
      </c>
      <c r="BM43" s="288">
        <f t="shared" si="39"/>
        <v>1</v>
      </c>
      <c r="BN43" s="289" t="str">
        <f t="shared" si="40"/>
        <v>Memiliki keterampilan baik dalam Menyayikan sebuah lagu bahasa inggris sederhana dan Menyusun teks tentang Past Event</v>
      </c>
      <c r="BO43" s="67"/>
    </row>
    <row r="44" spans="1:67" ht="33" customHeight="1">
      <c r="A44" s="67"/>
      <c r="B44" s="272">
        <f t="shared" si="43"/>
        <v>31</v>
      </c>
      <c r="C44" s="273">
        <f>IF(Data!F35="","",Data!F35)</f>
        <v>0</v>
      </c>
      <c r="D44" s="274" t="str">
        <f>IF(Data!H35="","",Data!H35)</f>
        <v>Sinta Norliana Funan</v>
      </c>
      <c r="E44" s="275" t="str">
        <f>IF(Data!I35="","",Data!I35)</f>
        <v>P</v>
      </c>
      <c r="F44" s="276">
        <v>80</v>
      </c>
      <c r="G44" s="277">
        <v>84</v>
      </c>
      <c r="H44" s="277">
        <v>85</v>
      </c>
      <c r="I44" s="277">
        <v>85</v>
      </c>
      <c r="J44" s="277"/>
      <c r="K44" s="277"/>
      <c r="L44" s="277"/>
      <c r="M44" s="280"/>
      <c r="N44" s="277"/>
      <c r="O44" s="278"/>
      <c r="P44" s="279">
        <f t="shared" si="24"/>
        <v>84</v>
      </c>
      <c r="Q44" s="277">
        <v>85</v>
      </c>
      <c r="R44" s="280">
        <v>85</v>
      </c>
      <c r="S44" s="281">
        <f t="shared" si="25"/>
        <v>85</v>
      </c>
      <c r="T44" s="295" t="str">
        <f t="shared" si="26"/>
        <v>B</v>
      </c>
      <c r="U44" s="1215">
        <f t="shared" si="41"/>
        <v>80.010000000000005</v>
      </c>
      <c r="V44" s="1216">
        <f t="shared" si="41"/>
        <v>84.02</v>
      </c>
      <c r="W44" s="1216">
        <f t="shared" si="41"/>
        <v>85.03</v>
      </c>
      <c r="X44" s="1216">
        <f t="shared" si="41"/>
        <v>85.04</v>
      </c>
      <c r="Y44" s="1216" t="str">
        <f t="shared" si="41"/>
        <v/>
      </c>
      <c r="Z44" s="1216" t="str">
        <f t="shared" si="41"/>
        <v/>
      </c>
      <c r="AA44" s="1216" t="str">
        <f t="shared" si="41"/>
        <v/>
      </c>
      <c r="AB44" s="1217" t="str">
        <f t="shared" si="41"/>
        <v/>
      </c>
      <c r="AC44" s="1216" t="str">
        <f t="shared" si="41"/>
        <v/>
      </c>
      <c r="AD44" s="1218" t="str">
        <f t="shared" si="41"/>
        <v/>
      </c>
      <c r="AE44" s="1219">
        <f t="shared" si="27"/>
        <v>85.04</v>
      </c>
      <c r="AF44" s="282">
        <f t="shared" si="28"/>
        <v>80.010000000000005</v>
      </c>
      <c r="AG44" s="282" t="str">
        <f t="shared" si="29"/>
        <v>baik</v>
      </c>
      <c r="AH44" s="282" t="str">
        <f t="shared" si="29"/>
        <v>cukup</v>
      </c>
      <c r="AI44" s="282">
        <f t="shared" si="30"/>
        <v>4</v>
      </c>
      <c r="AJ44" s="283">
        <f t="shared" si="31"/>
        <v>1</v>
      </c>
      <c r="AK44" s="284" t="str">
        <f t="shared" si="32"/>
        <v>Memiliki kemampuan baik dalam Menafsirkan unsur dan fungsi dari sebuah lirik lagu , cukup kemampuan dalam Memahami teks memberi dan meminta informasi di masa lalu</v>
      </c>
      <c r="AL44" s="276">
        <v>85</v>
      </c>
      <c r="AM44" s="277">
        <v>85</v>
      </c>
      <c r="AN44" s="277">
        <v>85</v>
      </c>
      <c r="AO44" s="277">
        <v>90</v>
      </c>
      <c r="AP44" s="277"/>
      <c r="AQ44" s="277"/>
      <c r="AR44" s="277"/>
      <c r="AS44" s="280"/>
      <c r="AT44" s="277"/>
      <c r="AU44" s="278"/>
      <c r="AV44" s="285">
        <f t="shared" si="33"/>
        <v>86</v>
      </c>
      <c r="AW44" s="296" t="str">
        <f t="shared" si="34"/>
        <v>B</v>
      </c>
      <c r="AX44" s="1220">
        <f t="shared" si="42"/>
        <v>85.01</v>
      </c>
      <c r="AY44" s="1221">
        <f t="shared" si="42"/>
        <v>85.02</v>
      </c>
      <c r="AZ44" s="1221">
        <f t="shared" si="42"/>
        <v>85.03</v>
      </c>
      <c r="BA44" s="1221">
        <f t="shared" si="42"/>
        <v>90.04</v>
      </c>
      <c r="BB44" s="1221" t="str">
        <f t="shared" si="42"/>
        <v/>
      </c>
      <c r="BC44" s="1221" t="str">
        <f t="shared" si="42"/>
        <v/>
      </c>
      <c r="BD44" s="1221" t="str">
        <f t="shared" si="42"/>
        <v/>
      </c>
      <c r="BE44" s="1222" t="str">
        <f t="shared" si="42"/>
        <v/>
      </c>
      <c r="BF44" s="1221" t="str">
        <f t="shared" si="42"/>
        <v/>
      </c>
      <c r="BG44" s="1223" t="str">
        <f t="shared" si="42"/>
        <v/>
      </c>
      <c r="BH44" s="286">
        <f t="shared" si="35"/>
        <v>90.04</v>
      </c>
      <c r="BI44" s="286">
        <f t="shared" si="36"/>
        <v>85.01</v>
      </c>
      <c r="BJ44" s="287" t="str">
        <f t="shared" si="37"/>
        <v>baik</v>
      </c>
      <c r="BK44" s="287" t="str">
        <f t="shared" si="37"/>
        <v>baik</v>
      </c>
      <c r="BL44" s="286">
        <f t="shared" si="38"/>
        <v>4</v>
      </c>
      <c r="BM44" s="288">
        <f t="shared" si="39"/>
        <v>1</v>
      </c>
      <c r="BN44" s="289" t="str">
        <f t="shared" si="40"/>
        <v>Memiliki keterampilan baik dalam Menyayikan sebuah lagu bahasa inggris sederhana dan Menyusun teks tentang Past Event</v>
      </c>
      <c r="BO44" s="67"/>
    </row>
    <row r="45" spans="1:67" ht="33" customHeight="1">
      <c r="A45" s="67"/>
      <c r="B45" s="272">
        <f t="shared" si="43"/>
        <v>32</v>
      </c>
      <c r="C45" s="273">
        <f>IF(Data!F36="","",Data!F36)</f>
        <v>0</v>
      </c>
      <c r="D45" s="274" t="str">
        <f>IF(Data!H36="","",Data!H36)</f>
        <v>Stevi Otnial Loemnanu</v>
      </c>
      <c r="E45" s="275" t="str">
        <f>IF(Data!I36="","",Data!I36)</f>
        <v>L</v>
      </c>
      <c r="F45" s="276">
        <v>85</v>
      </c>
      <c r="G45" s="277">
        <v>80</v>
      </c>
      <c r="H45" s="277">
        <v>85</v>
      </c>
      <c r="I45" s="277">
        <v>85</v>
      </c>
      <c r="J45" s="277"/>
      <c r="K45" s="277"/>
      <c r="L45" s="277"/>
      <c r="M45" s="280"/>
      <c r="N45" s="277"/>
      <c r="O45" s="278"/>
      <c r="P45" s="279">
        <f t="shared" si="24"/>
        <v>84</v>
      </c>
      <c r="Q45" s="277">
        <v>85</v>
      </c>
      <c r="R45" s="280">
        <v>85</v>
      </c>
      <c r="S45" s="281">
        <f t="shared" si="25"/>
        <v>85</v>
      </c>
      <c r="T45" s="295" t="str">
        <f t="shared" si="26"/>
        <v>B</v>
      </c>
      <c r="U45" s="1215">
        <f t="shared" si="41"/>
        <v>85.01</v>
      </c>
      <c r="V45" s="1216">
        <f t="shared" si="41"/>
        <v>80.02</v>
      </c>
      <c r="W45" s="1216">
        <f t="shared" si="41"/>
        <v>85.03</v>
      </c>
      <c r="X45" s="1216">
        <f t="shared" si="41"/>
        <v>85.04</v>
      </c>
      <c r="Y45" s="1216" t="str">
        <f t="shared" si="41"/>
        <v/>
      </c>
      <c r="Z45" s="1216" t="str">
        <f t="shared" si="41"/>
        <v/>
      </c>
      <c r="AA45" s="1216" t="str">
        <f t="shared" si="41"/>
        <v/>
      </c>
      <c r="AB45" s="1217" t="str">
        <f t="shared" si="41"/>
        <v/>
      </c>
      <c r="AC45" s="1216" t="str">
        <f t="shared" si="41"/>
        <v/>
      </c>
      <c r="AD45" s="1218" t="str">
        <f t="shared" si="41"/>
        <v/>
      </c>
      <c r="AE45" s="1219">
        <f t="shared" si="27"/>
        <v>85.04</v>
      </c>
      <c r="AF45" s="282">
        <f t="shared" si="28"/>
        <v>80.02</v>
      </c>
      <c r="AG45" s="282" t="str">
        <f t="shared" si="29"/>
        <v>baik</v>
      </c>
      <c r="AH45" s="282" t="str">
        <f t="shared" si="29"/>
        <v>cukup</v>
      </c>
      <c r="AI45" s="282">
        <f t="shared" si="30"/>
        <v>4</v>
      </c>
      <c r="AJ45" s="283">
        <f t="shared" si="31"/>
        <v>2</v>
      </c>
      <c r="AK45" s="284" t="str">
        <f t="shared" si="32"/>
        <v>Memiliki kemampuan baik dalam Menafsirkan unsur dan fungsi dari sebuah lirik lagu , cukup kemampuan dalam Memahami fungsi dan struktur teks Recount</v>
      </c>
      <c r="AL45" s="276">
        <v>85</v>
      </c>
      <c r="AM45" s="277">
        <v>85</v>
      </c>
      <c r="AN45" s="277">
        <v>85</v>
      </c>
      <c r="AO45" s="277">
        <v>90</v>
      </c>
      <c r="AP45" s="277"/>
      <c r="AQ45" s="277"/>
      <c r="AR45" s="277"/>
      <c r="AS45" s="280"/>
      <c r="AT45" s="277"/>
      <c r="AU45" s="278"/>
      <c r="AV45" s="285">
        <f t="shared" si="33"/>
        <v>86</v>
      </c>
      <c r="AW45" s="296" t="str">
        <f t="shared" si="34"/>
        <v>B</v>
      </c>
      <c r="AX45" s="1220">
        <f t="shared" si="42"/>
        <v>85.01</v>
      </c>
      <c r="AY45" s="1221">
        <f t="shared" si="42"/>
        <v>85.02</v>
      </c>
      <c r="AZ45" s="1221">
        <f t="shared" si="42"/>
        <v>85.03</v>
      </c>
      <c r="BA45" s="1221">
        <f t="shared" si="42"/>
        <v>90.04</v>
      </c>
      <c r="BB45" s="1221" t="str">
        <f t="shared" si="42"/>
        <v/>
      </c>
      <c r="BC45" s="1221" t="str">
        <f t="shared" si="42"/>
        <v/>
      </c>
      <c r="BD45" s="1221" t="str">
        <f t="shared" si="42"/>
        <v/>
      </c>
      <c r="BE45" s="1222" t="str">
        <f t="shared" si="42"/>
        <v/>
      </c>
      <c r="BF45" s="1221" t="str">
        <f t="shared" si="42"/>
        <v/>
      </c>
      <c r="BG45" s="1223" t="str">
        <f t="shared" si="42"/>
        <v/>
      </c>
      <c r="BH45" s="286">
        <f t="shared" si="35"/>
        <v>90.04</v>
      </c>
      <c r="BI45" s="286">
        <f t="shared" si="36"/>
        <v>85.01</v>
      </c>
      <c r="BJ45" s="287" t="str">
        <f t="shared" si="37"/>
        <v>baik</v>
      </c>
      <c r="BK45" s="287" t="str">
        <f t="shared" si="37"/>
        <v>baik</v>
      </c>
      <c r="BL45" s="286">
        <f t="shared" si="38"/>
        <v>4</v>
      </c>
      <c r="BM45" s="288">
        <f t="shared" si="39"/>
        <v>1</v>
      </c>
      <c r="BN45" s="289" t="str">
        <f t="shared" si="40"/>
        <v>Memiliki keterampilan baik dalam Menyayikan sebuah lagu bahasa inggris sederhana dan Menyusun teks tentang Past Event</v>
      </c>
      <c r="BO45" s="67"/>
    </row>
    <row r="46" spans="1:67" ht="33" customHeight="1">
      <c r="A46" s="67"/>
      <c r="B46" s="272">
        <f t="shared" si="43"/>
        <v>33</v>
      </c>
      <c r="C46" s="273">
        <f>IF(Data!F37="","",Data!F37)</f>
        <v>0</v>
      </c>
      <c r="D46" s="274" t="str">
        <f>IF(Data!H37="","",Data!H37)</f>
        <v>Venciani Sefrianti Sufnera</v>
      </c>
      <c r="E46" s="275" t="str">
        <f>IF(Data!I37="","",Data!I37)</f>
        <v>P</v>
      </c>
      <c r="F46" s="276">
        <v>85</v>
      </c>
      <c r="G46" s="277">
        <v>85</v>
      </c>
      <c r="H46" s="277">
        <v>85</v>
      </c>
      <c r="I46" s="277">
        <v>85</v>
      </c>
      <c r="J46" s="277"/>
      <c r="K46" s="277"/>
      <c r="L46" s="277"/>
      <c r="M46" s="280"/>
      <c r="N46" s="277"/>
      <c r="O46" s="278"/>
      <c r="P46" s="279">
        <f t="shared" si="24"/>
        <v>85</v>
      </c>
      <c r="Q46" s="277">
        <v>85</v>
      </c>
      <c r="R46" s="280">
        <v>85</v>
      </c>
      <c r="S46" s="281">
        <f t="shared" si="25"/>
        <v>85</v>
      </c>
      <c r="T46" s="295" t="str">
        <f t="shared" si="26"/>
        <v>B</v>
      </c>
      <c r="U46" s="1215">
        <f t="shared" si="41"/>
        <v>85.01</v>
      </c>
      <c r="V46" s="1216">
        <f t="shared" si="41"/>
        <v>85.02</v>
      </c>
      <c r="W46" s="1216">
        <f t="shared" si="41"/>
        <v>85.03</v>
      </c>
      <c r="X46" s="1216">
        <f t="shared" si="41"/>
        <v>85.04</v>
      </c>
      <c r="Y46" s="1216" t="str">
        <f t="shared" si="41"/>
        <v/>
      </c>
      <c r="Z46" s="1216" t="str">
        <f t="shared" si="41"/>
        <v/>
      </c>
      <c r="AA46" s="1216" t="str">
        <f t="shared" si="41"/>
        <v/>
      </c>
      <c r="AB46" s="1217" t="str">
        <f t="shared" si="41"/>
        <v/>
      </c>
      <c r="AC46" s="1216" t="str">
        <f t="shared" si="41"/>
        <v/>
      </c>
      <c r="AD46" s="1218" t="str">
        <f t="shared" si="41"/>
        <v/>
      </c>
      <c r="AE46" s="1219">
        <f t="shared" si="27"/>
        <v>85.04</v>
      </c>
      <c r="AF46" s="282">
        <f t="shared" si="28"/>
        <v>85.01</v>
      </c>
      <c r="AG46" s="282" t="str">
        <f t="shared" si="29"/>
        <v>baik</v>
      </c>
      <c r="AH46" s="282" t="str">
        <f t="shared" si="29"/>
        <v>baik</v>
      </c>
      <c r="AI46" s="282">
        <f t="shared" si="30"/>
        <v>4</v>
      </c>
      <c r="AJ46" s="283">
        <f t="shared" si="31"/>
        <v>1</v>
      </c>
      <c r="AK46" s="284" t="str">
        <f t="shared" si="32"/>
        <v>Memiliki kemampuan baik dalam Menafsirkan unsur dan fungsi dari sebuah lirik lagu  dan Memahami teks memberi dan meminta informasi di masa lalu</v>
      </c>
      <c r="AL46" s="276">
        <v>85</v>
      </c>
      <c r="AM46" s="277">
        <v>85</v>
      </c>
      <c r="AN46" s="277">
        <v>85</v>
      </c>
      <c r="AO46" s="277">
        <v>90</v>
      </c>
      <c r="AP46" s="277"/>
      <c r="AQ46" s="277"/>
      <c r="AR46" s="277"/>
      <c r="AS46" s="280"/>
      <c r="AT46" s="277"/>
      <c r="AU46" s="278"/>
      <c r="AV46" s="285">
        <f t="shared" si="33"/>
        <v>86</v>
      </c>
      <c r="AW46" s="296" t="str">
        <f t="shared" si="34"/>
        <v>B</v>
      </c>
      <c r="AX46" s="1220">
        <f t="shared" si="42"/>
        <v>85.01</v>
      </c>
      <c r="AY46" s="1221">
        <f t="shared" si="42"/>
        <v>85.02</v>
      </c>
      <c r="AZ46" s="1221">
        <f t="shared" si="42"/>
        <v>85.03</v>
      </c>
      <c r="BA46" s="1221">
        <f t="shared" si="42"/>
        <v>90.04</v>
      </c>
      <c r="BB46" s="1221" t="str">
        <f t="shared" si="42"/>
        <v/>
      </c>
      <c r="BC46" s="1221" t="str">
        <f t="shared" si="42"/>
        <v/>
      </c>
      <c r="BD46" s="1221" t="str">
        <f t="shared" si="42"/>
        <v/>
      </c>
      <c r="BE46" s="1222" t="str">
        <f t="shared" si="42"/>
        <v/>
      </c>
      <c r="BF46" s="1221" t="str">
        <f t="shared" si="42"/>
        <v/>
      </c>
      <c r="BG46" s="1223" t="str">
        <f t="shared" si="42"/>
        <v/>
      </c>
      <c r="BH46" s="286">
        <f t="shared" si="35"/>
        <v>90.04</v>
      </c>
      <c r="BI46" s="286">
        <f t="shared" si="36"/>
        <v>85.01</v>
      </c>
      <c r="BJ46" s="287" t="str">
        <f t="shared" si="37"/>
        <v>baik</v>
      </c>
      <c r="BK46" s="287" t="str">
        <f t="shared" si="37"/>
        <v>baik</v>
      </c>
      <c r="BL46" s="286">
        <f t="shared" si="38"/>
        <v>4</v>
      </c>
      <c r="BM46" s="288">
        <f t="shared" si="39"/>
        <v>1</v>
      </c>
      <c r="BN46" s="289" t="str">
        <f t="shared" si="40"/>
        <v>Memiliki keterampilan baik dalam Menyayikan sebuah lagu bahasa inggris sederhana dan Menyusun teks tentang Past Event</v>
      </c>
      <c r="BO46" s="67"/>
    </row>
    <row r="47" spans="1:67" ht="33" customHeight="1">
      <c r="A47" s="67"/>
      <c r="B47" s="272">
        <f t="shared" ref="B47:B63" si="44">IF(D47="","",B46+1)</f>
        <v>34</v>
      </c>
      <c r="C47" s="273">
        <f>IF(Data!F38="","",Data!F38)</f>
        <v>0</v>
      </c>
      <c r="D47" s="274" t="str">
        <f>IF(Data!H38="","",Data!H38)</f>
        <v>Yangres Nitti</v>
      </c>
      <c r="E47" s="275" t="str">
        <f>IF(Data!I38="","",Data!I38)</f>
        <v>L</v>
      </c>
      <c r="F47" s="276">
        <v>85</v>
      </c>
      <c r="G47" s="277">
        <v>85</v>
      </c>
      <c r="H47" s="277">
        <v>85</v>
      </c>
      <c r="I47" s="277">
        <v>85</v>
      </c>
      <c r="J47" s="277"/>
      <c r="K47" s="277"/>
      <c r="L47" s="277"/>
      <c r="M47" s="280"/>
      <c r="N47" s="277"/>
      <c r="O47" s="278"/>
      <c r="P47" s="279">
        <f t="shared" si="24"/>
        <v>85</v>
      </c>
      <c r="Q47" s="277">
        <v>85</v>
      </c>
      <c r="R47" s="280">
        <v>85</v>
      </c>
      <c r="S47" s="281">
        <f t="shared" si="25"/>
        <v>85</v>
      </c>
      <c r="T47" s="295" t="str">
        <f t="shared" si="26"/>
        <v>B</v>
      </c>
      <c r="U47" s="1215">
        <f t="shared" si="41"/>
        <v>85.01</v>
      </c>
      <c r="V47" s="1216">
        <f t="shared" si="41"/>
        <v>85.02</v>
      </c>
      <c r="W47" s="1216">
        <f t="shared" si="41"/>
        <v>85.03</v>
      </c>
      <c r="X47" s="1216">
        <f t="shared" si="41"/>
        <v>85.04</v>
      </c>
      <c r="Y47" s="1216" t="str">
        <f t="shared" si="41"/>
        <v/>
      </c>
      <c r="Z47" s="1216" t="str">
        <f t="shared" si="41"/>
        <v/>
      </c>
      <c r="AA47" s="1216" t="str">
        <f t="shared" si="41"/>
        <v/>
      </c>
      <c r="AB47" s="1217" t="str">
        <f t="shared" si="41"/>
        <v/>
      </c>
      <c r="AC47" s="1216" t="str">
        <f t="shared" si="41"/>
        <v/>
      </c>
      <c r="AD47" s="1218" t="str">
        <f t="shared" si="41"/>
        <v/>
      </c>
      <c r="AE47" s="1219">
        <f t="shared" si="27"/>
        <v>85.04</v>
      </c>
      <c r="AF47" s="282">
        <f t="shared" si="28"/>
        <v>85.01</v>
      </c>
      <c r="AG47" s="282" t="str">
        <f t="shared" si="29"/>
        <v>baik</v>
      </c>
      <c r="AH47" s="282" t="str">
        <f t="shared" si="29"/>
        <v>baik</v>
      </c>
      <c r="AI47" s="282">
        <f t="shared" si="30"/>
        <v>4</v>
      </c>
      <c r="AJ47" s="283">
        <f t="shared" si="31"/>
        <v>1</v>
      </c>
      <c r="AK47" s="284" t="str">
        <f t="shared" si="32"/>
        <v>Memiliki kemampuan baik dalam Menafsirkan unsur dan fungsi dari sebuah lirik lagu  dan Memahami teks memberi dan meminta informasi di masa lalu</v>
      </c>
      <c r="AL47" s="276">
        <v>85</v>
      </c>
      <c r="AM47" s="277">
        <v>85</v>
      </c>
      <c r="AN47" s="277">
        <v>85</v>
      </c>
      <c r="AO47" s="277">
        <v>90</v>
      </c>
      <c r="AP47" s="277"/>
      <c r="AQ47" s="277"/>
      <c r="AR47" s="277"/>
      <c r="AS47" s="280"/>
      <c r="AT47" s="277"/>
      <c r="AU47" s="278"/>
      <c r="AV47" s="285">
        <f t="shared" si="33"/>
        <v>86</v>
      </c>
      <c r="AW47" s="296" t="str">
        <f t="shared" si="34"/>
        <v>B</v>
      </c>
      <c r="AX47" s="1220">
        <f t="shared" si="42"/>
        <v>85.01</v>
      </c>
      <c r="AY47" s="1221">
        <f t="shared" si="42"/>
        <v>85.02</v>
      </c>
      <c r="AZ47" s="1221">
        <f t="shared" si="42"/>
        <v>85.03</v>
      </c>
      <c r="BA47" s="1221">
        <f t="shared" si="42"/>
        <v>90.04</v>
      </c>
      <c r="BB47" s="1221" t="str">
        <f t="shared" si="42"/>
        <v/>
      </c>
      <c r="BC47" s="1221" t="str">
        <f t="shared" si="42"/>
        <v/>
      </c>
      <c r="BD47" s="1221" t="str">
        <f t="shared" si="42"/>
        <v/>
      </c>
      <c r="BE47" s="1222" t="str">
        <f t="shared" si="42"/>
        <v/>
      </c>
      <c r="BF47" s="1221" t="str">
        <f t="shared" si="42"/>
        <v/>
      </c>
      <c r="BG47" s="1223" t="str">
        <f t="shared" si="42"/>
        <v/>
      </c>
      <c r="BH47" s="286">
        <f t="shared" si="35"/>
        <v>90.04</v>
      </c>
      <c r="BI47" s="286">
        <f t="shared" si="36"/>
        <v>85.01</v>
      </c>
      <c r="BJ47" s="287" t="str">
        <f t="shared" si="37"/>
        <v>baik</v>
      </c>
      <c r="BK47" s="287" t="str">
        <f t="shared" si="37"/>
        <v>baik</v>
      </c>
      <c r="BL47" s="286">
        <f t="shared" si="38"/>
        <v>4</v>
      </c>
      <c r="BM47" s="288">
        <f t="shared" si="39"/>
        <v>1</v>
      </c>
      <c r="BN47" s="289" t="str">
        <f t="shared" si="40"/>
        <v>Memiliki keterampilan baik dalam Menyayikan sebuah lagu bahasa inggris sederhana dan Menyusun teks tentang Past Event</v>
      </c>
      <c r="BO47" s="67"/>
    </row>
    <row r="48" spans="1:67" ht="33" customHeight="1">
      <c r="A48" s="67"/>
      <c r="B48" s="272">
        <f t="shared" si="44"/>
        <v>35</v>
      </c>
      <c r="C48" s="273">
        <f>IF(Data!F39="","",Data!F39)</f>
        <v>0</v>
      </c>
      <c r="D48" s="274" t="str">
        <f>IF(Data!H39="","",Data!H39)</f>
        <v>Yefta Trianus Mau</v>
      </c>
      <c r="E48" s="275" t="str">
        <f>IF(Data!I39="","",Data!I39)</f>
        <v>L</v>
      </c>
      <c r="F48" s="276">
        <v>85</v>
      </c>
      <c r="G48" s="277">
        <v>85</v>
      </c>
      <c r="H48" s="277">
        <v>85</v>
      </c>
      <c r="I48" s="277">
        <v>85</v>
      </c>
      <c r="J48" s="277"/>
      <c r="K48" s="277"/>
      <c r="L48" s="277"/>
      <c r="M48" s="280"/>
      <c r="N48" s="277"/>
      <c r="O48" s="278"/>
      <c r="P48" s="279">
        <f t="shared" si="24"/>
        <v>85</v>
      </c>
      <c r="Q48" s="277">
        <v>85</v>
      </c>
      <c r="R48" s="280">
        <v>85</v>
      </c>
      <c r="S48" s="281">
        <f t="shared" si="25"/>
        <v>85</v>
      </c>
      <c r="T48" s="295" t="str">
        <f t="shared" si="26"/>
        <v>B</v>
      </c>
      <c r="U48" s="1215">
        <f t="shared" si="41"/>
        <v>85.01</v>
      </c>
      <c r="V48" s="1216">
        <f t="shared" si="41"/>
        <v>85.02</v>
      </c>
      <c r="W48" s="1216">
        <f t="shared" si="41"/>
        <v>85.03</v>
      </c>
      <c r="X48" s="1216">
        <f t="shared" si="41"/>
        <v>85.04</v>
      </c>
      <c r="Y48" s="1216" t="str">
        <f t="shared" si="41"/>
        <v/>
      </c>
      <c r="Z48" s="1216" t="str">
        <f t="shared" si="41"/>
        <v/>
      </c>
      <c r="AA48" s="1216" t="str">
        <f t="shared" si="41"/>
        <v/>
      </c>
      <c r="AB48" s="1217" t="str">
        <f t="shared" si="41"/>
        <v/>
      </c>
      <c r="AC48" s="1216" t="str">
        <f t="shared" si="41"/>
        <v/>
      </c>
      <c r="AD48" s="1218" t="str">
        <f t="shared" si="41"/>
        <v/>
      </c>
      <c r="AE48" s="1219">
        <f t="shared" si="27"/>
        <v>85.04</v>
      </c>
      <c r="AF48" s="282">
        <f t="shared" si="28"/>
        <v>85.01</v>
      </c>
      <c r="AG48" s="282" t="str">
        <f t="shared" si="29"/>
        <v>baik</v>
      </c>
      <c r="AH48" s="282" t="str">
        <f t="shared" si="29"/>
        <v>baik</v>
      </c>
      <c r="AI48" s="282">
        <f t="shared" si="30"/>
        <v>4</v>
      </c>
      <c r="AJ48" s="283">
        <f t="shared" si="31"/>
        <v>1</v>
      </c>
      <c r="AK48" s="284" t="str">
        <f t="shared" si="32"/>
        <v>Memiliki kemampuan baik dalam Menafsirkan unsur dan fungsi dari sebuah lirik lagu  dan Memahami teks memberi dan meminta informasi di masa lalu</v>
      </c>
      <c r="AL48" s="276">
        <v>85</v>
      </c>
      <c r="AM48" s="277">
        <v>85</v>
      </c>
      <c r="AN48" s="277">
        <v>85</v>
      </c>
      <c r="AO48" s="277">
        <v>90</v>
      </c>
      <c r="AP48" s="277"/>
      <c r="AQ48" s="277"/>
      <c r="AR48" s="277"/>
      <c r="AS48" s="280"/>
      <c r="AT48" s="277"/>
      <c r="AU48" s="278"/>
      <c r="AV48" s="285">
        <f t="shared" si="33"/>
        <v>86</v>
      </c>
      <c r="AW48" s="296" t="str">
        <f t="shared" si="34"/>
        <v>B</v>
      </c>
      <c r="AX48" s="1220">
        <f t="shared" si="42"/>
        <v>85.01</v>
      </c>
      <c r="AY48" s="1221">
        <f t="shared" si="42"/>
        <v>85.02</v>
      </c>
      <c r="AZ48" s="1221">
        <f t="shared" si="42"/>
        <v>85.03</v>
      </c>
      <c r="BA48" s="1221">
        <f t="shared" si="42"/>
        <v>90.04</v>
      </c>
      <c r="BB48" s="1221" t="str">
        <f t="shared" si="42"/>
        <v/>
      </c>
      <c r="BC48" s="1221" t="str">
        <f t="shared" si="42"/>
        <v/>
      </c>
      <c r="BD48" s="1221" t="str">
        <f t="shared" si="42"/>
        <v/>
      </c>
      <c r="BE48" s="1222" t="str">
        <f t="shared" si="42"/>
        <v/>
      </c>
      <c r="BF48" s="1221" t="str">
        <f t="shared" si="42"/>
        <v/>
      </c>
      <c r="BG48" s="1223" t="str">
        <f t="shared" si="42"/>
        <v/>
      </c>
      <c r="BH48" s="286">
        <f t="shared" si="35"/>
        <v>90.04</v>
      </c>
      <c r="BI48" s="286">
        <f t="shared" si="36"/>
        <v>85.01</v>
      </c>
      <c r="BJ48" s="287" t="str">
        <f t="shared" si="37"/>
        <v>baik</v>
      </c>
      <c r="BK48" s="287" t="str">
        <f t="shared" si="37"/>
        <v>baik</v>
      </c>
      <c r="BL48" s="286">
        <f t="shared" si="38"/>
        <v>4</v>
      </c>
      <c r="BM48" s="288">
        <f t="shared" si="39"/>
        <v>1</v>
      </c>
      <c r="BN48" s="289" t="str">
        <f t="shared" si="40"/>
        <v>Memiliki keterampilan baik dalam Menyayikan sebuah lagu bahasa inggris sederhana dan Menyusun teks tentang Past Event</v>
      </c>
      <c r="BO48" s="67"/>
    </row>
    <row r="49" spans="1:67" ht="33" customHeight="1">
      <c r="A49" s="67"/>
      <c r="B49" s="272">
        <f t="shared" si="44"/>
        <v>36</v>
      </c>
      <c r="C49" s="273">
        <f>IF(Data!F40="","",Data!F40)</f>
        <v>0</v>
      </c>
      <c r="D49" s="274" t="str">
        <f>IF(Data!H40="","",Data!H40)</f>
        <v>Yuliana Febriyanti Nggeon</v>
      </c>
      <c r="E49" s="275" t="str">
        <f>IF(Data!I40="","",Data!I40)</f>
        <v>P</v>
      </c>
      <c r="F49" s="276">
        <v>85</v>
      </c>
      <c r="G49" s="277">
        <v>85</v>
      </c>
      <c r="H49" s="277">
        <v>85</v>
      </c>
      <c r="I49" s="277">
        <v>85</v>
      </c>
      <c r="J49" s="277"/>
      <c r="K49" s="277"/>
      <c r="L49" s="277"/>
      <c r="M49" s="280"/>
      <c r="N49" s="277"/>
      <c r="O49" s="278"/>
      <c r="P49" s="279">
        <f t="shared" si="24"/>
        <v>85</v>
      </c>
      <c r="Q49" s="277">
        <v>85</v>
      </c>
      <c r="R49" s="280">
        <v>85</v>
      </c>
      <c r="S49" s="281">
        <f t="shared" si="25"/>
        <v>85</v>
      </c>
      <c r="T49" s="295" t="str">
        <f t="shared" si="26"/>
        <v>B</v>
      </c>
      <c r="U49" s="1215">
        <f t="shared" si="41"/>
        <v>85.01</v>
      </c>
      <c r="V49" s="1216">
        <f t="shared" si="41"/>
        <v>85.02</v>
      </c>
      <c r="W49" s="1216">
        <f t="shared" si="41"/>
        <v>85.03</v>
      </c>
      <c r="X49" s="1216">
        <f t="shared" si="41"/>
        <v>85.04</v>
      </c>
      <c r="Y49" s="1216" t="str">
        <f t="shared" si="41"/>
        <v/>
      </c>
      <c r="Z49" s="1216" t="str">
        <f t="shared" si="41"/>
        <v/>
      </c>
      <c r="AA49" s="1216" t="str">
        <f t="shared" si="41"/>
        <v/>
      </c>
      <c r="AB49" s="1217" t="str">
        <f t="shared" si="41"/>
        <v/>
      </c>
      <c r="AC49" s="1216" t="str">
        <f t="shared" si="41"/>
        <v/>
      </c>
      <c r="AD49" s="1218" t="str">
        <f t="shared" si="41"/>
        <v/>
      </c>
      <c r="AE49" s="1219">
        <f t="shared" si="27"/>
        <v>85.04</v>
      </c>
      <c r="AF49" s="282">
        <f t="shared" si="28"/>
        <v>85.01</v>
      </c>
      <c r="AG49" s="282" t="str">
        <f t="shared" si="29"/>
        <v>baik</v>
      </c>
      <c r="AH49" s="282" t="str">
        <f t="shared" si="29"/>
        <v>baik</v>
      </c>
      <c r="AI49" s="282">
        <f t="shared" si="30"/>
        <v>4</v>
      </c>
      <c r="AJ49" s="283">
        <f t="shared" si="31"/>
        <v>1</v>
      </c>
      <c r="AK49" s="284" t="str">
        <f t="shared" si="32"/>
        <v>Memiliki kemampuan baik dalam Menafsirkan unsur dan fungsi dari sebuah lirik lagu  dan Memahami teks memberi dan meminta informasi di masa lalu</v>
      </c>
      <c r="AL49" s="276">
        <v>85</v>
      </c>
      <c r="AM49" s="277">
        <v>85</v>
      </c>
      <c r="AN49" s="277">
        <v>85</v>
      </c>
      <c r="AO49" s="277">
        <v>90</v>
      </c>
      <c r="AP49" s="277"/>
      <c r="AQ49" s="277"/>
      <c r="AR49" s="277"/>
      <c r="AS49" s="280"/>
      <c r="AT49" s="277"/>
      <c r="AU49" s="278"/>
      <c r="AV49" s="285">
        <f t="shared" si="33"/>
        <v>86</v>
      </c>
      <c r="AW49" s="296" t="str">
        <f t="shared" si="34"/>
        <v>B</v>
      </c>
      <c r="AX49" s="1220">
        <f t="shared" si="42"/>
        <v>85.01</v>
      </c>
      <c r="AY49" s="1221">
        <f t="shared" si="42"/>
        <v>85.02</v>
      </c>
      <c r="AZ49" s="1221">
        <f t="shared" si="42"/>
        <v>85.03</v>
      </c>
      <c r="BA49" s="1221">
        <f t="shared" si="42"/>
        <v>90.04</v>
      </c>
      <c r="BB49" s="1221" t="str">
        <f t="shared" si="42"/>
        <v/>
      </c>
      <c r="BC49" s="1221" t="str">
        <f t="shared" si="42"/>
        <v/>
      </c>
      <c r="BD49" s="1221" t="str">
        <f t="shared" si="42"/>
        <v/>
      </c>
      <c r="BE49" s="1222" t="str">
        <f t="shared" si="42"/>
        <v/>
      </c>
      <c r="BF49" s="1221" t="str">
        <f t="shared" si="42"/>
        <v/>
      </c>
      <c r="BG49" s="1223" t="str">
        <f t="shared" si="42"/>
        <v/>
      </c>
      <c r="BH49" s="286">
        <f t="shared" si="35"/>
        <v>90.04</v>
      </c>
      <c r="BI49" s="286">
        <f t="shared" si="36"/>
        <v>85.01</v>
      </c>
      <c r="BJ49" s="287" t="str">
        <f t="shared" si="37"/>
        <v>baik</v>
      </c>
      <c r="BK49" s="287" t="str">
        <f t="shared" si="37"/>
        <v>baik</v>
      </c>
      <c r="BL49" s="286">
        <f t="shared" si="38"/>
        <v>4</v>
      </c>
      <c r="BM49" s="288">
        <f t="shared" si="39"/>
        <v>1</v>
      </c>
      <c r="BN49" s="289" t="str">
        <f t="shared" si="40"/>
        <v>Memiliki keterampilan baik dalam Menyayikan sebuah lagu bahasa inggris sederhana dan Menyusun teks tentang Past Event</v>
      </c>
      <c r="BO49" s="67"/>
    </row>
    <row r="50" spans="1:67" ht="33" customHeight="1">
      <c r="A50" s="67"/>
      <c r="B50" s="272">
        <f t="shared" si="44"/>
        <v>37</v>
      </c>
      <c r="C50" s="273">
        <f>IF(Data!F41="","",Data!F41)</f>
        <v>0</v>
      </c>
      <c r="D50" s="274" t="str">
        <f>IF(Data!H41="","",Data!H41)</f>
        <v>Yuninda Pono</v>
      </c>
      <c r="E50" s="275" t="str">
        <f>IF(Data!I41="","",Data!I41)</f>
        <v>P</v>
      </c>
      <c r="F50" s="276">
        <v>85</v>
      </c>
      <c r="G50" s="277">
        <v>85</v>
      </c>
      <c r="H50" s="277">
        <v>85</v>
      </c>
      <c r="I50" s="277">
        <v>87</v>
      </c>
      <c r="J50" s="277"/>
      <c r="K50" s="277"/>
      <c r="L50" s="277"/>
      <c r="M50" s="280"/>
      <c r="N50" s="277"/>
      <c r="O50" s="278"/>
      <c r="P50" s="279">
        <f t="shared" si="24"/>
        <v>86</v>
      </c>
      <c r="Q50" s="277">
        <v>85</v>
      </c>
      <c r="R50" s="280">
        <v>87</v>
      </c>
      <c r="S50" s="281">
        <f t="shared" si="25"/>
        <v>86</v>
      </c>
      <c r="T50" s="295" t="str">
        <f t="shared" si="26"/>
        <v>B</v>
      </c>
      <c r="U50" s="1215">
        <f t="shared" si="41"/>
        <v>85.01</v>
      </c>
      <c r="V50" s="1216">
        <f t="shared" si="41"/>
        <v>85.02</v>
      </c>
      <c r="W50" s="1216">
        <f t="shared" si="41"/>
        <v>85.03</v>
      </c>
      <c r="X50" s="1216">
        <f t="shared" si="41"/>
        <v>87.04</v>
      </c>
      <c r="Y50" s="1216" t="str">
        <f t="shared" si="41"/>
        <v/>
      </c>
      <c r="Z50" s="1216" t="str">
        <f t="shared" si="41"/>
        <v/>
      </c>
      <c r="AA50" s="1216" t="str">
        <f t="shared" si="41"/>
        <v/>
      </c>
      <c r="AB50" s="1217" t="str">
        <f t="shared" si="41"/>
        <v/>
      </c>
      <c r="AC50" s="1216" t="str">
        <f t="shared" si="41"/>
        <v/>
      </c>
      <c r="AD50" s="1218" t="str">
        <f t="shared" si="41"/>
        <v/>
      </c>
      <c r="AE50" s="1219">
        <f t="shared" si="27"/>
        <v>87.04</v>
      </c>
      <c r="AF50" s="282">
        <f t="shared" si="28"/>
        <v>85.01</v>
      </c>
      <c r="AG50" s="282" t="str">
        <f t="shared" si="29"/>
        <v>baik</v>
      </c>
      <c r="AH50" s="282" t="str">
        <f t="shared" si="29"/>
        <v>baik</v>
      </c>
      <c r="AI50" s="282">
        <f t="shared" si="30"/>
        <v>4</v>
      </c>
      <c r="AJ50" s="283">
        <f t="shared" si="31"/>
        <v>1</v>
      </c>
      <c r="AK50" s="284" t="str">
        <f t="shared" si="32"/>
        <v>Memiliki kemampuan baik dalam Menafsirkan unsur dan fungsi dari sebuah lirik lagu  dan Memahami teks memberi dan meminta informasi di masa lalu</v>
      </c>
      <c r="AL50" s="276">
        <v>85</v>
      </c>
      <c r="AM50" s="277">
        <v>85</v>
      </c>
      <c r="AN50" s="277">
        <v>85</v>
      </c>
      <c r="AO50" s="277">
        <v>90</v>
      </c>
      <c r="AP50" s="277"/>
      <c r="AQ50" s="277"/>
      <c r="AR50" s="277"/>
      <c r="AS50" s="280"/>
      <c r="AT50" s="277"/>
      <c r="AU50" s="278"/>
      <c r="AV50" s="285">
        <f t="shared" si="33"/>
        <v>86</v>
      </c>
      <c r="AW50" s="296" t="str">
        <f t="shared" si="34"/>
        <v>B</v>
      </c>
      <c r="AX50" s="1220">
        <f t="shared" si="42"/>
        <v>85.01</v>
      </c>
      <c r="AY50" s="1221">
        <f t="shared" si="42"/>
        <v>85.02</v>
      </c>
      <c r="AZ50" s="1221">
        <f t="shared" si="42"/>
        <v>85.03</v>
      </c>
      <c r="BA50" s="1221">
        <f t="shared" si="42"/>
        <v>90.04</v>
      </c>
      <c r="BB50" s="1221" t="str">
        <f t="shared" si="42"/>
        <v/>
      </c>
      <c r="BC50" s="1221" t="str">
        <f t="shared" si="42"/>
        <v/>
      </c>
      <c r="BD50" s="1221" t="str">
        <f t="shared" si="42"/>
        <v/>
      </c>
      <c r="BE50" s="1222" t="str">
        <f t="shared" si="42"/>
        <v/>
      </c>
      <c r="BF50" s="1221" t="str">
        <f t="shared" si="42"/>
        <v/>
      </c>
      <c r="BG50" s="1223" t="str">
        <f t="shared" si="42"/>
        <v/>
      </c>
      <c r="BH50" s="286">
        <f t="shared" si="35"/>
        <v>90.04</v>
      </c>
      <c r="BI50" s="286">
        <f t="shared" si="36"/>
        <v>85.01</v>
      </c>
      <c r="BJ50" s="287" t="str">
        <f t="shared" si="37"/>
        <v>baik</v>
      </c>
      <c r="BK50" s="287" t="str">
        <f t="shared" si="37"/>
        <v>baik</v>
      </c>
      <c r="BL50" s="286">
        <f t="shared" si="38"/>
        <v>4</v>
      </c>
      <c r="BM50" s="288">
        <f t="shared" si="39"/>
        <v>1</v>
      </c>
      <c r="BN50" s="289" t="str">
        <f t="shared" si="40"/>
        <v>Memiliki keterampilan baik dalam Menyayikan sebuah lagu bahasa inggris sederhana dan Menyusun teks tentang Past Event</v>
      </c>
      <c r="BO50" s="67"/>
    </row>
    <row r="51" spans="1:67" ht="33" customHeight="1">
      <c r="A51" s="67"/>
      <c r="B51" s="272" t="str">
        <f t="shared" si="44"/>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44"/>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44"/>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44"/>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44"/>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5">IF(K55="","",K55+Z$13)</f>
        <v/>
      </c>
      <c r="AA55" s="1216" t="str">
        <f t="shared" si="45"/>
        <v/>
      </c>
      <c r="AB55" s="1217" t="str">
        <f t="shared" si="45"/>
        <v/>
      </c>
      <c r="AC55" s="1216" t="str">
        <f t="shared" si="45"/>
        <v/>
      </c>
      <c r="AD55" s="1218" t="str">
        <f t="shared" si="45"/>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6">IF(AQ55="","",AQ55+BC$12)</f>
        <v/>
      </c>
      <c r="BD55" s="1221" t="str">
        <f t="shared" si="46"/>
        <v/>
      </c>
      <c r="BE55" s="1222" t="str">
        <f t="shared" si="46"/>
        <v/>
      </c>
      <c r="BF55" s="1221" t="str">
        <f t="shared" si="46"/>
        <v/>
      </c>
      <c r="BG55" s="1223" t="str">
        <f t="shared" si="46"/>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44"/>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7">IF(F56="","",F56+U$13)</f>
        <v/>
      </c>
      <c r="V56" s="1216" t="str">
        <f t="shared" si="47"/>
        <v/>
      </c>
      <c r="W56" s="1216" t="str">
        <f t="shared" si="47"/>
        <v/>
      </c>
      <c r="X56" s="1216" t="str">
        <f t="shared" si="47"/>
        <v/>
      </c>
      <c r="Y56" s="1216" t="str">
        <f t="shared" si="47"/>
        <v/>
      </c>
      <c r="Z56" s="1216" t="str">
        <f t="shared" si="45"/>
        <v/>
      </c>
      <c r="AA56" s="1216" t="str">
        <f t="shared" si="45"/>
        <v/>
      </c>
      <c r="AB56" s="1217" t="str">
        <f t="shared" si="45"/>
        <v/>
      </c>
      <c r="AC56" s="1216" t="str">
        <f t="shared" si="45"/>
        <v/>
      </c>
      <c r="AD56" s="1218" t="str">
        <f t="shared" si="45"/>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8">IF(AL56="","",AL56+AX$12)</f>
        <v/>
      </c>
      <c r="AY56" s="1221" t="str">
        <f t="shared" si="48"/>
        <v/>
      </c>
      <c r="AZ56" s="1221" t="str">
        <f t="shared" si="48"/>
        <v/>
      </c>
      <c r="BA56" s="1221" t="str">
        <f t="shared" si="48"/>
        <v/>
      </c>
      <c r="BB56" s="1221" t="str">
        <f t="shared" si="48"/>
        <v/>
      </c>
      <c r="BC56" s="1221" t="str">
        <f t="shared" si="46"/>
        <v/>
      </c>
      <c r="BD56" s="1221" t="str">
        <f t="shared" si="46"/>
        <v/>
      </c>
      <c r="BE56" s="1222" t="str">
        <f t="shared" si="46"/>
        <v/>
      </c>
      <c r="BF56" s="1221" t="str">
        <f t="shared" si="46"/>
        <v/>
      </c>
      <c r="BG56" s="1223" t="str">
        <f t="shared" si="46"/>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44"/>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7"/>
        <v/>
      </c>
      <c r="V57" s="1216" t="str">
        <f t="shared" si="47"/>
        <v/>
      </c>
      <c r="W57" s="1216" t="str">
        <f t="shared" si="47"/>
        <v/>
      </c>
      <c r="X57" s="1216" t="str">
        <f t="shared" si="47"/>
        <v/>
      </c>
      <c r="Y57" s="1216" t="str">
        <f t="shared" si="47"/>
        <v/>
      </c>
      <c r="Z57" s="1216" t="str">
        <f t="shared" si="45"/>
        <v/>
      </c>
      <c r="AA57" s="1216" t="str">
        <f t="shared" si="45"/>
        <v/>
      </c>
      <c r="AB57" s="1217" t="str">
        <f t="shared" si="45"/>
        <v/>
      </c>
      <c r="AC57" s="1216" t="str">
        <f t="shared" si="45"/>
        <v/>
      </c>
      <c r="AD57" s="1218" t="str">
        <f t="shared" si="45"/>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8"/>
        <v/>
      </c>
      <c r="AY57" s="1221" t="str">
        <f t="shared" si="48"/>
        <v/>
      </c>
      <c r="AZ57" s="1221" t="str">
        <f t="shared" si="48"/>
        <v/>
      </c>
      <c r="BA57" s="1221" t="str">
        <f t="shared" si="48"/>
        <v/>
      </c>
      <c r="BB57" s="1221" t="str">
        <f t="shared" si="48"/>
        <v/>
      </c>
      <c r="BC57" s="1221" t="str">
        <f t="shared" si="46"/>
        <v/>
      </c>
      <c r="BD57" s="1221" t="str">
        <f t="shared" si="46"/>
        <v/>
      </c>
      <c r="BE57" s="1222" t="str">
        <f t="shared" si="46"/>
        <v/>
      </c>
      <c r="BF57" s="1221" t="str">
        <f t="shared" si="46"/>
        <v/>
      </c>
      <c r="BG57" s="1223" t="str">
        <f t="shared" si="46"/>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44"/>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7"/>
        <v/>
      </c>
      <c r="V58" s="1216" t="str">
        <f t="shared" si="47"/>
        <v/>
      </c>
      <c r="W58" s="1216" t="str">
        <f t="shared" si="47"/>
        <v/>
      </c>
      <c r="X58" s="1216" t="str">
        <f t="shared" si="47"/>
        <v/>
      </c>
      <c r="Y58" s="1216" t="str">
        <f t="shared" si="47"/>
        <v/>
      </c>
      <c r="Z58" s="1216" t="str">
        <f t="shared" si="45"/>
        <v/>
      </c>
      <c r="AA58" s="1216" t="str">
        <f t="shared" si="45"/>
        <v/>
      </c>
      <c r="AB58" s="1217" t="str">
        <f t="shared" si="45"/>
        <v/>
      </c>
      <c r="AC58" s="1216" t="str">
        <f t="shared" si="45"/>
        <v/>
      </c>
      <c r="AD58" s="1218" t="str">
        <f t="shared" si="45"/>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8"/>
        <v/>
      </c>
      <c r="AY58" s="1221" t="str">
        <f t="shared" si="48"/>
        <v/>
      </c>
      <c r="AZ58" s="1221" t="str">
        <f t="shared" si="48"/>
        <v/>
      </c>
      <c r="BA58" s="1221" t="str">
        <f t="shared" si="48"/>
        <v/>
      </c>
      <c r="BB58" s="1221" t="str">
        <f t="shared" si="48"/>
        <v/>
      </c>
      <c r="BC58" s="1221" t="str">
        <f t="shared" si="46"/>
        <v/>
      </c>
      <c r="BD58" s="1221" t="str">
        <f t="shared" si="46"/>
        <v/>
      </c>
      <c r="BE58" s="1222" t="str">
        <f t="shared" si="46"/>
        <v/>
      </c>
      <c r="BF58" s="1221" t="str">
        <f t="shared" si="46"/>
        <v/>
      </c>
      <c r="BG58" s="1223" t="str">
        <f t="shared" si="46"/>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44"/>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7"/>
        <v/>
      </c>
      <c r="V59" s="1216" t="str">
        <f t="shared" si="47"/>
        <v/>
      </c>
      <c r="W59" s="1216" t="str">
        <f t="shared" si="47"/>
        <v/>
      </c>
      <c r="X59" s="1216" t="str">
        <f t="shared" si="47"/>
        <v/>
      </c>
      <c r="Y59" s="1216" t="str">
        <f t="shared" si="47"/>
        <v/>
      </c>
      <c r="Z59" s="1216" t="str">
        <f t="shared" si="45"/>
        <v/>
      </c>
      <c r="AA59" s="1216" t="str">
        <f t="shared" si="45"/>
        <v/>
      </c>
      <c r="AB59" s="1217" t="str">
        <f t="shared" si="45"/>
        <v/>
      </c>
      <c r="AC59" s="1216" t="str">
        <f t="shared" si="45"/>
        <v/>
      </c>
      <c r="AD59" s="1218" t="str">
        <f t="shared" si="45"/>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8"/>
        <v/>
      </c>
      <c r="AY59" s="1221" t="str">
        <f t="shared" si="48"/>
        <v/>
      </c>
      <c r="AZ59" s="1221" t="str">
        <f t="shared" si="48"/>
        <v/>
      </c>
      <c r="BA59" s="1221" t="str">
        <f t="shared" si="48"/>
        <v/>
      </c>
      <c r="BB59" s="1221" t="str">
        <f t="shared" si="48"/>
        <v/>
      </c>
      <c r="BC59" s="1221" t="str">
        <f t="shared" si="46"/>
        <v/>
      </c>
      <c r="BD59" s="1221" t="str">
        <f t="shared" si="46"/>
        <v/>
      </c>
      <c r="BE59" s="1222" t="str">
        <f t="shared" si="46"/>
        <v/>
      </c>
      <c r="BF59" s="1221" t="str">
        <f t="shared" si="46"/>
        <v/>
      </c>
      <c r="BG59" s="1223" t="str">
        <f t="shared" si="46"/>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44"/>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7"/>
        <v/>
      </c>
      <c r="V60" s="1216" t="str">
        <f t="shared" si="47"/>
        <v/>
      </c>
      <c r="W60" s="1216" t="str">
        <f t="shared" si="47"/>
        <v/>
      </c>
      <c r="X60" s="1216" t="str">
        <f t="shared" si="47"/>
        <v/>
      </c>
      <c r="Y60" s="1216" t="str">
        <f t="shared" si="47"/>
        <v/>
      </c>
      <c r="Z60" s="1216" t="str">
        <f t="shared" si="45"/>
        <v/>
      </c>
      <c r="AA60" s="1216" t="str">
        <f t="shared" si="45"/>
        <v/>
      </c>
      <c r="AB60" s="1217" t="str">
        <f t="shared" si="45"/>
        <v/>
      </c>
      <c r="AC60" s="1216" t="str">
        <f t="shared" si="45"/>
        <v/>
      </c>
      <c r="AD60" s="1218" t="str">
        <f t="shared" si="45"/>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8"/>
        <v/>
      </c>
      <c r="AY60" s="1221" t="str">
        <f t="shared" si="48"/>
        <v/>
      </c>
      <c r="AZ60" s="1221" t="str">
        <f t="shared" si="48"/>
        <v/>
      </c>
      <c r="BA60" s="1221" t="str">
        <f t="shared" si="48"/>
        <v/>
      </c>
      <c r="BB60" s="1221" t="str">
        <f t="shared" si="48"/>
        <v/>
      </c>
      <c r="BC60" s="1221" t="str">
        <f t="shared" si="46"/>
        <v/>
      </c>
      <c r="BD60" s="1221" t="str">
        <f t="shared" si="46"/>
        <v/>
      </c>
      <c r="BE60" s="1222" t="str">
        <f t="shared" si="46"/>
        <v/>
      </c>
      <c r="BF60" s="1221" t="str">
        <f t="shared" si="46"/>
        <v/>
      </c>
      <c r="BG60" s="1223" t="str">
        <f t="shared" si="46"/>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44"/>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7"/>
        <v/>
      </c>
      <c r="V61" s="1216" t="str">
        <f t="shared" si="47"/>
        <v/>
      </c>
      <c r="W61" s="1216" t="str">
        <f t="shared" si="47"/>
        <v/>
      </c>
      <c r="X61" s="1216" t="str">
        <f t="shared" si="47"/>
        <v/>
      </c>
      <c r="Y61" s="1216" t="str">
        <f t="shared" si="47"/>
        <v/>
      </c>
      <c r="Z61" s="1216" t="str">
        <f t="shared" si="45"/>
        <v/>
      </c>
      <c r="AA61" s="1216" t="str">
        <f t="shared" si="45"/>
        <v/>
      </c>
      <c r="AB61" s="1217" t="str">
        <f t="shared" si="45"/>
        <v/>
      </c>
      <c r="AC61" s="1216" t="str">
        <f t="shared" si="45"/>
        <v/>
      </c>
      <c r="AD61" s="1218" t="str">
        <f t="shared" si="45"/>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8"/>
        <v/>
      </c>
      <c r="AY61" s="1221" t="str">
        <f t="shared" si="48"/>
        <v/>
      </c>
      <c r="AZ61" s="1221" t="str">
        <f t="shared" si="48"/>
        <v/>
      </c>
      <c r="BA61" s="1221" t="str">
        <f t="shared" si="48"/>
        <v/>
      </c>
      <c r="BB61" s="1221" t="str">
        <f t="shared" si="48"/>
        <v/>
      </c>
      <c r="BC61" s="1221" t="str">
        <f t="shared" si="46"/>
        <v/>
      </c>
      <c r="BD61" s="1221" t="str">
        <f t="shared" si="46"/>
        <v/>
      </c>
      <c r="BE61" s="1222" t="str">
        <f t="shared" si="46"/>
        <v/>
      </c>
      <c r="BF61" s="1221" t="str">
        <f t="shared" si="46"/>
        <v/>
      </c>
      <c r="BG61" s="1223" t="str">
        <f t="shared" si="46"/>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44"/>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7"/>
        <v/>
      </c>
      <c r="V62" s="1216" t="str">
        <f t="shared" si="47"/>
        <v/>
      </c>
      <c r="W62" s="1216" t="str">
        <f t="shared" si="47"/>
        <v/>
      </c>
      <c r="X62" s="1216" t="str">
        <f t="shared" si="47"/>
        <v/>
      </c>
      <c r="Y62" s="1216" t="str">
        <f t="shared" si="47"/>
        <v/>
      </c>
      <c r="Z62" s="1216" t="str">
        <f t="shared" si="45"/>
        <v/>
      </c>
      <c r="AA62" s="1216" t="str">
        <f t="shared" si="45"/>
        <v/>
      </c>
      <c r="AB62" s="1217" t="str">
        <f t="shared" si="45"/>
        <v/>
      </c>
      <c r="AC62" s="1216" t="str">
        <f t="shared" si="45"/>
        <v/>
      </c>
      <c r="AD62" s="1218" t="str">
        <f t="shared" si="45"/>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8"/>
        <v/>
      </c>
      <c r="AY62" s="1221" t="str">
        <f t="shared" si="48"/>
        <v/>
      </c>
      <c r="AZ62" s="1221" t="str">
        <f t="shared" si="48"/>
        <v/>
      </c>
      <c r="BA62" s="1221" t="str">
        <f t="shared" si="48"/>
        <v/>
      </c>
      <c r="BB62" s="1221" t="str">
        <f t="shared" si="48"/>
        <v/>
      </c>
      <c r="BC62" s="1221" t="str">
        <f t="shared" si="46"/>
        <v/>
      </c>
      <c r="BD62" s="1221" t="str">
        <f t="shared" si="46"/>
        <v/>
      </c>
      <c r="BE62" s="1222" t="str">
        <f t="shared" si="46"/>
        <v/>
      </c>
      <c r="BF62" s="1221" t="str">
        <f t="shared" si="46"/>
        <v/>
      </c>
      <c r="BG62" s="1223" t="str">
        <f t="shared" si="46"/>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44"/>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7"/>
        <v/>
      </c>
      <c r="V63" s="1216" t="str">
        <f t="shared" si="47"/>
        <v/>
      </c>
      <c r="W63" s="1216" t="str">
        <f t="shared" si="47"/>
        <v/>
      </c>
      <c r="X63" s="1216" t="str">
        <f t="shared" si="47"/>
        <v/>
      </c>
      <c r="Y63" s="1216" t="str">
        <f t="shared" si="47"/>
        <v/>
      </c>
      <c r="Z63" s="1216" t="str">
        <f t="shared" si="45"/>
        <v/>
      </c>
      <c r="AA63" s="1216" t="str">
        <f t="shared" si="45"/>
        <v/>
      </c>
      <c r="AB63" s="1217" t="str">
        <f t="shared" si="45"/>
        <v/>
      </c>
      <c r="AC63" s="1216" t="str">
        <f t="shared" si="45"/>
        <v/>
      </c>
      <c r="AD63" s="1218" t="str">
        <f t="shared" si="45"/>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8"/>
        <v/>
      </c>
      <c r="AY63" s="1221" t="str">
        <f t="shared" si="48"/>
        <v/>
      </c>
      <c r="AZ63" s="1221" t="str">
        <f t="shared" si="48"/>
        <v/>
      </c>
      <c r="BA63" s="1221" t="str">
        <f t="shared" si="48"/>
        <v/>
      </c>
      <c r="BB63" s="1221" t="str">
        <f t="shared" si="48"/>
        <v/>
      </c>
      <c r="BC63" s="1221" t="str">
        <f t="shared" si="46"/>
        <v/>
      </c>
      <c r="BD63" s="1221" t="str">
        <f t="shared" si="46"/>
        <v/>
      </c>
      <c r="BE63" s="1222" t="str">
        <f t="shared" si="46"/>
        <v/>
      </c>
      <c r="BF63" s="1221" t="str">
        <f t="shared" si="46"/>
        <v/>
      </c>
      <c r="BG63" s="1223" t="str">
        <f t="shared" si="46"/>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ht="12">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9">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9"/>
        <v>85</v>
      </c>
      <c r="AM69" s="349" t="s">
        <v>5</v>
      </c>
      <c r="AN69" s="347">
        <f t="shared" ref="AN69" si="50">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Data2!G9</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51">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2">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3">F76</f>
        <v>85</v>
      </c>
      <c r="AM76" s="7" t="s">
        <v>5</v>
      </c>
      <c r="AN76" s="9">
        <f t="shared" si="53"/>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3"/>
        <v>76</v>
      </c>
      <c r="AM77" s="7" t="s">
        <v>5</v>
      </c>
      <c r="AN77" s="9">
        <f t="shared" si="53"/>
        <v>84.5</v>
      </c>
      <c r="AO77" s="1357" t="str">
        <f t="shared" ref="AO77:AO78" si="54">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3"/>
        <v>0</v>
      </c>
      <c r="AM78" s="7" t="s">
        <v>5</v>
      </c>
      <c r="AN78" s="9">
        <f t="shared" si="53"/>
        <v>75.5</v>
      </c>
      <c r="AO78" s="1357" t="str">
        <f t="shared" si="54"/>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75" hidden="1" customHeight="1">
      <c r="C84" s="2"/>
      <c r="AL84" s="10"/>
      <c r="AM84" s="8"/>
      <c r="AN84" s="10"/>
      <c r="AO84" s="108"/>
      <c r="AP84" s="108"/>
      <c r="AQ84" s="108"/>
      <c r="AR84" s="1159"/>
      <c r="AS84" s="1159"/>
      <c r="AT84" s="108"/>
      <c r="AU84" s="108"/>
      <c r="AV84" s="111"/>
    </row>
    <row r="85" spans="3:48" ht="12.75" hidden="1" customHeight="1">
      <c r="C85" s="2"/>
      <c r="AL85" s="10"/>
      <c r="AM85" s="8"/>
      <c r="AN85" s="10"/>
      <c r="AO85" s="108"/>
      <c r="AP85" s="108"/>
      <c r="AQ85" s="108"/>
      <c r="AR85" s="1159"/>
      <c r="AS85" s="1159"/>
      <c r="AT85" s="108"/>
      <c r="AU85" s="108"/>
      <c r="AV85" s="111"/>
    </row>
    <row r="86" spans="3:48" ht="12" hidden="1" customHeight="1"/>
    <row r="87" spans="3:48" ht="12" hidden="1" customHeight="1"/>
    <row r="88" spans="3:48" ht="12" hidden="1" customHeight="1"/>
    <row r="89" spans="3:48" ht="12" hidden="1" customHeight="1"/>
    <row r="90" spans="3:48" ht="12" hidden="1" customHeight="1"/>
    <row r="91" spans="3:48" ht="12" hidden="1" customHeight="1"/>
    <row r="92" spans="3:48" ht="12" hidden="1" customHeight="1"/>
    <row r="93" spans="3:48" ht="0" hidden="1" customHeight="1"/>
    <row r="94" spans="3:48" ht="0" hidden="1" customHeight="1"/>
    <row r="95" spans="3:48" ht="0" hidden="1" customHeight="1"/>
    <row r="96" spans="3:48" ht="0" hidden="1" customHeight="1"/>
    <row r="97" ht="0" hidden="1" customHeight="1"/>
  </sheetData>
  <mergeCells count="70">
    <mergeCell ref="D1:E2"/>
    <mergeCell ref="B3:C4"/>
    <mergeCell ref="D3:E6"/>
    <mergeCell ref="B6:C6"/>
    <mergeCell ref="B7:C7"/>
    <mergeCell ref="D7:E9"/>
    <mergeCell ref="B8:C8"/>
    <mergeCell ref="B9:C9"/>
    <mergeCell ref="B1:C2"/>
    <mergeCell ref="F3:F6"/>
    <mergeCell ref="G3:R6"/>
    <mergeCell ref="AL4:AL5"/>
    <mergeCell ref="AM4:AU5"/>
    <mergeCell ref="AL6:AL7"/>
    <mergeCell ref="AM6:AU7"/>
    <mergeCell ref="F7:F10"/>
    <mergeCell ref="G7:R10"/>
    <mergeCell ref="AL8:AL11"/>
    <mergeCell ref="AM8:AU11"/>
    <mergeCell ref="G11:R11"/>
    <mergeCell ref="G1:R1"/>
    <mergeCell ref="AM1:AU1"/>
    <mergeCell ref="G2:R2"/>
    <mergeCell ref="AL2:AL3"/>
    <mergeCell ref="AM2:AU3"/>
    <mergeCell ref="AW12:AW13"/>
    <mergeCell ref="BN12:BN13"/>
    <mergeCell ref="BJ13:BK13"/>
    <mergeCell ref="BL13:BM13"/>
    <mergeCell ref="AV12:AV13"/>
    <mergeCell ref="AG13:AH13"/>
    <mergeCell ref="AI13:AJ13"/>
    <mergeCell ref="B12:B13"/>
    <mergeCell ref="C12:C13"/>
    <mergeCell ref="D12:D13"/>
    <mergeCell ref="E12:E13"/>
    <mergeCell ref="F12:O12"/>
    <mergeCell ref="S12:S13"/>
    <mergeCell ref="F74:H74"/>
    <mergeCell ref="I74:Q74"/>
    <mergeCell ref="AL74:AN74"/>
    <mergeCell ref="AO74:AV74"/>
    <mergeCell ref="B10:C11"/>
    <mergeCell ref="D10:E11"/>
    <mergeCell ref="F65:Q65"/>
    <mergeCell ref="AL65:AV65"/>
    <mergeCell ref="F67:H67"/>
    <mergeCell ref="I67:Q67"/>
    <mergeCell ref="AL67:AN67"/>
    <mergeCell ref="AO67:AV67"/>
    <mergeCell ref="F66:Q66"/>
    <mergeCell ref="AL66:AV66"/>
    <mergeCell ref="T12:T13"/>
    <mergeCell ref="AK12:AK13"/>
    <mergeCell ref="AO82:AV82"/>
    <mergeCell ref="AO83:AV83"/>
    <mergeCell ref="I77:P77"/>
    <mergeCell ref="I78:P78"/>
    <mergeCell ref="I68:Q68"/>
    <mergeCell ref="AO68:AV68"/>
    <mergeCell ref="I69:Q69"/>
    <mergeCell ref="AO69:AV69"/>
    <mergeCell ref="I70:Q70"/>
    <mergeCell ref="AO70:AV70"/>
    <mergeCell ref="I71:Q71"/>
    <mergeCell ref="AO71:AV71"/>
    <mergeCell ref="I75:P75"/>
    <mergeCell ref="I76:P76"/>
    <mergeCell ref="F73:Q73"/>
    <mergeCell ref="AL73:AV73"/>
  </mergeCells>
  <conditionalFormatting sqref="B14:E63">
    <cfRule type="expression" dxfId="4804" priority="377">
      <formula>AND($B14&lt;&gt;"",$B15="")</formula>
    </cfRule>
    <cfRule type="expression" dxfId="4803" priority="378">
      <formula>$B14=""</formula>
    </cfRule>
  </conditionalFormatting>
  <conditionalFormatting sqref="B56:E56">
    <cfRule type="expression" dxfId="4802" priority="774">
      <formula>AND($B56&lt;&gt;"",$B63="")</formula>
    </cfRule>
    <cfRule type="expression" dxfId="4801" priority="775">
      <formula>$B56=""</formula>
    </cfRule>
  </conditionalFormatting>
  <conditionalFormatting sqref="B50:E50">
    <cfRule type="expression" dxfId="4800" priority="892">
      <formula>AND($B50&lt;&gt;"",$B63="")</formula>
    </cfRule>
    <cfRule type="expression" dxfId="4799" priority="893">
      <formula>$B50=""</formula>
    </cfRule>
  </conditionalFormatting>
  <conditionalFormatting sqref="B43:E44">
    <cfRule type="expression" dxfId="4798" priority="1024">
      <formula>AND($B43&lt;&gt;"",$B62="")</formula>
    </cfRule>
    <cfRule type="expression" dxfId="4797" priority="1025">
      <formula>$B43=""</formula>
    </cfRule>
  </conditionalFormatting>
  <conditionalFormatting sqref="B63:E63">
    <cfRule type="expression" dxfId="4796" priority="1640">
      <formula>AND($B63&lt;&gt;"",#REF!="")</formula>
    </cfRule>
    <cfRule type="expression" dxfId="4795" priority="1641">
      <formula>$B63=""</formula>
    </cfRule>
  </conditionalFormatting>
  <conditionalFormatting sqref="B61:E61">
    <cfRule type="expression" dxfId="4794" priority="1694">
      <formula>AND($B61&lt;&gt;"",$B64="")</formula>
    </cfRule>
    <cfRule type="expression" dxfId="4793" priority="1695">
      <formula>$B61=""</formula>
    </cfRule>
  </conditionalFormatting>
  <conditionalFormatting sqref="B57:E60">
    <cfRule type="expression" dxfId="4792" priority="1696">
      <formula>AND($B57&lt;&gt;"",#REF!="")</formula>
    </cfRule>
    <cfRule type="expression" dxfId="4791" priority="1697">
      <formula>$B57=""</formula>
    </cfRule>
  </conditionalFormatting>
  <conditionalFormatting sqref="B55:E55">
    <cfRule type="expression" dxfId="4790" priority="1700">
      <formula>AND($B55&lt;&gt;"",$B64="")</formula>
    </cfRule>
    <cfRule type="expression" dxfId="4789" priority="1701">
      <formula>$B55=""</formula>
    </cfRule>
  </conditionalFormatting>
  <conditionalFormatting sqref="B51:E54">
    <cfRule type="expression" dxfId="4788" priority="1702">
      <formula>AND($B51&lt;&gt;"",#REF!="")</formula>
    </cfRule>
    <cfRule type="expression" dxfId="4787" priority="1703">
      <formula>$B51=""</formula>
    </cfRule>
  </conditionalFormatting>
  <conditionalFormatting sqref="B49:E49">
    <cfRule type="expression" dxfId="4786" priority="1706">
      <formula>AND($B49&lt;&gt;"",$B64="")</formula>
    </cfRule>
    <cfRule type="expression" dxfId="4785" priority="1707">
      <formula>$B49=""</formula>
    </cfRule>
  </conditionalFormatting>
  <conditionalFormatting sqref="B45:E63">
    <cfRule type="expression" dxfId="4784" priority="1708">
      <formula>AND($B45&lt;&gt;"",#REF!="")</formula>
    </cfRule>
    <cfRule type="expression" dxfId="4783" priority="1709">
      <formula>$B45=""</formula>
    </cfRule>
  </conditionalFormatting>
  <conditionalFormatting sqref="R70 F66:Q71">
    <cfRule type="expression" dxfId="4782" priority="1712">
      <formula>$F$65="SAMA DENGAN DATA"</formula>
    </cfRule>
  </conditionalFormatting>
  <conditionalFormatting sqref="F66:Q71">
    <cfRule type="expression" dxfId="4781" priority="1714">
      <formula>$F$65="kkm tunggal"</formula>
    </cfRule>
  </conditionalFormatting>
  <conditionalFormatting sqref="AW70:BG70 AL66:AV71">
    <cfRule type="expression" dxfId="4780" priority="1715">
      <formula>$AL$65="SAMA DENGAN DATA"</formula>
    </cfRule>
  </conditionalFormatting>
  <conditionalFormatting sqref="AL66:AV71">
    <cfRule type="expression" dxfId="4779" priority="1717">
      <formula>$AL$65="KKM TUNGGAL"</formula>
    </cfRule>
  </conditionalFormatting>
  <conditionalFormatting sqref="B61:E63">
    <cfRule type="expression" dxfId="4778" priority="2822">
      <formula>AND($B61&lt;&gt;"",$B65="")</formula>
    </cfRule>
    <cfRule type="expression" dxfId="4777" priority="2823">
      <formula>$B61=""</formula>
    </cfRule>
  </conditionalFormatting>
  <conditionalFormatting sqref="B50:E60">
    <cfRule type="expression" dxfId="4776" priority="2824">
      <formula>AND($B50&lt;&gt;"",#REF!="")</formula>
    </cfRule>
    <cfRule type="expression" dxfId="4775" priority="2825">
      <formula>$B50=""</formula>
    </cfRule>
  </conditionalFormatting>
  <conditionalFormatting sqref="U14:AB63 P51:S63 AV14:BE63 AE14:AK63 BH14:BN63 P14:P50 S14:S50">
    <cfRule type="expression" dxfId="4774" priority="192">
      <formula>AND($B14&lt;&gt;"",$B15="")</formula>
    </cfRule>
    <cfRule type="expression" dxfId="4773" priority="193">
      <formula>$B14=""</formula>
    </cfRule>
  </conditionalFormatting>
  <conditionalFormatting sqref="T14:T63">
    <cfRule type="expression" dxfId="4772" priority="190">
      <formula>AND($B14&lt;&gt;"",$B15="")</formula>
    </cfRule>
    <cfRule type="expression" dxfId="4771" priority="191">
      <formula>$B14=""</formula>
    </cfRule>
  </conditionalFormatting>
  <conditionalFormatting sqref="AV14">
    <cfRule type="expression" dxfId="4770" priority="188">
      <formula>AND($B14&lt;&gt;"",$B15="")</formula>
    </cfRule>
    <cfRule type="expression" dxfId="4769" priority="189">
      <formula>$B14=""</formula>
    </cfRule>
  </conditionalFormatting>
  <conditionalFormatting sqref="P56:S56 U56:AB56 BH56:BN56 AE56:AK56 AV56:BE56">
    <cfRule type="expression" dxfId="4768" priority="194">
      <formula>AND($B56&lt;&gt;"",$B63="")</formula>
    </cfRule>
    <cfRule type="expression" dxfId="4767" priority="195">
      <formula>$B56=""</formula>
    </cfRule>
  </conditionalFormatting>
  <conditionalFormatting sqref="P50 U50:AB50 BH50:BN50 AE50:AK50 AV50:BE50 S50">
    <cfRule type="expression" dxfId="4766" priority="196">
      <formula>AND($B50&lt;&gt;"",$B63="")</formula>
    </cfRule>
    <cfRule type="expression" dxfId="4765" priority="197">
      <formula>$B50=""</formula>
    </cfRule>
  </conditionalFormatting>
  <conditionalFormatting sqref="P43:P44 U43:AB44 BH43:BN44 AE43:AK44 AV43:BE44 S43:S44">
    <cfRule type="expression" dxfId="4764" priority="198">
      <formula>AND($B43&lt;&gt;"",$B62="")</formula>
    </cfRule>
    <cfRule type="expression" dxfId="4763" priority="199">
      <formula>$B43=""</formula>
    </cfRule>
  </conditionalFormatting>
  <conditionalFormatting sqref="P63:S63 U63:AB63 BH63:BN63 AE63:AK63 AV63:BE63">
    <cfRule type="expression" dxfId="4762" priority="200">
      <formula>AND($B63&lt;&gt;"",#REF!="")</formula>
    </cfRule>
    <cfRule type="expression" dxfId="4761" priority="201">
      <formula>$B63=""</formula>
    </cfRule>
  </conditionalFormatting>
  <conditionalFormatting sqref="P61:S61 U61:AB61 BH61:BN61 AE61:AK61 AV61:BE61">
    <cfRule type="expression" dxfId="4760" priority="202">
      <formula>AND($B61&lt;&gt;"",$B64="")</formula>
    </cfRule>
    <cfRule type="expression" dxfId="4759" priority="203">
      <formula>$B61=""</formula>
    </cfRule>
  </conditionalFormatting>
  <conditionalFormatting sqref="P57:S60 U57:AB60 BH57:BN60 AE57:AK60 AV57:BE60">
    <cfRule type="expression" dxfId="4758" priority="204">
      <formula>AND($B57&lt;&gt;"",#REF!="")</formula>
    </cfRule>
    <cfRule type="expression" dxfId="4757" priority="205">
      <formula>$B57=""</formula>
    </cfRule>
  </conditionalFormatting>
  <conditionalFormatting sqref="P55:S55 U55:AB55 BH55:BN55 AE55:AK55 AV55:BE55">
    <cfRule type="expression" dxfId="4756" priority="206">
      <formula>AND($B55&lt;&gt;"",$B64="")</formula>
    </cfRule>
    <cfRule type="expression" dxfId="4755" priority="207">
      <formula>$B55=""</formula>
    </cfRule>
  </conditionalFormatting>
  <conditionalFormatting sqref="P51:S54 U51:AB54 BH51:BN54 AE51:AK54 AV51:BE54">
    <cfRule type="expression" dxfId="4754" priority="208">
      <formula>AND($B51&lt;&gt;"",#REF!="")</formula>
    </cfRule>
    <cfRule type="expression" dxfId="4753" priority="209">
      <formula>$B51=""</formula>
    </cfRule>
  </conditionalFormatting>
  <conditionalFormatting sqref="J49:P49 U49:AK49 S49 AP49:BN49">
    <cfRule type="expression" dxfId="4752" priority="210">
      <formula>AND($B49&lt;&gt;"",$B64="")</formula>
    </cfRule>
    <cfRule type="expression" dxfId="4751" priority="211">
      <formula>$B49=""</formula>
    </cfRule>
  </conditionalFormatting>
  <conditionalFormatting sqref="P51:S63 U45:AB63 BH45:BN63 AE45:AK63 AV45:BE63 P45:P50 S45:S50">
    <cfRule type="expression" dxfId="4750" priority="212">
      <formula>AND($B45&lt;&gt;"",#REF!="")</formula>
    </cfRule>
    <cfRule type="expression" dxfId="4749" priority="213">
      <formula>$B45=""</formula>
    </cfRule>
  </conditionalFormatting>
  <conditionalFormatting sqref="T16:T63">
    <cfRule type="expression" dxfId="4748" priority="186">
      <formula>AND($B16&lt;&gt;"",$B17="")</formula>
    </cfRule>
    <cfRule type="expression" dxfId="4747" priority="187">
      <formula>$B16=""</formula>
    </cfRule>
  </conditionalFormatting>
  <conditionalFormatting sqref="U13:AB13 AX12:BG12">
    <cfRule type="expression" dxfId="4746" priority="185">
      <formula>COUNTA(U$14:U$63)&gt;0</formula>
    </cfRule>
  </conditionalFormatting>
  <conditionalFormatting sqref="F51:M63 J14:M50">
    <cfRule type="expression" dxfId="4745" priority="164">
      <formula>AND($B14&lt;&gt;"",$B15="")</formula>
    </cfRule>
    <cfRule type="expression" dxfId="4744" priority="165">
      <formula>$B14=""</formula>
    </cfRule>
  </conditionalFormatting>
  <conditionalFormatting sqref="F56:M56">
    <cfRule type="expression" dxfId="4743" priority="166">
      <formula>AND($B56&lt;&gt;"",$B63="")</formula>
    </cfRule>
    <cfRule type="expression" dxfId="4742" priority="167">
      <formula>$B56=""</formula>
    </cfRule>
  </conditionalFormatting>
  <conditionalFormatting sqref="J50:M50">
    <cfRule type="expression" dxfId="4741" priority="168">
      <formula>AND($B50&lt;&gt;"",$B63="")</formula>
    </cfRule>
    <cfRule type="expression" dxfId="4740" priority="169">
      <formula>$B50=""</formula>
    </cfRule>
  </conditionalFormatting>
  <conditionalFormatting sqref="J43:M44">
    <cfRule type="expression" dxfId="4739" priority="170">
      <formula>AND($B43&lt;&gt;"",$B62="")</formula>
    </cfRule>
    <cfRule type="expression" dxfId="4738" priority="171">
      <formula>$B43=""</formula>
    </cfRule>
  </conditionalFormatting>
  <conditionalFormatting sqref="F63:M63">
    <cfRule type="expression" dxfId="4737" priority="172">
      <formula>AND($B63&lt;&gt;"",#REF!="")</formula>
    </cfRule>
    <cfRule type="expression" dxfId="4736" priority="173">
      <formula>$B63=""</formula>
    </cfRule>
  </conditionalFormatting>
  <conditionalFormatting sqref="F61:M61">
    <cfRule type="expression" dxfId="4735" priority="174">
      <formula>AND($B61&lt;&gt;"",$B64="")</formula>
    </cfRule>
    <cfRule type="expression" dxfId="4734" priority="175">
      <formula>$B61=""</formula>
    </cfRule>
  </conditionalFormatting>
  <conditionalFormatting sqref="F57:M60">
    <cfRule type="expression" dxfId="4733" priority="176">
      <formula>AND($B57&lt;&gt;"",#REF!="")</formula>
    </cfRule>
    <cfRule type="expression" dxfId="4732" priority="177">
      <formula>$B57=""</formula>
    </cfRule>
  </conditionalFormatting>
  <conditionalFormatting sqref="F55:M55">
    <cfRule type="expression" dxfId="4731" priority="178">
      <formula>AND($B55&lt;&gt;"",$B64="")</formula>
    </cfRule>
    <cfRule type="expression" dxfId="4730" priority="179">
      <formula>$B55=""</formula>
    </cfRule>
  </conditionalFormatting>
  <conditionalFormatting sqref="F51:M54">
    <cfRule type="expression" dxfId="4729" priority="180">
      <formula>AND($B51&lt;&gt;"",#REF!="")</formula>
    </cfRule>
    <cfRule type="expression" dxfId="4728" priority="181">
      <formula>$B51=""</formula>
    </cfRule>
  </conditionalFormatting>
  <conditionalFormatting sqref="F51:M63 J45:M50">
    <cfRule type="expression" dxfId="4727" priority="182">
      <formula>AND($B45&lt;&gt;"",#REF!="")</formula>
    </cfRule>
    <cfRule type="expression" dxfId="4726" priority="183">
      <formula>$B45=""</formula>
    </cfRule>
  </conditionalFormatting>
  <conditionalFormatting sqref="F13:M13">
    <cfRule type="expression" dxfId="4725" priority="163">
      <formula>COUNTA(F$14:F$63)&gt;0</formula>
    </cfRule>
  </conditionalFormatting>
  <conditionalFormatting sqref="F51:M63 J14:M50">
    <cfRule type="expression" dxfId="4724" priority="184">
      <formula>COUNTIF($U14:$AB14,F14)&gt;1</formula>
    </cfRule>
  </conditionalFormatting>
  <conditionalFormatting sqref="AC14:AD63">
    <cfRule type="expression" dxfId="4723" priority="143">
      <formula>AND($B14&lt;&gt;"",$B15="")</formula>
    </cfRule>
    <cfRule type="expression" dxfId="4722" priority="144">
      <formula>$B14=""</formula>
    </cfRule>
  </conditionalFormatting>
  <conditionalFormatting sqref="AC56:AD56">
    <cfRule type="expression" dxfId="4721" priority="145">
      <formula>AND($B56&lt;&gt;"",$B63="")</formula>
    </cfRule>
    <cfRule type="expression" dxfId="4720" priority="146">
      <formula>$B56=""</formula>
    </cfRule>
  </conditionalFormatting>
  <conditionalFormatting sqref="AC50:AD50">
    <cfRule type="expression" dxfId="4719" priority="147">
      <formula>AND($B50&lt;&gt;"",$B63="")</formula>
    </cfRule>
    <cfRule type="expression" dxfId="4718" priority="148">
      <formula>$B50=""</formula>
    </cfRule>
  </conditionalFormatting>
  <conditionalFormatting sqref="AC43:AD44">
    <cfRule type="expression" dxfId="4717" priority="149">
      <formula>AND($B43&lt;&gt;"",$B62="")</formula>
    </cfRule>
    <cfRule type="expression" dxfId="4716" priority="150">
      <formula>$B43=""</formula>
    </cfRule>
  </conditionalFormatting>
  <conditionalFormatting sqref="AC63:AD63">
    <cfRule type="expression" dxfId="4715" priority="151">
      <formula>AND($B63&lt;&gt;"",#REF!="")</formula>
    </cfRule>
    <cfRule type="expression" dxfId="4714" priority="152">
      <formula>$B63=""</formula>
    </cfRule>
  </conditionalFormatting>
  <conditionalFormatting sqref="AC61:AD61">
    <cfRule type="expression" dxfId="4713" priority="153">
      <formula>AND($B61&lt;&gt;"",$B64="")</formula>
    </cfRule>
    <cfRule type="expression" dxfId="4712" priority="154">
      <formula>$B61=""</formula>
    </cfRule>
  </conditionalFormatting>
  <conditionalFormatting sqref="AC57:AD60">
    <cfRule type="expression" dxfId="4711" priority="155">
      <formula>AND($B57&lt;&gt;"",#REF!="")</formula>
    </cfRule>
    <cfRule type="expression" dxfId="4710" priority="156">
      <formula>$B57=""</formula>
    </cfRule>
  </conditionalFormatting>
  <conditionalFormatting sqref="AC55:AD55">
    <cfRule type="expression" dxfId="4709" priority="157">
      <formula>AND($B55&lt;&gt;"",$B64="")</formula>
    </cfRule>
    <cfRule type="expression" dxfId="4708" priority="158">
      <formula>$B55=""</formula>
    </cfRule>
  </conditionalFormatting>
  <conditionalFormatting sqref="AC51:AD54">
    <cfRule type="expression" dxfId="4707" priority="159">
      <formula>AND($B51&lt;&gt;"",#REF!="")</formula>
    </cfRule>
    <cfRule type="expression" dxfId="4706" priority="160">
      <formula>$B51=""</formula>
    </cfRule>
  </conditionalFormatting>
  <conditionalFormatting sqref="AC45:AD63">
    <cfRule type="expression" dxfId="4705" priority="161">
      <formula>AND($B45&lt;&gt;"",#REF!="")</formula>
    </cfRule>
    <cfRule type="expression" dxfId="4704" priority="162">
      <formula>$B45=""</formula>
    </cfRule>
  </conditionalFormatting>
  <conditionalFormatting sqref="AC13:AD13">
    <cfRule type="expression" dxfId="4703" priority="142">
      <formula>COUNTA(AC$14:AC$63)&gt;0</formula>
    </cfRule>
  </conditionalFormatting>
  <conditionalFormatting sqref="N14:O63">
    <cfRule type="expression" dxfId="4702" priority="121">
      <formula>AND($B14&lt;&gt;"",$B15="")</formula>
    </cfRule>
    <cfRule type="expression" dxfId="4701" priority="122">
      <formula>$B14=""</formula>
    </cfRule>
  </conditionalFormatting>
  <conditionalFormatting sqref="N56:O56">
    <cfRule type="expression" dxfId="4700" priority="123">
      <formula>AND($B56&lt;&gt;"",$B63="")</formula>
    </cfRule>
    <cfRule type="expression" dxfId="4699" priority="124">
      <formula>$B56=""</formula>
    </cfRule>
  </conditionalFormatting>
  <conditionalFormatting sqref="N50:O50">
    <cfRule type="expression" dxfId="4698" priority="125">
      <formula>AND($B50&lt;&gt;"",$B63="")</formula>
    </cfRule>
    <cfRule type="expression" dxfId="4697" priority="126">
      <formula>$B50=""</formula>
    </cfRule>
  </conditionalFormatting>
  <conditionalFormatting sqref="N43:O44">
    <cfRule type="expression" dxfId="4696" priority="127">
      <formula>AND($B43&lt;&gt;"",$B62="")</formula>
    </cfRule>
    <cfRule type="expression" dxfId="4695" priority="128">
      <formula>$B43=""</formula>
    </cfRule>
  </conditionalFormatting>
  <conditionalFormatting sqref="N63:O63">
    <cfRule type="expression" dxfId="4694" priority="129">
      <formula>AND($B63&lt;&gt;"",#REF!="")</formula>
    </cfRule>
    <cfRule type="expression" dxfId="4693" priority="130">
      <formula>$B63=""</formula>
    </cfRule>
  </conditionalFormatting>
  <conditionalFormatting sqref="N61:O61">
    <cfRule type="expression" dxfId="4692" priority="131">
      <formula>AND($B61&lt;&gt;"",$B64="")</formula>
    </cfRule>
    <cfRule type="expression" dxfId="4691" priority="132">
      <formula>$B61=""</formula>
    </cfRule>
  </conditionalFormatting>
  <conditionalFormatting sqref="N57:O60">
    <cfRule type="expression" dxfId="4690" priority="133">
      <formula>AND($B57&lt;&gt;"",#REF!="")</formula>
    </cfRule>
    <cfRule type="expression" dxfId="4689" priority="134">
      <formula>$B57=""</formula>
    </cfRule>
  </conditionalFormatting>
  <conditionalFormatting sqref="N55:O55">
    <cfRule type="expression" dxfId="4688" priority="135">
      <formula>AND($B55&lt;&gt;"",$B64="")</formula>
    </cfRule>
    <cfRule type="expression" dxfId="4687" priority="136">
      <formula>$B55=""</formula>
    </cfRule>
  </conditionalFormatting>
  <conditionalFormatting sqref="N51:O54">
    <cfRule type="expression" dxfId="4686" priority="137">
      <formula>AND($B51&lt;&gt;"",#REF!="")</formula>
    </cfRule>
    <cfRule type="expression" dxfId="4685" priority="138">
      <formula>$B51=""</formula>
    </cfRule>
  </conditionalFormatting>
  <conditionalFormatting sqref="N45:O63">
    <cfRule type="expression" dxfId="4684" priority="139">
      <formula>AND($B45&lt;&gt;"",#REF!="")</formula>
    </cfRule>
    <cfRule type="expression" dxfId="4683" priority="140">
      <formula>$B45=""</formula>
    </cfRule>
  </conditionalFormatting>
  <conditionalFormatting sqref="N13:O13">
    <cfRule type="expression" dxfId="4682" priority="120">
      <formula>COUNTA(N$14:N$63)&gt;0</formula>
    </cfRule>
  </conditionalFormatting>
  <conditionalFormatting sqref="N14:O63">
    <cfRule type="expression" dxfId="4681" priority="141">
      <formula>COUNTIF($U14:$AB14,N14)&gt;1</formula>
    </cfRule>
  </conditionalFormatting>
  <conditionalFormatting sqref="BF14:BG63">
    <cfRule type="expression" dxfId="4680" priority="100">
      <formula>AND($B14&lt;&gt;"",$B15="")</formula>
    </cfRule>
    <cfRule type="expression" dxfId="4679" priority="101">
      <formula>$B14=""</formula>
    </cfRule>
  </conditionalFormatting>
  <conditionalFormatting sqref="BF56:BG56">
    <cfRule type="expression" dxfId="4678" priority="102">
      <formula>AND($B56&lt;&gt;"",$B63="")</formula>
    </cfRule>
    <cfRule type="expression" dxfId="4677" priority="103">
      <formula>$B56=""</formula>
    </cfRule>
  </conditionalFormatting>
  <conditionalFormatting sqref="BF50:BG50">
    <cfRule type="expression" dxfId="4676" priority="104">
      <formula>AND($B50&lt;&gt;"",$B63="")</formula>
    </cfRule>
    <cfRule type="expression" dxfId="4675" priority="105">
      <formula>$B50=""</formula>
    </cfRule>
  </conditionalFormatting>
  <conditionalFormatting sqref="BF43:BG44">
    <cfRule type="expression" dxfId="4674" priority="106">
      <formula>AND($B43&lt;&gt;"",$B62="")</formula>
    </cfRule>
    <cfRule type="expression" dxfId="4673" priority="107">
      <formula>$B43=""</formula>
    </cfRule>
  </conditionalFormatting>
  <conditionalFormatting sqref="BF63:BG63">
    <cfRule type="expression" dxfId="4672" priority="108">
      <formula>AND($B63&lt;&gt;"",#REF!="")</formula>
    </cfRule>
    <cfRule type="expression" dxfId="4671" priority="109">
      <formula>$B63=""</formula>
    </cfRule>
  </conditionalFormatting>
  <conditionalFormatting sqref="BF61:BG61">
    <cfRule type="expression" dxfId="4670" priority="110">
      <formula>AND($B61&lt;&gt;"",$B64="")</formula>
    </cfRule>
    <cfRule type="expression" dxfId="4669" priority="111">
      <formula>$B61=""</formula>
    </cfRule>
  </conditionalFormatting>
  <conditionalFormatting sqref="BF57:BG60">
    <cfRule type="expression" dxfId="4668" priority="112">
      <formula>AND($B57&lt;&gt;"",#REF!="")</formula>
    </cfRule>
    <cfRule type="expression" dxfId="4667" priority="113">
      <formula>$B57=""</formula>
    </cfRule>
  </conditionalFormatting>
  <conditionalFormatting sqref="BF55:BG55">
    <cfRule type="expression" dxfId="4666" priority="114">
      <formula>AND($B55&lt;&gt;"",$B64="")</formula>
    </cfRule>
    <cfRule type="expression" dxfId="4665" priority="115">
      <formula>$B55=""</formula>
    </cfRule>
  </conditionalFormatting>
  <conditionalFormatting sqref="BF51:BG54">
    <cfRule type="expression" dxfId="4664" priority="116">
      <formula>AND($B51&lt;&gt;"",#REF!="")</formula>
    </cfRule>
    <cfRule type="expression" dxfId="4663" priority="117">
      <formula>$B51=""</formula>
    </cfRule>
  </conditionalFormatting>
  <conditionalFormatting sqref="BF45:BG63">
    <cfRule type="expression" dxfId="4662" priority="118">
      <formula>AND($B45&lt;&gt;"",#REF!="")</formula>
    </cfRule>
    <cfRule type="expression" dxfId="4661" priority="119">
      <formula>$B45=""</formula>
    </cfRule>
  </conditionalFormatting>
  <conditionalFormatting sqref="AL51:AS63 AP14:AS50">
    <cfRule type="expression" dxfId="4660" priority="79">
      <formula>AND($B14&lt;&gt;"",$B15="")</formula>
    </cfRule>
    <cfRule type="expression" dxfId="4659" priority="80">
      <formula>$B14=""</formula>
    </cfRule>
  </conditionalFormatting>
  <conditionalFormatting sqref="AL56:AS56">
    <cfRule type="expression" dxfId="4658" priority="81">
      <formula>AND($B56&lt;&gt;"",$B63="")</formula>
    </cfRule>
    <cfRule type="expression" dxfId="4657" priority="82">
      <formula>$B56=""</formula>
    </cfRule>
  </conditionalFormatting>
  <conditionalFormatting sqref="AP50:AS50">
    <cfRule type="expression" dxfId="4656" priority="83">
      <formula>AND($B50&lt;&gt;"",$B63="")</formula>
    </cfRule>
    <cfRule type="expression" dxfId="4655" priority="84">
      <formula>$B50=""</formula>
    </cfRule>
  </conditionalFormatting>
  <conditionalFormatting sqref="AP43:AS44">
    <cfRule type="expression" dxfId="4654" priority="85">
      <formula>AND($B43&lt;&gt;"",$B62="")</formula>
    </cfRule>
    <cfRule type="expression" dxfId="4653" priority="86">
      <formula>$B43=""</formula>
    </cfRule>
  </conditionalFormatting>
  <conditionalFormatting sqref="AL63:AS63">
    <cfRule type="expression" dxfId="4652" priority="87">
      <formula>AND($B63&lt;&gt;"",#REF!="")</formula>
    </cfRule>
    <cfRule type="expression" dxfId="4651" priority="88">
      <formula>$B63=""</formula>
    </cfRule>
  </conditionalFormatting>
  <conditionalFormatting sqref="AL61:AS61">
    <cfRule type="expression" dxfId="4650" priority="89">
      <formula>AND($B61&lt;&gt;"",$B64="")</formula>
    </cfRule>
    <cfRule type="expression" dxfId="4649" priority="90">
      <formula>$B61=""</formula>
    </cfRule>
  </conditionalFormatting>
  <conditionalFormatting sqref="AL57:AS60">
    <cfRule type="expression" dxfId="4648" priority="91">
      <formula>AND($B57&lt;&gt;"",#REF!="")</formula>
    </cfRule>
    <cfRule type="expression" dxfId="4647" priority="92">
      <formula>$B57=""</formula>
    </cfRule>
  </conditionalFormatting>
  <conditionalFormatting sqref="AL55:AS55">
    <cfRule type="expression" dxfId="4646" priority="93">
      <formula>AND($B55&lt;&gt;"",$B64="")</formula>
    </cfRule>
    <cfRule type="expression" dxfId="4645" priority="94">
      <formula>$B55=""</formula>
    </cfRule>
  </conditionalFormatting>
  <conditionalFormatting sqref="AL51:AS54">
    <cfRule type="expression" dxfId="4644" priority="95">
      <formula>AND($B51&lt;&gt;"",#REF!="")</formula>
    </cfRule>
    <cfRule type="expression" dxfId="4643" priority="96">
      <formula>$B51=""</formula>
    </cfRule>
  </conditionalFormatting>
  <conditionalFormatting sqref="AL51:AS63 AP45:AS50">
    <cfRule type="expression" dxfId="4642" priority="97">
      <formula>AND($B45&lt;&gt;"",#REF!="")</formula>
    </cfRule>
    <cfRule type="expression" dxfId="4641" priority="98">
      <formula>$B45=""</formula>
    </cfRule>
  </conditionalFormatting>
  <conditionalFormatting sqref="AL12:AU12">
    <cfRule type="expression" dxfId="4640" priority="78">
      <formula>COUNTA(AL$14:AL$63)&gt;0</formula>
    </cfRule>
  </conditionalFormatting>
  <conditionalFormatting sqref="AT14:AU63">
    <cfRule type="expression" dxfId="4639" priority="58">
      <formula>AND($B14&lt;&gt;"",$B15="")</formula>
    </cfRule>
    <cfRule type="expression" dxfId="4638" priority="59">
      <formula>$B14=""</formula>
    </cfRule>
  </conditionalFormatting>
  <conditionalFormatting sqref="AT56:AU56">
    <cfRule type="expression" dxfId="4637" priority="60">
      <formula>AND($B56&lt;&gt;"",$B63="")</formula>
    </cfRule>
    <cfRule type="expression" dxfId="4636" priority="61">
      <formula>$B56=""</formula>
    </cfRule>
  </conditionalFormatting>
  <conditionalFormatting sqref="AT50:AU50">
    <cfRule type="expression" dxfId="4635" priority="62">
      <formula>AND($B50&lt;&gt;"",$B63="")</formula>
    </cfRule>
    <cfRule type="expression" dxfId="4634" priority="63">
      <formula>$B50=""</formula>
    </cfRule>
  </conditionalFormatting>
  <conditionalFormatting sqref="AT43:AU44">
    <cfRule type="expression" dxfId="4633" priority="64">
      <formula>AND($B43&lt;&gt;"",$B62="")</formula>
    </cfRule>
    <cfRule type="expression" dxfId="4632" priority="65">
      <formula>$B43=""</formula>
    </cfRule>
  </conditionalFormatting>
  <conditionalFormatting sqref="AT63:AU63">
    <cfRule type="expression" dxfId="4631" priority="66">
      <formula>AND($B63&lt;&gt;"",#REF!="")</formula>
    </cfRule>
    <cfRule type="expression" dxfId="4630" priority="67">
      <formula>$B63=""</formula>
    </cfRule>
  </conditionalFormatting>
  <conditionalFormatting sqref="AT61:AU61">
    <cfRule type="expression" dxfId="4629" priority="68">
      <formula>AND($B61&lt;&gt;"",$B64="")</formula>
    </cfRule>
    <cfRule type="expression" dxfId="4628" priority="69">
      <formula>$B61=""</formula>
    </cfRule>
  </conditionalFormatting>
  <conditionalFormatting sqref="AT57:AU60">
    <cfRule type="expression" dxfId="4627" priority="70">
      <formula>AND($B57&lt;&gt;"",#REF!="")</formula>
    </cfRule>
    <cfRule type="expression" dxfId="4626" priority="71">
      <formula>$B57=""</formula>
    </cfRule>
  </conditionalFormatting>
  <conditionalFormatting sqref="AT55:AU55">
    <cfRule type="expression" dxfId="4625" priority="72">
      <formula>AND($B55&lt;&gt;"",$B64="")</formula>
    </cfRule>
    <cfRule type="expression" dxfId="4624" priority="73">
      <formula>$B55=""</formula>
    </cfRule>
  </conditionalFormatting>
  <conditionalFormatting sqref="AT51:AU54">
    <cfRule type="expression" dxfId="4623" priority="74">
      <formula>AND($B51&lt;&gt;"",#REF!="")</formula>
    </cfRule>
    <cfRule type="expression" dxfId="4622" priority="75">
      <formula>$B51=""</formula>
    </cfRule>
  </conditionalFormatting>
  <conditionalFormatting sqref="AT45:AU63">
    <cfRule type="expression" dxfId="4621" priority="76">
      <formula>AND($B45&lt;&gt;"",#REF!="")</formula>
    </cfRule>
    <cfRule type="expression" dxfId="4620" priority="77">
      <formula>$B45=""</formula>
    </cfRule>
  </conditionalFormatting>
  <conditionalFormatting sqref="AL51:AU63 AP14:AU50">
    <cfRule type="expression" dxfId="4619" priority="99">
      <formula>COUNTIF($AX14:$BE14,AL14)&gt;1</formula>
    </cfRule>
  </conditionalFormatting>
  <conditionalFormatting sqref="F61:S63 U61:BN63">
    <cfRule type="expression" dxfId="4618" priority="214">
      <formula>AND($B61&lt;&gt;"",$B65="")</formula>
    </cfRule>
    <cfRule type="expression" dxfId="4617" priority="215">
      <formula>$B61=""</formula>
    </cfRule>
  </conditionalFormatting>
  <conditionalFormatting sqref="F51:S60 U51:BN60 J50:P50 S50 U50:AK50 AP50:BN50">
    <cfRule type="expression" dxfId="4616" priority="216">
      <formula>AND($B50&lt;&gt;"",#REF!="")</formula>
    </cfRule>
    <cfRule type="expression" dxfId="4615" priority="217">
      <formula>$B50=""</formula>
    </cfRule>
  </conditionalFormatting>
  <conditionalFormatting sqref="T2">
    <cfRule type="expression" dxfId="4614" priority="57">
      <formula>COUNTA(F$14:F$63)&gt;0</formula>
    </cfRule>
  </conditionalFormatting>
  <conditionalFormatting sqref="T3">
    <cfRule type="expression" dxfId="4613" priority="218">
      <formula>COUNTA(G$14:G$63)&gt;0</formula>
    </cfRule>
  </conditionalFormatting>
  <conditionalFormatting sqref="T4">
    <cfRule type="expression" dxfId="4612" priority="219">
      <formula>COUNTA(H$14:H$63)&gt;0</formula>
    </cfRule>
  </conditionalFormatting>
  <conditionalFormatting sqref="T5">
    <cfRule type="expression" dxfId="4611" priority="220">
      <formula>COUNTA(I$14:I$63)&gt;0</formula>
    </cfRule>
  </conditionalFormatting>
  <conditionalFormatting sqref="T7">
    <cfRule type="expression" dxfId="4610" priority="56">
      <formula>COUNTA(K$14:K$63)&gt;0</formula>
    </cfRule>
  </conditionalFormatting>
  <conditionalFormatting sqref="T11">
    <cfRule type="expression" dxfId="4609" priority="221">
      <formula>COUNTA(O$14:O$63)&gt;0</formula>
    </cfRule>
  </conditionalFormatting>
  <conditionalFormatting sqref="T10">
    <cfRule type="expression" dxfId="4608" priority="222">
      <formula>COUNTA(N$14:N$63)&gt;0</formula>
    </cfRule>
  </conditionalFormatting>
  <conditionalFormatting sqref="T9">
    <cfRule type="expression" dxfId="4607" priority="223">
      <formula>COUNTA(M$14:M$63)&gt;0</formula>
    </cfRule>
  </conditionalFormatting>
  <conditionalFormatting sqref="T8">
    <cfRule type="expression" dxfId="4606" priority="224">
      <formula>COUNTA(L$14:L$63)&gt;0</formula>
    </cfRule>
  </conditionalFormatting>
  <conditionalFormatting sqref="T6">
    <cfRule type="expression" dxfId="4605" priority="55">
      <formula>COUNTA(J$14:J$63)&gt;0</formula>
    </cfRule>
  </conditionalFormatting>
  <conditionalFormatting sqref="AW2">
    <cfRule type="expression" dxfId="4604" priority="54">
      <formula>COUNTA(AL$14:AL$63)&gt;0</formula>
    </cfRule>
  </conditionalFormatting>
  <conditionalFormatting sqref="AW3">
    <cfRule type="expression" dxfId="4603" priority="53">
      <formula>COUNTA(AM$14:AM$63)&gt;0</formula>
    </cfRule>
  </conditionalFormatting>
  <conditionalFormatting sqref="AW4">
    <cfRule type="expression" dxfId="4602" priority="52">
      <formula>COUNTA(AN$14:AN$63)&gt;0</formula>
    </cfRule>
  </conditionalFormatting>
  <conditionalFormatting sqref="AW5">
    <cfRule type="expression" dxfId="4601" priority="51">
      <formula>COUNTA(AO$14:AO$63)&gt;0</formula>
    </cfRule>
  </conditionalFormatting>
  <conditionalFormatting sqref="AW6">
    <cfRule type="expression" dxfId="4600" priority="50">
      <formula>COUNTA(AP$14:AP$63)&gt;0</formula>
    </cfRule>
  </conditionalFormatting>
  <conditionalFormatting sqref="AW7">
    <cfRule type="expression" dxfId="4599" priority="49">
      <formula>COUNTA(AQ$14:AQ$63)&gt;0</formula>
    </cfRule>
  </conditionalFormatting>
  <conditionalFormatting sqref="AW8">
    <cfRule type="expression" dxfId="4598" priority="48">
      <formula>COUNTA(AR$14:AR$63)&gt;0</formula>
    </cfRule>
  </conditionalFormatting>
  <conditionalFormatting sqref="AW9">
    <cfRule type="expression" dxfId="4597" priority="47">
      <formula>COUNTA(AS$14:AS$63)&gt;0</formula>
    </cfRule>
  </conditionalFormatting>
  <conditionalFormatting sqref="AW10">
    <cfRule type="expression" dxfId="4596" priority="46">
      <formula>COUNTA(AT$14:AT$63)&gt;0</formula>
    </cfRule>
  </conditionalFormatting>
  <conditionalFormatting sqref="AW11">
    <cfRule type="expression" dxfId="4595" priority="45">
      <formula>COUNTA(AU$14:AU$63)&gt;0</formula>
    </cfRule>
  </conditionalFormatting>
  <conditionalFormatting sqref="F49:I49">
    <cfRule type="expression" dxfId="4594" priority="41">
      <formula>AND($B49&lt;&gt;"",$B64="")</formula>
    </cfRule>
    <cfRule type="expression" dxfId="4593" priority="42">
      <formula>$B49=""</formula>
    </cfRule>
  </conditionalFormatting>
  <conditionalFormatting sqref="F14:I50">
    <cfRule type="expression" dxfId="4592" priority="32">
      <formula>AND($B14&lt;&gt;"",$B15="")</formula>
    </cfRule>
    <cfRule type="expression" dxfId="4591" priority="33">
      <formula>$B14=""</formula>
    </cfRule>
  </conditionalFormatting>
  <conditionalFormatting sqref="F50:I50">
    <cfRule type="expression" dxfId="4590" priority="34">
      <formula>AND($B50&lt;&gt;"",$B63="")</formula>
    </cfRule>
    <cfRule type="expression" dxfId="4589" priority="35">
      <formula>$B50=""</formula>
    </cfRule>
  </conditionalFormatting>
  <conditionalFormatting sqref="F43:I44">
    <cfRule type="expression" dxfId="4588" priority="36">
      <formula>AND($B43&lt;&gt;"",$B62="")</formula>
    </cfRule>
    <cfRule type="expression" dxfId="4587" priority="37">
      <formula>$B43=""</formula>
    </cfRule>
  </conditionalFormatting>
  <conditionalFormatting sqref="F45:I50">
    <cfRule type="expression" dxfId="4586" priority="38">
      <formula>AND($B45&lt;&gt;"",#REF!="")</formula>
    </cfRule>
    <cfRule type="expression" dxfId="4585" priority="39">
      <formula>$B45=""</formula>
    </cfRule>
  </conditionalFormatting>
  <conditionalFormatting sqref="F14:I50">
    <cfRule type="expression" dxfId="4584" priority="40">
      <formula>COUNTIF($U14:$AB14,F14)&gt;1</formula>
    </cfRule>
  </conditionalFormatting>
  <conditionalFormatting sqref="F50:I50">
    <cfRule type="expression" dxfId="4583" priority="43">
      <formula>AND($B50&lt;&gt;"",#REF!="")</formula>
    </cfRule>
    <cfRule type="expression" dxfId="4582" priority="44">
      <formula>$B50=""</formula>
    </cfRule>
  </conditionalFormatting>
  <conditionalFormatting sqref="Q14:R50">
    <cfRule type="expression" dxfId="4581" priority="20">
      <formula>AND($B14&lt;&gt;"",$B15="")</formula>
    </cfRule>
    <cfRule type="expression" dxfId="4580" priority="21">
      <formula>$B14=""</formula>
    </cfRule>
  </conditionalFormatting>
  <conditionalFormatting sqref="Q50:R50">
    <cfRule type="expression" dxfId="4579" priority="22">
      <formula>AND($B50&lt;&gt;"",$B63="")</formula>
    </cfRule>
    <cfRule type="expression" dxfId="4578" priority="23">
      <formula>$B50=""</formula>
    </cfRule>
  </conditionalFormatting>
  <conditionalFormatting sqref="Q43:R44">
    <cfRule type="expression" dxfId="4577" priority="24">
      <formula>AND($B43&lt;&gt;"",$B62="")</formula>
    </cfRule>
    <cfRule type="expression" dxfId="4576" priority="25">
      <formula>$B43=""</formula>
    </cfRule>
  </conditionalFormatting>
  <conditionalFormatting sqref="Q49:R49">
    <cfRule type="expression" dxfId="4575" priority="26">
      <formula>AND($B49&lt;&gt;"",$B64="")</formula>
    </cfRule>
    <cfRule type="expression" dxfId="4574" priority="27">
      <formula>$B49=""</formula>
    </cfRule>
  </conditionalFormatting>
  <conditionalFormatting sqref="Q45:R50">
    <cfRule type="expression" dxfId="4573" priority="28">
      <formula>AND($B45&lt;&gt;"",#REF!="")</formula>
    </cfRule>
    <cfRule type="expression" dxfId="4572" priority="29">
      <formula>$B45=""</formula>
    </cfRule>
  </conditionalFormatting>
  <conditionalFormatting sqref="Q50:R50">
    <cfRule type="expression" dxfId="4571" priority="30">
      <formula>AND($B50&lt;&gt;"",#REF!="")</formula>
    </cfRule>
    <cfRule type="expression" dxfId="4570" priority="31">
      <formula>$B50=""</formula>
    </cfRule>
  </conditionalFormatting>
  <conditionalFormatting sqref="AL49:AO49">
    <cfRule type="expression" dxfId="4569" priority="16">
      <formula>AND($B49&lt;&gt;"",$B64="")</formula>
    </cfRule>
    <cfRule type="expression" dxfId="4568" priority="17">
      <formula>$B49=""</formula>
    </cfRule>
  </conditionalFormatting>
  <conditionalFormatting sqref="AL14:AO50">
    <cfRule type="expression" dxfId="4567" priority="7">
      <formula>AND($B14&lt;&gt;"",$B15="")</formula>
    </cfRule>
    <cfRule type="expression" dxfId="4566" priority="8">
      <formula>$B14=""</formula>
    </cfRule>
  </conditionalFormatting>
  <conditionalFormatting sqref="AL50:AO50">
    <cfRule type="expression" dxfId="4565" priority="9">
      <formula>AND($B50&lt;&gt;"",$B63="")</formula>
    </cfRule>
    <cfRule type="expression" dxfId="4564" priority="10">
      <formula>$B50=""</formula>
    </cfRule>
  </conditionalFormatting>
  <conditionalFormatting sqref="AL43:AO44">
    <cfRule type="expression" dxfId="4563" priority="11">
      <formula>AND($B43&lt;&gt;"",$B62="")</formula>
    </cfRule>
    <cfRule type="expression" dxfId="4562" priority="12">
      <formula>$B43=""</formula>
    </cfRule>
  </conditionalFormatting>
  <conditionalFormatting sqref="AL45:AO50">
    <cfRule type="expression" dxfId="4561" priority="13">
      <formula>AND($B45&lt;&gt;"",#REF!="")</formula>
    </cfRule>
    <cfRule type="expression" dxfId="4560" priority="14">
      <formula>$B45=""</formula>
    </cfRule>
  </conditionalFormatting>
  <conditionalFormatting sqref="AL14:AO50">
    <cfRule type="expression" dxfId="4559" priority="15">
      <formula>COUNTIF($AX14:$BE14,AL14)&gt;1</formula>
    </cfRule>
  </conditionalFormatting>
  <conditionalFormatting sqref="AL50:AO50">
    <cfRule type="expression" dxfId="4558" priority="18">
      <formula>AND($B50&lt;&gt;"",#REF!="")</formula>
    </cfRule>
    <cfRule type="expression" dxfId="4557" priority="19">
      <formula>$B50=""</formula>
    </cfRule>
  </conditionalFormatting>
  <conditionalFormatting sqref="AL15:AO49">
    <cfRule type="expression" dxfId="4556" priority="5">
      <formula>AND($B15&lt;&gt;"",$B28="")</formula>
    </cfRule>
    <cfRule type="expression" dxfId="4555" priority="6">
      <formula>$B15=""</formula>
    </cfRule>
  </conditionalFormatting>
  <conditionalFormatting sqref="AL15:AO49">
    <cfRule type="expression" dxfId="4554" priority="3">
      <formula>AND($B15&lt;&gt;"",#REF!="")</formula>
    </cfRule>
    <cfRule type="expression" dxfId="4553" priority="4">
      <formula>$B15=""</formula>
    </cfRule>
  </conditionalFormatting>
  <conditionalFormatting sqref="AL15:AO49">
    <cfRule type="expression" dxfId="4552" priority="1">
      <formula>AND($B15&lt;&gt;"",#REF!="")</formula>
    </cfRule>
    <cfRule type="expression" dxfId="4551" priority="2">
      <formula>$B15=""</formula>
    </cfRule>
  </conditionalFormatting>
  <dataValidations count="6">
    <dataValidation allowBlank="1" showInputMessage="1" showErrorMessage="1" prompt="KKM" sqref="H69:H70"/>
    <dataValidation type="whole" allowBlank="1" showInputMessage="1" showErrorMessage="1" errorTitle="Petunjuk" error="Nilai 0-100" sqref="F14:O63 Q14:R63 AL14:AU63">
      <formula1>0</formula1>
      <formula2>100</formula2>
    </dataValidation>
    <dataValidation allowBlank="1" showInputMessage="1" showErrorMessage="1" prompt="Rata-rata Harian" sqref="P12 AV12"/>
    <dataValidation allowBlank="1" showInputMessage="1" showErrorMessage="1" promptTitle="Tulis Bobot Nilai" prompt="Berupa Nilai Praktik, Portofolio atau Proyek._x000a_Bobot Praktik disarankan lebih tinggi" sqref="AL13:AU13 AX13:BG13"/>
    <dataValidation allowBlank="1" showInputMessage="1" showErrorMessage="1" prompt="Bobot Nilai" sqref="P13:R13 BH11 AE12:AF12"/>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0866141732283472" right="0.43307086614173229" top="0.27559055118110237" bottom="0.31496062992125984" header="0.31496062992125984" footer="0.23622047244094491"/>
  <pageSetup paperSize="9" orientation="landscape" blackAndWhite="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00FF"/>
  </sheetPr>
  <dimension ref="A1:DG97"/>
  <sheetViews>
    <sheetView showGridLines="0" showRowColHeaders="0" workbookViewId="0">
      <pane xSplit="5" ySplit="13" topLeftCell="F41" activePane="bottomRight" state="frozen"/>
      <selection activeCell="AW5" sqref="AW5:BN7"/>
      <selection pane="topRight" activeCell="AW5" sqref="AW5:BN7"/>
      <selection pane="bottomLeft" activeCell="AW5" sqref="AW5:BN7"/>
      <selection pane="bottomRight" activeCell="AL14" sqref="AL14:AN50"/>
    </sheetView>
  </sheetViews>
  <sheetFormatPr defaultColWidth="0" defaultRowHeight="0" customHeight="1"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t="str">
        <f>Data2!C10</f>
        <v>Seni Budaya</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74" t="s">
        <v>1633</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79" t="s">
        <v>1636</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1634</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1637</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1635</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1638</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t="s">
        <v>1147</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1274</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1148</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1275</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1149</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1276</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1150</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1277</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1151</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1278</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1152</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1279</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1153</v>
      </c>
      <c r="AL11" s="1800"/>
      <c r="AM11" s="1803"/>
      <c r="AN11" s="1803"/>
      <c r="AO11" s="1803"/>
      <c r="AP11" s="1803"/>
      <c r="AQ11" s="1803"/>
      <c r="AR11" s="1803"/>
      <c r="AS11" s="1803"/>
      <c r="AT11" s="1803"/>
      <c r="AU11" s="1804"/>
      <c r="AV11" s="1196">
        <v>10</v>
      </c>
      <c r="AW11" s="1197" t="s">
        <v>929</v>
      </c>
      <c r="AX11" s="1198">
        <f t="shared" ref="AX11:BG11" si="1">IF(COUNT(AX14:AX63)&gt;0,AX13,"")</f>
        <v>1</v>
      </c>
      <c r="AY11" s="1198">
        <f t="shared" si="1"/>
        <v>1</v>
      </c>
      <c r="AZ11" s="1198">
        <f t="shared" si="1"/>
        <v>1</v>
      </c>
      <c r="BA11" s="1198" t="str">
        <f t="shared" si="1"/>
        <v/>
      </c>
      <c r="BB11" s="1198" t="str">
        <f t="shared" si="1"/>
        <v/>
      </c>
      <c r="BC11" s="1198" t="str">
        <f t="shared" si="1"/>
        <v/>
      </c>
      <c r="BD11" s="1198" t="str">
        <f t="shared" si="1"/>
        <v/>
      </c>
      <c r="BE11" s="1198" t="str">
        <f t="shared" si="1"/>
        <v/>
      </c>
      <c r="BF11" s="1198" t="str">
        <f t="shared" si="1"/>
        <v/>
      </c>
      <c r="BG11" s="1198" t="str">
        <f t="shared" si="1"/>
        <v/>
      </c>
      <c r="BH11" s="1198">
        <f>SUM(AX11:BG11)</f>
        <v>3</v>
      </c>
      <c r="BI11" s="1199"/>
      <c r="BJ11" s="1199"/>
      <c r="BK11" s="1199"/>
      <c r="BL11" s="1199"/>
      <c r="BM11" s="1199"/>
      <c r="BN11" s="1186" t="s">
        <v>1280</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f t="shared" ref="U12:AD12" si="2">IF(COUNT(U14:U63)&gt;0,1,"")</f>
        <v>1</v>
      </c>
      <c r="V12" s="1201">
        <f t="shared" si="2"/>
        <v>1</v>
      </c>
      <c r="W12" s="1201">
        <f t="shared" si="2"/>
        <v>1</v>
      </c>
      <c r="X12" s="1201" t="str">
        <f t="shared" si="2"/>
        <v/>
      </c>
      <c r="Y12" s="1201" t="str">
        <f t="shared" si="2"/>
        <v/>
      </c>
      <c r="Z12" s="1201" t="str">
        <f t="shared" si="2"/>
        <v/>
      </c>
      <c r="AA12" s="1201" t="str">
        <f t="shared" si="2"/>
        <v/>
      </c>
      <c r="AB12" s="1201" t="str">
        <f t="shared" si="2"/>
        <v/>
      </c>
      <c r="AC12" s="1201" t="str">
        <f t="shared" si="2"/>
        <v/>
      </c>
      <c r="AD12" s="1201" t="str">
        <f t="shared" si="2"/>
        <v/>
      </c>
      <c r="AE12" s="1202">
        <f>SUM(U12:AD12)</f>
        <v>3</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7">
        <v>88</v>
      </c>
      <c r="G14" s="277">
        <v>85</v>
      </c>
      <c r="H14" s="277">
        <v>85</v>
      </c>
      <c r="I14" s="277"/>
      <c r="J14" s="277"/>
      <c r="K14" s="277"/>
      <c r="L14" s="277"/>
      <c r="M14" s="280"/>
      <c r="N14" s="277"/>
      <c r="O14" s="278"/>
      <c r="P14" s="279">
        <f t="shared" ref="P14" si="4">IF(COUNT(U14:AD14)&lt;2,"",ROUND(SUM(U14:AD14)/$AE$12,0))</f>
        <v>86</v>
      </c>
      <c r="Q14" s="1480">
        <v>86</v>
      </c>
      <c r="R14" s="1481">
        <v>88</v>
      </c>
      <c r="S14" s="281">
        <f t="shared" ref="S14" si="5">IFERROR(ROUND(((P14*$P$13)+(Q14*$Q$13)+(R14*$R$13))/$AF$12,0),"")</f>
        <v>87</v>
      </c>
      <c r="T14" s="295" t="str">
        <f t="shared" ref="T14" si="6">IF(S14="","",IF(S14&gt;$H$76,$Q$75,IF(S14&gt;$H$77,$Q$76,IF(S14&gt;$H$78,$Q$77,$Q$78))))</f>
        <v>B</v>
      </c>
      <c r="U14" s="1215">
        <f t="shared" ref="U14:AD29" si="7">IF(F14="","",F14+U$13)</f>
        <v>88.01</v>
      </c>
      <c r="V14" s="1216">
        <f t="shared" si="7"/>
        <v>85.02</v>
      </c>
      <c r="W14" s="1216">
        <f t="shared" si="7"/>
        <v>85.03</v>
      </c>
      <c r="X14" s="1216" t="str">
        <f t="shared" si="7"/>
        <v/>
      </c>
      <c r="Y14" s="1216" t="str">
        <f t="shared" si="7"/>
        <v/>
      </c>
      <c r="Z14" s="1216" t="str">
        <f t="shared" si="7"/>
        <v/>
      </c>
      <c r="AA14" s="1216" t="str">
        <f t="shared" si="7"/>
        <v/>
      </c>
      <c r="AB14" s="1217" t="str">
        <f t="shared" si="7"/>
        <v/>
      </c>
      <c r="AC14" s="1216" t="str">
        <f t="shared" si="7"/>
        <v/>
      </c>
      <c r="AD14" s="1218" t="str">
        <f t="shared" si="7"/>
        <v/>
      </c>
      <c r="AE14" s="1219">
        <f t="shared" ref="AE14" si="8">MAX(U14:AD14)</f>
        <v>88.01</v>
      </c>
      <c r="AF14" s="282">
        <f t="shared" ref="AF14" si="9">MIN(U14:AD14)</f>
        <v>85.02</v>
      </c>
      <c r="AG14" s="282" t="str">
        <f t="shared" ref="AG14:AH29" si="10">IF(AE14&gt;$H$76,$I$75,IF(AE14&gt;$H$77,$I$76,IF(AE14&gt;$H$78,$I$77,$I$78)))</f>
        <v>baik</v>
      </c>
      <c r="AH14" s="282" t="str">
        <f t="shared" si="10"/>
        <v>baik</v>
      </c>
      <c r="AI14" s="282">
        <f t="shared" ref="AI14" si="11">IFERROR(MATCH(AE14,U14:AD14,0),"")</f>
        <v>1</v>
      </c>
      <c r="AJ14" s="283">
        <f t="shared" ref="AJ14" si="12">IFERROR(MATCH(AF14,U14:AD14,0),"")</f>
        <v>2</v>
      </c>
      <c r="AK14" s="284" t="str">
        <f t="shared" ref="AK14" si="13">IF(S14="","",IFERROR("Memiliki kemampuan "&amp;IF(AG14=AH14,AG14&amp;" dalam "&amp;VLOOKUP(AI14,$S$2:$AK$11,19)&amp;" dan "&amp;VLOOKUP(AJ14,$S$2:$AK$11,19),AG14&amp;" dalam "&amp;VLOOKUP(AI14,$S$2:$AK$11,19)&amp;", "&amp;AH14&amp;" kemampuan dalam "&amp;VLOOKUP(AJ14,$S$2:$AK$11,19)),""))</f>
        <v>Memiliki kemampuan baik dalam memahami karya seni rupa dua dimensi dan tiga dimensi dan Memahami jenis dan fungsi alat musik tradisional</v>
      </c>
      <c r="AL14" s="276">
        <v>90</v>
      </c>
      <c r="AM14" s="277">
        <v>90</v>
      </c>
      <c r="AN14" s="277">
        <v>90</v>
      </c>
      <c r="AO14" s="277"/>
      <c r="AP14" s="277"/>
      <c r="AQ14" s="277"/>
      <c r="AR14" s="277"/>
      <c r="AS14" s="280"/>
      <c r="AT14" s="277"/>
      <c r="AU14" s="278"/>
      <c r="AV14" s="285">
        <f t="shared" ref="AV14" si="14">IF(COUNT(AL14:AU14)&lt;2,"",ROUND(((AL14*$AX$13)+(AM14*$AY$13)+(AN14*$AZ$13)+(AO14*$BA$13)+(AP14*$BB$13)+(AQ14*$BC$13)+(AR14*$BD$13)+(AS14*$BE$13)+(AT14*$BF$13)+(AU14*$BG$13))/$BH$11,0))</f>
        <v>90</v>
      </c>
      <c r="AW14" s="296" t="str">
        <f t="shared" ref="AW14" si="15">IF(AV14="","",IF(AV14&gt;$AN$76,$AV$75,IF(AV14&gt;$AN$77,$AV$76,IF(AV14&gt;$AN$78,$AV$77,$AV$78))))</f>
        <v>B</v>
      </c>
      <c r="AX14" s="1220">
        <f t="shared" ref="AX14:BG29" si="16">IF(AL14="","",AL14+AX$12)</f>
        <v>90.01</v>
      </c>
      <c r="AY14" s="1221">
        <f t="shared" si="16"/>
        <v>90.02</v>
      </c>
      <c r="AZ14" s="1221">
        <f t="shared" si="16"/>
        <v>90.03</v>
      </c>
      <c r="BA14" s="1221" t="str">
        <f t="shared" si="16"/>
        <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90.03</v>
      </c>
      <c r="BI14" s="286">
        <f t="shared" ref="BI14" si="18">MIN(AX14:BG14)</f>
        <v>90.01</v>
      </c>
      <c r="BJ14" s="287" t="str">
        <f t="shared" ref="BJ14:BK14" si="19">IF(BH14&gt;$H$76,$AO$75,IF(BH14&gt;$H$77,$AO$76,IF(BH14&gt;$H$78,$AO$77,$AO$78)))</f>
        <v>baik</v>
      </c>
      <c r="BK14" s="287" t="str">
        <f t="shared" si="19"/>
        <v>baik</v>
      </c>
      <c r="BL14" s="286">
        <f t="shared" ref="BL14" si="20">MATCH(BH14,AX14:BG14,0)</f>
        <v>3</v>
      </c>
      <c r="BM14" s="288">
        <f t="shared" ref="BM14" si="21">MATCH(BI14,AX14:BG14,0)</f>
        <v>1</v>
      </c>
      <c r="BN14" s="289" t="str">
        <f t="shared" ref="BN14" si="22">IF(AV14="","",IFERROR("Memiliki keterampilan "&amp;IF(BJ14=BK14,BJ14&amp;" dalam "&amp;VLOOKUP(BL14,$AV$2:$BN$11,19)&amp;" dan "&amp;VLOOKUP(BM14,$AV$2:$BN$11,19),BJ14&amp;" dalam "&amp;VLOOKUP(BL14,$AV$2:$BN$11,19)&amp;", "&amp;BK14&amp;" keterampilan dalam "&amp;VLOOKUP(BM14,$AV$2:$BN$11,19)),""))</f>
        <v>Memiliki keterampilan baik dalam memeragakan seni teater tradisional dan Membuat karya seni rupa dua dimensi menggunakan berbagai media</v>
      </c>
      <c r="BO14" s="67"/>
    </row>
    <row r="15" spans="1:67" ht="33" customHeight="1">
      <c r="A15" s="67"/>
      <c r="B15" s="272">
        <f>IF(D15="","",B14+1)</f>
        <v>2</v>
      </c>
      <c r="C15" s="273">
        <f>IF(Data!F6="","",Data!F6)</f>
        <v>0</v>
      </c>
      <c r="D15" s="274" t="str">
        <f>IF(Data!H6="","",Data!H6)</f>
        <v>Aprianus Bira</v>
      </c>
      <c r="E15" s="275" t="str">
        <f>IF(Data!I6="","",Data!I6)</f>
        <v>L</v>
      </c>
      <c r="F15" s="277">
        <v>82</v>
      </c>
      <c r="G15" s="277">
        <v>86</v>
      </c>
      <c r="H15" s="277">
        <v>88</v>
      </c>
      <c r="I15" s="277"/>
      <c r="J15" s="277"/>
      <c r="K15" s="277"/>
      <c r="L15" s="277"/>
      <c r="M15" s="280"/>
      <c r="N15" s="277"/>
      <c r="O15" s="278"/>
      <c r="P15" s="279">
        <f>IF(COUNT(U15:AD15)&lt;2,"",ROUND(SUM(U15:AD15)/$AE$12,0))</f>
        <v>85</v>
      </c>
      <c r="Q15" s="277">
        <v>88</v>
      </c>
      <c r="R15" s="280">
        <v>85</v>
      </c>
      <c r="S15" s="281">
        <f>IFERROR(ROUND(((P15*$P$13)+(Q15*$Q$13)+(R15*$R$13))/$AF$12,0),"")</f>
        <v>86</v>
      </c>
      <c r="T15" s="295" t="str">
        <f>IF(S15="","",IF(S15&gt;$H$76,$Q$75,IF(S15&gt;$H$77,$Q$76,IF(S15&gt;$H$78,$Q$77,$Q$78))))</f>
        <v>B</v>
      </c>
      <c r="U15" s="1215">
        <f t="shared" si="7"/>
        <v>82.01</v>
      </c>
      <c r="V15" s="1216">
        <f t="shared" si="7"/>
        <v>86.02</v>
      </c>
      <c r="W15" s="1216">
        <f t="shared" si="7"/>
        <v>88.03</v>
      </c>
      <c r="X15" s="1216" t="str">
        <f t="shared" si="7"/>
        <v/>
      </c>
      <c r="Y15" s="1216" t="str">
        <f t="shared" si="7"/>
        <v/>
      </c>
      <c r="Z15" s="1216" t="str">
        <f t="shared" si="7"/>
        <v/>
      </c>
      <c r="AA15" s="1216" t="str">
        <f t="shared" si="7"/>
        <v/>
      </c>
      <c r="AB15" s="1217" t="str">
        <f t="shared" si="7"/>
        <v/>
      </c>
      <c r="AC15" s="1216" t="str">
        <f t="shared" si="7"/>
        <v/>
      </c>
      <c r="AD15" s="1218" t="str">
        <f t="shared" si="7"/>
        <v/>
      </c>
      <c r="AE15" s="1219">
        <f>MAX(U15:AD15)</f>
        <v>88.03</v>
      </c>
      <c r="AF15" s="282">
        <f>MIN(U15:AD15)</f>
        <v>82.01</v>
      </c>
      <c r="AG15" s="282" t="str">
        <f>IF(AE15&gt;$H$76,$I$75,IF(AE15&gt;$H$77,$I$76,IF(AE15&gt;$H$78,$I$77,$I$78)))</f>
        <v>baik</v>
      </c>
      <c r="AH15" s="282" t="str">
        <f t="shared" si="10"/>
        <v>cukup</v>
      </c>
      <c r="AI15" s="282">
        <f>IFERROR(MATCH(AE15,U15:AD15,0),"")</f>
        <v>3</v>
      </c>
      <c r="AJ15" s="283">
        <f>IFERROR(MATCH(AF15,U15:AD15,0),"")</f>
        <v>1</v>
      </c>
      <c r="AK15" s="284" t="str">
        <f>IF(S15="","",IFERROR("Memiliki kemampuan "&amp;IF(AG15=AH15,AG15&amp;" dalam "&amp;VLOOKUP(AI15,$S$2:$AK$11,19)&amp;" dan "&amp;VLOOKUP(AJ15,$S$2:$AK$11,19),AG15&amp;" dalam "&amp;VLOOKUP(AI15,$S$2:$AK$11,19)&amp;", "&amp;AH15&amp;" kemampuan dalam "&amp;VLOOKUP(AJ15,$S$2:$AK$11,19)),""))</f>
        <v>Memiliki kemampuan baik dalam Memahami dan merancang naskah dan peran dalam teater, cukup kemampuan dalam memahami karya seni rupa dua dimensi dan tiga dimensi</v>
      </c>
      <c r="AL15" s="276">
        <v>90</v>
      </c>
      <c r="AM15" s="277">
        <v>90</v>
      </c>
      <c r="AN15" s="277">
        <v>90</v>
      </c>
      <c r="AO15" s="277"/>
      <c r="AP15" s="277"/>
      <c r="AQ15" s="277"/>
      <c r="AR15" s="277"/>
      <c r="AS15" s="280"/>
      <c r="AT15" s="277"/>
      <c r="AU15" s="278"/>
      <c r="AV15" s="285">
        <f>IF(COUNT(AL15:AU15)&lt;2,"",ROUND(((AL15*$AX$13)+(AM15*$AY$13)+(AN15*$AZ$13)+(AO15*$BA$13)+(AP15*$BB$13)+(AQ15*$BC$13)+(AR15*$BD$13)+(AS15*$BE$13)+(AT15*$BF$13)+(AU15*$BG$13))/$BH$11,0))</f>
        <v>90</v>
      </c>
      <c r="AW15" s="296" t="str">
        <f>IF(AV15="","",IF(AV15&gt;$AN$76,$AV$75,IF(AV15&gt;$AN$77,$AV$76,IF(AV15&gt;$AN$78,$AV$77,$AV$78))))</f>
        <v>B</v>
      </c>
      <c r="AX15" s="1220">
        <f t="shared" si="16"/>
        <v>90.01</v>
      </c>
      <c r="AY15" s="1221">
        <f t="shared" si="16"/>
        <v>90.02</v>
      </c>
      <c r="AZ15" s="1221">
        <f>IF(AN15="","",AN15+AZ$12)</f>
        <v>90.03</v>
      </c>
      <c r="BA15" s="1221" t="str">
        <f t="shared" si="16"/>
        <v/>
      </c>
      <c r="BB15" s="1221" t="str">
        <f t="shared" si="16"/>
        <v/>
      </c>
      <c r="BC15" s="1221" t="str">
        <f t="shared" si="16"/>
        <v/>
      </c>
      <c r="BD15" s="1221" t="str">
        <f t="shared" si="16"/>
        <v/>
      </c>
      <c r="BE15" s="1222" t="str">
        <f t="shared" si="16"/>
        <v/>
      </c>
      <c r="BF15" s="1221" t="str">
        <f t="shared" si="16"/>
        <v/>
      </c>
      <c r="BG15" s="1223" t="str">
        <f t="shared" si="16"/>
        <v/>
      </c>
      <c r="BH15" s="286">
        <f>MAX(AX15:BG15)</f>
        <v>90.03</v>
      </c>
      <c r="BI15" s="286">
        <f>MIN(AX15:BG15)</f>
        <v>90.01</v>
      </c>
      <c r="BJ15" s="287" t="str">
        <f>IF(BH15&gt;$H$76,$AO$75,IF(BH15&gt;$H$77,$AO$76,IF(BH15&gt;$H$78,$AO$77,$AO$78)))</f>
        <v>baik</v>
      </c>
      <c r="BK15" s="287" t="str">
        <f>IF(BI15&gt;$H$76,$AO$75,IF(BI15&gt;$H$77,$AO$76,IF(BI15&gt;$H$78,$AO$77,$AO$78)))</f>
        <v>baik</v>
      </c>
      <c r="BL15" s="286">
        <f>MATCH(BH15,AX15:BG15,0)</f>
        <v>3</v>
      </c>
      <c r="BM15" s="288">
        <f>MATCH(BI15,AX15:BG15,0)</f>
        <v>1</v>
      </c>
      <c r="BN15" s="289" t="str">
        <f>IF(AV15="","",IFERROR("Memiliki keterampilan "&amp;IF(BJ15=BK15,BJ15&amp;" dalam "&amp;VLOOKUP(BL15,$AV$2:$BN$11,19)&amp;" dan "&amp;VLOOKUP(BM15,$AV$2:$BN$11,19),BJ15&amp;" dalam "&amp;VLOOKUP(BL15,$AV$2:$BN$11,19)&amp;", "&amp;BK15&amp;" keterampilan dalam "&amp;VLOOKUP(BM15,$AV$2:$BN$11,19)),""))</f>
        <v>Memiliki keterampilan baik dalam memeragakan seni teater tradisional dan Membuat karya seni rupa dua dimensi menggunakan berbagai media</v>
      </c>
      <c r="BO15" s="67"/>
    </row>
    <row r="16" spans="1:67" ht="33" customHeight="1">
      <c r="A16" s="67"/>
      <c r="B16" s="272">
        <f t="shared" ref="B16:B37" si="23">IF(D16="","",B15+1)</f>
        <v>3</v>
      </c>
      <c r="C16" s="273">
        <f>IF(Data!F7="","",Data!F7)</f>
        <v>0</v>
      </c>
      <c r="D16" s="274" t="str">
        <f>IF(Data!H7="","",Data!H7)</f>
        <v>Asri Aldina Baksuni</v>
      </c>
      <c r="E16" s="275" t="str">
        <f>IF(Data!I7="","",Data!I7)</f>
        <v>P</v>
      </c>
      <c r="F16" s="277">
        <v>88</v>
      </c>
      <c r="G16" s="277">
        <v>86</v>
      </c>
      <c r="H16" s="277">
        <v>86</v>
      </c>
      <c r="I16" s="277"/>
      <c r="J16" s="277"/>
      <c r="K16" s="277"/>
      <c r="L16" s="277"/>
      <c r="M16" s="280"/>
      <c r="N16" s="277"/>
      <c r="O16" s="278"/>
      <c r="P16" s="279">
        <f t="shared" ref="P16:P63" si="24">IF(COUNT(U16:AD16)&lt;2,"",ROUND(SUM(U16:AD16)/$AE$12,0))</f>
        <v>87</v>
      </c>
      <c r="Q16" s="277">
        <v>85</v>
      </c>
      <c r="R16" s="280">
        <v>88</v>
      </c>
      <c r="S16" s="281">
        <f t="shared" ref="S16:S63" si="25">IFERROR(ROUND(((P16*$P$13)+(Q16*$Q$13)+(R16*$R$13))/$AF$12,0),"")</f>
        <v>87</v>
      </c>
      <c r="T16" s="295" t="str">
        <f t="shared" ref="T16:T63" si="26">IF(S16="","",IF(S16&gt;$H$76,$Q$75,IF(S16&gt;$H$77,$Q$76,IF(S16&gt;$H$78,$Q$77,$Q$78))))</f>
        <v>B</v>
      </c>
      <c r="U16" s="1215">
        <f t="shared" si="7"/>
        <v>88.01</v>
      </c>
      <c r="V16" s="1216">
        <f t="shared" si="7"/>
        <v>86.02</v>
      </c>
      <c r="W16" s="1216">
        <f t="shared" si="7"/>
        <v>86.03</v>
      </c>
      <c r="X16" s="1216" t="str">
        <f t="shared" si="7"/>
        <v/>
      </c>
      <c r="Y16" s="1216" t="str">
        <f t="shared" si="7"/>
        <v/>
      </c>
      <c r="Z16" s="1216" t="str">
        <f t="shared" si="7"/>
        <v/>
      </c>
      <c r="AA16" s="1216" t="str">
        <f t="shared" si="7"/>
        <v/>
      </c>
      <c r="AB16" s="1217" t="str">
        <f t="shared" si="7"/>
        <v/>
      </c>
      <c r="AC16" s="1216" t="str">
        <f t="shared" si="7"/>
        <v/>
      </c>
      <c r="AD16" s="1218" t="str">
        <f t="shared" si="7"/>
        <v/>
      </c>
      <c r="AE16" s="1219">
        <f t="shared" ref="AE16:AE63" si="27">MAX(U16:AD16)</f>
        <v>88.01</v>
      </c>
      <c r="AF16" s="282">
        <f t="shared" ref="AF16:AF63" si="28">MIN(U16:AD16)</f>
        <v>86.02</v>
      </c>
      <c r="AG16" s="282" t="str">
        <f t="shared" ref="AG16:AH63" si="29">IF(AE16&gt;$H$76,$I$75,IF(AE16&gt;$H$77,$I$76,IF(AE16&gt;$H$78,$I$77,$I$78)))</f>
        <v>baik</v>
      </c>
      <c r="AH16" s="282" t="str">
        <f t="shared" si="10"/>
        <v>baik</v>
      </c>
      <c r="AI16" s="282">
        <f t="shared" ref="AI16:AI63" si="30">IFERROR(MATCH(AE16,U16:AD16,0),"")</f>
        <v>1</v>
      </c>
      <c r="AJ16" s="283">
        <f t="shared" ref="AJ16:AJ63" si="31">IFERROR(MATCH(AF16,U16:AD16,0),"")</f>
        <v>2</v>
      </c>
      <c r="AK16" s="284" t="str">
        <f t="shared" ref="AK16:AK63" si="32">IF(S16="","",IFERROR("Memiliki kemampuan "&amp;IF(AG16=AH16,AG16&amp;" dalam "&amp;VLOOKUP(AI16,$S$2:$AK$11,19)&amp;" dan "&amp;VLOOKUP(AJ16,$S$2:$AK$11,19),AG16&amp;" dalam "&amp;VLOOKUP(AI16,$S$2:$AK$11,19)&amp;", "&amp;AH16&amp;" kemampuan dalam "&amp;VLOOKUP(AJ16,$S$2:$AK$11,19)),""))</f>
        <v>Memiliki kemampuan baik dalam memahami karya seni rupa dua dimensi dan tiga dimensi dan Memahami jenis dan fungsi alat musik tradisional</v>
      </c>
      <c r="AL16" s="276">
        <v>90</v>
      </c>
      <c r="AM16" s="277">
        <v>90</v>
      </c>
      <c r="AN16" s="277">
        <v>90</v>
      </c>
      <c r="AO16" s="277"/>
      <c r="AP16" s="277"/>
      <c r="AQ16" s="277"/>
      <c r="AR16" s="277"/>
      <c r="AS16" s="280"/>
      <c r="AT16" s="277"/>
      <c r="AU16" s="278"/>
      <c r="AV16" s="285">
        <f t="shared" ref="AV16:AV63" si="33">IF(COUNT(AL16:AU16)&lt;2,"",ROUND(((AL16*$AX$13)+(AM16*$AY$13)+(AN16*$AZ$13)+(AO16*$BA$13)+(AP16*$BB$13)+(AQ16*$BC$13)+(AR16*$BD$13)+(AS16*$BE$13)+(AT16*$BF$13)+(AU16*$BG$13))/$BH$11,0))</f>
        <v>90</v>
      </c>
      <c r="AW16" s="296" t="str">
        <f t="shared" ref="AW16:AW63" si="34">IF(AV16="","",IF(AV16&gt;$AN$76,$AV$75,IF(AV16&gt;$AN$77,$AV$76,IF(AV16&gt;$AN$78,$AV$77,$AV$78))))</f>
        <v>B</v>
      </c>
      <c r="AX16" s="1220">
        <f t="shared" si="16"/>
        <v>90.01</v>
      </c>
      <c r="AY16" s="1221">
        <f t="shared" si="16"/>
        <v>90.02</v>
      </c>
      <c r="AZ16" s="1221">
        <f t="shared" si="16"/>
        <v>90.03</v>
      </c>
      <c r="BA16" s="1221" t="str">
        <f t="shared" si="16"/>
        <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90.03</v>
      </c>
      <c r="BI16" s="286">
        <f t="shared" ref="BI16:BI63" si="36">MIN(AX16:BG16)</f>
        <v>90.01</v>
      </c>
      <c r="BJ16" s="287" t="str">
        <f t="shared" ref="BJ16:BK63" si="37">IF(BH16&gt;$H$76,$AO$75,IF(BH16&gt;$H$77,$AO$76,IF(BH16&gt;$H$78,$AO$77,$AO$78)))</f>
        <v>baik</v>
      </c>
      <c r="BK16" s="287" t="str">
        <f t="shared" si="37"/>
        <v>baik</v>
      </c>
      <c r="BL16" s="286">
        <f t="shared" ref="BL16:BL63" si="38">MATCH(BH16,AX16:BG16,0)</f>
        <v>3</v>
      </c>
      <c r="BM16" s="288">
        <f t="shared" ref="BM16:BM63" si="39">MATCH(BI16,AX16:BG16,0)</f>
        <v>1</v>
      </c>
      <c r="BN16" s="289" t="str">
        <f t="shared" ref="BN16:BN63" si="40">IF(AV16="","",IFERROR("Memiliki keterampilan "&amp;IF(BJ16=BK16,BJ16&amp;" dalam "&amp;VLOOKUP(BL16,$AV$2:$BN$11,19)&amp;" dan "&amp;VLOOKUP(BM16,$AV$2:$BN$11,19),BJ16&amp;" dalam "&amp;VLOOKUP(BL16,$AV$2:$BN$11,19)&amp;", "&amp;BK16&amp;" keterampilan dalam "&amp;VLOOKUP(BM16,$AV$2:$BN$11,19)),""))</f>
        <v>Memiliki keterampilan baik dalam memeragakan seni teater tradisional dan Membuat karya seni rupa dua dimensi menggunakan berbagai media</v>
      </c>
      <c r="BO16" s="67"/>
    </row>
    <row r="17" spans="1:67" ht="33" customHeight="1">
      <c r="A17" s="67"/>
      <c r="B17" s="272">
        <f t="shared" si="23"/>
        <v>4</v>
      </c>
      <c r="C17" s="273">
        <f>IF(Data!F8="","",Data!F8)</f>
        <v>0</v>
      </c>
      <c r="D17" s="274" t="str">
        <f>IF(Data!H8="","",Data!H8)</f>
        <v>Asti Welmince Welkis</v>
      </c>
      <c r="E17" s="275" t="str">
        <f>IF(Data!I8="","",Data!I8)</f>
        <v>P</v>
      </c>
      <c r="F17" s="277">
        <v>85</v>
      </c>
      <c r="G17" s="277">
        <v>86</v>
      </c>
      <c r="H17" s="277">
        <v>86</v>
      </c>
      <c r="I17" s="277"/>
      <c r="J17" s="277"/>
      <c r="K17" s="277"/>
      <c r="L17" s="277"/>
      <c r="M17" s="280"/>
      <c r="N17" s="277"/>
      <c r="O17" s="278"/>
      <c r="P17" s="279">
        <f t="shared" si="24"/>
        <v>86</v>
      </c>
      <c r="Q17" s="277">
        <v>85</v>
      </c>
      <c r="R17" s="280">
        <v>87</v>
      </c>
      <c r="S17" s="281">
        <f t="shared" si="25"/>
        <v>86</v>
      </c>
      <c r="T17" s="295" t="str">
        <f t="shared" si="26"/>
        <v>B</v>
      </c>
      <c r="U17" s="1215">
        <f t="shared" si="7"/>
        <v>85.01</v>
      </c>
      <c r="V17" s="1216">
        <f t="shared" si="7"/>
        <v>86.02</v>
      </c>
      <c r="W17" s="1216">
        <f t="shared" si="7"/>
        <v>86.03</v>
      </c>
      <c r="X17" s="1216" t="str">
        <f t="shared" si="7"/>
        <v/>
      </c>
      <c r="Y17" s="1216" t="str">
        <f t="shared" si="7"/>
        <v/>
      </c>
      <c r="Z17" s="1216" t="str">
        <f t="shared" si="7"/>
        <v/>
      </c>
      <c r="AA17" s="1216" t="str">
        <f t="shared" si="7"/>
        <v/>
      </c>
      <c r="AB17" s="1217" t="str">
        <f t="shared" si="7"/>
        <v/>
      </c>
      <c r="AC17" s="1216" t="str">
        <f t="shared" si="7"/>
        <v/>
      </c>
      <c r="AD17" s="1218" t="str">
        <f t="shared" si="7"/>
        <v/>
      </c>
      <c r="AE17" s="1219">
        <f t="shared" si="27"/>
        <v>86.03</v>
      </c>
      <c r="AF17" s="282">
        <f t="shared" si="28"/>
        <v>85.01</v>
      </c>
      <c r="AG17" s="282" t="str">
        <f t="shared" si="29"/>
        <v>baik</v>
      </c>
      <c r="AH17" s="282" t="str">
        <f t="shared" si="10"/>
        <v>baik</v>
      </c>
      <c r="AI17" s="282">
        <f t="shared" si="30"/>
        <v>3</v>
      </c>
      <c r="AJ17" s="283">
        <f t="shared" si="31"/>
        <v>1</v>
      </c>
      <c r="AK17" s="284" t="str">
        <f t="shared" si="32"/>
        <v>Memiliki kemampuan baik dalam Memahami dan merancang naskah dan peran dalam teater dan memahami karya seni rupa dua dimensi dan tiga dimensi</v>
      </c>
      <c r="AL17" s="276">
        <v>90</v>
      </c>
      <c r="AM17" s="277">
        <v>90</v>
      </c>
      <c r="AN17" s="277">
        <v>90</v>
      </c>
      <c r="AO17" s="277"/>
      <c r="AP17" s="277"/>
      <c r="AQ17" s="277"/>
      <c r="AR17" s="277"/>
      <c r="AS17" s="280"/>
      <c r="AT17" s="277"/>
      <c r="AU17" s="278"/>
      <c r="AV17" s="285">
        <f t="shared" si="33"/>
        <v>90</v>
      </c>
      <c r="AW17" s="296" t="str">
        <f t="shared" si="34"/>
        <v>B</v>
      </c>
      <c r="AX17" s="1220">
        <f t="shared" si="16"/>
        <v>90.01</v>
      </c>
      <c r="AY17" s="1221">
        <f t="shared" si="16"/>
        <v>90.02</v>
      </c>
      <c r="AZ17" s="1221">
        <f t="shared" si="16"/>
        <v>90.03</v>
      </c>
      <c r="BA17" s="1221" t="str">
        <f t="shared" si="16"/>
        <v/>
      </c>
      <c r="BB17" s="1221" t="str">
        <f t="shared" si="16"/>
        <v/>
      </c>
      <c r="BC17" s="1221" t="str">
        <f t="shared" si="16"/>
        <v/>
      </c>
      <c r="BD17" s="1221" t="str">
        <f t="shared" si="16"/>
        <v/>
      </c>
      <c r="BE17" s="1222" t="str">
        <f t="shared" si="16"/>
        <v/>
      </c>
      <c r="BF17" s="1221" t="str">
        <f t="shared" si="16"/>
        <v/>
      </c>
      <c r="BG17" s="1223" t="str">
        <f t="shared" si="16"/>
        <v/>
      </c>
      <c r="BH17" s="286">
        <f t="shared" si="35"/>
        <v>90.03</v>
      </c>
      <c r="BI17" s="286">
        <f t="shared" si="36"/>
        <v>90.01</v>
      </c>
      <c r="BJ17" s="287" t="str">
        <f t="shared" si="37"/>
        <v>baik</v>
      </c>
      <c r="BK17" s="287" t="str">
        <f t="shared" si="37"/>
        <v>baik</v>
      </c>
      <c r="BL17" s="286">
        <f t="shared" si="38"/>
        <v>3</v>
      </c>
      <c r="BM17" s="288">
        <f t="shared" si="39"/>
        <v>1</v>
      </c>
      <c r="BN17" s="289" t="str">
        <f t="shared" si="40"/>
        <v>Memiliki keterampilan baik dalam memeragakan seni teater tradisional dan Membuat karya seni rupa dua dimensi menggunakan berbagai media</v>
      </c>
      <c r="BO17" s="67"/>
    </row>
    <row r="18" spans="1:67" ht="33" customHeight="1">
      <c r="A18" s="67"/>
      <c r="B18" s="272">
        <f t="shared" si="23"/>
        <v>5</v>
      </c>
      <c r="C18" s="273">
        <f>IF(Data!F9="","",Data!F9)</f>
        <v>0</v>
      </c>
      <c r="D18" s="274" t="str">
        <f>IF(Data!H9="","",Data!H9)</f>
        <v>Aulya Noviyanti Mbura</v>
      </c>
      <c r="E18" s="275" t="str">
        <f>IF(Data!I9="","",Data!I9)</f>
        <v>P</v>
      </c>
      <c r="F18" s="277">
        <v>88</v>
      </c>
      <c r="G18" s="277">
        <v>85</v>
      </c>
      <c r="H18" s="277">
        <v>85</v>
      </c>
      <c r="I18" s="277"/>
      <c r="J18" s="277"/>
      <c r="K18" s="277"/>
      <c r="L18" s="277"/>
      <c r="M18" s="280"/>
      <c r="N18" s="277"/>
      <c r="O18" s="278"/>
      <c r="P18" s="279">
        <f t="shared" si="24"/>
        <v>86</v>
      </c>
      <c r="Q18" s="277">
        <v>86</v>
      </c>
      <c r="R18" s="280">
        <v>86</v>
      </c>
      <c r="S18" s="281">
        <f t="shared" si="25"/>
        <v>86</v>
      </c>
      <c r="T18" s="295" t="str">
        <f t="shared" si="26"/>
        <v>B</v>
      </c>
      <c r="U18" s="1215">
        <f t="shared" si="7"/>
        <v>88.01</v>
      </c>
      <c r="V18" s="1216">
        <f t="shared" si="7"/>
        <v>85.02</v>
      </c>
      <c r="W18" s="1216">
        <f t="shared" si="7"/>
        <v>85.03</v>
      </c>
      <c r="X18" s="1216" t="str">
        <f t="shared" si="7"/>
        <v/>
      </c>
      <c r="Y18" s="1216" t="str">
        <f t="shared" si="7"/>
        <v/>
      </c>
      <c r="Z18" s="1216" t="str">
        <f t="shared" si="7"/>
        <v/>
      </c>
      <c r="AA18" s="1216" t="str">
        <f t="shared" si="7"/>
        <v/>
      </c>
      <c r="AB18" s="1217" t="str">
        <f t="shared" si="7"/>
        <v/>
      </c>
      <c r="AC18" s="1216" t="str">
        <f t="shared" si="7"/>
        <v/>
      </c>
      <c r="AD18" s="1218" t="str">
        <f t="shared" si="7"/>
        <v/>
      </c>
      <c r="AE18" s="1219">
        <f t="shared" si="27"/>
        <v>88.01</v>
      </c>
      <c r="AF18" s="282">
        <f t="shared" si="28"/>
        <v>85.02</v>
      </c>
      <c r="AG18" s="282" t="str">
        <f t="shared" si="29"/>
        <v>baik</v>
      </c>
      <c r="AH18" s="282" t="str">
        <f t="shared" si="10"/>
        <v>baik</v>
      </c>
      <c r="AI18" s="282">
        <f t="shared" si="30"/>
        <v>1</v>
      </c>
      <c r="AJ18" s="283">
        <f t="shared" si="31"/>
        <v>2</v>
      </c>
      <c r="AK18" s="284" t="str">
        <f t="shared" si="32"/>
        <v>Memiliki kemampuan baik dalam memahami karya seni rupa dua dimensi dan tiga dimensi dan Memahami jenis dan fungsi alat musik tradisional</v>
      </c>
      <c r="AL18" s="276">
        <v>90</v>
      </c>
      <c r="AM18" s="277">
        <v>90</v>
      </c>
      <c r="AN18" s="277">
        <v>90</v>
      </c>
      <c r="AO18" s="277"/>
      <c r="AP18" s="277"/>
      <c r="AQ18" s="277"/>
      <c r="AR18" s="277"/>
      <c r="AS18" s="280"/>
      <c r="AT18" s="277"/>
      <c r="AU18" s="278"/>
      <c r="AV18" s="285">
        <f t="shared" si="33"/>
        <v>90</v>
      </c>
      <c r="AW18" s="296" t="str">
        <f t="shared" si="34"/>
        <v>B</v>
      </c>
      <c r="AX18" s="1220">
        <f t="shared" si="16"/>
        <v>90.01</v>
      </c>
      <c r="AY18" s="1221">
        <f t="shared" si="16"/>
        <v>90.02</v>
      </c>
      <c r="AZ18" s="1221">
        <f t="shared" si="16"/>
        <v>90.03</v>
      </c>
      <c r="BA18" s="1221" t="str">
        <f t="shared" si="16"/>
        <v/>
      </c>
      <c r="BB18" s="1221" t="str">
        <f t="shared" si="16"/>
        <v/>
      </c>
      <c r="BC18" s="1221" t="str">
        <f t="shared" si="16"/>
        <v/>
      </c>
      <c r="BD18" s="1221" t="str">
        <f t="shared" si="16"/>
        <v/>
      </c>
      <c r="BE18" s="1222" t="str">
        <f t="shared" si="16"/>
        <v/>
      </c>
      <c r="BF18" s="1221" t="str">
        <f t="shared" si="16"/>
        <v/>
      </c>
      <c r="BG18" s="1223" t="str">
        <f t="shared" si="16"/>
        <v/>
      </c>
      <c r="BH18" s="286">
        <f t="shared" si="35"/>
        <v>90.03</v>
      </c>
      <c r="BI18" s="286">
        <f t="shared" si="36"/>
        <v>90.01</v>
      </c>
      <c r="BJ18" s="287" t="str">
        <f t="shared" si="37"/>
        <v>baik</v>
      </c>
      <c r="BK18" s="287" t="str">
        <f t="shared" si="37"/>
        <v>baik</v>
      </c>
      <c r="BL18" s="286">
        <f t="shared" si="38"/>
        <v>3</v>
      </c>
      <c r="BM18" s="288">
        <f t="shared" si="39"/>
        <v>1</v>
      </c>
      <c r="BN18" s="289" t="str">
        <f t="shared" si="40"/>
        <v>Memiliki keterampilan baik dalam memeragakan seni teater tradisional dan Membuat karya seni rupa dua dimensi menggunakan berbagai media</v>
      </c>
      <c r="BO18" s="67"/>
    </row>
    <row r="19" spans="1:67" ht="33" customHeight="1">
      <c r="A19" s="67"/>
      <c r="B19" s="272">
        <f t="shared" si="23"/>
        <v>6</v>
      </c>
      <c r="C19" s="273">
        <f>IF(Data!F10="","",Data!F10)</f>
        <v>0</v>
      </c>
      <c r="D19" s="274" t="str">
        <f>IF(Data!H10="","",Data!H10)</f>
        <v>Ayu Oliberta Ranboki</v>
      </c>
      <c r="E19" s="275" t="str">
        <f>IF(Data!I10="","",Data!I10)</f>
        <v>P</v>
      </c>
      <c r="F19" s="277">
        <v>80</v>
      </c>
      <c r="G19" s="277">
        <v>85</v>
      </c>
      <c r="H19" s="277">
        <v>85</v>
      </c>
      <c r="I19" s="277"/>
      <c r="J19" s="277"/>
      <c r="K19" s="277"/>
      <c r="L19" s="277"/>
      <c r="M19" s="280"/>
      <c r="N19" s="277"/>
      <c r="O19" s="278"/>
      <c r="P19" s="279">
        <f t="shared" si="24"/>
        <v>83</v>
      </c>
      <c r="Q19" s="277">
        <v>85</v>
      </c>
      <c r="R19" s="280">
        <v>80</v>
      </c>
      <c r="S19" s="281">
        <f t="shared" si="25"/>
        <v>83</v>
      </c>
      <c r="T19" s="295" t="str">
        <f t="shared" si="26"/>
        <v>C</v>
      </c>
      <c r="U19" s="1215">
        <f t="shared" si="7"/>
        <v>80.010000000000005</v>
      </c>
      <c r="V19" s="1216">
        <f t="shared" si="7"/>
        <v>85.02</v>
      </c>
      <c r="W19" s="1216">
        <f t="shared" si="7"/>
        <v>85.03</v>
      </c>
      <c r="X19" s="1216" t="str">
        <f t="shared" si="7"/>
        <v/>
      </c>
      <c r="Y19" s="1216" t="str">
        <f t="shared" si="7"/>
        <v/>
      </c>
      <c r="Z19" s="1216" t="str">
        <f t="shared" si="7"/>
        <v/>
      </c>
      <c r="AA19" s="1216" t="str">
        <f t="shared" si="7"/>
        <v/>
      </c>
      <c r="AB19" s="1217" t="str">
        <f t="shared" si="7"/>
        <v/>
      </c>
      <c r="AC19" s="1216" t="str">
        <f t="shared" si="7"/>
        <v/>
      </c>
      <c r="AD19" s="1218" t="str">
        <f t="shared" si="7"/>
        <v/>
      </c>
      <c r="AE19" s="1219">
        <f t="shared" si="27"/>
        <v>85.03</v>
      </c>
      <c r="AF19" s="282">
        <f t="shared" si="28"/>
        <v>80.010000000000005</v>
      </c>
      <c r="AG19" s="282" t="str">
        <f t="shared" si="29"/>
        <v>baik</v>
      </c>
      <c r="AH19" s="282" t="str">
        <f t="shared" si="10"/>
        <v>cukup</v>
      </c>
      <c r="AI19" s="282">
        <f t="shared" si="30"/>
        <v>3</v>
      </c>
      <c r="AJ19" s="283">
        <f t="shared" si="31"/>
        <v>1</v>
      </c>
      <c r="AK19" s="284" t="str">
        <f t="shared" si="32"/>
        <v>Memiliki kemampuan baik dalam Memahami dan merancang naskah dan peran dalam teater, cukup kemampuan dalam memahami karya seni rupa dua dimensi dan tiga dimensi</v>
      </c>
      <c r="AL19" s="276">
        <v>90</v>
      </c>
      <c r="AM19" s="277">
        <v>90</v>
      </c>
      <c r="AN19" s="277">
        <v>90</v>
      </c>
      <c r="AO19" s="277"/>
      <c r="AP19" s="277"/>
      <c r="AQ19" s="277"/>
      <c r="AR19" s="277"/>
      <c r="AS19" s="280"/>
      <c r="AT19" s="277"/>
      <c r="AU19" s="278"/>
      <c r="AV19" s="285">
        <f t="shared" si="33"/>
        <v>90</v>
      </c>
      <c r="AW19" s="296" t="str">
        <f t="shared" si="34"/>
        <v>B</v>
      </c>
      <c r="AX19" s="1220">
        <f t="shared" si="16"/>
        <v>90.01</v>
      </c>
      <c r="AY19" s="1221">
        <f t="shared" si="16"/>
        <v>90.02</v>
      </c>
      <c r="AZ19" s="1221">
        <f t="shared" si="16"/>
        <v>90.03</v>
      </c>
      <c r="BA19" s="1221" t="str">
        <f t="shared" si="16"/>
        <v/>
      </c>
      <c r="BB19" s="1221" t="str">
        <f t="shared" si="16"/>
        <v/>
      </c>
      <c r="BC19" s="1221" t="str">
        <f t="shared" si="16"/>
        <v/>
      </c>
      <c r="BD19" s="1221" t="str">
        <f t="shared" si="16"/>
        <v/>
      </c>
      <c r="BE19" s="1222" t="str">
        <f t="shared" si="16"/>
        <v/>
      </c>
      <c r="BF19" s="1221" t="str">
        <f t="shared" si="16"/>
        <v/>
      </c>
      <c r="BG19" s="1223" t="str">
        <f t="shared" si="16"/>
        <v/>
      </c>
      <c r="BH19" s="286">
        <f t="shared" si="35"/>
        <v>90.03</v>
      </c>
      <c r="BI19" s="286">
        <f t="shared" si="36"/>
        <v>90.01</v>
      </c>
      <c r="BJ19" s="287" t="str">
        <f t="shared" si="37"/>
        <v>baik</v>
      </c>
      <c r="BK19" s="287" t="str">
        <f t="shared" si="37"/>
        <v>baik</v>
      </c>
      <c r="BL19" s="286">
        <f t="shared" si="38"/>
        <v>3</v>
      </c>
      <c r="BM19" s="288">
        <f t="shared" si="39"/>
        <v>1</v>
      </c>
      <c r="BN19" s="289" t="str">
        <f t="shared" si="40"/>
        <v>Memiliki keterampilan baik dalam memeragakan seni teater tradisional dan Membuat karya seni rupa dua dimensi menggunakan berbagai media</v>
      </c>
      <c r="BO19" s="67"/>
    </row>
    <row r="20" spans="1:67" ht="33" customHeight="1">
      <c r="A20" s="67"/>
      <c r="B20" s="272">
        <f t="shared" si="23"/>
        <v>7</v>
      </c>
      <c r="C20" s="273">
        <f>IF(Data!F11="","",Data!F11)</f>
        <v>0</v>
      </c>
      <c r="D20" s="274" t="str">
        <f>IF(Data!H11="","",Data!H11)</f>
        <v>Benediktus Faot</v>
      </c>
      <c r="E20" s="275" t="str">
        <f>IF(Data!I11="","",Data!I11)</f>
        <v>L</v>
      </c>
      <c r="F20" s="277">
        <v>80</v>
      </c>
      <c r="G20" s="277">
        <v>85</v>
      </c>
      <c r="H20" s="277">
        <v>85</v>
      </c>
      <c r="I20" s="277"/>
      <c r="J20" s="277"/>
      <c r="K20" s="277"/>
      <c r="L20" s="277"/>
      <c r="M20" s="280"/>
      <c r="N20" s="277"/>
      <c r="O20" s="278"/>
      <c r="P20" s="279">
        <f t="shared" si="24"/>
        <v>83</v>
      </c>
      <c r="Q20" s="277">
        <v>85</v>
      </c>
      <c r="R20" s="280">
        <v>78</v>
      </c>
      <c r="S20" s="281">
        <f t="shared" si="25"/>
        <v>82</v>
      </c>
      <c r="T20" s="295" t="str">
        <f t="shared" si="26"/>
        <v>C</v>
      </c>
      <c r="U20" s="1215">
        <f t="shared" si="7"/>
        <v>80.010000000000005</v>
      </c>
      <c r="V20" s="1216">
        <f t="shared" si="7"/>
        <v>85.02</v>
      </c>
      <c r="W20" s="1216">
        <f t="shared" si="7"/>
        <v>85.03</v>
      </c>
      <c r="X20" s="1216" t="str">
        <f t="shared" si="7"/>
        <v/>
      </c>
      <c r="Y20" s="1216" t="str">
        <f t="shared" si="7"/>
        <v/>
      </c>
      <c r="Z20" s="1216" t="str">
        <f t="shared" si="7"/>
        <v/>
      </c>
      <c r="AA20" s="1216" t="str">
        <f t="shared" si="7"/>
        <v/>
      </c>
      <c r="AB20" s="1217" t="str">
        <f t="shared" si="7"/>
        <v/>
      </c>
      <c r="AC20" s="1216" t="str">
        <f t="shared" si="7"/>
        <v/>
      </c>
      <c r="AD20" s="1218" t="str">
        <f t="shared" si="7"/>
        <v/>
      </c>
      <c r="AE20" s="1219">
        <f t="shared" si="27"/>
        <v>85.03</v>
      </c>
      <c r="AF20" s="282">
        <f t="shared" si="28"/>
        <v>80.010000000000005</v>
      </c>
      <c r="AG20" s="282" t="str">
        <f t="shared" si="29"/>
        <v>baik</v>
      </c>
      <c r="AH20" s="282" t="str">
        <f t="shared" si="10"/>
        <v>cukup</v>
      </c>
      <c r="AI20" s="282">
        <f t="shared" si="30"/>
        <v>3</v>
      </c>
      <c r="AJ20" s="283">
        <f t="shared" si="31"/>
        <v>1</v>
      </c>
      <c r="AK20" s="284" t="str">
        <f t="shared" si="32"/>
        <v>Memiliki kemampuan baik dalam Memahami dan merancang naskah dan peran dalam teater, cukup kemampuan dalam memahami karya seni rupa dua dimensi dan tiga dimensi</v>
      </c>
      <c r="AL20" s="276">
        <v>90</v>
      </c>
      <c r="AM20" s="277">
        <v>90</v>
      </c>
      <c r="AN20" s="277">
        <v>90</v>
      </c>
      <c r="AO20" s="277"/>
      <c r="AP20" s="277"/>
      <c r="AQ20" s="277"/>
      <c r="AR20" s="277"/>
      <c r="AS20" s="280"/>
      <c r="AT20" s="277"/>
      <c r="AU20" s="278"/>
      <c r="AV20" s="285">
        <f t="shared" si="33"/>
        <v>90</v>
      </c>
      <c r="AW20" s="296" t="str">
        <f t="shared" si="34"/>
        <v>B</v>
      </c>
      <c r="AX20" s="1220">
        <f t="shared" si="16"/>
        <v>90.01</v>
      </c>
      <c r="AY20" s="1221">
        <f t="shared" si="16"/>
        <v>90.02</v>
      </c>
      <c r="AZ20" s="1221">
        <f t="shared" si="16"/>
        <v>90.03</v>
      </c>
      <c r="BA20" s="1221" t="str">
        <f t="shared" si="16"/>
        <v/>
      </c>
      <c r="BB20" s="1221" t="str">
        <f t="shared" si="16"/>
        <v/>
      </c>
      <c r="BC20" s="1221" t="str">
        <f t="shared" si="16"/>
        <v/>
      </c>
      <c r="BD20" s="1221" t="str">
        <f t="shared" si="16"/>
        <v/>
      </c>
      <c r="BE20" s="1222" t="str">
        <f t="shared" si="16"/>
        <v/>
      </c>
      <c r="BF20" s="1221" t="str">
        <f t="shared" si="16"/>
        <v/>
      </c>
      <c r="BG20" s="1223" t="str">
        <f t="shared" si="16"/>
        <v/>
      </c>
      <c r="BH20" s="286">
        <f t="shared" si="35"/>
        <v>90.03</v>
      </c>
      <c r="BI20" s="286">
        <f t="shared" si="36"/>
        <v>90.01</v>
      </c>
      <c r="BJ20" s="287" t="str">
        <f t="shared" si="37"/>
        <v>baik</v>
      </c>
      <c r="BK20" s="287" t="str">
        <f t="shared" si="37"/>
        <v>baik</v>
      </c>
      <c r="BL20" s="286">
        <f t="shared" si="38"/>
        <v>3</v>
      </c>
      <c r="BM20" s="288">
        <f t="shared" si="39"/>
        <v>1</v>
      </c>
      <c r="BN20" s="289" t="str">
        <f t="shared" si="40"/>
        <v>Memiliki keterampilan baik dalam memeragakan seni teater tradisional dan Membuat karya seni rupa dua dimensi menggunakan berbagai media</v>
      </c>
      <c r="BO20" s="67"/>
    </row>
    <row r="21" spans="1:67" ht="33" customHeight="1">
      <c r="A21" s="67"/>
      <c r="B21" s="272">
        <f t="shared" si="23"/>
        <v>8</v>
      </c>
      <c r="C21" s="273">
        <f>IF(Data!F12="","",Data!F12)</f>
        <v>0</v>
      </c>
      <c r="D21" s="274" t="str">
        <f>IF(Data!H12="","",Data!H12)</f>
        <v>Betron Imanuel Kuni</v>
      </c>
      <c r="E21" s="275" t="str">
        <f>IF(Data!I12="","",Data!I12)</f>
        <v>L</v>
      </c>
      <c r="F21" s="277">
        <v>80</v>
      </c>
      <c r="G21" s="277">
        <v>85</v>
      </c>
      <c r="H21" s="277">
        <v>85</v>
      </c>
      <c r="I21" s="277"/>
      <c r="J21" s="277"/>
      <c r="K21" s="277"/>
      <c r="L21" s="277"/>
      <c r="M21" s="280"/>
      <c r="N21" s="277"/>
      <c r="O21" s="278"/>
      <c r="P21" s="279">
        <f t="shared" si="24"/>
        <v>83</v>
      </c>
      <c r="Q21" s="277">
        <v>80</v>
      </c>
      <c r="R21" s="280">
        <v>85</v>
      </c>
      <c r="S21" s="281">
        <f t="shared" si="25"/>
        <v>83</v>
      </c>
      <c r="T21" s="295" t="str">
        <f t="shared" si="26"/>
        <v>C</v>
      </c>
      <c r="U21" s="1215">
        <f t="shared" si="7"/>
        <v>80.010000000000005</v>
      </c>
      <c r="V21" s="1216">
        <f t="shared" si="7"/>
        <v>85.02</v>
      </c>
      <c r="W21" s="1216">
        <f t="shared" si="7"/>
        <v>85.03</v>
      </c>
      <c r="X21" s="1216" t="str">
        <f t="shared" si="7"/>
        <v/>
      </c>
      <c r="Y21" s="1216" t="str">
        <f t="shared" si="7"/>
        <v/>
      </c>
      <c r="Z21" s="1216" t="str">
        <f t="shared" si="7"/>
        <v/>
      </c>
      <c r="AA21" s="1216" t="str">
        <f t="shared" si="7"/>
        <v/>
      </c>
      <c r="AB21" s="1217" t="str">
        <f t="shared" si="7"/>
        <v/>
      </c>
      <c r="AC21" s="1216" t="str">
        <f t="shared" si="7"/>
        <v/>
      </c>
      <c r="AD21" s="1218" t="str">
        <f t="shared" si="7"/>
        <v/>
      </c>
      <c r="AE21" s="1219">
        <f t="shared" si="27"/>
        <v>85.03</v>
      </c>
      <c r="AF21" s="282">
        <f t="shared" si="28"/>
        <v>80.010000000000005</v>
      </c>
      <c r="AG21" s="282" t="str">
        <f t="shared" si="29"/>
        <v>baik</v>
      </c>
      <c r="AH21" s="282" t="str">
        <f t="shared" si="10"/>
        <v>cukup</v>
      </c>
      <c r="AI21" s="282">
        <f t="shared" si="30"/>
        <v>3</v>
      </c>
      <c r="AJ21" s="283">
        <f t="shared" si="31"/>
        <v>1</v>
      </c>
      <c r="AK21" s="284" t="str">
        <f t="shared" si="32"/>
        <v>Memiliki kemampuan baik dalam Memahami dan merancang naskah dan peran dalam teater, cukup kemampuan dalam memahami karya seni rupa dua dimensi dan tiga dimensi</v>
      </c>
      <c r="AL21" s="276">
        <v>90</v>
      </c>
      <c r="AM21" s="277">
        <v>90</v>
      </c>
      <c r="AN21" s="277">
        <v>90</v>
      </c>
      <c r="AO21" s="277"/>
      <c r="AP21" s="277"/>
      <c r="AQ21" s="277"/>
      <c r="AR21" s="277"/>
      <c r="AS21" s="280"/>
      <c r="AT21" s="277"/>
      <c r="AU21" s="278"/>
      <c r="AV21" s="285">
        <f t="shared" si="33"/>
        <v>90</v>
      </c>
      <c r="AW21" s="296" t="str">
        <f t="shared" si="34"/>
        <v>B</v>
      </c>
      <c r="AX21" s="1220">
        <f t="shared" si="16"/>
        <v>90.01</v>
      </c>
      <c r="AY21" s="1221">
        <f t="shared" si="16"/>
        <v>90.02</v>
      </c>
      <c r="AZ21" s="1221">
        <f t="shared" si="16"/>
        <v>90.03</v>
      </c>
      <c r="BA21" s="1221" t="str">
        <f t="shared" si="16"/>
        <v/>
      </c>
      <c r="BB21" s="1221" t="str">
        <f t="shared" si="16"/>
        <v/>
      </c>
      <c r="BC21" s="1221" t="str">
        <f t="shared" si="16"/>
        <v/>
      </c>
      <c r="BD21" s="1221" t="str">
        <f t="shared" si="16"/>
        <v/>
      </c>
      <c r="BE21" s="1222" t="str">
        <f t="shared" si="16"/>
        <v/>
      </c>
      <c r="BF21" s="1221" t="str">
        <f t="shared" si="16"/>
        <v/>
      </c>
      <c r="BG21" s="1223" t="str">
        <f t="shared" si="16"/>
        <v/>
      </c>
      <c r="BH21" s="286">
        <f t="shared" si="35"/>
        <v>90.03</v>
      </c>
      <c r="BI21" s="286">
        <f t="shared" si="36"/>
        <v>90.01</v>
      </c>
      <c r="BJ21" s="287" t="str">
        <f t="shared" si="37"/>
        <v>baik</v>
      </c>
      <c r="BK21" s="287" t="str">
        <f t="shared" si="37"/>
        <v>baik</v>
      </c>
      <c r="BL21" s="286">
        <f t="shared" si="38"/>
        <v>3</v>
      </c>
      <c r="BM21" s="288">
        <f t="shared" si="39"/>
        <v>1</v>
      </c>
      <c r="BN21" s="289" t="str">
        <f t="shared" si="40"/>
        <v>Memiliki keterampilan baik dalam memeragakan seni teater tradisional dan Membuat karya seni rupa dua dimensi menggunakan berbagai media</v>
      </c>
      <c r="BO21" s="67"/>
    </row>
    <row r="22" spans="1:67" ht="33" customHeight="1">
      <c r="A22" s="67"/>
      <c r="B22" s="272">
        <f t="shared" si="23"/>
        <v>9</v>
      </c>
      <c r="C22" s="273">
        <f>IF(Data!F13="","",Data!F13)</f>
        <v>0</v>
      </c>
      <c r="D22" s="274" t="str">
        <f>IF(Data!H13="","",Data!H13)</f>
        <v>Demrianus Ton</v>
      </c>
      <c r="E22" s="275" t="str">
        <f>IF(Data!I13="","",Data!I13)</f>
        <v>L</v>
      </c>
      <c r="F22" s="277">
        <v>82</v>
      </c>
      <c r="G22" s="277">
        <v>86</v>
      </c>
      <c r="H22" s="277">
        <v>85</v>
      </c>
      <c r="I22" s="277"/>
      <c r="J22" s="277"/>
      <c r="K22" s="277"/>
      <c r="L22" s="277"/>
      <c r="M22" s="280"/>
      <c r="N22" s="277"/>
      <c r="O22" s="278"/>
      <c r="P22" s="279">
        <f t="shared" si="24"/>
        <v>84</v>
      </c>
      <c r="Q22" s="277">
        <v>86</v>
      </c>
      <c r="R22" s="280">
        <v>88</v>
      </c>
      <c r="S22" s="281">
        <f t="shared" si="25"/>
        <v>86</v>
      </c>
      <c r="T22" s="295" t="str">
        <f t="shared" si="26"/>
        <v>B</v>
      </c>
      <c r="U22" s="1215">
        <f t="shared" si="7"/>
        <v>82.01</v>
      </c>
      <c r="V22" s="1216">
        <f t="shared" si="7"/>
        <v>86.02</v>
      </c>
      <c r="W22" s="1216">
        <f t="shared" si="7"/>
        <v>85.03</v>
      </c>
      <c r="X22" s="1216" t="str">
        <f t="shared" si="7"/>
        <v/>
      </c>
      <c r="Y22" s="1216" t="str">
        <f t="shared" si="7"/>
        <v/>
      </c>
      <c r="Z22" s="1216" t="str">
        <f t="shared" si="7"/>
        <v/>
      </c>
      <c r="AA22" s="1216" t="str">
        <f t="shared" si="7"/>
        <v/>
      </c>
      <c r="AB22" s="1217" t="str">
        <f t="shared" si="7"/>
        <v/>
      </c>
      <c r="AC22" s="1216" t="str">
        <f t="shared" si="7"/>
        <v/>
      </c>
      <c r="AD22" s="1218" t="str">
        <f t="shared" si="7"/>
        <v/>
      </c>
      <c r="AE22" s="1219">
        <f t="shared" si="27"/>
        <v>86.02</v>
      </c>
      <c r="AF22" s="282">
        <f t="shared" si="28"/>
        <v>82.01</v>
      </c>
      <c r="AG22" s="282" t="str">
        <f t="shared" si="29"/>
        <v>baik</v>
      </c>
      <c r="AH22" s="282" t="str">
        <f t="shared" si="10"/>
        <v>cukup</v>
      </c>
      <c r="AI22" s="282">
        <f t="shared" si="30"/>
        <v>2</v>
      </c>
      <c r="AJ22" s="283">
        <f t="shared" si="31"/>
        <v>1</v>
      </c>
      <c r="AK22" s="284" t="str">
        <f t="shared" si="32"/>
        <v>Memiliki kemampuan baik dalam Memahami jenis dan fungsi alat musik tradisional, cukup kemampuan dalam memahami karya seni rupa dua dimensi dan tiga dimensi</v>
      </c>
      <c r="AL22" s="276">
        <v>90</v>
      </c>
      <c r="AM22" s="277">
        <v>90</v>
      </c>
      <c r="AN22" s="277">
        <v>90</v>
      </c>
      <c r="AO22" s="277"/>
      <c r="AP22" s="277"/>
      <c r="AQ22" s="277"/>
      <c r="AR22" s="277"/>
      <c r="AS22" s="280"/>
      <c r="AT22" s="277"/>
      <c r="AU22" s="278"/>
      <c r="AV22" s="285">
        <f t="shared" si="33"/>
        <v>90</v>
      </c>
      <c r="AW22" s="296" t="str">
        <f t="shared" si="34"/>
        <v>B</v>
      </c>
      <c r="AX22" s="1220">
        <f t="shared" si="16"/>
        <v>90.01</v>
      </c>
      <c r="AY22" s="1221">
        <f t="shared" si="16"/>
        <v>90.02</v>
      </c>
      <c r="AZ22" s="1221">
        <f t="shared" si="16"/>
        <v>90.03</v>
      </c>
      <c r="BA22" s="1221" t="str">
        <f t="shared" si="16"/>
        <v/>
      </c>
      <c r="BB22" s="1221" t="str">
        <f t="shared" si="16"/>
        <v/>
      </c>
      <c r="BC22" s="1221" t="str">
        <f t="shared" si="16"/>
        <v/>
      </c>
      <c r="BD22" s="1221" t="str">
        <f t="shared" si="16"/>
        <v/>
      </c>
      <c r="BE22" s="1222" t="str">
        <f t="shared" si="16"/>
        <v/>
      </c>
      <c r="BF22" s="1221" t="str">
        <f t="shared" si="16"/>
        <v/>
      </c>
      <c r="BG22" s="1223" t="str">
        <f t="shared" si="16"/>
        <v/>
      </c>
      <c r="BH22" s="286">
        <f t="shared" si="35"/>
        <v>90.03</v>
      </c>
      <c r="BI22" s="286">
        <f t="shared" si="36"/>
        <v>90.01</v>
      </c>
      <c r="BJ22" s="287" t="str">
        <f t="shared" si="37"/>
        <v>baik</v>
      </c>
      <c r="BK22" s="287" t="str">
        <f t="shared" si="37"/>
        <v>baik</v>
      </c>
      <c r="BL22" s="286">
        <f t="shared" si="38"/>
        <v>3</v>
      </c>
      <c r="BM22" s="288">
        <f t="shared" si="39"/>
        <v>1</v>
      </c>
      <c r="BN22" s="289" t="str">
        <f t="shared" si="40"/>
        <v>Memiliki keterampilan baik dalam memeragakan seni teater tradisional dan Membuat karya seni rupa dua dimensi menggunakan berbagai media</v>
      </c>
      <c r="BO22" s="67"/>
    </row>
    <row r="23" spans="1:67" ht="33" customHeight="1">
      <c r="A23" s="67"/>
      <c r="B23" s="272">
        <f t="shared" si="23"/>
        <v>10</v>
      </c>
      <c r="C23" s="273">
        <f>IF(Data!F14="","",Data!F14)</f>
        <v>0</v>
      </c>
      <c r="D23" s="274" t="str">
        <f>IF(Data!H14="","",Data!H14)</f>
        <v>Desti Manggoa</v>
      </c>
      <c r="E23" s="275" t="str">
        <f>IF(Data!I14="","",Data!I14)</f>
        <v>P</v>
      </c>
      <c r="F23" s="277">
        <v>88</v>
      </c>
      <c r="G23" s="277">
        <v>86</v>
      </c>
      <c r="H23" s="277">
        <v>88</v>
      </c>
      <c r="I23" s="277"/>
      <c r="J23" s="277"/>
      <c r="K23" s="277"/>
      <c r="L23" s="277"/>
      <c r="M23" s="280"/>
      <c r="N23" s="277"/>
      <c r="O23" s="278"/>
      <c r="P23" s="279">
        <f t="shared" si="24"/>
        <v>87</v>
      </c>
      <c r="Q23" s="277">
        <v>85</v>
      </c>
      <c r="R23" s="280">
        <v>80</v>
      </c>
      <c r="S23" s="281">
        <f t="shared" si="25"/>
        <v>85</v>
      </c>
      <c r="T23" s="295" t="str">
        <f t="shared" si="26"/>
        <v>B</v>
      </c>
      <c r="U23" s="1215">
        <f t="shared" si="7"/>
        <v>88.01</v>
      </c>
      <c r="V23" s="1216">
        <f t="shared" si="7"/>
        <v>86.02</v>
      </c>
      <c r="W23" s="1216">
        <f t="shared" si="7"/>
        <v>88.03</v>
      </c>
      <c r="X23" s="1216" t="str">
        <f t="shared" si="7"/>
        <v/>
      </c>
      <c r="Y23" s="1216" t="str">
        <f t="shared" si="7"/>
        <v/>
      </c>
      <c r="Z23" s="1216" t="str">
        <f t="shared" si="7"/>
        <v/>
      </c>
      <c r="AA23" s="1216" t="str">
        <f t="shared" si="7"/>
        <v/>
      </c>
      <c r="AB23" s="1217" t="str">
        <f t="shared" si="7"/>
        <v/>
      </c>
      <c r="AC23" s="1216" t="str">
        <f t="shared" si="7"/>
        <v/>
      </c>
      <c r="AD23" s="1218" t="str">
        <f t="shared" si="7"/>
        <v/>
      </c>
      <c r="AE23" s="1219">
        <f t="shared" si="27"/>
        <v>88.03</v>
      </c>
      <c r="AF23" s="282">
        <f t="shared" si="28"/>
        <v>86.02</v>
      </c>
      <c r="AG23" s="282" t="str">
        <f t="shared" si="29"/>
        <v>baik</v>
      </c>
      <c r="AH23" s="282" t="str">
        <f t="shared" si="10"/>
        <v>baik</v>
      </c>
      <c r="AI23" s="282">
        <f t="shared" si="30"/>
        <v>3</v>
      </c>
      <c r="AJ23" s="283">
        <f t="shared" si="31"/>
        <v>2</v>
      </c>
      <c r="AK23" s="284" t="str">
        <f t="shared" si="32"/>
        <v>Memiliki kemampuan baik dalam Memahami dan merancang naskah dan peran dalam teater dan Memahami jenis dan fungsi alat musik tradisional</v>
      </c>
      <c r="AL23" s="276">
        <v>90</v>
      </c>
      <c r="AM23" s="277">
        <v>90</v>
      </c>
      <c r="AN23" s="277">
        <v>90</v>
      </c>
      <c r="AO23" s="277"/>
      <c r="AP23" s="277"/>
      <c r="AQ23" s="277"/>
      <c r="AR23" s="277"/>
      <c r="AS23" s="280"/>
      <c r="AT23" s="277"/>
      <c r="AU23" s="278"/>
      <c r="AV23" s="285">
        <f t="shared" si="33"/>
        <v>90</v>
      </c>
      <c r="AW23" s="296" t="str">
        <f t="shared" si="34"/>
        <v>B</v>
      </c>
      <c r="AX23" s="1220">
        <f t="shared" si="16"/>
        <v>90.01</v>
      </c>
      <c r="AY23" s="1221">
        <f t="shared" si="16"/>
        <v>90.02</v>
      </c>
      <c r="AZ23" s="1221">
        <f t="shared" si="16"/>
        <v>90.03</v>
      </c>
      <c r="BA23" s="1221" t="str">
        <f t="shared" si="16"/>
        <v/>
      </c>
      <c r="BB23" s="1221" t="str">
        <f t="shared" si="16"/>
        <v/>
      </c>
      <c r="BC23" s="1221" t="str">
        <f t="shared" si="16"/>
        <v/>
      </c>
      <c r="BD23" s="1221" t="str">
        <f t="shared" si="16"/>
        <v/>
      </c>
      <c r="BE23" s="1222" t="str">
        <f t="shared" si="16"/>
        <v/>
      </c>
      <c r="BF23" s="1221" t="str">
        <f t="shared" si="16"/>
        <v/>
      </c>
      <c r="BG23" s="1223" t="str">
        <f t="shared" si="16"/>
        <v/>
      </c>
      <c r="BH23" s="286">
        <f t="shared" si="35"/>
        <v>90.03</v>
      </c>
      <c r="BI23" s="286">
        <f t="shared" si="36"/>
        <v>90.01</v>
      </c>
      <c r="BJ23" s="287" t="str">
        <f t="shared" si="37"/>
        <v>baik</v>
      </c>
      <c r="BK23" s="287" t="str">
        <f t="shared" si="37"/>
        <v>baik</v>
      </c>
      <c r="BL23" s="286">
        <f t="shared" si="38"/>
        <v>3</v>
      </c>
      <c r="BM23" s="288">
        <f t="shared" si="39"/>
        <v>1</v>
      </c>
      <c r="BN23" s="289" t="str">
        <f t="shared" si="40"/>
        <v>Memiliki keterampilan baik dalam memeragakan seni teater tradisional dan Membuat karya seni rupa dua dimensi menggunakan berbagai media</v>
      </c>
      <c r="BO23" s="67"/>
    </row>
    <row r="24" spans="1:67" ht="33" customHeight="1">
      <c r="A24" s="67"/>
      <c r="B24" s="272">
        <f t="shared" si="23"/>
        <v>11</v>
      </c>
      <c r="C24" s="273">
        <f>IF(Data!F15="","",Data!F15)</f>
        <v>0</v>
      </c>
      <c r="D24" s="274" t="str">
        <f>IF(Data!H15="","",Data!H15)</f>
        <v>Dorkas Meliana Talita Kesnay</v>
      </c>
      <c r="E24" s="275" t="str">
        <f>IF(Data!I15="","",Data!I15)</f>
        <v>P</v>
      </c>
      <c r="F24" s="277">
        <v>82</v>
      </c>
      <c r="G24" s="277">
        <v>86</v>
      </c>
      <c r="H24" s="277">
        <v>88</v>
      </c>
      <c r="I24" s="277"/>
      <c r="J24" s="277"/>
      <c r="K24" s="277"/>
      <c r="L24" s="277"/>
      <c r="M24" s="280"/>
      <c r="N24" s="277"/>
      <c r="O24" s="278"/>
      <c r="P24" s="279">
        <f t="shared" si="24"/>
        <v>85</v>
      </c>
      <c r="Q24" s="277">
        <v>80</v>
      </c>
      <c r="R24" s="280">
        <v>78</v>
      </c>
      <c r="S24" s="281">
        <f t="shared" si="25"/>
        <v>82</v>
      </c>
      <c r="T24" s="295" t="str">
        <f t="shared" si="26"/>
        <v>C</v>
      </c>
      <c r="U24" s="1215">
        <f t="shared" si="7"/>
        <v>82.01</v>
      </c>
      <c r="V24" s="1216">
        <f t="shared" si="7"/>
        <v>86.02</v>
      </c>
      <c r="W24" s="1216">
        <f t="shared" si="7"/>
        <v>88.03</v>
      </c>
      <c r="X24" s="1216" t="str">
        <f t="shared" si="7"/>
        <v/>
      </c>
      <c r="Y24" s="1216" t="str">
        <f t="shared" si="7"/>
        <v/>
      </c>
      <c r="Z24" s="1216" t="str">
        <f t="shared" si="7"/>
        <v/>
      </c>
      <c r="AA24" s="1216" t="str">
        <f t="shared" si="7"/>
        <v/>
      </c>
      <c r="AB24" s="1217" t="str">
        <f t="shared" si="7"/>
        <v/>
      </c>
      <c r="AC24" s="1216" t="str">
        <f t="shared" si="7"/>
        <v/>
      </c>
      <c r="AD24" s="1218" t="str">
        <f t="shared" si="7"/>
        <v/>
      </c>
      <c r="AE24" s="1219">
        <f t="shared" si="27"/>
        <v>88.03</v>
      </c>
      <c r="AF24" s="282">
        <f t="shared" si="28"/>
        <v>82.01</v>
      </c>
      <c r="AG24" s="282" t="str">
        <f t="shared" si="29"/>
        <v>baik</v>
      </c>
      <c r="AH24" s="282" t="str">
        <f t="shared" si="10"/>
        <v>cukup</v>
      </c>
      <c r="AI24" s="282">
        <f t="shared" si="30"/>
        <v>3</v>
      </c>
      <c r="AJ24" s="283">
        <f t="shared" si="31"/>
        <v>1</v>
      </c>
      <c r="AK24" s="284" t="str">
        <f t="shared" si="32"/>
        <v>Memiliki kemampuan baik dalam Memahami dan merancang naskah dan peran dalam teater, cukup kemampuan dalam memahami karya seni rupa dua dimensi dan tiga dimensi</v>
      </c>
      <c r="AL24" s="276">
        <v>90</v>
      </c>
      <c r="AM24" s="277">
        <v>90</v>
      </c>
      <c r="AN24" s="277">
        <v>90</v>
      </c>
      <c r="AO24" s="277"/>
      <c r="AP24" s="277"/>
      <c r="AQ24" s="277"/>
      <c r="AR24" s="277"/>
      <c r="AS24" s="280"/>
      <c r="AT24" s="277"/>
      <c r="AU24" s="278"/>
      <c r="AV24" s="285">
        <f t="shared" si="33"/>
        <v>90</v>
      </c>
      <c r="AW24" s="296" t="str">
        <f t="shared" si="34"/>
        <v>B</v>
      </c>
      <c r="AX24" s="1220">
        <f t="shared" si="16"/>
        <v>90.01</v>
      </c>
      <c r="AY24" s="1221">
        <f t="shared" si="16"/>
        <v>90.02</v>
      </c>
      <c r="AZ24" s="1221">
        <f t="shared" si="16"/>
        <v>90.03</v>
      </c>
      <c r="BA24" s="1221" t="str">
        <f t="shared" si="16"/>
        <v/>
      </c>
      <c r="BB24" s="1221" t="str">
        <f t="shared" si="16"/>
        <v/>
      </c>
      <c r="BC24" s="1221" t="str">
        <f t="shared" si="16"/>
        <v/>
      </c>
      <c r="BD24" s="1221" t="str">
        <f t="shared" si="16"/>
        <v/>
      </c>
      <c r="BE24" s="1222" t="str">
        <f t="shared" si="16"/>
        <v/>
      </c>
      <c r="BF24" s="1221" t="str">
        <f t="shared" si="16"/>
        <v/>
      </c>
      <c r="BG24" s="1223" t="str">
        <f t="shared" si="16"/>
        <v/>
      </c>
      <c r="BH24" s="286">
        <f t="shared" si="35"/>
        <v>90.03</v>
      </c>
      <c r="BI24" s="286">
        <f t="shared" si="36"/>
        <v>90.01</v>
      </c>
      <c r="BJ24" s="287" t="str">
        <f t="shared" si="37"/>
        <v>baik</v>
      </c>
      <c r="BK24" s="287" t="str">
        <f t="shared" si="37"/>
        <v>baik</v>
      </c>
      <c r="BL24" s="286">
        <f t="shared" si="38"/>
        <v>3</v>
      </c>
      <c r="BM24" s="288">
        <f t="shared" si="39"/>
        <v>1</v>
      </c>
      <c r="BN24" s="289" t="str">
        <f t="shared" si="40"/>
        <v>Memiliki keterampilan baik dalam memeragakan seni teater tradisional dan Membuat karya seni rupa dua dimensi menggunakan berbagai media</v>
      </c>
      <c r="BO24" s="67"/>
    </row>
    <row r="25" spans="1:67" ht="33" customHeight="1">
      <c r="A25" s="67"/>
      <c r="B25" s="272">
        <f t="shared" si="23"/>
        <v>12</v>
      </c>
      <c r="C25" s="273">
        <f>IF(Data!F16="","",Data!F16)</f>
        <v>0</v>
      </c>
      <c r="D25" s="274" t="str">
        <f>IF(Data!H16="","",Data!H16)</f>
        <v>Erto Seprianto Leukune</v>
      </c>
      <c r="E25" s="275" t="str">
        <f>IF(Data!I16="","",Data!I16)</f>
        <v>L</v>
      </c>
      <c r="F25" s="277">
        <v>82</v>
      </c>
      <c r="G25" s="277">
        <v>86</v>
      </c>
      <c r="H25" s="277">
        <v>84</v>
      </c>
      <c r="I25" s="277"/>
      <c r="J25" s="277"/>
      <c r="K25" s="277"/>
      <c r="L25" s="277"/>
      <c r="M25" s="280"/>
      <c r="N25" s="277"/>
      <c r="O25" s="278"/>
      <c r="P25" s="279">
        <f t="shared" si="24"/>
        <v>84</v>
      </c>
      <c r="Q25" s="277">
        <v>80</v>
      </c>
      <c r="R25" s="280">
        <v>80</v>
      </c>
      <c r="S25" s="281">
        <f t="shared" si="25"/>
        <v>82</v>
      </c>
      <c r="T25" s="295" t="str">
        <f t="shared" si="26"/>
        <v>C</v>
      </c>
      <c r="U25" s="1215">
        <f t="shared" si="7"/>
        <v>82.01</v>
      </c>
      <c r="V25" s="1216">
        <f t="shared" si="7"/>
        <v>86.02</v>
      </c>
      <c r="W25" s="1216">
        <f t="shared" si="7"/>
        <v>84.03</v>
      </c>
      <c r="X25" s="1216" t="str">
        <f t="shared" si="7"/>
        <v/>
      </c>
      <c r="Y25" s="1216" t="str">
        <f t="shared" si="7"/>
        <v/>
      </c>
      <c r="Z25" s="1216" t="str">
        <f t="shared" si="7"/>
        <v/>
      </c>
      <c r="AA25" s="1216" t="str">
        <f t="shared" si="7"/>
        <v/>
      </c>
      <c r="AB25" s="1217" t="str">
        <f t="shared" si="7"/>
        <v/>
      </c>
      <c r="AC25" s="1216" t="str">
        <f t="shared" si="7"/>
        <v/>
      </c>
      <c r="AD25" s="1218" t="str">
        <f t="shared" si="7"/>
        <v/>
      </c>
      <c r="AE25" s="1219">
        <f t="shared" si="27"/>
        <v>86.02</v>
      </c>
      <c r="AF25" s="282">
        <f t="shared" si="28"/>
        <v>82.01</v>
      </c>
      <c r="AG25" s="282" t="str">
        <f t="shared" si="29"/>
        <v>baik</v>
      </c>
      <c r="AH25" s="282" t="str">
        <f t="shared" si="10"/>
        <v>cukup</v>
      </c>
      <c r="AI25" s="282">
        <f t="shared" si="30"/>
        <v>2</v>
      </c>
      <c r="AJ25" s="283">
        <f t="shared" si="31"/>
        <v>1</v>
      </c>
      <c r="AK25" s="284" t="str">
        <f t="shared" si="32"/>
        <v>Memiliki kemampuan baik dalam Memahami jenis dan fungsi alat musik tradisional, cukup kemampuan dalam memahami karya seni rupa dua dimensi dan tiga dimensi</v>
      </c>
      <c r="AL25" s="276">
        <v>90</v>
      </c>
      <c r="AM25" s="277">
        <v>90</v>
      </c>
      <c r="AN25" s="277">
        <v>90</v>
      </c>
      <c r="AO25" s="277"/>
      <c r="AP25" s="277"/>
      <c r="AQ25" s="277"/>
      <c r="AR25" s="277"/>
      <c r="AS25" s="280"/>
      <c r="AT25" s="277"/>
      <c r="AU25" s="278"/>
      <c r="AV25" s="285">
        <f t="shared" si="33"/>
        <v>90</v>
      </c>
      <c r="AW25" s="296" t="str">
        <f t="shared" si="34"/>
        <v>B</v>
      </c>
      <c r="AX25" s="1220">
        <f t="shared" si="16"/>
        <v>90.01</v>
      </c>
      <c r="AY25" s="1221">
        <f t="shared" si="16"/>
        <v>90.02</v>
      </c>
      <c r="AZ25" s="1221">
        <f t="shared" si="16"/>
        <v>90.03</v>
      </c>
      <c r="BA25" s="1221" t="str">
        <f t="shared" si="16"/>
        <v/>
      </c>
      <c r="BB25" s="1221" t="str">
        <f t="shared" si="16"/>
        <v/>
      </c>
      <c r="BC25" s="1221" t="str">
        <f t="shared" si="16"/>
        <v/>
      </c>
      <c r="BD25" s="1221" t="str">
        <f t="shared" si="16"/>
        <v/>
      </c>
      <c r="BE25" s="1222" t="str">
        <f t="shared" si="16"/>
        <v/>
      </c>
      <c r="BF25" s="1221" t="str">
        <f t="shared" si="16"/>
        <v/>
      </c>
      <c r="BG25" s="1223" t="str">
        <f t="shared" si="16"/>
        <v/>
      </c>
      <c r="BH25" s="286">
        <f t="shared" si="35"/>
        <v>90.03</v>
      </c>
      <c r="BI25" s="286">
        <f t="shared" si="36"/>
        <v>90.01</v>
      </c>
      <c r="BJ25" s="287" t="str">
        <f t="shared" si="37"/>
        <v>baik</v>
      </c>
      <c r="BK25" s="287" t="str">
        <f t="shared" si="37"/>
        <v>baik</v>
      </c>
      <c r="BL25" s="286">
        <f t="shared" si="38"/>
        <v>3</v>
      </c>
      <c r="BM25" s="288">
        <f t="shared" si="39"/>
        <v>1</v>
      </c>
      <c r="BN25" s="289" t="str">
        <f t="shared" si="40"/>
        <v>Memiliki keterampilan baik dalam memeragakan seni teater tradisional dan Membuat karya seni rupa dua dimensi menggunakan berbagai media</v>
      </c>
      <c r="BO25" s="67"/>
    </row>
    <row r="26" spans="1:67" ht="33" customHeight="1">
      <c r="A26" s="67"/>
      <c r="B26" s="272">
        <f t="shared" si="23"/>
        <v>13</v>
      </c>
      <c r="C26" s="273">
        <f>IF(Data!F17="","",Data!F17)</f>
        <v>0</v>
      </c>
      <c r="D26" s="274" t="str">
        <f>IF(Data!H17="","",Data!H17)</f>
        <v>Feli Tipnoni</v>
      </c>
      <c r="E26" s="275" t="str">
        <f>IF(Data!I17="","",Data!I17)</f>
        <v>P</v>
      </c>
      <c r="F26" s="277">
        <v>88</v>
      </c>
      <c r="G26" s="277">
        <v>90</v>
      </c>
      <c r="H26" s="277">
        <v>88</v>
      </c>
      <c r="I26" s="277"/>
      <c r="J26" s="277"/>
      <c r="K26" s="277"/>
      <c r="L26" s="277"/>
      <c r="M26" s="280"/>
      <c r="N26" s="277"/>
      <c r="O26" s="278"/>
      <c r="P26" s="279">
        <f t="shared" si="24"/>
        <v>89</v>
      </c>
      <c r="Q26" s="277">
        <v>85</v>
      </c>
      <c r="R26" s="280">
        <v>80</v>
      </c>
      <c r="S26" s="281">
        <f t="shared" si="25"/>
        <v>86</v>
      </c>
      <c r="T26" s="295" t="str">
        <f t="shared" si="26"/>
        <v>B</v>
      </c>
      <c r="U26" s="1215">
        <f t="shared" si="7"/>
        <v>88.01</v>
      </c>
      <c r="V26" s="1216">
        <f t="shared" si="7"/>
        <v>90.02</v>
      </c>
      <c r="W26" s="1216">
        <f t="shared" si="7"/>
        <v>88.03</v>
      </c>
      <c r="X26" s="1216" t="str">
        <f t="shared" si="7"/>
        <v/>
      </c>
      <c r="Y26" s="1216" t="str">
        <f t="shared" si="7"/>
        <v/>
      </c>
      <c r="Z26" s="1216" t="str">
        <f t="shared" si="7"/>
        <v/>
      </c>
      <c r="AA26" s="1216" t="str">
        <f t="shared" si="7"/>
        <v/>
      </c>
      <c r="AB26" s="1217" t="str">
        <f t="shared" si="7"/>
        <v/>
      </c>
      <c r="AC26" s="1216" t="str">
        <f t="shared" si="7"/>
        <v/>
      </c>
      <c r="AD26" s="1218" t="str">
        <f t="shared" si="7"/>
        <v/>
      </c>
      <c r="AE26" s="1219">
        <f t="shared" si="27"/>
        <v>90.02</v>
      </c>
      <c r="AF26" s="282">
        <f t="shared" si="28"/>
        <v>88.01</v>
      </c>
      <c r="AG26" s="282" t="str">
        <f t="shared" si="29"/>
        <v>baik</v>
      </c>
      <c r="AH26" s="282" t="str">
        <f t="shared" si="10"/>
        <v>baik</v>
      </c>
      <c r="AI26" s="282">
        <f t="shared" si="30"/>
        <v>2</v>
      </c>
      <c r="AJ26" s="283">
        <f t="shared" si="31"/>
        <v>1</v>
      </c>
      <c r="AK26" s="284" t="str">
        <f t="shared" si="32"/>
        <v>Memiliki kemampuan baik dalam Memahami jenis dan fungsi alat musik tradisional dan memahami karya seni rupa dua dimensi dan tiga dimensi</v>
      </c>
      <c r="AL26" s="276">
        <v>90</v>
      </c>
      <c r="AM26" s="277">
        <v>90</v>
      </c>
      <c r="AN26" s="277">
        <v>90</v>
      </c>
      <c r="AO26" s="277"/>
      <c r="AP26" s="277"/>
      <c r="AQ26" s="277"/>
      <c r="AR26" s="277"/>
      <c r="AS26" s="280"/>
      <c r="AT26" s="277"/>
      <c r="AU26" s="278"/>
      <c r="AV26" s="285">
        <f t="shared" si="33"/>
        <v>90</v>
      </c>
      <c r="AW26" s="296" t="str">
        <f t="shared" si="34"/>
        <v>B</v>
      </c>
      <c r="AX26" s="1220">
        <f t="shared" si="16"/>
        <v>90.01</v>
      </c>
      <c r="AY26" s="1221">
        <f t="shared" si="16"/>
        <v>90.02</v>
      </c>
      <c r="AZ26" s="1221">
        <f t="shared" si="16"/>
        <v>90.03</v>
      </c>
      <c r="BA26" s="1221" t="str">
        <f t="shared" si="16"/>
        <v/>
      </c>
      <c r="BB26" s="1221" t="str">
        <f t="shared" si="16"/>
        <v/>
      </c>
      <c r="BC26" s="1221" t="str">
        <f t="shared" si="16"/>
        <v/>
      </c>
      <c r="BD26" s="1221" t="str">
        <f t="shared" si="16"/>
        <v/>
      </c>
      <c r="BE26" s="1222" t="str">
        <f t="shared" si="16"/>
        <v/>
      </c>
      <c r="BF26" s="1221" t="str">
        <f t="shared" si="16"/>
        <v/>
      </c>
      <c r="BG26" s="1223" t="str">
        <f t="shared" si="16"/>
        <v/>
      </c>
      <c r="BH26" s="286">
        <f t="shared" si="35"/>
        <v>90.03</v>
      </c>
      <c r="BI26" s="286">
        <f t="shared" si="36"/>
        <v>90.01</v>
      </c>
      <c r="BJ26" s="287" t="str">
        <f t="shared" si="37"/>
        <v>baik</v>
      </c>
      <c r="BK26" s="287" t="str">
        <f t="shared" si="37"/>
        <v>baik</v>
      </c>
      <c r="BL26" s="286">
        <f t="shared" si="38"/>
        <v>3</v>
      </c>
      <c r="BM26" s="288">
        <f t="shared" si="39"/>
        <v>1</v>
      </c>
      <c r="BN26" s="289" t="str">
        <f t="shared" si="40"/>
        <v>Memiliki keterampilan baik dalam memeragakan seni teater tradisional dan Membuat karya seni rupa dua dimensi menggunakan berbagai media</v>
      </c>
      <c r="BO26" s="67"/>
    </row>
    <row r="27" spans="1:67" ht="33" customHeight="1">
      <c r="A27" s="67"/>
      <c r="B27" s="272">
        <f t="shared" si="23"/>
        <v>14</v>
      </c>
      <c r="C27" s="273">
        <f>IF(Data!F18="","",Data!F18)</f>
        <v>0</v>
      </c>
      <c r="D27" s="274" t="str">
        <f>IF(Data!H18="","",Data!H18)</f>
        <v xml:space="preserve">Ferdinandes Sakbana </v>
      </c>
      <c r="E27" s="275" t="str">
        <f>IF(Data!I18="","",Data!I18)</f>
        <v>L</v>
      </c>
      <c r="F27" s="277">
        <v>82</v>
      </c>
      <c r="G27" s="277">
        <v>86</v>
      </c>
      <c r="H27" s="277">
        <v>88</v>
      </c>
      <c r="I27" s="277"/>
      <c r="J27" s="277"/>
      <c r="K27" s="277"/>
      <c r="L27" s="277"/>
      <c r="M27" s="280"/>
      <c r="N27" s="277"/>
      <c r="O27" s="278"/>
      <c r="P27" s="279">
        <f t="shared" si="24"/>
        <v>85</v>
      </c>
      <c r="Q27" s="277">
        <v>80</v>
      </c>
      <c r="R27" s="280">
        <v>77</v>
      </c>
      <c r="S27" s="281">
        <f t="shared" si="25"/>
        <v>82</v>
      </c>
      <c r="T27" s="295" t="str">
        <f t="shared" si="26"/>
        <v>C</v>
      </c>
      <c r="U27" s="1215">
        <f t="shared" si="7"/>
        <v>82.01</v>
      </c>
      <c r="V27" s="1216">
        <f t="shared" si="7"/>
        <v>86.02</v>
      </c>
      <c r="W27" s="1216">
        <f t="shared" si="7"/>
        <v>88.03</v>
      </c>
      <c r="X27" s="1216" t="str">
        <f t="shared" si="7"/>
        <v/>
      </c>
      <c r="Y27" s="1216" t="str">
        <f t="shared" si="7"/>
        <v/>
      </c>
      <c r="Z27" s="1216" t="str">
        <f t="shared" si="7"/>
        <v/>
      </c>
      <c r="AA27" s="1216" t="str">
        <f t="shared" si="7"/>
        <v/>
      </c>
      <c r="AB27" s="1217" t="str">
        <f t="shared" si="7"/>
        <v/>
      </c>
      <c r="AC27" s="1216" t="str">
        <f t="shared" si="7"/>
        <v/>
      </c>
      <c r="AD27" s="1218" t="str">
        <f t="shared" si="7"/>
        <v/>
      </c>
      <c r="AE27" s="1219">
        <f t="shared" si="27"/>
        <v>88.03</v>
      </c>
      <c r="AF27" s="282">
        <f t="shared" si="28"/>
        <v>82.01</v>
      </c>
      <c r="AG27" s="282" t="str">
        <f t="shared" si="29"/>
        <v>baik</v>
      </c>
      <c r="AH27" s="282" t="str">
        <f t="shared" si="10"/>
        <v>cukup</v>
      </c>
      <c r="AI27" s="282">
        <f t="shared" si="30"/>
        <v>3</v>
      </c>
      <c r="AJ27" s="283">
        <f t="shared" si="31"/>
        <v>1</v>
      </c>
      <c r="AK27" s="284" t="str">
        <f t="shared" si="32"/>
        <v>Memiliki kemampuan baik dalam Memahami dan merancang naskah dan peran dalam teater, cukup kemampuan dalam memahami karya seni rupa dua dimensi dan tiga dimensi</v>
      </c>
      <c r="AL27" s="276">
        <v>90</v>
      </c>
      <c r="AM27" s="277">
        <v>90</v>
      </c>
      <c r="AN27" s="277">
        <v>90</v>
      </c>
      <c r="AO27" s="277"/>
      <c r="AP27" s="277"/>
      <c r="AQ27" s="277"/>
      <c r="AR27" s="277"/>
      <c r="AS27" s="280"/>
      <c r="AT27" s="277"/>
      <c r="AU27" s="278"/>
      <c r="AV27" s="285">
        <f t="shared" si="33"/>
        <v>90</v>
      </c>
      <c r="AW27" s="296" t="str">
        <f t="shared" si="34"/>
        <v>B</v>
      </c>
      <c r="AX27" s="1220">
        <f t="shared" si="16"/>
        <v>90.01</v>
      </c>
      <c r="AY27" s="1221">
        <f t="shared" si="16"/>
        <v>90.02</v>
      </c>
      <c r="AZ27" s="1221">
        <f t="shared" si="16"/>
        <v>90.03</v>
      </c>
      <c r="BA27" s="1221" t="str">
        <f t="shared" si="16"/>
        <v/>
      </c>
      <c r="BB27" s="1221" t="str">
        <f t="shared" si="16"/>
        <v/>
      </c>
      <c r="BC27" s="1221" t="str">
        <f t="shared" si="16"/>
        <v/>
      </c>
      <c r="BD27" s="1221" t="str">
        <f t="shared" si="16"/>
        <v/>
      </c>
      <c r="BE27" s="1222" t="str">
        <f t="shared" si="16"/>
        <v/>
      </c>
      <c r="BF27" s="1221" t="str">
        <f t="shared" si="16"/>
        <v/>
      </c>
      <c r="BG27" s="1223" t="str">
        <f t="shared" si="16"/>
        <v/>
      </c>
      <c r="BH27" s="286">
        <f t="shared" si="35"/>
        <v>90.03</v>
      </c>
      <c r="BI27" s="286">
        <f t="shared" si="36"/>
        <v>90.01</v>
      </c>
      <c r="BJ27" s="287" t="str">
        <f t="shared" si="37"/>
        <v>baik</v>
      </c>
      <c r="BK27" s="287" t="str">
        <f t="shared" si="37"/>
        <v>baik</v>
      </c>
      <c r="BL27" s="286">
        <f t="shared" si="38"/>
        <v>3</v>
      </c>
      <c r="BM27" s="288">
        <f t="shared" si="39"/>
        <v>1</v>
      </c>
      <c r="BN27" s="289" t="str">
        <f t="shared" si="40"/>
        <v>Memiliki keterampilan baik dalam memeragakan seni teater tradisional dan Membuat karya seni rupa dua dimensi menggunakan berbagai media</v>
      </c>
      <c r="BO27" s="67"/>
    </row>
    <row r="28" spans="1:67" ht="33" customHeight="1">
      <c r="A28" s="67"/>
      <c r="B28" s="272">
        <f t="shared" si="23"/>
        <v>15</v>
      </c>
      <c r="C28" s="273">
        <f>IF(Data!F19="","",Data!F19)</f>
        <v>0</v>
      </c>
      <c r="D28" s="274" t="str">
        <f>IF(Data!H19="","",Data!H19)</f>
        <v>Fitri Novani Nitbani</v>
      </c>
      <c r="E28" s="275" t="str">
        <f>IF(Data!I19="","",Data!I19)</f>
        <v>P</v>
      </c>
      <c r="F28" s="277">
        <v>88</v>
      </c>
      <c r="G28" s="277">
        <v>86</v>
      </c>
      <c r="H28" s="277">
        <v>86</v>
      </c>
      <c r="I28" s="277"/>
      <c r="J28" s="277"/>
      <c r="K28" s="277"/>
      <c r="L28" s="277"/>
      <c r="M28" s="280"/>
      <c r="N28" s="277"/>
      <c r="O28" s="278"/>
      <c r="P28" s="279">
        <f t="shared" si="24"/>
        <v>87</v>
      </c>
      <c r="Q28" s="277">
        <v>85</v>
      </c>
      <c r="R28" s="280">
        <v>72</v>
      </c>
      <c r="S28" s="281">
        <f t="shared" si="25"/>
        <v>83</v>
      </c>
      <c r="T28" s="295" t="str">
        <f t="shared" si="26"/>
        <v>C</v>
      </c>
      <c r="U28" s="1215">
        <f t="shared" si="7"/>
        <v>88.01</v>
      </c>
      <c r="V28" s="1216">
        <f t="shared" si="7"/>
        <v>86.02</v>
      </c>
      <c r="W28" s="1216">
        <f t="shared" si="7"/>
        <v>86.03</v>
      </c>
      <c r="X28" s="1216" t="str">
        <f t="shared" si="7"/>
        <v/>
      </c>
      <c r="Y28" s="1216" t="str">
        <f t="shared" si="7"/>
        <v/>
      </c>
      <c r="Z28" s="1216" t="str">
        <f t="shared" si="7"/>
        <v/>
      </c>
      <c r="AA28" s="1216" t="str">
        <f t="shared" si="7"/>
        <v/>
      </c>
      <c r="AB28" s="1217" t="str">
        <f t="shared" si="7"/>
        <v/>
      </c>
      <c r="AC28" s="1216" t="str">
        <f t="shared" si="7"/>
        <v/>
      </c>
      <c r="AD28" s="1218" t="str">
        <f t="shared" si="7"/>
        <v/>
      </c>
      <c r="AE28" s="1219">
        <f t="shared" si="27"/>
        <v>88.01</v>
      </c>
      <c r="AF28" s="282">
        <f t="shared" si="28"/>
        <v>86.02</v>
      </c>
      <c r="AG28" s="282" t="str">
        <f t="shared" si="29"/>
        <v>baik</v>
      </c>
      <c r="AH28" s="282" t="str">
        <f t="shared" si="10"/>
        <v>baik</v>
      </c>
      <c r="AI28" s="282">
        <f t="shared" si="30"/>
        <v>1</v>
      </c>
      <c r="AJ28" s="283">
        <f t="shared" si="31"/>
        <v>2</v>
      </c>
      <c r="AK28" s="284" t="str">
        <f t="shared" si="32"/>
        <v>Memiliki kemampuan baik dalam memahami karya seni rupa dua dimensi dan tiga dimensi dan Memahami jenis dan fungsi alat musik tradisional</v>
      </c>
      <c r="AL28" s="276">
        <v>90</v>
      </c>
      <c r="AM28" s="277">
        <v>90</v>
      </c>
      <c r="AN28" s="277">
        <v>90</v>
      </c>
      <c r="AO28" s="277"/>
      <c r="AP28" s="277"/>
      <c r="AQ28" s="277"/>
      <c r="AR28" s="277"/>
      <c r="AS28" s="280"/>
      <c r="AT28" s="277"/>
      <c r="AU28" s="278"/>
      <c r="AV28" s="285">
        <f t="shared" si="33"/>
        <v>90</v>
      </c>
      <c r="AW28" s="296" t="str">
        <f t="shared" si="34"/>
        <v>B</v>
      </c>
      <c r="AX28" s="1220">
        <f t="shared" si="16"/>
        <v>90.01</v>
      </c>
      <c r="AY28" s="1221">
        <f t="shared" si="16"/>
        <v>90.02</v>
      </c>
      <c r="AZ28" s="1221">
        <f t="shared" si="16"/>
        <v>90.03</v>
      </c>
      <c r="BA28" s="1221" t="str">
        <f t="shared" si="16"/>
        <v/>
      </c>
      <c r="BB28" s="1221" t="str">
        <f t="shared" si="16"/>
        <v/>
      </c>
      <c r="BC28" s="1221" t="str">
        <f t="shared" si="16"/>
        <v/>
      </c>
      <c r="BD28" s="1221" t="str">
        <f t="shared" si="16"/>
        <v/>
      </c>
      <c r="BE28" s="1222" t="str">
        <f t="shared" si="16"/>
        <v/>
      </c>
      <c r="BF28" s="1221" t="str">
        <f t="shared" si="16"/>
        <v/>
      </c>
      <c r="BG28" s="1223" t="str">
        <f t="shared" si="16"/>
        <v/>
      </c>
      <c r="BH28" s="286">
        <f t="shared" si="35"/>
        <v>90.03</v>
      </c>
      <c r="BI28" s="286">
        <f t="shared" si="36"/>
        <v>90.01</v>
      </c>
      <c r="BJ28" s="287" t="str">
        <f t="shared" si="37"/>
        <v>baik</v>
      </c>
      <c r="BK28" s="287" t="str">
        <f t="shared" si="37"/>
        <v>baik</v>
      </c>
      <c r="BL28" s="286">
        <f t="shared" si="38"/>
        <v>3</v>
      </c>
      <c r="BM28" s="288">
        <f t="shared" si="39"/>
        <v>1</v>
      </c>
      <c r="BN28" s="289" t="str">
        <f t="shared" si="40"/>
        <v>Memiliki keterampilan baik dalam memeragakan seni teater tradisional dan Membuat karya seni rupa dua dimensi menggunakan berbagai media</v>
      </c>
      <c r="BO28" s="67"/>
    </row>
    <row r="29" spans="1:67" ht="33" customHeight="1">
      <c r="A29" s="67"/>
      <c r="B29" s="272">
        <f t="shared" si="23"/>
        <v>16</v>
      </c>
      <c r="C29" s="273">
        <f>IF(Data!F20="","",Data!F20)</f>
        <v>0</v>
      </c>
      <c r="D29" s="274" t="str">
        <f>IF(Data!H20="","",Data!H20)</f>
        <v>Helsina Benu</v>
      </c>
      <c r="E29" s="275" t="str">
        <f>IF(Data!I20="","",Data!I20)</f>
        <v>P</v>
      </c>
      <c r="F29" s="277">
        <v>88</v>
      </c>
      <c r="G29" s="277">
        <v>86</v>
      </c>
      <c r="H29" s="277">
        <v>86</v>
      </c>
      <c r="I29" s="277"/>
      <c r="J29" s="277"/>
      <c r="K29" s="277"/>
      <c r="L29" s="277"/>
      <c r="M29" s="280"/>
      <c r="N29" s="277"/>
      <c r="O29" s="278"/>
      <c r="P29" s="279">
        <f t="shared" si="24"/>
        <v>87</v>
      </c>
      <c r="Q29" s="277">
        <v>85</v>
      </c>
      <c r="R29" s="280">
        <v>78</v>
      </c>
      <c r="S29" s="281">
        <f t="shared" si="25"/>
        <v>84</v>
      </c>
      <c r="T29" s="295" t="str">
        <f t="shared" si="26"/>
        <v>C</v>
      </c>
      <c r="U29" s="1215">
        <f t="shared" si="7"/>
        <v>88.01</v>
      </c>
      <c r="V29" s="1216">
        <f t="shared" si="7"/>
        <v>86.02</v>
      </c>
      <c r="W29" s="1216">
        <f t="shared" si="7"/>
        <v>86.03</v>
      </c>
      <c r="X29" s="1216" t="str">
        <f t="shared" si="7"/>
        <v/>
      </c>
      <c r="Y29" s="1216" t="str">
        <f t="shared" si="7"/>
        <v/>
      </c>
      <c r="Z29" s="1216" t="str">
        <f t="shared" si="7"/>
        <v/>
      </c>
      <c r="AA29" s="1216" t="str">
        <f t="shared" si="7"/>
        <v/>
      </c>
      <c r="AB29" s="1217" t="str">
        <f t="shared" si="7"/>
        <v/>
      </c>
      <c r="AC29" s="1216" t="str">
        <f t="shared" si="7"/>
        <v/>
      </c>
      <c r="AD29" s="1218" t="str">
        <f t="shared" si="7"/>
        <v/>
      </c>
      <c r="AE29" s="1219">
        <f t="shared" si="27"/>
        <v>88.01</v>
      </c>
      <c r="AF29" s="282">
        <f t="shared" si="28"/>
        <v>86.02</v>
      </c>
      <c r="AG29" s="282" t="str">
        <f t="shared" si="29"/>
        <v>baik</v>
      </c>
      <c r="AH29" s="282" t="str">
        <f t="shared" si="10"/>
        <v>baik</v>
      </c>
      <c r="AI29" s="282">
        <f t="shared" si="30"/>
        <v>1</v>
      </c>
      <c r="AJ29" s="283">
        <f t="shared" si="31"/>
        <v>2</v>
      </c>
      <c r="AK29" s="284" t="str">
        <f t="shared" si="32"/>
        <v>Memiliki kemampuan baik dalam memahami karya seni rupa dua dimensi dan tiga dimensi dan Memahami jenis dan fungsi alat musik tradisional</v>
      </c>
      <c r="AL29" s="276">
        <v>90</v>
      </c>
      <c r="AM29" s="277">
        <v>90</v>
      </c>
      <c r="AN29" s="277">
        <v>90</v>
      </c>
      <c r="AO29" s="277"/>
      <c r="AP29" s="277"/>
      <c r="AQ29" s="277"/>
      <c r="AR29" s="277"/>
      <c r="AS29" s="280"/>
      <c r="AT29" s="277"/>
      <c r="AU29" s="278"/>
      <c r="AV29" s="285">
        <f t="shared" si="33"/>
        <v>90</v>
      </c>
      <c r="AW29" s="296" t="str">
        <f t="shared" si="34"/>
        <v>B</v>
      </c>
      <c r="AX29" s="1220">
        <f t="shared" si="16"/>
        <v>90.01</v>
      </c>
      <c r="AY29" s="1221">
        <f t="shared" si="16"/>
        <v>90.02</v>
      </c>
      <c r="AZ29" s="1221">
        <f t="shared" si="16"/>
        <v>90.03</v>
      </c>
      <c r="BA29" s="1221" t="str">
        <f t="shared" si="16"/>
        <v/>
      </c>
      <c r="BB29" s="1221" t="str">
        <f t="shared" si="16"/>
        <v/>
      </c>
      <c r="BC29" s="1221" t="str">
        <f t="shared" si="16"/>
        <v/>
      </c>
      <c r="BD29" s="1221" t="str">
        <f t="shared" si="16"/>
        <v/>
      </c>
      <c r="BE29" s="1222" t="str">
        <f t="shared" si="16"/>
        <v/>
      </c>
      <c r="BF29" s="1221" t="str">
        <f t="shared" si="16"/>
        <v/>
      </c>
      <c r="BG29" s="1223" t="str">
        <f t="shared" si="16"/>
        <v/>
      </c>
      <c r="BH29" s="286">
        <f t="shared" si="35"/>
        <v>90.03</v>
      </c>
      <c r="BI29" s="286">
        <f t="shared" si="36"/>
        <v>90.01</v>
      </c>
      <c r="BJ29" s="287" t="str">
        <f t="shared" si="37"/>
        <v>baik</v>
      </c>
      <c r="BK29" s="287" t="str">
        <f t="shared" si="37"/>
        <v>baik</v>
      </c>
      <c r="BL29" s="286">
        <f t="shared" si="38"/>
        <v>3</v>
      </c>
      <c r="BM29" s="288">
        <f t="shared" si="39"/>
        <v>1</v>
      </c>
      <c r="BN29" s="289" t="str">
        <f t="shared" si="40"/>
        <v>Memiliki keterampilan baik dalam memeragakan seni teater tradisional dan Membuat karya seni rupa dua dimensi menggunakan berbagai media</v>
      </c>
      <c r="BO29" s="67"/>
    </row>
    <row r="30" spans="1:67" ht="33" customHeight="1">
      <c r="A30" s="67"/>
      <c r="B30" s="272">
        <f t="shared" si="23"/>
        <v>17</v>
      </c>
      <c r="C30" s="273">
        <f>IF(Data!F21="","",Data!F21)</f>
        <v>0</v>
      </c>
      <c r="D30" s="274" t="str">
        <f>IF(Data!H21="","",Data!H21)</f>
        <v xml:space="preserve">Hezron Nubatonis </v>
      </c>
      <c r="E30" s="275" t="str">
        <f>IF(Data!I21="","",Data!I21)</f>
        <v>L</v>
      </c>
      <c r="F30" s="277">
        <v>80</v>
      </c>
      <c r="G30" s="277">
        <v>80</v>
      </c>
      <c r="H30" s="277">
        <v>80</v>
      </c>
      <c r="I30" s="277"/>
      <c r="J30" s="277"/>
      <c r="K30" s="277"/>
      <c r="L30" s="277"/>
      <c r="M30" s="280"/>
      <c r="N30" s="277"/>
      <c r="O30" s="278"/>
      <c r="P30" s="279">
        <f t="shared" si="24"/>
        <v>80</v>
      </c>
      <c r="Q30" s="277">
        <v>78</v>
      </c>
      <c r="R30" s="280">
        <v>80</v>
      </c>
      <c r="S30" s="281">
        <f t="shared" si="25"/>
        <v>80</v>
      </c>
      <c r="T30" s="295" t="str">
        <f t="shared" si="26"/>
        <v>C</v>
      </c>
      <c r="U30" s="1215">
        <f t="shared" ref="U30:AD55" si="41">IF(F30="","",F30+U$13)</f>
        <v>80.010000000000005</v>
      </c>
      <c r="V30" s="1216">
        <f t="shared" si="41"/>
        <v>80.02</v>
      </c>
      <c r="W30" s="1216">
        <f t="shared" si="41"/>
        <v>80.03</v>
      </c>
      <c r="X30" s="1216" t="str">
        <f t="shared" si="41"/>
        <v/>
      </c>
      <c r="Y30" s="1216" t="str">
        <f t="shared" si="41"/>
        <v/>
      </c>
      <c r="Z30" s="1216" t="str">
        <f t="shared" si="41"/>
        <v/>
      </c>
      <c r="AA30" s="1216" t="str">
        <f t="shared" si="41"/>
        <v/>
      </c>
      <c r="AB30" s="1217" t="str">
        <f t="shared" si="41"/>
        <v/>
      </c>
      <c r="AC30" s="1216" t="str">
        <f t="shared" si="41"/>
        <v/>
      </c>
      <c r="AD30" s="1218" t="str">
        <f t="shared" si="41"/>
        <v/>
      </c>
      <c r="AE30" s="1219">
        <f t="shared" si="27"/>
        <v>80.03</v>
      </c>
      <c r="AF30" s="282">
        <f t="shared" si="28"/>
        <v>80.010000000000005</v>
      </c>
      <c r="AG30" s="282" t="str">
        <f t="shared" si="29"/>
        <v>cukup</v>
      </c>
      <c r="AH30" s="282" t="str">
        <f t="shared" si="29"/>
        <v>cukup</v>
      </c>
      <c r="AI30" s="282">
        <f t="shared" si="30"/>
        <v>3</v>
      </c>
      <c r="AJ30" s="283">
        <f t="shared" si="31"/>
        <v>1</v>
      </c>
      <c r="AK30" s="284" t="str">
        <f t="shared" si="32"/>
        <v>Memiliki kemampuan cukup dalam Memahami dan merancang naskah dan peran dalam teater dan memahami karya seni rupa dua dimensi dan tiga dimensi</v>
      </c>
      <c r="AL30" s="276">
        <v>90</v>
      </c>
      <c r="AM30" s="277">
        <v>90</v>
      </c>
      <c r="AN30" s="277">
        <v>90</v>
      </c>
      <c r="AO30" s="277"/>
      <c r="AP30" s="277"/>
      <c r="AQ30" s="277"/>
      <c r="AR30" s="277"/>
      <c r="AS30" s="280"/>
      <c r="AT30" s="277"/>
      <c r="AU30" s="278"/>
      <c r="AV30" s="285">
        <f t="shared" si="33"/>
        <v>90</v>
      </c>
      <c r="AW30" s="296" t="str">
        <f t="shared" si="34"/>
        <v>B</v>
      </c>
      <c r="AX30" s="1220">
        <f t="shared" ref="AX30:BG55" si="42">IF(AL30="","",AL30+AX$12)</f>
        <v>90.01</v>
      </c>
      <c r="AY30" s="1221">
        <f t="shared" si="42"/>
        <v>90.02</v>
      </c>
      <c r="AZ30" s="1221">
        <f t="shared" si="42"/>
        <v>90.03</v>
      </c>
      <c r="BA30" s="1221" t="str">
        <f t="shared" si="42"/>
        <v/>
      </c>
      <c r="BB30" s="1221" t="str">
        <f t="shared" si="42"/>
        <v/>
      </c>
      <c r="BC30" s="1221" t="str">
        <f t="shared" si="42"/>
        <v/>
      </c>
      <c r="BD30" s="1221" t="str">
        <f t="shared" si="42"/>
        <v/>
      </c>
      <c r="BE30" s="1222" t="str">
        <f t="shared" si="42"/>
        <v/>
      </c>
      <c r="BF30" s="1221" t="str">
        <f t="shared" si="42"/>
        <v/>
      </c>
      <c r="BG30" s="1223" t="str">
        <f t="shared" si="42"/>
        <v/>
      </c>
      <c r="BH30" s="286">
        <f t="shared" si="35"/>
        <v>90.03</v>
      </c>
      <c r="BI30" s="286">
        <f t="shared" si="36"/>
        <v>90.01</v>
      </c>
      <c r="BJ30" s="287" t="str">
        <f t="shared" si="37"/>
        <v>baik</v>
      </c>
      <c r="BK30" s="287" t="str">
        <f t="shared" si="37"/>
        <v>baik</v>
      </c>
      <c r="BL30" s="286">
        <f t="shared" si="38"/>
        <v>3</v>
      </c>
      <c r="BM30" s="288">
        <f t="shared" si="39"/>
        <v>1</v>
      </c>
      <c r="BN30" s="289" t="str">
        <f t="shared" si="40"/>
        <v>Memiliki keterampilan baik dalam memeragakan seni teater tradisional dan Membuat karya seni rupa dua dimensi menggunakan berbagai media</v>
      </c>
      <c r="BO30" s="67"/>
    </row>
    <row r="31" spans="1:67" ht="33" customHeight="1">
      <c r="A31" s="67"/>
      <c r="B31" s="272">
        <f t="shared" si="23"/>
        <v>18</v>
      </c>
      <c r="C31" s="273">
        <f>IF(Data!F22="","",Data!F22)</f>
        <v>0</v>
      </c>
      <c r="D31" s="274" t="str">
        <f>IF(Data!H22="","",Data!H22)</f>
        <v>Jelita Anita Boimau</v>
      </c>
      <c r="E31" s="275" t="str">
        <f>IF(Data!I22="","",Data!I22)</f>
        <v>P</v>
      </c>
      <c r="F31" s="277">
        <v>88</v>
      </c>
      <c r="G31" s="277">
        <v>86</v>
      </c>
      <c r="H31" s="277">
        <v>86</v>
      </c>
      <c r="I31" s="277"/>
      <c r="J31" s="277"/>
      <c r="K31" s="277"/>
      <c r="L31" s="277"/>
      <c r="M31" s="280"/>
      <c r="N31" s="277"/>
      <c r="O31" s="278"/>
      <c r="P31" s="279">
        <f t="shared" si="24"/>
        <v>87</v>
      </c>
      <c r="Q31" s="277">
        <v>80</v>
      </c>
      <c r="R31" s="280">
        <v>76</v>
      </c>
      <c r="S31" s="281">
        <f t="shared" si="25"/>
        <v>83</v>
      </c>
      <c r="T31" s="295" t="str">
        <f t="shared" si="26"/>
        <v>C</v>
      </c>
      <c r="U31" s="1215">
        <f t="shared" si="41"/>
        <v>88.01</v>
      </c>
      <c r="V31" s="1216">
        <f t="shared" si="41"/>
        <v>86.02</v>
      </c>
      <c r="W31" s="1216">
        <f t="shared" si="41"/>
        <v>86.03</v>
      </c>
      <c r="X31" s="1216" t="str">
        <f t="shared" si="41"/>
        <v/>
      </c>
      <c r="Y31" s="1216" t="str">
        <f t="shared" si="41"/>
        <v/>
      </c>
      <c r="Z31" s="1216" t="str">
        <f t="shared" si="41"/>
        <v/>
      </c>
      <c r="AA31" s="1216" t="str">
        <f t="shared" si="41"/>
        <v/>
      </c>
      <c r="AB31" s="1217" t="str">
        <f t="shared" si="41"/>
        <v/>
      </c>
      <c r="AC31" s="1216" t="str">
        <f t="shared" si="41"/>
        <v/>
      </c>
      <c r="AD31" s="1218" t="str">
        <f t="shared" si="41"/>
        <v/>
      </c>
      <c r="AE31" s="1219">
        <f t="shared" si="27"/>
        <v>88.01</v>
      </c>
      <c r="AF31" s="282">
        <f t="shared" si="28"/>
        <v>86.02</v>
      </c>
      <c r="AG31" s="282" t="str">
        <f t="shared" si="29"/>
        <v>baik</v>
      </c>
      <c r="AH31" s="282" t="str">
        <f t="shared" si="29"/>
        <v>baik</v>
      </c>
      <c r="AI31" s="282">
        <f t="shared" si="30"/>
        <v>1</v>
      </c>
      <c r="AJ31" s="283">
        <f t="shared" si="31"/>
        <v>2</v>
      </c>
      <c r="AK31" s="284" t="str">
        <f t="shared" si="32"/>
        <v>Memiliki kemampuan baik dalam memahami karya seni rupa dua dimensi dan tiga dimensi dan Memahami jenis dan fungsi alat musik tradisional</v>
      </c>
      <c r="AL31" s="276">
        <v>90</v>
      </c>
      <c r="AM31" s="277">
        <v>90</v>
      </c>
      <c r="AN31" s="277">
        <v>90</v>
      </c>
      <c r="AO31" s="277"/>
      <c r="AP31" s="277"/>
      <c r="AQ31" s="277"/>
      <c r="AR31" s="277"/>
      <c r="AS31" s="280"/>
      <c r="AT31" s="277"/>
      <c r="AU31" s="278"/>
      <c r="AV31" s="285">
        <f t="shared" si="33"/>
        <v>90</v>
      </c>
      <c r="AW31" s="296" t="str">
        <f t="shared" si="34"/>
        <v>B</v>
      </c>
      <c r="AX31" s="1220">
        <f t="shared" si="42"/>
        <v>90.01</v>
      </c>
      <c r="AY31" s="1221">
        <f t="shared" si="42"/>
        <v>90.02</v>
      </c>
      <c r="AZ31" s="1221">
        <f t="shared" si="42"/>
        <v>90.03</v>
      </c>
      <c r="BA31" s="1221" t="str">
        <f t="shared" si="42"/>
        <v/>
      </c>
      <c r="BB31" s="1221" t="str">
        <f t="shared" si="42"/>
        <v/>
      </c>
      <c r="BC31" s="1221" t="str">
        <f t="shared" si="42"/>
        <v/>
      </c>
      <c r="BD31" s="1221" t="str">
        <f t="shared" si="42"/>
        <v/>
      </c>
      <c r="BE31" s="1222" t="str">
        <f t="shared" si="42"/>
        <v/>
      </c>
      <c r="BF31" s="1221" t="str">
        <f t="shared" si="42"/>
        <v/>
      </c>
      <c r="BG31" s="1223" t="str">
        <f t="shared" si="42"/>
        <v/>
      </c>
      <c r="BH31" s="286">
        <f t="shared" si="35"/>
        <v>90.03</v>
      </c>
      <c r="BI31" s="286">
        <f t="shared" si="36"/>
        <v>90.01</v>
      </c>
      <c r="BJ31" s="287" t="str">
        <f t="shared" si="37"/>
        <v>baik</v>
      </c>
      <c r="BK31" s="287" t="str">
        <f t="shared" si="37"/>
        <v>baik</v>
      </c>
      <c r="BL31" s="286">
        <f t="shared" si="38"/>
        <v>3</v>
      </c>
      <c r="BM31" s="288">
        <f t="shared" si="39"/>
        <v>1</v>
      </c>
      <c r="BN31" s="289" t="str">
        <f t="shared" si="40"/>
        <v>Memiliki keterampilan baik dalam memeragakan seni teater tradisional dan Membuat karya seni rupa dua dimensi menggunakan berbagai media</v>
      </c>
      <c r="BO31" s="67"/>
    </row>
    <row r="32" spans="1:67" ht="33" customHeight="1">
      <c r="A32" s="67"/>
      <c r="B32" s="272">
        <f t="shared" si="23"/>
        <v>19</v>
      </c>
      <c r="C32" s="273">
        <f>IF(Data!F23="","",Data!F23)</f>
        <v>0</v>
      </c>
      <c r="D32" s="274" t="str">
        <f>IF(Data!H23="","",Data!H23)</f>
        <v>Jidon Nubatonis</v>
      </c>
      <c r="E32" s="275" t="str">
        <f>IF(Data!I23="","",Data!I23)</f>
        <v>L</v>
      </c>
      <c r="F32" s="277">
        <v>80</v>
      </c>
      <c r="G32" s="277">
        <v>85</v>
      </c>
      <c r="H32" s="277">
        <v>85</v>
      </c>
      <c r="I32" s="277"/>
      <c r="J32" s="277"/>
      <c r="K32" s="277"/>
      <c r="L32" s="277"/>
      <c r="M32" s="280"/>
      <c r="N32" s="277"/>
      <c r="O32" s="278"/>
      <c r="P32" s="279">
        <f t="shared" si="24"/>
        <v>83</v>
      </c>
      <c r="Q32" s="277">
        <v>76</v>
      </c>
      <c r="R32" s="280">
        <v>78</v>
      </c>
      <c r="S32" s="281">
        <f t="shared" si="25"/>
        <v>80</v>
      </c>
      <c r="T32" s="295" t="str">
        <f t="shared" si="26"/>
        <v>C</v>
      </c>
      <c r="U32" s="1215">
        <f t="shared" si="41"/>
        <v>80.010000000000005</v>
      </c>
      <c r="V32" s="1216">
        <f t="shared" si="41"/>
        <v>85.02</v>
      </c>
      <c r="W32" s="1216">
        <f t="shared" si="41"/>
        <v>85.03</v>
      </c>
      <c r="X32" s="1216" t="str">
        <f t="shared" si="41"/>
        <v/>
      </c>
      <c r="Y32" s="1216" t="str">
        <f t="shared" si="41"/>
        <v/>
      </c>
      <c r="Z32" s="1216" t="str">
        <f t="shared" si="41"/>
        <v/>
      </c>
      <c r="AA32" s="1216" t="str">
        <f t="shared" si="41"/>
        <v/>
      </c>
      <c r="AB32" s="1217" t="str">
        <f t="shared" si="41"/>
        <v/>
      </c>
      <c r="AC32" s="1216" t="str">
        <f t="shared" si="41"/>
        <v/>
      </c>
      <c r="AD32" s="1218" t="str">
        <f t="shared" si="41"/>
        <v/>
      </c>
      <c r="AE32" s="1219">
        <f t="shared" si="27"/>
        <v>85.03</v>
      </c>
      <c r="AF32" s="282">
        <f t="shared" si="28"/>
        <v>80.010000000000005</v>
      </c>
      <c r="AG32" s="282" t="str">
        <f t="shared" si="29"/>
        <v>baik</v>
      </c>
      <c r="AH32" s="282" t="str">
        <f t="shared" si="29"/>
        <v>cukup</v>
      </c>
      <c r="AI32" s="282">
        <f t="shared" si="30"/>
        <v>3</v>
      </c>
      <c r="AJ32" s="283">
        <f t="shared" si="31"/>
        <v>1</v>
      </c>
      <c r="AK32" s="284" t="str">
        <f t="shared" si="32"/>
        <v>Memiliki kemampuan baik dalam Memahami dan merancang naskah dan peran dalam teater, cukup kemampuan dalam memahami karya seni rupa dua dimensi dan tiga dimensi</v>
      </c>
      <c r="AL32" s="276">
        <v>90</v>
      </c>
      <c r="AM32" s="277">
        <v>90</v>
      </c>
      <c r="AN32" s="277">
        <v>90</v>
      </c>
      <c r="AO32" s="277"/>
      <c r="AP32" s="277"/>
      <c r="AQ32" s="277"/>
      <c r="AR32" s="277"/>
      <c r="AS32" s="280"/>
      <c r="AT32" s="277"/>
      <c r="AU32" s="278"/>
      <c r="AV32" s="285">
        <f t="shared" si="33"/>
        <v>90</v>
      </c>
      <c r="AW32" s="296" t="str">
        <f t="shared" si="34"/>
        <v>B</v>
      </c>
      <c r="AX32" s="1220">
        <f t="shared" si="42"/>
        <v>90.01</v>
      </c>
      <c r="AY32" s="1221">
        <f t="shared" si="42"/>
        <v>90.02</v>
      </c>
      <c r="AZ32" s="1221">
        <f t="shared" si="42"/>
        <v>90.03</v>
      </c>
      <c r="BA32" s="1221" t="str">
        <f t="shared" si="42"/>
        <v/>
      </c>
      <c r="BB32" s="1221" t="str">
        <f t="shared" si="42"/>
        <v/>
      </c>
      <c r="BC32" s="1221" t="str">
        <f t="shared" si="42"/>
        <v/>
      </c>
      <c r="BD32" s="1221" t="str">
        <f t="shared" si="42"/>
        <v/>
      </c>
      <c r="BE32" s="1222" t="str">
        <f t="shared" si="42"/>
        <v/>
      </c>
      <c r="BF32" s="1221" t="str">
        <f t="shared" si="42"/>
        <v/>
      </c>
      <c r="BG32" s="1223" t="str">
        <f t="shared" si="42"/>
        <v/>
      </c>
      <c r="BH32" s="286">
        <f t="shared" si="35"/>
        <v>90.03</v>
      </c>
      <c r="BI32" s="286">
        <f t="shared" si="36"/>
        <v>90.01</v>
      </c>
      <c r="BJ32" s="287" t="str">
        <f t="shared" si="37"/>
        <v>baik</v>
      </c>
      <c r="BK32" s="287" t="str">
        <f t="shared" si="37"/>
        <v>baik</v>
      </c>
      <c r="BL32" s="286">
        <f t="shared" si="38"/>
        <v>3</v>
      </c>
      <c r="BM32" s="288">
        <f t="shared" si="39"/>
        <v>1</v>
      </c>
      <c r="BN32" s="289" t="str">
        <f t="shared" si="40"/>
        <v>Memiliki keterampilan baik dalam memeragakan seni teater tradisional dan Membuat karya seni rupa dua dimensi menggunakan berbagai media</v>
      </c>
      <c r="BO32" s="67"/>
    </row>
    <row r="33" spans="1:67" ht="33" customHeight="1">
      <c r="A33" s="67"/>
      <c r="B33" s="272">
        <f t="shared" si="23"/>
        <v>20</v>
      </c>
      <c r="C33" s="273">
        <f>IF(Data!F24="","",Data!F24)</f>
        <v>0</v>
      </c>
      <c r="D33" s="274" t="str">
        <f>IF(Data!H24="","",Data!H24)</f>
        <v>Jitro Andro Baran</v>
      </c>
      <c r="E33" s="275" t="str">
        <f>IF(Data!I24="","",Data!I24)</f>
        <v>L</v>
      </c>
      <c r="F33" s="277">
        <v>80</v>
      </c>
      <c r="G33" s="277">
        <v>85</v>
      </c>
      <c r="H33" s="277">
        <v>85</v>
      </c>
      <c r="I33" s="277"/>
      <c r="J33" s="277"/>
      <c r="K33" s="277"/>
      <c r="L33" s="277"/>
      <c r="M33" s="280"/>
      <c r="N33" s="277"/>
      <c r="O33" s="278"/>
      <c r="P33" s="279">
        <f t="shared" si="24"/>
        <v>83</v>
      </c>
      <c r="Q33" s="277">
        <v>76</v>
      </c>
      <c r="R33" s="280">
        <v>75</v>
      </c>
      <c r="S33" s="281">
        <f t="shared" si="25"/>
        <v>79</v>
      </c>
      <c r="T33" s="295" t="str">
        <f t="shared" si="26"/>
        <v>C</v>
      </c>
      <c r="U33" s="1215">
        <f t="shared" si="41"/>
        <v>80.010000000000005</v>
      </c>
      <c r="V33" s="1216">
        <f t="shared" si="41"/>
        <v>85.02</v>
      </c>
      <c r="W33" s="1216">
        <f t="shared" si="41"/>
        <v>85.03</v>
      </c>
      <c r="X33" s="1216" t="str">
        <f t="shared" si="41"/>
        <v/>
      </c>
      <c r="Y33" s="1216" t="str">
        <f t="shared" si="41"/>
        <v/>
      </c>
      <c r="Z33" s="1216" t="str">
        <f t="shared" si="41"/>
        <v/>
      </c>
      <c r="AA33" s="1216" t="str">
        <f t="shared" si="41"/>
        <v/>
      </c>
      <c r="AB33" s="1217" t="str">
        <f t="shared" si="41"/>
        <v/>
      </c>
      <c r="AC33" s="1216" t="str">
        <f t="shared" si="41"/>
        <v/>
      </c>
      <c r="AD33" s="1218" t="str">
        <f t="shared" si="41"/>
        <v/>
      </c>
      <c r="AE33" s="1219">
        <f t="shared" si="27"/>
        <v>85.03</v>
      </c>
      <c r="AF33" s="282">
        <f t="shared" si="28"/>
        <v>80.010000000000005</v>
      </c>
      <c r="AG33" s="282" t="str">
        <f t="shared" si="29"/>
        <v>baik</v>
      </c>
      <c r="AH33" s="282" t="str">
        <f t="shared" si="29"/>
        <v>cukup</v>
      </c>
      <c r="AI33" s="282">
        <f t="shared" si="30"/>
        <v>3</v>
      </c>
      <c r="AJ33" s="283">
        <f t="shared" si="31"/>
        <v>1</v>
      </c>
      <c r="AK33" s="284" t="str">
        <f t="shared" si="32"/>
        <v>Memiliki kemampuan baik dalam Memahami dan merancang naskah dan peran dalam teater, cukup kemampuan dalam memahami karya seni rupa dua dimensi dan tiga dimensi</v>
      </c>
      <c r="AL33" s="276">
        <v>90</v>
      </c>
      <c r="AM33" s="277">
        <v>90</v>
      </c>
      <c r="AN33" s="277">
        <v>90</v>
      </c>
      <c r="AO33" s="277"/>
      <c r="AP33" s="277"/>
      <c r="AQ33" s="277"/>
      <c r="AR33" s="277"/>
      <c r="AS33" s="280"/>
      <c r="AT33" s="277"/>
      <c r="AU33" s="278"/>
      <c r="AV33" s="285">
        <f t="shared" si="33"/>
        <v>90</v>
      </c>
      <c r="AW33" s="296" t="str">
        <f t="shared" si="34"/>
        <v>B</v>
      </c>
      <c r="AX33" s="1220">
        <f t="shared" si="42"/>
        <v>90.01</v>
      </c>
      <c r="AY33" s="1221">
        <f t="shared" si="42"/>
        <v>90.02</v>
      </c>
      <c r="AZ33" s="1221">
        <f t="shared" si="42"/>
        <v>90.03</v>
      </c>
      <c r="BA33" s="1221" t="str">
        <f t="shared" si="42"/>
        <v/>
      </c>
      <c r="BB33" s="1221" t="str">
        <f t="shared" si="42"/>
        <v/>
      </c>
      <c r="BC33" s="1221" t="str">
        <f t="shared" si="42"/>
        <v/>
      </c>
      <c r="BD33" s="1221" t="str">
        <f t="shared" si="42"/>
        <v/>
      </c>
      <c r="BE33" s="1222" t="str">
        <f t="shared" si="42"/>
        <v/>
      </c>
      <c r="BF33" s="1221" t="str">
        <f t="shared" si="42"/>
        <v/>
      </c>
      <c r="BG33" s="1223" t="str">
        <f t="shared" si="42"/>
        <v/>
      </c>
      <c r="BH33" s="286">
        <f t="shared" si="35"/>
        <v>90.03</v>
      </c>
      <c r="BI33" s="286">
        <f t="shared" si="36"/>
        <v>90.01</v>
      </c>
      <c r="BJ33" s="287" t="str">
        <f t="shared" si="37"/>
        <v>baik</v>
      </c>
      <c r="BK33" s="287" t="str">
        <f t="shared" si="37"/>
        <v>baik</v>
      </c>
      <c r="BL33" s="286">
        <f t="shared" si="38"/>
        <v>3</v>
      </c>
      <c r="BM33" s="288">
        <f t="shared" si="39"/>
        <v>1</v>
      </c>
      <c r="BN33" s="289" t="str">
        <f t="shared" si="40"/>
        <v>Memiliki keterampilan baik dalam memeragakan seni teater tradisional dan Membuat karya seni rupa dua dimensi menggunakan berbagai media</v>
      </c>
      <c r="BO33" s="67"/>
    </row>
    <row r="34" spans="1:67" ht="33" customHeight="1">
      <c r="A34" s="67"/>
      <c r="B34" s="272">
        <f t="shared" si="23"/>
        <v>21</v>
      </c>
      <c r="C34" s="273">
        <f>IF(Data!F25="","",Data!F25)</f>
        <v>0</v>
      </c>
      <c r="D34" s="274" t="str">
        <f>IF(Data!H25="","",Data!H25)</f>
        <v>Juan Manuel Boys</v>
      </c>
      <c r="E34" s="275" t="str">
        <f>IF(Data!I25="","",Data!I25)</f>
        <v>L</v>
      </c>
      <c r="F34" s="277">
        <v>88</v>
      </c>
      <c r="G34" s="277">
        <v>80</v>
      </c>
      <c r="H34" s="277">
        <v>80</v>
      </c>
      <c r="I34" s="277"/>
      <c r="J34" s="277"/>
      <c r="K34" s="277"/>
      <c r="L34" s="277"/>
      <c r="M34" s="280"/>
      <c r="N34" s="277"/>
      <c r="O34" s="278"/>
      <c r="P34" s="279">
        <f t="shared" si="24"/>
        <v>83</v>
      </c>
      <c r="Q34" s="277">
        <v>75</v>
      </c>
      <c r="R34" s="280">
        <v>78</v>
      </c>
      <c r="S34" s="281">
        <f t="shared" si="25"/>
        <v>80</v>
      </c>
      <c r="T34" s="295" t="str">
        <f t="shared" si="26"/>
        <v>C</v>
      </c>
      <c r="U34" s="1215">
        <f t="shared" si="41"/>
        <v>88.01</v>
      </c>
      <c r="V34" s="1216">
        <f t="shared" si="41"/>
        <v>80.02</v>
      </c>
      <c r="W34" s="1216">
        <f t="shared" si="41"/>
        <v>80.03</v>
      </c>
      <c r="X34" s="1216" t="str">
        <f t="shared" si="41"/>
        <v/>
      </c>
      <c r="Y34" s="1216" t="str">
        <f t="shared" si="41"/>
        <v/>
      </c>
      <c r="Z34" s="1216" t="str">
        <f t="shared" si="41"/>
        <v/>
      </c>
      <c r="AA34" s="1216" t="str">
        <f t="shared" si="41"/>
        <v/>
      </c>
      <c r="AB34" s="1217" t="str">
        <f t="shared" si="41"/>
        <v/>
      </c>
      <c r="AC34" s="1216" t="str">
        <f t="shared" si="41"/>
        <v/>
      </c>
      <c r="AD34" s="1218" t="str">
        <f t="shared" si="41"/>
        <v/>
      </c>
      <c r="AE34" s="1219">
        <f t="shared" si="27"/>
        <v>88.01</v>
      </c>
      <c r="AF34" s="282">
        <f t="shared" si="28"/>
        <v>80.02</v>
      </c>
      <c r="AG34" s="282" t="str">
        <f t="shared" si="29"/>
        <v>baik</v>
      </c>
      <c r="AH34" s="282" t="str">
        <f t="shared" si="29"/>
        <v>cukup</v>
      </c>
      <c r="AI34" s="282">
        <f t="shared" si="30"/>
        <v>1</v>
      </c>
      <c r="AJ34" s="283">
        <f t="shared" si="31"/>
        <v>2</v>
      </c>
      <c r="AK34" s="284" t="str">
        <f t="shared" si="32"/>
        <v>Memiliki kemampuan baik dalam memahami karya seni rupa dua dimensi dan tiga dimensi, cukup kemampuan dalam Memahami jenis dan fungsi alat musik tradisional</v>
      </c>
      <c r="AL34" s="276">
        <v>90</v>
      </c>
      <c r="AM34" s="277">
        <v>90</v>
      </c>
      <c r="AN34" s="277">
        <v>90</v>
      </c>
      <c r="AO34" s="277"/>
      <c r="AP34" s="277"/>
      <c r="AQ34" s="277"/>
      <c r="AR34" s="277"/>
      <c r="AS34" s="280"/>
      <c r="AT34" s="277"/>
      <c r="AU34" s="278"/>
      <c r="AV34" s="285">
        <f t="shared" si="33"/>
        <v>90</v>
      </c>
      <c r="AW34" s="296" t="str">
        <f t="shared" si="34"/>
        <v>B</v>
      </c>
      <c r="AX34" s="1220">
        <f t="shared" si="42"/>
        <v>90.01</v>
      </c>
      <c r="AY34" s="1221">
        <f t="shared" si="42"/>
        <v>90.02</v>
      </c>
      <c r="AZ34" s="1221">
        <f t="shared" si="42"/>
        <v>90.03</v>
      </c>
      <c r="BA34" s="1221" t="str">
        <f t="shared" si="42"/>
        <v/>
      </c>
      <c r="BB34" s="1221" t="str">
        <f t="shared" si="42"/>
        <v/>
      </c>
      <c r="BC34" s="1221" t="str">
        <f t="shared" si="42"/>
        <v/>
      </c>
      <c r="BD34" s="1221" t="str">
        <f t="shared" si="42"/>
        <v/>
      </c>
      <c r="BE34" s="1222" t="str">
        <f t="shared" si="42"/>
        <v/>
      </c>
      <c r="BF34" s="1221" t="str">
        <f t="shared" si="42"/>
        <v/>
      </c>
      <c r="BG34" s="1223" t="str">
        <f t="shared" si="42"/>
        <v/>
      </c>
      <c r="BH34" s="286">
        <f t="shared" si="35"/>
        <v>90.03</v>
      </c>
      <c r="BI34" s="286">
        <f t="shared" si="36"/>
        <v>90.01</v>
      </c>
      <c r="BJ34" s="287" t="str">
        <f t="shared" si="37"/>
        <v>baik</v>
      </c>
      <c r="BK34" s="287" t="str">
        <f t="shared" si="37"/>
        <v>baik</v>
      </c>
      <c r="BL34" s="286">
        <f t="shared" si="38"/>
        <v>3</v>
      </c>
      <c r="BM34" s="288">
        <f t="shared" si="39"/>
        <v>1</v>
      </c>
      <c r="BN34" s="289" t="str">
        <f t="shared" si="40"/>
        <v>Memiliki keterampilan baik dalam memeragakan seni teater tradisional dan Membuat karya seni rupa dua dimensi menggunakan berbagai media</v>
      </c>
      <c r="BO34" s="67"/>
    </row>
    <row r="35" spans="1:67" ht="33" customHeight="1">
      <c r="A35" s="67"/>
      <c r="B35" s="272">
        <f t="shared" si="23"/>
        <v>22</v>
      </c>
      <c r="C35" s="273">
        <f>IF(Data!F26="","",Data!F26)</f>
        <v>0</v>
      </c>
      <c r="D35" s="274" t="str">
        <f>IF(Data!H26="","",Data!H26)</f>
        <v>Krisyanti Ernela Kesnay</v>
      </c>
      <c r="E35" s="275" t="str">
        <f>IF(Data!I26="","",Data!I26)</f>
        <v>P</v>
      </c>
      <c r="F35" s="277">
        <v>80</v>
      </c>
      <c r="G35" s="277">
        <v>85</v>
      </c>
      <c r="H35" s="277">
        <v>85</v>
      </c>
      <c r="I35" s="277"/>
      <c r="J35" s="277"/>
      <c r="K35" s="277"/>
      <c r="L35" s="277"/>
      <c r="M35" s="280"/>
      <c r="N35" s="277"/>
      <c r="O35" s="278"/>
      <c r="P35" s="279">
        <f t="shared" si="24"/>
        <v>83</v>
      </c>
      <c r="Q35" s="277">
        <v>80</v>
      </c>
      <c r="R35" s="280">
        <v>76</v>
      </c>
      <c r="S35" s="281">
        <f t="shared" si="25"/>
        <v>81</v>
      </c>
      <c r="T35" s="295" t="str">
        <f t="shared" si="26"/>
        <v>C</v>
      </c>
      <c r="U35" s="1215">
        <f t="shared" si="41"/>
        <v>80.010000000000005</v>
      </c>
      <c r="V35" s="1216">
        <f t="shared" si="41"/>
        <v>85.02</v>
      </c>
      <c r="W35" s="1216">
        <f t="shared" si="41"/>
        <v>85.03</v>
      </c>
      <c r="X35" s="1216" t="str">
        <f t="shared" si="41"/>
        <v/>
      </c>
      <c r="Y35" s="1216" t="str">
        <f t="shared" si="41"/>
        <v/>
      </c>
      <c r="Z35" s="1216" t="str">
        <f t="shared" si="41"/>
        <v/>
      </c>
      <c r="AA35" s="1216" t="str">
        <f t="shared" si="41"/>
        <v/>
      </c>
      <c r="AB35" s="1217" t="str">
        <f t="shared" si="41"/>
        <v/>
      </c>
      <c r="AC35" s="1216" t="str">
        <f t="shared" si="41"/>
        <v/>
      </c>
      <c r="AD35" s="1218" t="str">
        <f t="shared" si="41"/>
        <v/>
      </c>
      <c r="AE35" s="1219">
        <f t="shared" si="27"/>
        <v>85.03</v>
      </c>
      <c r="AF35" s="282">
        <f t="shared" si="28"/>
        <v>80.010000000000005</v>
      </c>
      <c r="AG35" s="282" t="str">
        <f t="shared" si="29"/>
        <v>baik</v>
      </c>
      <c r="AH35" s="282" t="str">
        <f t="shared" si="29"/>
        <v>cukup</v>
      </c>
      <c r="AI35" s="282">
        <f t="shared" si="30"/>
        <v>3</v>
      </c>
      <c r="AJ35" s="283">
        <f t="shared" si="31"/>
        <v>1</v>
      </c>
      <c r="AK35" s="284" t="str">
        <f t="shared" si="32"/>
        <v>Memiliki kemampuan baik dalam Memahami dan merancang naskah dan peran dalam teater, cukup kemampuan dalam memahami karya seni rupa dua dimensi dan tiga dimensi</v>
      </c>
      <c r="AL35" s="276">
        <v>90</v>
      </c>
      <c r="AM35" s="277">
        <v>90</v>
      </c>
      <c r="AN35" s="277">
        <v>90</v>
      </c>
      <c r="AO35" s="277"/>
      <c r="AP35" s="277"/>
      <c r="AQ35" s="277"/>
      <c r="AR35" s="277"/>
      <c r="AS35" s="280"/>
      <c r="AT35" s="277"/>
      <c r="AU35" s="278"/>
      <c r="AV35" s="285">
        <f t="shared" si="33"/>
        <v>90</v>
      </c>
      <c r="AW35" s="296" t="str">
        <f t="shared" si="34"/>
        <v>B</v>
      </c>
      <c r="AX35" s="1220">
        <f t="shared" si="42"/>
        <v>90.01</v>
      </c>
      <c r="AY35" s="1221">
        <f t="shared" si="42"/>
        <v>90.02</v>
      </c>
      <c r="AZ35" s="1221">
        <f t="shared" si="42"/>
        <v>90.03</v>
      </c>
      <c r="BA35" s="1221" t="str">
        <f t="shared" si="42"/>
        <v/>
      </c>
      <c r="BB35" s="1221" t="str">
        <f t="shared" si="42"/>
        <v/>
      </c>
      <c r="BC35" s="1221" t="str">
        <f t="shared" si="42"/>
        <v/>
      </c>
      <c r="BD35" s="1221" t="str">
        <f t="shared" si="42"/>
        <v/>
      </c>
      <c r="BE35" s="1222" t="str">
        <f t="shared" si="42"/>
        <v/>
      </c>
      <c r="BF35" s="1221" t="str">
        <f t="shared" si="42"/>
        <v/>
      </c>
      <c r="BG35" s="1223" t="str">
        <f t="shared" si="42"/>
        <v/>
      </c>
      <c r="BH35" s="286">
        <f t="shared" si="35"/>
        <v>90.03</v>
      </c>
      <c r="BI35" s="286">
        <f t="shared" si="36"/>
        <v>90.01</v>
      </c>
      <c r="BJ35" s="287" t="str">
        <f t="shared" si="37"/>
        <v>baik</v>
      </c>
      <c r="BK35" s="287" t="str">
        <f t="shared" si="37"/>
        <v>baik</v>
      </c>
      <c r="BL35" s="286">
        <f t="shared" si="38"/>
        <v>3</v>
      </c>
      <c r="BM35" s="288">
        <f t="shared" si="39"/>
        <v>1</v>
      </c>
      <c r="BN35" s="289" t="str">
        <f t="shared" si="40"/>
        <v>Memiliki keterampilan baik dalam memeragakan seni teater tradisional dan Membuat karya seni rupa dua dimensi menggunakan berbagai media</v>
      </c>
      <c r="BO35" s="67"/>
    </row>
    <row r="36" spans="1:67" ht="33" customHeight="1">
      <c r="A36" s="67"/>
      <c r="B36" s="272">
        <f t="shared" si="23"/>
        <v>23</v>
      </c>
      <c r="C36" s="273">
        <f>IF(Data!F27="","",Data!F27)</f>
        <v>0</v>
      </c>
      <c r="D36" s="274" t="str">
        <f>IF(Data!H27="","",Data!H27)</f>
        <v>Leni Aknesia Knoan</v>
      </c>
      <c r="E36" s="275" t="str">
        <f>IF(Data!I27="","",Data!I27)</f>
        <v>P</v>
      </c>
      <c r="F36" s="277">
        <v>88</v>
      </c>
      <c r="G36" s="277">
        <v>85</v>
      </c>
      <c r="H36" s="277">
        <v>88</v>
      </c>
      <c r="I36" s="277"/>
      <c r="J36" s="277"/>
      <c r="K36" s="277"/>
      <c r="L36" s="277"/>
      <c r="M36" s="280"/>
      <c r="N36" s="277"/>
      <c r="O36" s="278"/>
      <c r="P36" s="279">
        <f t="shared" si="24"/>
        <v>87</v>
      </c>
      <c r="Q36" s="277">
        <v>80</v>
      </c>
      <c r="R36" s="280">
        <v>65</v>
      </c>
      <c r="S36" s="281">
        <f t="shared" si="25"/>
        <v>80</v>
      </c>
      <c r="T36" s="295" t="str">
        <f t="shared" si="26"/>
        <v>C</v>
      </c>
      <c r="U36" s="1215">
        <f t="shared" si="41"/>
        <v>88.01</v>
      </c>
      <c r="V36" s="1216">
        <f t="shared" si="41"/>
        <v>85.02</v>
      </c>
      <c r="W36" s="1216">
        <f t="shared" si="41"/>
        <v>88.03</v>
      </c>
      <c r="X36" s="1216" t="str">
        <f t="shared" si="41"/>
        <v/>
      </c>
      <c r="Y36" s="1216" t="str">
        <f t="shared" si="41"/>
        <v/>
      </c>
      <c r="Z36" s="1216" t="str">
        <f t="shared" si="41"/>
        <v/>
      </c>
      <c r="AA36" s="1216" t="str">
        <f t="shared" si="41"/>
        <v/>
      </c>
      <c r="AB36" s="1217" t="str">
        <f t="shared" si="41"/>
        <v/>
      </c>
      <c r="AC36" s="1216" t="str">
        <f t="shared" si="41"/>
        <v/>
      </c>
      <c r="AD36" s="1218" t="str">
        <f t="shared" si="41"/>
        <v/>
      </c>
      <c r="AE36" s="1219">
        <f t="shared" si="27"/>
        <v>88.03</v>
      </c>
      <c r="AF36" s="282">
        <f t="shared" si="28"/>
        <v>85.02</v>
      </c>
      <c r="AG36" s="282" t="str">
        <f t="shared" si="29"/>
        <v>baik</v>
      </c>
      <c r="AH36" s="282" t="str">
        <f t="shared" si="29"/>
        <v>baik</v>
      </c>
      <c r="AI36" s="282">
        <f t="shared" si="30"/>
        <v>3</v>
      </c>
      <c r="AJ36" s="283">
        <f t="shared" si="31"/>
        <v>2</v>
      </c>
      <c r="AK36" s="284" t="str">
        <f t="shared" si="32"/>
        <v>Memiliki kemampuan baik dalam Memahami dan merancang naskah dan peran dalam teater dan Memahami jenis dan fungsi alat musik tradisional</v>
      </c>
      <c r="AL36" s="276">
        <v>90</v>
      </c>
      <c r="AM36" s="277">
        <v>90</v>
      </c>
      <c r="AN36" s="277">
        <v>90</v>
      </c>
      <c r="AO36" s="277"/>
      <c r="AP36" s="277"/>
      <c r="AQ36" s="277"/>
      <c r="AR36" s="277"/>
      <c r="AS36" s="280"/>
      <c r="AT36" s="277"/>
      <c r="AU36" s="278"/>
      <c r="AV36" s="285">
        <f t="shared" si="33"/>
        <v>90</v>
      </c>
      <c r="AW36" s="296" t="str">
        <f t="shared" si="34"/>
        <v>B</v>
      </c>
      <c r="AX36" s="1220">
        <f t="shared" si="42"/>
        <v>90.01</v>
      </c>
      <c r="AY36" s="1221">
        <f t="shared" si="42"/>
        <v>90.02</v>
      </c>
      <c r="AZ36" s="1221">
        <f t="shared" si="42"/>
        <v>90.03</v>
      </c>
      <c r="BA36" s="1221" t="str">
        <f t="shared" si="42"/>
        <v/>
      </c>
      <c r="BB36" s="1221" t="str">
        <f t="shared" si="42"/>
        <v/>
      </c>
      <c r="BC36" s="1221" t="str">
        <f t="shared" si="42"/>
        <v/>
      </c>
      <c r="BD36" s="1221" t="str">
        <f t="shared" si="42"/>
        <v/>
      </c>
      <c r="BE36" s="1222" t="str">
        <f t="shared" si="42"/>
        <v/>
      </c>
      <c r="BF36" s="1221" t="str">
        <f t="shared" si="42"/>
        <v/>
      </c>
      <c r="BG36" s="1223" t="str">
        <f t="shared" si="42"/>
        <v/>
      </c>
      <c r="BH36" s="286">
        <f t="shared" si="35"/>
        <v>90.03</v>
      </c>
      <c r="BI36" s="286">
        <f t="shared" si="36"/>
        <v>90.01</v>
      </c>
      <c r="BJ36" s="287" t="str">
        <f t="shared" si="37"/>
        <v>baik</v>
      </c>
      <c r="BK36" s="287" t="str">
        <f t="shared" si="37"/>
        <v>baik</v>
      </c>
      <c r="BL36" s="286">
        <f t="shared" si="38"/>
        <v>3</v>
      </c>
      <c r="BM36" s="288">
        <f t="shared" si="39"/>
        <v>1</v>
      </c>
      <c r="BN36" s="289" t="str">
        <f t="shared" si="40"/>
        <v>Memiliki keterampilan baik dalam memeragakan seni teater tradisional dan Membuat karya seni rupa dua dimensi menggunakan berbagai media</v>
      </c>
      <c r="BO36" s="67"/>
    </row>
    <row r="37" spans="1:67" ht="33" customHeight="1">
      <c r="A37" s="67"/>
      <c r="B37" s="272">
        <f t="shared" si="23"/>
        <v>24</v>
      </c>
      <c r="C37" s="273">
        <f>IF(Data!F28="","",Data!F28)</f>
        <v>0</v>
      </c>
      <c r="D37" s="274" t="str">
        <f>IF(Data!H28="","",Data!H28)</f>
        <v>Marlon Dioninsius Lalus</v>
      </c>
      <c r="E37" s="275" t="str">
        <f>IF(Data!I28="","",Data!I28)</f>
        <v>L</v>
      </c>
      <c r="F37" s="277">
        <v>88</v>
      </c>
      <c r="G37" s="277">
        <v>85</v>
      </c>
      <c r="H37" s="277">
        <v>85</v>
      </c>
      <c r="I37" s="277"/>
      <c r="J37" s="277"/>
      <c r="K37" s="277"/>
      <c r="L37" s="277"/>
      <c r="M37" s="280"/>
      <c r="N37" s="277"/>
      <c r="O37" s="278"/>
      <c r="P37" s="279">
        <f t="shared" si="24"/>
        <v>86</v>
      </c>
      <c r="Q37" s="277">
        <v>76</v>
      </c>
      <c r="R37" s="280">
        <v>78</v>
      </c>
      <c r="S37" s="281">
        <f t="shared" si="25"/>
        <v>82</v>
      </c>
      <c r="T37" s="295" t="str">
        <f t="shared" si="26"/>
        <v>C</v>
      </c>
      <c r="U37" s="1215">
        <f t="shared" si="41"/>
        <v>88.01</v>
      </c>
      <c r="V37" s="1216">
        <f t="shared" si="41"/>
        <v>85.02</v>
      </c>
      <c r="W37" s="1216">
        <f t="shared" si="41"/>
        <v>85.03</v>
      </c>
      <c r="X37" s="1216" t="str">
        <f t="shared" si="41"/>
        <v/>
      </c>
      <c r="Y37" s="1216" t="str">
        <f t="shared" si="41"/>
        <v/>
      </c>
      <c r="Z37" s="1216" t="str">
        <f t="shared" si="41"/>
        <v/>
      </c>
      <c r="AA37" s="1216" t="str">
        <f t="shared" si="41"/>
        <v/>
      </c>
      <c r="AB37" s="1217" t="str">
        <f t="shared" si="41"/>
        <v/>
      </c>
      <c r="AC37" s="1216" t="str">
        <f t="shared" si="41"/>
        <v/>
      </c>
      <c r="AD37" s="1218" t="str">
        <f t="shared" si="41"/>
        <v/>
      </c>
      <c r="AE37" s="1219">
        <f t="shared" si="27"/>
        <v>88.01</v>
      </c>
      <c r="AF37" s="282">
        <f t="shared" si="28"/>
        <v>85.02</v>
      </c>
      <c r="AG37" s="282" t="str">
        <f t="shared" si="29"/>
        <v>baik</v>
      </c>
      <c r="AH37" s="282" t="str">
        <f t="shared" si="29"/>
        <v>baik</v>
      </c>
      <c r="AI37" s="282">
        <f t="shared" si="30"/>
        <v>1</v>
      </c>
      <c r="AJ37" s="283">
        <f t="shared" si="31"/>
        <v>2</v>
      </c>
      <c r="AK37" s="284" t="str">
        <f t="shared" si="32"/>
        <v>Memiliki kemampuan baik dalam memahami karya seni rupa dua dimensi dan tiga dimensi dan Memahami jenis dan fungsi alat musik tradisional</v>
      </c>
      <c r="AL37" s="276">
        <v>90</v>
      </c>
      <c r="AM37" s="277">
        <v>90</v>
      </c>
      <c r="AN37" s="277">
        <v>90</v>
      </c>
      <c r="AO37" s="277"/>
      <c r="AP37" s="277"/>
      <c r="AQ37" s="277"/>
      <c r="AR37" s="277"/>
      <c r="AS37" s="280"/>
      <c r="AT37" s="277"/>
      <c r="AU37" s="278"/>
      <c r="AV37" s="285">
        <f t="shared" si="33"/>
        <v>90</v>
      </c>
      <c r="AW37" s="296" t="str">
        <f t="shared" si="34"/>
        <v>B</v>
      </c>
      <c r="AX37" s="1220">
        <f t="shared" si="42"/>
        <v>90.01</v>
      </c>
      <c r="AY37" s="1221">
        <f t="shared" si="42"/>
        <v>90.02</v>
      </c>
      <c r="AZ37" s="1221">
        <f t="shared" si="42"/>
        <v>90.03</v>
      </c>
      <c r="BA37" s="1221" t="str">
        <f t="shared" si="42"/>
        <v/>
      </c>
      <c r="BB37" s="1221" t="str">
        <f t="shared" si="42"/>
        <v/>
      </c>
      <c r="BC37" s="1221" t="str">
        <f t="shared" si="42"/>
        <v/>
      </c>
      <c r="BD37" s="1221" t="str">
        <f t="shared" si="42"/>
        <v/>
      </c>
      <c r="BE37" s="1222" t="str">
        <f t="shared" si="42"/>
        <v/>
      </c>
      <c r="BF37" s="1221" t="str">
        <f t="shared" si="42"/>
        <v/>
      </c>
      <c r="BG37" s="1223" t="str">
        <f t="shared" si="42"/>
        <v/>
      </c>
      <c r="BH37" s="286">
        <f t="shared" si="35"/>
        <v>90.03</v>
      </c>
      <c r="BI37" s="286">
        <f t="shared" si="36"/>
        <v>90.01</v>
      </c>
      <c r="BJ37" s="287" t="str">
        <f t="shared" si="37"/>
        <v>baik</v>
      </c>
      <c r="BK37" s="287" t="str">
        <f t="shared" si="37"/>
        <v>baik</v>
      </c>
      <c r="BL37" s="286">
        <f t="shared" si="38"/>
        <v>3</v>
      </c>
      <c r="BM37" s="288">
        <f t="shared" si="39"/>
        <v>1</v>
      </c>
      <c r="BN37" s="289" t="str">
        <f t="shared" si="40"/>
        <v>Memiliki keterampilan baik dalam memeragakan seni teater tradisional dan Membuat karya seni rupa dua dimensi menggunakan berbagai media</v>
      </c>
      <c r="BO37" s="67"/>
    </row>
    <row r="38" spans="1:67" ht="33" customHeight="1">
      <c r="A38" s="67"/>
      <c r="B38" s="272">
        <f t="shared" ref="B38:B46" si="43">IF(D38="","",B37+1)</f>
        <v>25</v>
      </c>
      <c r="C38" s="273">
        <f>IF(Data!F29="","",Data!F29)</f>
        <v>0</v>
      </c>
      <c r="D38" s="274" t="str">
        <f>IF(Data!H29="","",Data!H29)</f>
        <v>Maya Trifena Niobe</v>
      </c>
      <c r="E38" s="275" t="str">
        <f>IF(Data!I29="","",Data!I29)</f>
        <v>P</v>
      </c>
      <c r="F38" s="277">
        <v>80</v>
      </c>
      <c r="G38" s="277">
        <v>85</v>
      </c>
      <c r="H38" s="277">
        <v>85</v>
      </c>
      <c r="I38" s="277"/>
      <c r="J38" s="277"/>
      <c r="K38" s="277"/>
      <c r="L38" s="277"/>
      <c r="M38" s="280"/>
      <c r="N38" s="277"/>
      <c r="O38" s="278"/>
      <c r="P38" s="279">
        <f t="shared" si="24"/>
        <v>83</v>
      </c>
      <c r="Q38" s="277">
        <v>80</v>
      </c>
      <c r="R38" s="280">
        <v>78</v>
      </c>
      <c r="S38" s="281">
        <f t="shared" si="25"/>
        <v>81</v>
      </c>
      <c r="T38" s="295" t="str">
        <f t="shared" si="26"/>
        <v>C</v>
      </c>
      <c r="U38" s="1215">
        <f t="shared" si="41"/>
        <v>80.010000000000005</v>
      </c>
      <c r="V38" s="1216">
        <f t="shared" si="41"/>
        <v>85.02</v>
      </c>
      <c r="W38" s="1216">
        <f t="shared" si="41"/>
        <v>85.03</v>
      </c>
      <c r="X38" s="1216" t="str">
        <f t="shared" si="41"/>
        <v/>
      </c>
      <c r="Y38" s="1216" t="str">
        <f t="shared" si="41"/>
        <v/>
      </c>
      <c r="Z38" s="1216" t="str">
        <f t="shared" si="41"/>
        <v/>
      </c>
      <c r="AA38" s="1216" t="str">
        <f t="shared" si="41"/>
        <v/>
      </c>
      <c r="AB38" s="1217" t="str">
        <f t="shared" si="41"/>
        <v/>
      </c>
      <c r="AC38" s="1216" t="str">
        <f t="shared" si="41"/>
        <v/>
      </c>
      <c r="AD38" s="1218" t="str">
        <f t="shared" si="41"/>
        <v/>
      </c>
      <c r="AE38" s="1219">
        <f t="shared" si="27"/>
        <v>85.03</v>
      </c>
      <c r="AF38" s="282">
        <f t="shared" si="28"/>
        <v>80.010000000000005</v>
      </c>
      <c r="AG38" s="282" t="str">
        <f t="shared" si="29"/>
        <v>baik</v>
      </c>
      <c r="AH38" s="282" t="str">
        <f t="shared" si="29"/>
        <v>cukup</v>
      </c>
      <c r="AI38" s="282">
        <f t="shared" si="30"/>
        <v>3</v>
      </c>
      <c r="AJ38" s="283">
        <f t="shared" si="31"/>
        <v>1</v>
      </c>
      <c r="AK38" s="284" t="str">
        <f t="shared" si="32"/>
        <v>Memiliki kemampuan baik dalam Memahami dan merancang naskah dan peran dalam teater, cukup kemampuan dalam memahami karya seni rupa dua dimensi dan tiga dimensi</v>
      </c>
      <c r="AL38" s="276">
        <v>90</v>
      </c>
      <c r="AM38" s="277">
        <v>90</v>
      </c>
      <c r="AN38" s="277">
        <v>90</v>
      </c>
      <c r="AO38" s="277"/>
      <c r="AP38" s="277"/>
      <c r="AQ38" s="277"/>
      <c r="AR38" s="277"/>
      <c r="AS38" s="280"/>
      <c r="AT38" s="277"/>
      <c r="AU38" s="278"/>
      <c r="AV38" s="285">
        <f t="shared" si="33"/>
        <v>90</v>
      </c>
      <c r="AW38" s="296" t="str">
        <f t="shared" si="34"/>
        <v>B</v>
      </c>
      <c r="AX38" s="1220">
        <f t="shared" si="42"/>
        <v>90.01</v>
      </c>
      <c r="AY38" s="1221">
        <f t="shared" si="42"/>
        <v>90.02</v>
      </c>
      <c r="AZ38" s="1221">
        <f t="shared" si="42"/>
        <v>90.03</v>
      </c>
      <c r="BA38" s="1221" t="str">
        <f t="shared" si="42"/>
        <v/>
      </c>
      <c r="BB38" s="1221" t="str">
        <f t="shared" si="42"/>
        <v/>
      </c>
      <c r="BC38" s="1221" t="str">
        <f t="shared" si="42"/>
        <v/>
      </c>
      <c r="BD38" s="1221" t="str">
        <f t="shared" si="42"/>
        <v/>
      </c>
      <c r="BE38" s="1222" t="str">
        <f t="shared" si="42"/>
        <v/>
      </c>
      <c r="BF38" s="1221" t="str">
        <f t="shared" si="42"/>
        <v/>
      </c>
      <c r="BG38" s="1223" t="str">
        <f t="shared" si="42"/>
        <v/>
      </c>
      <c r="BH38" s="286">
        <f t="shared" si="35"/>
        <v>90.03</v>
      </c>
      <c r="BI38" s="286">
        <f t="shared" si="36"/>
        <v>90.01</v>
      </c>
      <c r="BJ38" s="287" t="str">
        <f t="shared" si="37"/>
        <v>baik</v>
      </c>
      <c r="BK38" s="287" t="str">
        <f t="shared" si="37"/>
        <v>baik</v>
      </c>
      <c r="BL38" s="286">
        <f t="shared" si="38"/>
        <v>3</v>
      </c>
      <c r="BM38" s="288">
        <f t="shared" si="39"/>
        <v>1</v>
      </c>
      <c r="BN38" s="289" t="str">
        <f t="shared" si="40"/>
        <v>Memiliki keterampilan baik dalam memeragakan seni teater tradisional dan Membuat karya seni rupa dua dimensi menggunakan berbagai media</v>
      </c>
      <c r="BO38" s="67"/>
    </row>
    <row r="39" spans="1:67" ht="33" customHeight="1">
      <c r="A39" s="67"/>
      <c r="B39" s="272">
        <f t="shared" si="43"/>
        <v>26</v>
      </c>
      <c r="C39" s="273">
        <f>IF(Data!F30="","",Data!F30)</f>
        <v>0</v>
      </c>
      <c r="D39" s="274" t="str">
        <f>IF(Data!H30="","",Data!H30)</f>
        <v>Misel Miranda Sora</v>
      </c>
      <c r="E39" s="275" t="str">
        <f>IF(Data!I30="","",Data!I30)</f>
        <v>P</v>
      </c>
      <c r="F39" s="277">
        <v>80</v>
      </c>
      <c r="G39" s="277">
        <v>85</v>
      </c>
      <c r="H39" s="277">
        <v>85</v>
      </c>
      <c r="I39" s="277"/>
      <c r="J39" s="277"/>
      <c r="K39" s="277"/>
      <c r="L39" s="277"/>
      <c r="M39" s="280"/>
      <c r="N39" s="277"/>
      <c r="O39" s="278"/>
      <c r="P39" s="279">
        <f t="shared" si="24"/>
        <v>83</v>
      </c>
      <c r="Q39" s="277">
        <v>78</v>
      </c>
      <c r="R39" s="280">
        <v>80</v>
      </c>
      <c r="S39" s="281">
        <f t="shared" si="25"/>
        <v>81</v>
      </c>
      <c r="T39" s="295" t="str">
        <f t="shared" si="26"/>
        <v>C</v>
      </c>
      <c r="U39" s="1215">
        <f t="shared" si="41"/>
        <v>80.010000000000005</v>
      </c>
      <c r="V39" s="1216">
        <f t="shared" si="41"/>
        <v>85.02</v>
      </c>
      <c r="W39" s="1216">
        <f t="shared" si="41"/>
        <v>85.03</v>
      </c>
      <c r="X39" s="1216" t="str">
        <f t="shared" si="41"/>
        <v/>
      </c>
      <c r="Y39" s="1216" t="str">
        <f t="shared" si="41"/>
        <v/>
      </c>
      <c r="Z39" s="1216" t="str">
        <f t="shared" si="41"/>
        <v/>
      </c>
      <c r="AA39" s="1216" t="str">
        <f t="shared" si="41"/>
        <v/>
      </c>
      <c r="AB39" s="1217" t="str">
        <f t="shared" si="41"/>
        <v/>
      </c>
      <c r="AC39" s="1216" t="str">
        <f t="shared" si="41"/>
        <v/>
      </c>
      <c r="AD39" s="1218" t="str">
        <f t="shared" si="41"/>
        <v/>
      </c>
      <c r="AE39" s="1219">
        <f t="shared" si="27"/>
        <v>85.03</v>
      </c>
      <c r="AF39" s="282">
        <f t="shared" si="28"/>
        <v>80.010000000000005</v>
      </c>
      <c r="AG39" s="282" t="str">
        <f t="shared" si="29"/>
        <v>baik</v>
      </c>
      <c r="AH39" s="282" t="str">
        <f t="shared" si="29"/>
        <v>cukup</v>
      </c>
      <c r="AI39" s="282">
        <f t="shared" si="30"/>
        <v>3</v>
      </c>
      <c r="AJ39" s="283">
        <f t="shared" si="31"/>
        <v>1</v>
      </c>
      <c r="AK39" s="284" t="str">
        <f t="shared" si="32"/>
        <v>Memiliki kemampuan baik dalam Memahami dan merancang naskah dan peran dalam teater, cukup kemampuan dalam memahami karya seni rupa dua dimensi dan tiga dimensi</v>
      </c>
      <c r="AL39" s="276">
        <v>90</v>
      </c>
      <c r="AM39" s="277">
        <v>90</v>
      </c>
      <c r="AN39" s="277">
        <v>90</v>
      </c>
      <c r="AO39" s="277"/>
      <c r="AP39" s="277"/>
      <c r="AQ39" s="277"/>
      <c r="AR39" s="277"/>
      <c r="AS39" s="280"/>
      <c r="AT39" s="277"/>
      <c r="AU39" s="278"/>
      <c r="AV39" s="285">
        <f t="shared" si="33"/>
        <v>90</v>
      </c>
      <c r="AW39" s="296" t="str">
        <f t="shared" si="34"/>
        <v>B</v>
      </c>
      <c r="AX39" s="1220">
        <f t="shared" si="42"/>
        <v>90.01</v>
      </c>
      <c r="AY39" s="1221">
        <f t="shared" si="42"/>
        <v>90.02</v>
      </c>
      <c r="AZ39" s="1221">
        <f t="shared" si="42"/>
        <v>90.03</v>
      </c>
      <c r="BA39" s="1221" t="str">
        <f t="shared" si="42"/>
        <v/>
      </c>
      <c r="BB39" s="1221" t="str">
        <f t="shared" si="42"/>
        <v/>
      </c>
      <c r="BC39" s="1221" t="str">
        <f t="shared" si="42"/>
        <v/>
      </c>
      <c r="BD39" s="1221" t="str">
        <f t="shared" si="42"/>
        <v/>
      </c>
      <c r="BE39" s="1222" t="str">
        <f t="shared" si="42"/>
        <v/>
      </c>
      <c r="BF39" s="1221" t="str">
        <f t="shared" si="42"/>
        <v/>
      </c>
      <c r="BG39" s="1223" t="str">
        <f t="shared" si="42"/>
        <v/>
      </c>
      <c r="BH39" s="286">
        <f t="shared" si="35"/>
        <v>90.03</v>
      </c>
      <c r="BI39" s="286">
        <f t="shared" si="36"/>
        <v>90.01</v>
      </c>
      <c r="BJ39" s="287" t="str">
        <f t="shared" si="37"/>
        <v>baik</v>
      </c>
      <c r="BK39" s="287" t="str">
        <f t="shared" si="37"/>
        <v>baik</v>
      </c>
      <c r="BL39" s="286">
        <f t="shared" si="38"/>
        <v>3</v>
      </c>
      <c r="BM39" s="288">
        <f t="shared" si="39"/>
        <v>1</v>
      </c>
      <c r="BN39" s="289" t="str">
        <f t="shared" si="40"/>
        <v>Memiliki keterampilan baik dalam memeragakan seni teater tradisional dan Membuat karya seni rupa dua dimensi menggunakan berbagai media</v>
      </c>
      <c r="BO39" s="67"/>
    </row>
    <row r="40" spans="1:67" ht="33" customHeight="1">
      <c r="A40" s="67"/>
      <c r="B40" s="272">
        <f t="shared" si="43"/>
        <v>27</v>
      </c>
      <c r="C40" s="273">
        <f>IF(Data!F31="","",Data!F31)</f>
        <v>0</v>
      </c>
      <c r="D40" s="274" t="str">
        <f>IF(Data!H31="","",Data!H31)</f>
        <v>Nofianti Tainmeta</v>
      </c>
      <c r="E40" s="275" t="str">
        <f>IF(Data!I31="","",Data!I31)</f>
        <v>P</v>
      </c>
      <c r="F40" s="277">
        <v>88</v>
      </c>
      <c r="G40" s="277">
        <v>85</v>
      </c>
      <c r="H40" s="277">
        <v>85</v>
      </c>
      <c r="I40" s="277"/>
      <c r="J40" s="277"/>
      <c r="K40" s="277"/>
      <c r="L40" s="277"/>
      <c r="M40" s="280"/>
      <c r="N40" s="277"/>
      <c r="O40" s="278"/>
      <c r="P40" s="279">
        <f t="shared" si="24"/>
        <v>86</v>
      </c>
      <c r="Q40" s="277">
        <v>80</v>
      </c>
      <c r="R40" s="280">
        <v>78</v>
      </c>
      <c r="S40" s="281">
        <f t="shared" si="25"/>
        <v>83</v>
      </c>
      <c r="T40" s="295" t="str">
        <f t="shared" si="26"/>
        <v>C</v>
      </c>
      <c r="U40" s="1215">
        <f t="shared" si="41"/>
        <v>88.01</v>
      </c>
      <c r="V40" s="1216">
        <f t="shared" si="41"/>
        <v>85.02</v>
      </c>
      <c r="W40" s="1216">
        <f t="shared" si="41"/>
        <v>85.03</v>
      </c>
      <c r="X40" s="1216" t="str">
        <f t="shared" si="41"/>
        <v/>
      </c>
      <c r="Y40" s="1216" t="str">
        <f t="shared" si="41"/>
        <v/>
      </c>
      <c r="Z40" s="1216" t="str">
        <f t="shared" si="41"/>
        <v/>
      </c>
      <c r="AA40" s="1216" t="str">
        <f t="shared" si="41"/>
        <v/>
      </c>
      <c r="AB40" s="1217" t="str">
        <f t="shared" si="41"/>
        <v/>
      </c>
      <c r="AC40" s="1216" t="str">
        <f t="shared" si="41"/>
        <v/>
      </c>
      <c r="AD40" s="1218" t="str">
        <f t="shared" si="41"/>
        <v/>
      </c>
      <c r="AE40" s="1219">
        <f t="shared" si="27"/>
        <v>88.01</v>
      </c>
      <c r="AF40" s="282">
        <f t="shared" si="28"/>
        <v>85.02</v>
      </c>
      <c r="AG40" s="282" t="str">
        <f t="shared" si="29"/>
        <v>baik</v>
      </c>
      <c r="AH40" s="282" t="str">
        <f t="shared" si="29"/>
        <v>baik</v>
      </c>
      <c r="AI40" s="282">
        <f t="shared" si="30"/>
        <v>1</v>
      </c>
      <c r="AJ40" s="283">
        <f t="shared" si="31"/>
        <v>2</v>
      </c>
      <c r="AK40" s="284" t="str">
        <f t="shared" si="32"/>
        <v>Memiliki kemampuan baik dalam memahami karya seni rupa dua dimensi dan tiga dimensi dan Memahami jenis dan fungsi alat musik tradisional</v>
      </c>
      <c r="AL40" s="276">
        <v>90</v>
      </c>
      <c r="AM40" s="277">
        <v>90</v>
      </c>
      <c r="AN40" s="277">
        <v>90</v>
      </c>
      <c r="AO40" s="277"/>
      <c r="AP40" s="277"/>
      <c r="AQ40" s="277"/>
      <c r="AR40" s="277"/>
      <c r="AS40" s="280"/>
      <c r="AT40" s="277"/>
      <c r="AU40" s="278"/>
      <c r="AV40" s="285">
        <f t="shared" si="33"/>
        <v>90</v>
      </c>
      <c r="AW40" s="296" t="str">
        <f t="shared" si="34"/>
        <v>B</v>
      </c>
      <c r="AX40" s="1220">
        <f t="shared" si="42"/>
        <v>90.01</v>
      </c>
      <c r="AY40" s="1221">
        <f t="shared" si="42"/>
        <v>90.02</v>
      </c>
      <c r="AZ40" s="1221">
        <f t="shared" si="42"/>
        <v>90.03</v>
      </c>
      <c r="BA40" s="1221" t="str">
        <f t="shared" si="42"/>
        <v/>
      </c>
      <c r="BB40" s="1221" t="str">
        <f t="shared" si="42"/>
        <v/>
      </c>
      <c r="BC40" s="1221" t="str">
        <f t="shared" si="42"/>
        <v/>
      </c>
      <c r="BD40" s="1221" t="str">
        <f t="shared" si="42"/>
        <v/>
      </c>
      <c r="BE40" s="1222" t="str">
        <f t="shared" si="42"/>
        <v/>
      </c>
      <c r="BF40" s="1221" t="str">
        <f t="shared" si="42"/>
        <v/>
      </c>
      <c r="BG40" s="1223" t="str">
        <f t="shared" si="42"/>
        <v/>
      </c>
      <c r="BH40" s="286">
        <f t="shared" si="35"/>
        <v>90.03</v>
      </c>
      <c r="BI40" s="286">
        <f t="shared" si="36"/>
        <v>90.01</v>
      </c>
      <c r="BJ40" s="287" t="str">
        <f t="shared" si="37"/>
        <v>baik</v>
      </c>
      <c r="BK40" s="287" t="str">
        <f t="shared" si="37"/>
        <v>baik</v>
      </c>
      <c r="BL40" s="286">
        <f t="shared" si="38"/>
        <v>3</v>
      </c>
      <c r="BM40" s="288">
        <f t="shared" si="39"/>
        <v>1</v>
      </c>
      <c r="BN40" s="289" t="str">
        <f t="shared" si="40"/>
        <v>Memiliki keterampilan baik dalam memeragakan seni teater tradisional dan Membuat karya seni rupa dua dimensi menggunakan berbagai media</v>
      </c>
      <c r="BO40" s="67"/>
    </row>
    <row r="41" spans="1:67" ht="33" customHeight="1">
      <c r="A41" s="67"/>
      <c r="B41" s="272">
        <f t="shared" si="43"/>
        <v>28</v>
      </c>
      <c r="C41" s="273">
        <f>IF(Data!F32="","",Data!F32)</f>
        <v>0</v>
      </c>
      <c r="D41" s="274" t="str">
        <f>IF(Data!H32="","",Data!H32)</f>
        <v>Ofni Antrikus Banun</v>
      </c>
      <c r="E41" s="275" t="str">
        <f>IF(Data!I32="","",Data!I32)</f>
        <v>L</v>
      </c>
      <c r="F41" s="277">
        <v>80</v>
      </c>
      <c r="G41" s="277">
        <v>85</v>
      </c>
      <c r="H41" s="277">
        <v>85</v>
      </c>
      <c r="I41" s="277"/>
      <c r="J41" s="277"/>
      <c r="K41" s="277"/>
      <c r="L41" s="277"/>
      <c r="M41" s="280"/>
      <c r="N41" s="277"/>
      <c r="O41" s="278"/>
      <c r="P41" s="279">
        <f t="shared" si="24"/>
        <v>83</v>
      </c>
      <c r="Q41" s="277">
        <v>80</v>
      </c>
      <c r="R41" s="280">
        <v>65</v>
      </c>
      <c r="S41" s="281">
        <f t="shared" si="25"/>
        <v>78</v>
      </c>
      <c r="T41" s="295" t="str">
        <f t="shared" si="26"/>
        <v>C</v>
      </c>
      <c r="U41" s="1215">
        <f t="shared" si="41"/>
        <v>80.010000000000005</v>
      </c>
      <c r="V41" s="1216">
        <f t="shared" si="41"/>
        <v>85.02</v>
      </c>
      <c r="W41" s="1216">
        <f t="shared" si="41"/>
        <v>85.03</v>
      </c>
      <c r="X41" s="1216" t="str">
        <f t="shared" si="41"/>
        <v/>
      </c>
      <c r="Y41" s="1216" t="str">
        <f t="shared" si="41"/>
        <v/>
      </c>
      <c r="Z41" s="1216" t="str">
        <f t="shared" si="41"/>
        <v/>
      </c>
      <c r="AA41" s="1216" t="str">
        <f t="shared" si="41"/>
        <v/>
      </c>
      <c r="AB41" s="1217" t="str">
        <f t="shared" si="41"/>
        <v/>
      </c>
      <c r="AC41" s="1216" t="str">
        <f t="shared" si="41"/>
        <v/>
      </c>
      <c r="AD41" s="1218" t="str">
        <f t="shared" si="41"/>
        <v/>
      </c>
      <c r="AE41" s="1219">
        <f t="shared" si="27"/>
        <v>85.03</v>
      </c>
      <c r="AF41" s="282">
        <f t="shared" si="28"/>
        <v>80.010000000000005</v>
      </c>
      <c r="AG41" s="282" t="str">
        <f t="shared" si="29"/>
        <v>baik</v>
      </c>
      <c r="AH41" s="282" t="str">
        <f t="shared" si="29"/>
        <v>cukup</v>
      </c>
      <c r="AI41" s="282">
        <f t="shared" si="30"/>
        <v>3</v>
      </c>
      <c r="AJ41" s="283">
        <f t="shared" si="31"/>
        <v>1</v>
      </c>
      <c r="AK41" s="284" t="str">
        <f t="shared" si="32"/>
        <v>Memiliki kemampuan baik dalam Memahami dan merancang naskah dan peran dalam teater, cukup kemampuan dalam memahami karya seni rupa dua dimensi dan tiga dimensi</v>
      </c>
      <c r="AL41" s="276">
        <v>90</v>
      </c>
      <c r="AM41" s="277">
        <v>90</v>
      </c>
      <c r="AN41" s="277">
        <v>90</v>
      </c>
      <c r="AO41" s="277"/>
      <c r="AP41" s="277"/>
      <c r="AQ41" s="277"/>
      <c r="AR41" s="277"/>
      <c r="AS41" s="280"/>
      <c r="AT41" s="277"/>
      <c r="AU41" s="278"/>
      <c r="AV41" s="285">
        <f t="shared" si="33"/>
        <v>90</v>
      </c>
      <c r="AW41" s="296" t="str">
        <f t="shared" si="34"/>
        <v>B</v>
      </c>
      <c r="AX41" s="1220">
        <f t="shared" si="42"/>
        <v>90.01</v>
      </c>
      <c r="AY41" s="1221">
        <f t="shared" si="42"/>
        <v>90.02</v>
      </c>
      <c r="AZ41" s="1221">
        <f t="shared" si="42"/>
        <v>90.03</v>
      </c>
      <c r="BA41" s="1221" t="str">
        <f t="shared" si="42"/>
        <v/>
      </c>
      <c r="BB41" s="1221" t="str">
        <f t="shared" si="42"/>
        <v/>
      </c>
      <c r="BC41" s="1221" t="str">
        <f t="shared" si="42"/>
        <v/>
      </c>
      <c r="BD41" s="1221" t="str">
        <f t="shared" si="42"/>
        <v/>
      </c>
      <c r="BE41" s="1222" t="str">
        <f t="shared" si="42"/>
        <v/>
      </c>
      <c r="BF41" s="1221" t="str">
        <f t="shared" si="42"/>
        <v/>
      </c>
      <c r="BG41" s="1223" t="str">
        <f t="shared" si="42"/>
        <v/>
      </c>
      <c r="BH41" s="286">
        <f t="shared" si="35"/>
        <v>90.03</v>
      </c>
      <c r="BI41" s="286">
        <f t="shared" si="36"/>
        <v>90.01</v>
      </c>
      <c r="BJ41" s="287" t="str">
        <f t="shared" si="37"/>
        <v>baik</v>
      </c>
      <c r="BK41" s="287" t="str">
        <f t="shared" si="37"/>
        <v>baik</v>
      </c>
      <c r="BL41" s="286">
        <f t="shared" si="38"/>
        <v>3</v>
      </c>
      <c r="BM41" s="288">
        <f t="shared" si="39"/>
        <v>1</v>
      </c>
      <c r="BN41" s="289" t="str">
        <f t="shared" si="40"/>
        <v>Memiliki keterampilan baik dalam memeragakan seni teater tradisional dan Membuat karya seni rupa dua dimensi menggunakan berbagai media</v>
      </c>
      <c r="BO41" s="67"/>
    </row>
    <row r="42" spans="1:67" ht="33" customHeight="1">
      <c r="A42" s="67"/>
      <c r="B42" s="272">
        <f t="shared" si="43"/>
        <v>29</v>
      </c>
      <c r="C42" s="273">
        <f>IF(Data!F33="","",Data!F33)</f>
        <v>0</v>
      </c>
      <c r="D42" s="274" t="str">
        <f>IF(Data!H33="","",Data!H33)</f>
        <v>Roiyandi Saebesi</v>
      </c>
      <c r="E42" s="275" t="str">
        <f>IF(Data!I33="","",Data!I33)</f>
        <v>L</v>
      </c>
      <c r="F42" s="277">
        <v>80</v>
      </c>
      <c r="G42" s="277">
        <v>85</v>
      </c>
      <c r="H42" s="277">
        <v>80</v>
      </c>
      <c r="I42" s="277"/>
      <c r="J42" s="277"/>
      <c r="K42" s="277"/>
      <c r="L42" s="277"/>
      <c r="M42" s="280"/>
      <c r="N42" s="277"/>
      <c r="O42" s="278"/>
      <c r="P42" s="279">
        <f t="shared" si="24"/>
        <v>82</v>
      </c>
      <c r="Q42" s="277">
        <v>80</v>
      </c>
      <c r="R42" s="280">
        <v>70</v>
      </c>
      <c r="S42" s="281">
        <f t="shared" si="25"/>
        <v>79</v>
      </c>
      <c r="T42" s="295" t="str">
        <f t="shared" si="26"/>
        <v>C</v>
      </c>
      <c r="U42" s="1215">
        <f t="shared" si="41"/>
        <v>80.010000000000005</v>
      </c>
      <c r="V42" s="1216">
        <f t="shared" si="41"/>
        <v>85.02</v>
      </c>
      <c r="W42" s="1216">
        <f t="shared" si="41"/>
        <v>80.03</v>
      </c>
      <c r="X42" s="1216" t="str">
        <f t="shared" si="41"/>
        <v/>
      </c>
      <c r="Y42" s="1216" t="str">
        <f t="shared" si="41"/>
        <v/>
      </c>
      <c r="Z42" s="1216" t="str">
        <f t="shared" si="41"/>
        <v/>
      </c>
      <c r="AA42" s="1216" t="str">
        <f t="shared" si="41"/>
        <v/>
      </c>
      <c r="AB42" s="1217" t="str">
        <f t="shared" si="41"/>
        <v/>
      </c>
      <c r="AC42" s="1216" t="str">
        <f t="shared" si="41"/>
        <v/>
      </c>
      <c r="AD42" s="1218" t="str">
        <f t="shared" si="41"/>
        <v/>
      </c>
      <c r="AE42" s="1219">
        <f t="shared" si="27"/>
        <v>85.02</v>
      </c>
      <c r="AF42" s="282">
        <f t="shared" si="28"/>
        <v>80.010000000000005</v>
      </c>
      <c r="AG42" s="282" t="str">
        <f t="shared" si="29"/>
        <v>baik</v>
      </c>
      <c r="AH42" s="282" t="str">
        <f t="shared" si="29"/>
        <v>cukup</v>
      </c>
      <c r="AI42" s="282">
        <f t="shared" si="30"/>
        <v>2</v>
      </c>
      <c r="AJ42" s="283">
        <f t="shared" si="31"/>
        <v>1</v>
      </c>
      <c r="AK42" s="284" t="str">
        <f t="shared" si="32"/>
        <v>Memiliki kemampuan baik dalam Memahami jenis dan fungsi alat musik tradisional, cukup kemampuan dalam memahami karya seni rupa dua dimensi dan tiga dimensi</v>
      </c>
      <c r="AL42" s="276">
        <v>90</v>
      </c>
      <c r="AM42" s="277">
        <v>90</v>
      </c>
      <c r="AN42" s="277">
        <v>90</v>
      </c>
      <c r="AO42" s="277"/>
      <c r="AP42" s="277"/>
      <c r="AQ42" s="277"/>
      <c r="AR42" s="277"/>
      <c r="AS42" s="280"/>
      <c r="AT42" s="277"/>
      <c r="AU42" s="278"/>
      <c r="AV42" s="285">
        <f t="shared" si="33"/>
        <v>90</v>
      </c>
      <c r="AW42" s="296" t="str">
        <f t="shared" si="34"/>
        <v>B</v>
      </c>
      <c r="AX42" s="1220">
        <f t="shared" si="42"/>
        <v>90.01</v>
      </c>
      <c r="AY42" s="1221">
        <f t="shared" si="42"/>
        <v>90.02</v>
      </c>
      <c r="AZ42" s="1221">
        <f t="shared" si="42"/>
        <v>90.03</v>
      </c>
      <c r="BA42" s="1221" t="str">
        <f t="shared" si="42"/>
        <v/>
      </c>
      <c r="BB42" s="1221" t="str">
        <f t="shared" si="42"/>
        <v/>
      </c>
      <c r="BC42" s="1221" t="str">
        <f t="shared" si="42"/>
        <v/>
      </c>
      <c r="BD42" s="1221" t="str">
        <f t="shared" si="42"/>
        <v/>
      </c>
      <c r="BE42" s="1222" t="str">
        <f t="shared" si="42"/>
        <v/>
      </c>
      <c r="BF42" s="1221" t="str">
        <f t="shared" si="42"/>
        <v/>
      </c>
      <c r="BG42" s="1223" t="str">
        <f t="shared" si="42"/>
        <v/>
      </c>
      <c r="BH42" s="286">
        <f t="shared" si="35"/>
        <v>90.03</v>
      </c>
      <c r="BI42" s="286">
        <f t="shared" si="36"/>
        <v>90.01</v>
      </c>
      <c r="BJ42" s="287" t="str">
        <f t="shared" si="37"/>
        <v>baik</v>
      </c>
      <c r="BK42" s="287" t="str">
        <f t="shared" si="37"/>
        <v>baik</v>
      </c>
      <c r="BL42" s="286">
        <f t="shared" si="38"/>
        <v>3</v>
      </c>
      <c r="BM42" s="288">
        <f t="shared" si="39"/>
        <v>1</v>
      </c>
      <c r="BN42" s="289" t="str">
        <f t="shared" si="40"/>
        <v>Memiliki keterampilan baik dalam memeragakan seni teater tradisional dan Membuat karya seni rupa dua dimensi menggunakan berbagai media</v>
      </c>
      <c r="BO42" s="67"/>
    </row>
    <row r="43" spans="1:67" ht="33" customHeight="1">
      <c r="A43" s="67"/>
      <c r="B43" s="272">
        <f t="shared" si="43"/>
        <v>30</v>
      </c>
      <c r="C43" s="273">
        <f>IF(Data!F34="","",Data!F34)</f>
        <v>0</v>
      </c>
      <c r="D43" s="274" t="str">
        <f>IF(Data!H34="","",Data!H34)</f>
        <v>Roni Yohanis Bira</v>
      </c>
      <c r="E43" s="275" t="str">
        <f>IF(Data!I34="","",Data!I34)</f>
        <v>L</v>
      </c>
      <c r="F43" s="277">
        <v>80</v>
      </c>
      <c r="G43" s="277">
        <v>85</v>
      </c>
      <c r="H43" s="277">
        <v>85</v>
      </c>
      <c r="I43" s="277"/>
      <c r="J43" s="277"/>
      <c r="K43" s="277"/>
      <c r="L43" s="277"/>
      <c r="M43" s="280"/>
      <c r="N43" s="277"/>
      <c r="O43" s="278"/>
      <c r="P43" s="279">
        <f t="shared" si="24"/>
        <v>83</v>
      </c>
      <c r="Q43" s="277">
        <v>80</v>
      </c>
      <c r="R43" s="280">
        <v>75</v>
      </c>
      <c r="S43" s="281">
        <f t="shared" si="25"/>
        <v>80</v>
      </c>
      <c r="T43" s="295" t="str">
        <f t="shared" si="26"/>
        <v>C</v>
      </c>
      <c r="U43" s="1215">
        <f t="shared" si="41"/>
        <v>80.010000000000005</v>
      </c>
      <c r="V43" s="1216">
        <f t="shared" si="41"/>
        <v>85.02</v>
      </c>
      <c r="W43" s="1216">
        <f t="shared" si="41"/>
        <v>85.03</v>
      </c>
      <c r="X43" s="1216" t="str">
        <f t="shared" si="41"/>
        <v/>
      </c>
      <c r="Y43" s="1216" t="str">
        <f t="shared" si="41"/>
        <v/>
      </c>
      <c r="Z43" s="1216" t="str">
        <f t="shared" si="41"/>
        <v/>
      </c>
      <c r="AA43" s="1216" t="str">
        <f t="shared" si="41"/>
        <v/>
      </c>
      <c r="AB43" s="1217" t="str">
        <f t="shared" si="41"/>
        <v/>
      </c>
      <c r="AC43" s="1216" t="str">
        <f t="shared" si="41"/>
        <v/>
      </c>
      <c r="AD43" s="1218" t="str">
        <f t="shared" si="41"/>
        <v/>
      </c>
      <c r="AE43" s="1219">
        <f t="shared" si="27"/>
        <v>85.03</v>
      </c>
      <c r="AF43" s="282">
        <f t="shared" si="28"/>
        <v>80.010000000000005</v>
      </c>
      <c r="AG43" s="282" t="str">
        <f t="shared" si="29"/>
        <v>baik</v>
      </c>
      <c r="AH43" s="282" t="str">
        <f t="shared" si="29"/>
        <v>cukup</v>
      </c>
      <c r="AI43" s="282">
        <f t="shared" si="30"/>
        <v>3</v>
      </c>
      <c r="AJ43" s="283">
        <f t="shared" si="31"/>
        <v>1</v>
      </c>
      <c r="AK43" s="284" t="str">
        <f t="shared" si="32"/>
        <v>Memiliki kemampuan baik dalam Memahami dan merancang naskah dan peran dalam teater, cukup kemampuan dalam memahami karya seni rupa dua dimensi dan tiga dimensi</v>
      </c>
      <c r="AL43" s="276">
        <v>90</v>
      </c>
      <c r="AM43" s="277">
        <v>90</v>
      </c>
      <c r="AN43" s="277">
        <v>90</v>
      </c>
      <c r="AO43" s="277"/>
      <c r="AP43" s="277"/>
      <c r="AQ43" s="277"/>
      <c r="AR43" s="277"/>
      <c r="AS43" s="280"/>
      <c r="AT43" s="277"/>
      <c r="AU43" s="278"/>
      <c r="AV43" s="285">
        <f t="shared" si="33"/>
        <v>90</v>
      </c>
      <c r="AW43" s="296" t="str">
        <f t="shared" si="34"/>
        <v>B</v>
      </c>
      <c r="AX43" s="1220">
        <f t="shared" si="42"/>
        <v>90.01</v>
      </c>
      <c r="AY43" s="1221">
        <f t="shared" si="42"/>
        <v>90.02</v>
      </c>
      <c r="AZ43" s="1221">
        <f t="shared" si="42"/>
        <v>90.03</v>
      </c>
      <c r="BA43" s="1221" t="str">
        <f t="shared" si="42"/>
        <v/>
      </c>
      <c r="BB43" s="1221" t="str">
        <f t="shared" si="42"/>
        <v/>
      </c>
      <c r="BC43" s="1221" t="str">
        <f t="shared" si="42"/>
        <v/>
      </c>
      <c r="BD43" s="1221" t="str">
        <f t="shared" si="42"/>
        <v/>
      </c>
      <c r="BE43" s="1222" t="str">
        <f t="shared" si="42"/>
        <v/>
      </c>
      <c r="BF43" s="1221" t="str">
        <f t="shared" si="42"/>
        <v/>
      </c>
      <c r="BG43" s="1223" t="str">
        <f t="shared" si="42"/>
        <v/>
      </c>
      <c r="BH43" s="286">
        <f t="shared" si="35"/>
        <v>90.03</v>
      </c>
      <c r="BI43" s="286">
        <f t="shared" si="36"/>
        <v>90.01</v>
      </c>
      <c r="BJ43" s="287" t="str">
        <f t="shared" si="37"/>
        <v>baik</v>
      </c>
      <c r="BK43" s="287" t="str">
        <f t="shared" si="37"/>
        <v>baik</v>
      </c>
      <c r="BL43" s="286">
        <f t="shared" si="38"/>
        <v>3</v>
      </c>
      <c r="BM43" s="288">
        <f t="shared" si="39"/>
        <v>1</v>
      </c>
      <c r="BN43" s="289" t="str">
        <f t="shared" si="40"/>
        <v>Memiliki keterampilan baik dalam memeragakan seni teater tradisional dan Membuat karya seni rupa dua dimensi menggunakan berbagai media</v>
      </c>
      <c r="BO43" s="67"/>
    </row>
    <row r="44" spans="1:67" ht="33" customHeight="1">
      <c r="A44" s="67"/>
      <c r="B44" s="272">
        <f t="shared" si="43"/>
        <v>31</v>
      </c>
      <c r="C44" s="273">
        <f>IF(Data!F35="","",Data!F35)</f>
        <v>0</v>
      </c>
      <c r="D44" s="274" t="str">
        <f>IF(Data!H35="","",Data!H35)</f>
        <v>Sinta Norliana Funan</v>
      </c>
      <c r="E44" s="275" t="str">
        <f>IF(Data!I35="","",Data!I35)</f>
        <v>P</v>
      </c>
      <c r="F44" s="277">
        <v>80</v>
      </c>
      <c r="G44" s="277">
        <v>85</v>
      </c>
      <c r="H44" s="277">
        <v>85</v>
      </c>
      <c r="I44" s="277"/>
      <c r="J44" s="277"/>
      <c r="K44" s="277"/>
      <c r="L44" s="277"/>
      <c r="M44" s="280"/>
      <c r="N44" s="277"/>
      <c r="O44" s="278"/>
      <c r="P44" s="279">
        <f t="shared" si="24"/>
        <v>83</v>
      </c>
      <c r="Q44" s="277">
        <v>85</v>
      </c>
      <c r="R44" s="280">
        <v>88</v>
      </c>
      <c r="S44" s="281">
        <f t="shared" si="25"/>
        <v>85</v>
      </c>
      <c r="T44" s="295" t="str">
        <f t="shared" si="26"/>
        <v>B</v>
      </c>
      <c r="U44" s="1215">
        <f t="shared" si="41"/>
        <v>80.010000000000005</v>
      </c>
      <c r="V44" s="1216">
        <f t="shared" si="41"/>
        <v>85.02</v>
      </c>
      <c r="W44" s="1216">
        <f t="shared" si="41"/>
        <v>85.03</v>
      </c>
      <c r="X44" s="1216" t="str">
        <f t="shared" si="41"/>
        <v/>
      </c>
      <c r="Y44" s="1216" t="str">
        <f t="shared" si="41"/>
        <v/>
      </c>
      <c r="Z44" s="1216" t="str">
        <f t="shared" si="41"/>
        <v/>
      </c>
      <c r="AA44" s="1216" t="str">
        <f t="shared" si="41"/>
        <v/>
      </c>
      <c r="AB44" s="1217" t="str">
        <f t="shared" si="41"/>
        <v/>
      </c>
      <c r="AC44" s="1216" t="str">
        <f t="shared" si="41"/>
        <v/>
      </c>
      <c r="AD44" s="1218" t="str">
        <f t="shared" si="41"/>
        <v/>
      </c>
      <c r="AE44" s="1219">
        <f t="shared" si="27"/>
        <v>85.03</v>
      </c>
      <c r="AF44" s="282">
        <f t="shared" si="28"/>
        <v>80.010000000000005</v>
      </c>
      <c r="AG44" s="282" t="str">
        <f t="shared" si="29"/>
        <v>baik</v>
      </c>
      <c r="AH44" s="282" t="str">
        <f t="shared" si="29"/>
        <v>cukup</v>
      </c>
      <c r="AI44" s="282">
        <f t="shared" si="30"/>
        <v>3</v>
      </c>
      <c r="AJ44" s="283">
        <f t="shared" si="31"/>
        <v>1</v>
      </c>
      <c r="AK44" s="284" t="str">
        <f t="shared" si="32"/>
        <v>Memiliki kemampuan baik dalam Memahami dan merancang naskah dan peran dalam teater, cukup kemampuan dalam memahami karya seni rupa dua dimensi dan tiga dimensi</v>
      </c>
      <c r="AL44" s="276">
        <v>90</v>
      </c>
      <c r="AM44" s="277">
        <v>90</v>
      </c>
      <c r="AN44" s="277">
        <v>90</v>
      </c>
      <c r="AO44" s="277"/>
      <c r="AP44" s="277"/>
      <c r="AQ44" s="277"/>
      <c r="AR44" s="277"/>
      <c r="AS44" s="280"/>
      <c r="AT44" s="277"/>
      <c r="AU44" s="278"/>
      <c r="AV44" s="285">
        <f t="shared" si="33"/>
        <v>90</v>
      </c>
      <c r="AW44" s="296" t="str">
        <f t="shared" si="34"/>
        <v>B</v>
      </c>
      <c r="AX44" s="1220">
        <f t="shared" si="42"/>
        <v>90.01</v>
      </c>
      <c r="AY44" s="1221">
        <f t="shared" si="42"/>
        <v>90.02</v>
      </c>
      <c r="AZ44" s="1221">
        <f t="shared" si="42"/>
        <v>90.03</v>
      </c>
      <c r="BA44" s="1221" t="str">
        <f t="shared" si="42"/>
        <v/>
      </c>
      <c r="BB44" s="1221" t="str">
        <f t="shared" si="42"/>
        <v/>
      </c>
      <c r="BC44" s="1221" t="str">
        <f t="shared" si="42"/>
        <v/>
      </c>
      <c r="BD44" s="1221" t="str">
        <f t="shared" si="42"/>
        <v/>
      </c>
      <c r="BE44" s="1222" t="str">
        <f t="shared" si="42"/>
        <v/>
      </c>
      <c r="BF44" s="1221" t="str">
        <f t="shared" si="42"/>
        <v/>
      </c>
      <c r="BG44" s="1223" t="str">
        <f t="shared" si="42"/>
        <v/>
      </c>
      <c r="BH44" s="286">
        <f t="shared" si="35"/>
        <v>90.03</v>
      </c>
      <c r="BI44" s="286">
        <f t="shared" si="36"/>
        <v>90.01</v>
      </c>
      <c r="BJ44" s="287" t="str">
        <f t="shared" si="37"/>
        <v>baik</v>
      </c>
      <c r="BK44" s="287" t="str">
        <f t="shared" si="37"/>
        <v>baik</v>
      </c>
      <c r="BL44" s="286">
        <f t="shared" si="38"/>
        <v>3</v>
      </c>
      <c r="BM44" s="288">
        <f t="shared" si="39"/>
        <v>1</v>
      </c>
      <c r="BN44" s="289" t="str">
        <f t="shared" si="40"/>
        <v>Memiliki keterampilan baik dalam memeragakan seni teater tradisional dan Membuat karya seni rupa dua dimensi menggunakan berbagai media</v>
      </c>
      <c r="BO44" s="67"/>
    </row>
    <row r="45" spans="1:67" ht="33" customHeight="1">
      <c r="A45" s="67"/>
      <c r="B45" s="272">
        <f t="shared" si="43"/>
        <v>32</v>
      </c>
      <c r="C45" s="273">
        <f>IF(Data!F36="","",Data!F36)</f>
        <v>0</v>
      </c>
      <c r="D45" s="274" t="str">
        <f>IF(Data!H36="","",Data!H36)</f>
        <v>Stevi Otnial Loemnanu</v>
      </c>
      <c r="E45" s="275" t="str">
        <f>IF(Data!I36="","",Data!I36)</f>
        <v>L</v>
      </c>
      <c r="F45" s="277">
        <v>80</v>
      </c>
      <c r="G45" s="277">
        <v>85</v>
      </c>
      <c r="H45" s="277">
        <v>85</v>
      </c>
      <c r="I45" s="277"/>
      <c r="J45" s="277"/>
      <c r="K45" s="277"/>
      <c r="L45" s="277"/>
      <c r="M45" s="280"/>
      <c r="N45" s="277"/>
      <c r="O45" s="278"/>
      <c r="P45" s="279">
        <f t="shared" si="24"/>
        <v>83</v>
      </c>
      <c r="Q45" s="277">
        <v>87</v>
      </c>
      <c r="R45" s="280">
        <v>88</v>
      </c>
      <c r="S45" s="281">
        <f t="shared" si="25"/>
        <v>85</v>
      </c>
      <c r="T45" s="295" t="str">
        <f t="shared" si="26"/>
        <v>B</v>
      </c>
      <c r="U45" s="1215">
        <f t="shared" si="41"/>
        <v>80.010000000000005</v>
      </c>
      <c r="V45" s="1216">
        <f t="shared" si="41"/>
        <v>85.02</v>
      </c>
      <c r="W45" s="1216">
        <f t="shared" si="41"/>
        <v>85.03</v>
      </c>
      <c r="X45" s="1216" t="str">
        <f t="shared" si="41"/>
        <v/>
      </c>
      <c r="Y45" s="1216" t="str">
        <f t="shared" si="41"/>
        <v/>
      </c>
      <c r="Z45" s="1216" t="str">
        <f t="shared" si="41"/>
        <v/>
      </c>
      <c r="AA45" s="1216" t="str">
        <f t="shared" si="41"/>
        <v/>
      </c>
      <c r="AB45" s="1217" t="str">
        <f t="shared" si="41"/>
        <v/>
      </c>
      <c r="AC45" s="1216" t="str">
        <f t="shared" si="41"/>
        <v/>
      </c>
      <c r="AD45" s="1218" t="str">
        <f t="shared" si="41"/>
        <v/>
      </c>
      <c r="AE45" s="1219">
        <f t="shared" si="27"/>
        <v>85.03</v>
      </c>
      <c r="AF45" s="282">
        <f t="shared" si="28"/>
        <v>80.010000000000005</v>
      </c>
      <c r="AG45" s="282" t="str">
        <f t="shared" si="29"/>
        <v>baik</v>
      </c>
      <c r="AH45" s="282" t="str">
        <f t="shared" si="29"/>
        <v>cukup</v>
      </c>
      <c r="AI45" s="282">
        <f t="shared" si="30"/>
        <v>3</v>
      </c>
      <c r="AJ45" s="283">
        <f t="shared" si="31"/>
        <v>1</v>
      </c>
      <c r="AK45" s="284" t="str">
        <f t="shared" si="32"/>
        <v>Memiliki kemampuan baik dalam Memahami dan merancang naskah dan peran dalam teater, cukup kemampuan dalam memahami karya seni rupa dua dimensi dan tiga dimensi</v>
      </c>
      <c r="AL45" s="276">
        <v>90</v>
      </c>
      <c r="AM45" s="277">
        <v>90</v>
      </c>
      <c r="AN45" s="277">
        <v>90</v>
      </c>
      <c r="AO45" s="277"/>
      <c r="AP45" s="277"/>
      <c r="AQ45" s="277"/>
      <c r="AR45" s="277"/>
      <c r="AS45" s="280"/>
      <c r="AT45" s="277"/>
      <c r="AU45" s="278"/>
      <c r="AV45" s="285">
        <f t="shared" si="33"/>
        <v>90</v>
      </c>
      <c r="AW45" s="296" t="str">
        <f t="shared" si="34"/>
        <v>B</v>
      </c>
      <c r="AX45" s="1220">
        <f t="shared" si="42"/>
        <v>90.01</v>
      </c>
      <c r="AY45" s="1221">
        <f t="shared" si="42"/>
        <v>90.02</v>
      </c>
      <c r="AZ45" s="1221">
        <f t="shared" si="42"/>
        <v>90.03</v>
      </c>
      <c r="BA45" s="1221" t="str">
        <f t="shared" si="42"/>
        <v/>
      </c>
      <c r="BB45" s="1221" t="str">
        <f t="shared" si="42"/>
        <v/>
      </c>
      <c r="BC45" s="1221" t="str">
        <f t="shared" si="42"/>
        <v/>
      </c>
      <c r="BD45" s="1221" t="str">
        <f t="shared" si="42"/>
        <v/>
      </c>
      <c r="BE45" s="1222" t="str">
        <f t="shared" si="42"/>
        <v/>
      </c>
      <c r="BF45" s="1221" t="str">
        <f t="shared" si="42"/>
        <v/>
      </c>
      <c r="BG45" s="1223" t="str">
        <f t="shared" si="42"/>
        <v/>
      </c>
      <c r="BH45" s="286">
        <f t="shared" si="35"/>
        <v>90.03</v>
      </c>
      <c r="BI45" s="286">
        <f t="shared" si="36"/>
        <v>90.01</v>
      </c>
      <c r="BJ45" s="287" t="str">
        <f t="shared" si="37"/>
        <v>baik</v>
      </c>
      <c r="BK45" s="287" t="str">
        <f t="shared" si="37"/>
        <v>baik</v>
      </c>
      <c r="BL45" s="286">
        <f t="shared" si="38"/>
        <v>3</v>
      </c>
      <c r="BM45" s="288">
        <f t="shared" si="39"/>
        <v>1</v>
      </c>
      <c r="BN45" s="289" t="str">
        <f t="shared" si="40"/>
        <v>Memiliki keterampilan baik dalam memeragakan seni teater tradisional dan Membuat karya seni rupa dua dimensi menggunakan berbagai media</v>
      </c>
      <c r="BO45" s="67"/>
    </row>
    <row r="46" spans="1:67" ht="33" customHeight="1">
      <c r="A46" s="67"/>
      <c r="B46" s="272">
        <f t="shared" si="43"/>
        <v>33</v>
      </c>
      <c r="C46" s="273">
        <f>IF(Data!F37="","",Data!F37)</f>
        <v>0</v>
      </c>
      <c r="D46" s="274" t="str">
        <f>IF(Data!H37="","",Data!H37)</f>
        <v>Venciani Sefrianti Sufnera</v>
      </c>
      <c r="E46" s="275" t="str">
        <f>IF(Data!I37="","",Data!I37)</f>
        <v>P</v>
      </c>
      <c r="F46" s="277">
        <v>88</v>
      </c>
      <c r="G46" s="277">
        <v>85</v>
      </c>
      <c r="H46" s="277">
        <v>85</v>
      </c>
      <c r="I46" s="277"/>
      <c r="J46" s="277"/>
      <c r="K46" s="277"/>
      <c r="L46" s="277"/>
      <c r="M46" s="280"/>
      <c r="N46" s="277"/>
      <c r="O46" s="278"/>
      <c r="P46" s="279">
        <f t="shared" si="24"/>
        <v>86</v>
      </c>
      <c r="Q46" s="277">
        <v>80</v>
      </c>
      <c r="R46" s="280">
        <v>75</v>
      </c>
      <c r="S46" s="281">
        <f t="shared" si="25"/>
        <v>82</v>
      </c>
      <c r="T46" s="295" t="str">
        <f t="shared" si="26"/>
        <v>C</v>
      </c>
      <c r="U46" s="1215">
        <f t="shared" si="41"/>
        <v>88.01</v>
      </c>
      <c r="V46" s="1216">
        <f t="shared" si="41"/>
        <v>85.02</v>
      </c>
      <c r="W46" s="1216">
        <f t="shared" si="41"/>
        <v>85.03</v>
      </c>
      <c r="X46" s="1216" t="str">
        <f t="shared" si="41"/>
        <v/>
      </c>
      <c r="Y46" s="1216" t="str">
        <f t="shared" si="41"/>
        <v/>
      </c>
      <c r="Z46" s="1216" t="str">
        <f t="shared" si="41"/>
        <v/>
      </c>
      <c r="AA46" s="1216" t="str">
        <f t="shared" si="41"/>
        <v/>
      </c>
      <c r="AB46" s="1217" t="str">
        <f t="shared" si="41"/>
        <v/>
      </c>
      <c r="AC46" s="1216" t="str">
        <f t="shared" si="41"/>
        <v/>
      </c>
      <c r="AD46" s="1218" t="str">
        <f t="shared" si="41"/>
        <v/>
      </c>
      <c r="AE46" s="1219">
        <f t="shared" si="27"/>
        <v>88.01</v>
      </c>
      <c r="AF46" s="282">
        <f t="shared" si="28"/>
        <v>85.02</v>
      </c>
      <c r="AG46" s="282" t="str">
        <f t="shared" si="29"/>
        <v>baik</v>
      </c>
      <c r="AH46" s="282" t="str">
        <f t="shared" si="29"/>
        <v>baik</v>
      </c>
      <c r="AI46" s="282">
        <f t="shared" si="30"/>
        <v>1</v>
      </c>
      <c r="AJ46" s="283">
        <f t="shared" si="31"/>
        <v>2</v>
      </c>
      <c r="AK46" s="284" t="str">
        <f t="shared" si="32"/>
        <v>Memiliki kemampuan baik dalam memahami karya seni rupa dua dimensi dan tiga dimensi dan Memahami jenis dan fungsi alat musik tradisional</v>
      </c>
      <c r="AL46" s="276">
        <v>90</v>
      </c>
      <c r="AM46" s="277">
        <v>90</v>
      </c>
      <c r="AN46" s="277">
        <v>90</v>
      </c>
      <c r="AO46" s="277"/>
      <c r="AP46" s="277"/>
      <c r="AQ46" s="277"/>
      <c r="AR46" s="277"/>
      <c r="AS46" s="280"/>
      <c r="AT46" s="277"/>
      <c r="AU46" s="278"/>
      <c r="AV46" s="285">
        <f t="shared" si="33"/>
        <v>90</v>
      </c>
      <c r="AW46" s="296" t="str">
        <f t="shared" si="34"/>
        <v>B</v>
      </c>
      <c r="AX46" s="1220">
        <f t="shared" si="42"/>
        <v>90.01</v>
      </c>
      <c r="AY46" s="1221">
        <f t="shared" si="42"/>
        <v>90.02</v>
      </c>
      <c r="AZ46" s="1221">
        <f t="shared" si="42"/>
        <v>90.03</v>
      </c>
      <c r="BA46" s="1221" t="str">
        <f t="shared" si="42"/>
        <v/>
      </c>
      <c r="BB46" s="1221" t="str">
        <f t="shared" si="42"/>
        <v/>
      </c>
      <c r="BC46" s="1221" t="str">
        <f t="shared" si="42"/>
        <v/>
      </c>
      <c r="BD46" s="1221" t="str">
        <f t="shared" si="42"/>
        <v/>
      </c>
      <c r="BE46" s="1222" t="str">
        <f t="shared" si="42"/>
        <v/>
      </c>
      <c r="BF46" s="1221" t="str">
        <f t="shared" si="42"/>
        <v/>
      </c>
      <c r="BG46" s="1223" t="str">
        <f t="shared" si="42"/>
        <v/>
      </c>
      <c r="BH46" s="286">
        <f t="shared" si="35"/>
        <v>90.03</v>
      </c>
      <c r="BI46" s="286">
        <f t="shared" si="36"/>
        <v>90.01</v>
      </c>
      <c r="BJ46" s="287" t="str">
        <f t="shared" si="37"/>
        <v>baik</v>
      </c>
      <c r="BK46" s="287" t="str">
        <f t="shared" si="37"/>
        <v>baik</v>
      </c>
      <c r="BL46" s="286">
        <f t="shared" si="38"/>
        <v>3</v>
      </c>
      <c r="BM46" s="288">
        <f t="shared" si="39"/>
        <v>1</v>
      </c>
      <c r="BN46" s="289" t="str">
        <f t="shared" si="40"/>
        <v>Memiliki keterampilan baik dalam memeragakan seni teater tradisional dan Membuat karya seni rupa dua dimensi menggunakan berbagai media</v>
      </c>
      <c r="BO46" s="67"/>
    </row>
    <row r="47" spans="1:67" ht="33" customHeight="1">
      <c r="A47" s="67"/>
      <c r="B47" s="272">
        <f t="shared" ref="B47:B63" si="44">IF(D47="","",B46+1)</f>
        <v>34</v>
      </c>
      <c r="C47" s="273">
        <f>IF(Data!F38="","",Data!F38)</f>
        <v>0</v>
      </c>
      <c r="D47" s="274" t="str">
        <f>IF(Data!H38="","",Data!H38)</f>
        <v>Yangres Nitti</v>
      </c>
      <c r="E47" s="275" t="str">
        <f>IF(Data!I38="","",Data!I38)</f>
        <v>L</v>
      </c>
      <c r="F47" s="277">
        <v>80</v>
      </c>
      <c r="G47" s="277">
        <v>85</v>
      </c>
      <c r="H47" s="277">
        <v>85</v>
      </c>
      <c r="I47" s="277"/>
      <c r="J47" s="277"/>
      <c r="K47" s="277"/>
      <c r="L47" s="277"/>
      <c r="M47" s="280"/>
      <c r="N47" s="277"/>
      <c r="O47" s="278"/>
      <c r="P47" s="279">
        <f t="shared" si="24"/>
        <v>83</v>
      </c>
      <c r="Q47" s="277">
        <v>80</v>
      </c>
      <c r="R47" s="280">
        <v>75</v>
      </c>
      <c r="S47" s="281">
        <f t="shared" si="25"/>
        <v>80</v>
      </c>
      <c r="T47" s="295" t="str">
        <f t="shared" si="26"/>
        <v>C</v>
      </c>
      <c r="U47" s="1215">
        <f t="shared" si="41"/>
        <v>80.010000000000005</v>
      </c>
      <c r="V47" s="1216">
        <f t="shared" si="41"/>
        <v>85.02</v>
      </c>
      <c r="W47" s="1216">
        <f t="shared" si="41"/>
        <v>85.03</v>
      </c>
      <c r="X47" s="1216" t="str">
        <f t="shared" si="41"/>
        <v/>
      </c>
      <c r="Y47" s="1216" t="str">
        <f t="shared" si="41"/>
        <v/>
      </c>
      <c r="Z47" s="1216" t="str">
        <f t="shared" si="41"/>
        <v/>
      </c>
      <c r="AA47" s="1216" t="str">
        <f t="shared" si="41"/>
        <v/>
      </c>
      <c r="AB47" s="1217" t="str">
        <f t="shared" si="41"/>
        <v/>
      </c>
      <c r="AC47" s="1216" t="str">
        <f t="shared" si="41"/>
        <v/>
      </c>
      <c r="AD47" s="1218" t="str">
        <f t="shared" si="41"/>
        <v/>
      </c>
      <c r="AE47" s="1219">
        <f t="shared" si="27"/>
        <v>85.03</v>
      </c>
      <c r="AF47" s="282">
        <f t="shared" si="28"/>
        <v>80.010000000000005</v>
      </c>
      <c r="AG47" s="282" t="str">
        <f t="shared" si="29"/>
        <v>baik</v>
      </c>
      <c r="AH47" s="282" t="str">
        <f t="shared" si="29"/>
        <v>cukup</v>
      </c>
      <c r="AI47" s="282">
        <f t="shared" si="30"/>
        <v>3</v>
      </c>
      <c r="AJ47" s="283">
        <f t="shared" si="31"/>
        <v>1</v>
      </c>
      <c r="AK47" s="284" t="str">
        <f t="shared" si="32"/>
        <v>Memiliki kemampuan baik dalam Memahami dan merancang naskah dan peran dalam teater, cukup kemampuan dalam memahami karya seni rupa dua dimensi dan tiga dimensi</v>
      </c>
      <c r="AL47" s="276">
        <v>90</v>
      </c>
      <c r="AM47" s="277">
        <v>90</v>
      </c>
      <c r="AN47" s="277">
        <v>90</v>
      </c>
      <c r="AO47" s="277"/>
      <c r="AP47" s="277"/>
      <c r="AQ47" s="277"/>
      <c r="AR47" s="277"/>
      <c r="AS47" s="280"/>
      <c r="AT47" s="277"/>
      <c r="AU47" s="278"/>
      <c r="AV47" s="285">
        <f t="shared" si="33"/>
        <v>90</v>
      </c>
      <c r="AW47" s="296" t="str">
        <f t="shared" si="34"/>
        <v>B</v>
      </c>
      <c r="AX47" s="1220">
        <f t="shared" si="42"/>
        <v>90.01</v>
      </c>
      <c r="AY47" s="1221">
        <f t="shared" si="42"/>
        <v>90.02</v>
      </c>
      <c r="AZ47" s="1221">
        <f t="shared" si="42"/>
        <v>90.03</v>
      </c>
      <c r="BA47" s="1221" t="str">
        <f t="shared" si="42"/>
        <v/>
      </c>
      <c r="BB47" s="1221" t="str">
        <f t="shared" si="42"/>
        <v/>
      </c>
      <c r="BC47" s="1221" t="str">
        <f t="shared" si="42"/>
        <v/>
      </c>
      <c r="BD47" s="1221" t="str">
        <f t="shared" si="42"/>
        <v/>
      </c>
      <c r="BE47" s="1222" t="str">
        <f t="shared" si="42"/>
        <v/>
      </c>
      <c r="BF47" s="1221" t="str">
        <f t="shared" si="42"/>
        <v/>
      </c>
      <c r="BG47" s="1223" t="str">
        <f t="shared" si="42"/>
        <v/>
      </c>
      <c r="BH47" s="286">
        <f t="shared" si="35"/>
        <v>90.03</v>
      </c>
      <c r="BI47" s="286">
        <f t="shared" si="36"/>
        <v>90.01</v>
      </c>
      <c r="BJ47" s="287" t="str">
        <f t="shared" si="37"/>
        <v>baik</v>
      </c>
      <c r="BK47" s="287" t="str">
        <f t="shared" si="37"/>
        <v>baik</v>
      </c>
      <c r="BL47" s="286">
        <f t="shared" si="38"/>
        <v>3</v>
      </c>
      <c r="BM47" s="288">
        <f t="shared" si="39"/>
        <v>1</v>
      </c>
      <c r="BN47" s="289" t="str">
        <f t="shared" si="40"/>
        <v>Memiliki keterampilan baik dalam memeragakan seni teater tradisional dan Membuat karya seni rupa dua dimensi menggunakan berbagai media</v>
      </c>
      <c r="BO47" s="67"/>
    </row>
    <row r="48" spans="1:67" ht="33" customHeight="1">
      <c r="A48" s="67"/>
      <c r="B48" s="272">
        <f t="shared" si="44"/>
        <v>35</v>
      </c>
      <c r="C48" s="273">
        <f>IF(Data!F39="","",Data!F39)</f>
        <v>0</v>
      </c>
      <c r="D48" s="274" t="str">
        <f>IF(Data!H39="","",Data!H39)</f>
        <v>Yefta Trianus Mau</v>
      </c>
      <c r="E48" s="275" t="str">
        <f>IF(Data!I39="","",Data!I39)</f>
        <v>L</v>
      </c>
      <c r="F48" s="277">
        <v>88</v>
      </c>
      <c r="G48" s="277">
        <v>85</v>
      </c>
      <c r="H48" s="277">
        <v>85</v>
      </c>
      <c r="I48" s="277"/>
      <c r="J48" s="277"/>
      <c r="K48" s="277"/>
      <c r="L48" s="277"/>
      <c r="M48" s="280"/>
      <c r="N48" s="277"/>
      <c r="O48" s="278"/>
      <c r="P48" s="279">
        <f t="shared" si="24"/>
        <v>86</v>
      </c>
      <c r="Q48" s="277">
        <v>80</v>
      </c>
      <c r="R48" s="280">
        <v>88</v>
      </c>
      <c r="S48" s="281">
        <f t="shared" si="25"/>
        <v>85</v>
      </c>
      <c r="T48" s="295" t="str">
        <f t="shared" si="26"/>
        <v>B</v>
      </c>
      <c r="U48" s="1215">
        <f t="shared" si="41"/>
        <v>88.01</v>
      </c>
      <c r="V48" s="1216">
        <f t="shared" si="41"/>
        <v>85.02</v>
      </c>
      <c r="W48" s="1216">
        <f t="shared" si="41"/>
        <v>85.03</v>
      </c>
      <c r="X48" s="1216" t="str">
        <f t="shared" si="41"/>
        <v/>
      </c>
      <c r="Y48" s="1216" t="str">
        <f t="shared" si="41"/>
        <v/>
      </c>
      <c r="Z48" s="1216" t="str">
        <f t="shared" si="41"/>
        <v/>
      </c>
      <c r="AA48" s="1216" t="str">
        <f t="shared" si="41"/>
        <v/>
      </c>
      <c r="AB48" s="1217" t="str">
        <f t="shared" si="41"/>
        <v/>
      </c>
      <c r="AC48" s="1216" t="str">
        <f t="shared" si="41"/>
        <v/>
      </c>
      <c r="AD48" s="1218" t="str">
        <f t="shared" si="41"/>
        <v/>
      </c>
      <c r="AE48" s="1219">
        <f t="shared" si="27"/>
        <v>88.01</v>
      </c>
      <c r="AF48" s="282">
        <f t="shared" si="28"/>
        <v>85.02</v>
      </c>
      <c r="AG48" s="282" t="str">
        <f t="shared" si="29"/>
        <v>baik</v>
      </c>
      <c r="AH48" s="282" t="str">
        <f t="shared" si="29"/>
        <v>baik</v>
      </c>
      <c r="AI48" s="282">
        <f t="shared" si="30"/>
        <v>1</v>
      </c>
      <c r="AJ48" s="283">
        <f t="shared" si="31"/>
        <v>2</v>
      </c>
      <c r="AK48" s="284" t="str">
        <f t="shared" si="32"/>
        <v>Memiliki kemampuan baik dalam memahami karya seni rupa dua dimensi dan tiga dimensi dan Memahami jenis dan fungsi alat musik tradisional</v>
      </c>
      <c r="AL48" s="276">
        <v>90</v>
      </c>
      <c r="AM48" s="277">
        <v>90</v>
      </c>
      <c r="AN48" s="277">
        <v>90</v>
      </c>
      <c r="AO48" s="277"/>
      <c r="AP48" s="277"/>
      <c r="AQ48" s="277"/>
      <c r="AR48" s="277"/>
      <c r="AS48" s="280"/>
      <c r="AT48" s="277"/>
      <c r="AU48" s="278"/>
      <c r="AV48" s="285">
        <f t="shared" si="33"/>
        <v>90</v>
      </c>
      <c r="AW48" s="296" t="str">
        <f t="shared" si="34"/>
        <v>B</v>
      </c>
      <c r="AX48" s="1220">
        <f t="shared" si="42"/>
        <v>90.01</v>
      </c>
      <c r="AY48" s="1221">
        <f t="shared" si="42"/>
        <v>90.02</v>
      </c>
      <c r="AZ48" s="1221">
        <f t="shared" si="42"/>
        <v>90.03</v>
      </c>
      <c r="BA48" s="1221" t="str">
        <f t="shared" si="42"/>
        <v/>
      </c>
      <c r="BB48" s="1221" t="str">
        <f t="shared" si="42"/>
        <v/>
      </c>
      <c r="BC48" s="1221" t="str">
        <f t="shared" si="42"/>
        <v/>
      </c>
      <c r="BD48" s="1221" t="str">
        <f t="shared" si="42"/>
        <v/>
      </c>
      <c r="BE48" s="1222" t="str">
        <f t="shared" si="42"/>
        <v/>
      </c>
      <c r="BF48" s="1221" t="str">
        <f t="shared" si="42"/>
        <v/>
      </c>
      <c r="BG48" s="1223" t="str">
        <f t="shared" si="42"/>
        <v/>
      </c>
      <c r="BH48" s="286">
        <f t="shared" si="35"/>
        <v>90.03</v>
      </c>
      <c r="BI48" s="286">
        <f t="shared" si="36"/>
        <v>90.01</v>
      </c>
      <c r="BJ48" s="287" t="str">
        <f t="shared" si="37"/>
        <v>baik</v>
      </c>
      <c r="BK48" s="287" t="str">
        <f t="shared" si="37"/>
        <v>baik</v>
      </c>
      <c r="BL48" s="286">
        <f t="shared" si="38"/>
        <v>3</v>
      </c>
      <c r="BM48" s="288">
        <f t="shared" si="39"/>
        <v>1</v>
      </c>
      <c r="BN48" s="289" t="str">
        <f t="shared" si="40"/>
        <v>Memiliki keterampilan baik dalam memeragakan seni teater tradisional dan Membuat karya seni rupa dua dimensi menggunakan berbagai media</v>
      </c>
      <c r="BO48" s="67"/>
    </row>
    <row r="49" spans="1:67" ht="33" customHeight="1">
      <c r="A49" s="67"/>
      <c r="B49" s="272">
        <f t="shared" si="44"/>
        <v>36</v>
      </c>
      <c r="C49" s="273">
        <f>IF(Data!F40="","",Data!F40)</f>
        <v>0</v>
      </c>
      <c r="D49" s="274" t="str">
        <f>IF(Data!H40="","",Data!H40)</f>
        <v>Yuliana Febriyanti Nggeon</v>
      </c>
      <c r="E49" s="275" t="str">
        <f>IF(Data!I40="","",Data!I40)</f>
        <v>P</v>
      </c>
      <c r="F49" s="276">
        <v>80</v>
      </c>
      <c r="G49" s="277">
        <v>88</v>
      </c>
      <c r="H49" s="277">
        <v>88</v>
      </c>
      <c r="I49" s="277"/>
      <c r="J49" s="277"/>
      <c r="K49" s="277"/>
      <c r="L49" s="277"/>
      <c r="M49" s="280"/>
      <c r="N49" s="277"/>
      <c r="O49" s="278"/>
      <c r="P49" s="279">
        <f t="shared" si="24"/>
        <v>85</v>
      </c>
      <c r="Q49" s="277">
        <v>88</v>
      </c>
      <c r="R49" s="280">
        <v>88</v>
      </c>
      <c r="S49" s="281">
        <f t="shared" si="25"/>
        <v>87</v>
      </c>
      <c r="T49" s="295" t="str">
        <f t="shared" si="26"/>
        <v>B</v>
      </c>
      <c r="U49" s="1215">
        <f t="shared" si="41"/>
        <v>80.010000000000005</v>
      </c>
      <c r="V49" s="1216">
        <f t="shared" si="41"/>
        <v>88.02</v>
      </c>
      <c r="W49" s="1216">
        <f t="shared" si="41"/>
        <v>88.03</v>
      </c>
      <c r="X49" s="1216" t="str">
        <f t="shared" si="41"/>
        <v/>
      </c>
      <c r="Y49" s="1216" t="str">
        <f t="shared" si="41"/>
        <v/>
      </c>
      <c r="Z49" s="1216" t="str">
        <f t="shared" si="41"/>
        <v/>
      </c>
      <c r="AA49" s="1216" t="str">
        <f t="shared" si="41"/>
        <v/>
      </c>
      <c r="AB49" s="1217" t="str">
        <f t="shared" si="41"/>
        <v/>
      </c>
      <c r="AC49" s="1216" t="str">
        <f t="shared" si="41"/>
        <v/>
      </c>
      <c r="AD49" s="1218" t="str">
        <f t="shared" si="41"/>
        <v/>
      </c>
      <c r="AE49" s="1219">
        <f t="shared" si="27"/>
        <v>88.03</v>
      </c>
      <c r="AF49" s="282">
        <f t="shared" si="28"/>
        <v>80.010000000000005</v>
      </c>
      <c r="AG49" s="282" t="str">
        <f t="shared" si="29"/>
        <v>baik</v>
      </c>
      <c r="AH49" s="282" t="str">
        <f t="shared" si="29"/>
        <v>cukup</v>
      </c>
      <c r="AI49" s="282">
        <f t="shared" si="30"/>
        <v>3</v>
      </c>
      <c r="AJ49" s="283">
        <f t="shared" si="31"/>
        <v>1</v>
      </c>
      <c r="AK49" s="284" t="str">
        <f t="shared" si="32"/>
        <v>Memiliki kemampuan baik dalam Memahami dan merancang naskah dan peran dalam teater, cukup kemampuan dalam memahami karya seni rupa dua dimensi dan tiga dimensi</v>
      </c>
      <c r="AL49" s="276">
        <v>90</v>
      </c>
      <c r="AM49" s="277">
        <v>90</v>
      </c>
      <c r="AN49" s="277">
        <v>90</v>
      </c>
      <c r="AO49" s="277"/>
      <c r="AP49" s="277"/>
      <c r="AQ49" s="277"/>
      <c r="AR49" s="277"/>
      <c r="AS49" s="280"/>
      <c r="AT49" s="277"/>
      <c r="AU49" s="278"/>
      <c r="AV49" s="285">
        <f t="shared" si="33"/>
        <v>90</v>
      </c>
      <c r="AW49" s="296" t="str">
        <f t="shared" si="34"/>
        <v>B</v>
      </c>
      <c r="AX49" s="1220">
        <f t="shared" si="42"/>
        <v>90.01</v>
      </c>
      <c r="AY49" s="1221">
        <f t="shared" si="42"/>
        <v>90.02</v>
      </c>
      <c r="AZ49" s="1221">
        <f t="shared" si="42"/>
        <v>90.03</v>
      </c>
      <c r="BA49" s="1221" t="str">
        <f t="shared" si="42"/>
        <v/>
      </c>
      <c r="BB49" s="1221" t="str">
        <f t="shared" si="42"/>
        <v/>
      </c>
      <c r="BC49" s="1221" t="str">
        <f t="shared" si="42"/>
        <v/>
      </c>
      <c r="BD49" s="1221" t="str">
        <f t="shared" si="42"/>
        <v/>
      </c>
      <c r="BE49" s="1222" t="str">
        <f t="shared" si="42"/>
        <v/>
      </c>
      <c r="BF49" s="1221" t="str">
        <f t="shared" si="42"/>
        <v/>
      </c>
      <c r="BG49" s="1223" t="str">
        <f t="shared" si="42"/>
        <v/>
      </c>
      <c r="BH49" s="286">
        <f t="shared" si="35"/>
        <v>90.03</v>
      </c>
      <c r="BI49" s="286">
        <f t="shared" si="36"/>
        <v>90.01</v>
      </c>
      <c r="BJ49" s="287" t="str">
        <f t="shared" si="37"/>
        <v>baik</v>
      </c>
      <c r="BK49" s="287" t="str">
        <f t="shared" si="37"/>
        <v>baik</v>
      </c>
      <c r="BL49" s="286">
        <f t="shared" si="38"/>
        <v>3</v>
      </c>
      <c r="BM49" s="288">
        <f t="shared" si="39"/>
        <v>1</v>
      </c>
      <c r="BN49" s="289" t="str">
        <f t="shared" si="40"/>
        <v>Memiliki keterampilan baik dalam memeragakan seni teater tradisional dan Membuat karya seni rupa dua dimensi menggunakan berbagai media</v>
      </c>
      <c r="BO49" s="67"/>
    </row>
    <row r="50" spans="1:67" ht="33" customHeight="1">
      <c r="A50" s="67"/>
      <c r="B50" s="272">
        <f t="shared" si="44"/>
        <v>37</v>
      </c>
      <c r="C50" s="273">
        <f>IF(Data!F41="","",Data!F41)</f>
        <v>0</v>
      </c>
      <c r="D50" s="274" t="str">
        <f>IF(Data!H41="","",Data!H41)</f>
        <v>Yuninda Pono</v>
      </c>
      <c r="E50" s="275" t="str">
        <f>IF(Data!I41="","",Data!I41)</f>
        <v>P</v>
      </c>
      <c r="F50" s="276">
        <v>80</v>
      </c>
      <c r="G50" s="277">
        <v>88</v>
      </c>
      <c r="H50" s="277">
        <v>88</v>
      </c>
      <c r="I50" s="277"/>
      <c r="J50" s="277"/>
      <c r="K50" s="277"/>
      <c r="L50" s="277"/>
      <c r="M50" s="280"/>
      <c r="N50" s="277"/>
      <c r="O50" s="278"/>
      <c r="P50" s="279">
        <f t="shared" si="24"/>
        <v>85</v>
      </c>
      <c r="Q50" s="277">
        <v>86</v>
      </c>
      <c r="R50" s="280">
        <v>88</v>
      </c>
      <c r="S50" s="281">
        <f t="shared" si="25"/>
        <v>86</v>
      </c>
      <c r="T50" s="295" t="str">
        <f t="shared" si="26"/>
        <v>B</v>
      </c>
      <c r="U50" s="1215">
        <f t="shared" si="41"/>
        <v>80.010000000000005</v>
      </c>
      <c r="V50" s="1216">
        <f t="shared" si="41"/>
        <v>88.02</v>
      </c>
      <c r="W50" s="1216">
        <f t="shared" si="41"/>
        <v>88.03</v>
      </c>
      <c r="X50" s="1216" t="str">
        <f t="shared" si="41"/>
        <v/>
      </c>
      <c r="Y50" s="1216" t="str">
        <f t="shared" si="41"/>
        <v/>
      </c>
      <c r="Z50" s="1216" t="str">
        <f t="shared" si="41"/>
        <v/>
      </c>
      <c r="AA50" s="1216" t="str">
        <f t="shared" si="41"/>
        <v/>
      </c>
      <c r="AB50" s="1217" t="str">
        <f t="shared" si="41"/>
        <v/>
      </c>
      <c r="AC50" s="1216" t="str">
        <f t="shared" si="41"/>
        <v/>
      </c>
      <c r="AD50" s="1218" t="str">
        <f t="shared" si="41"/>
        <v/>
      </c>
      <c r="AE50" s="1219">
        <f t="shared" si="27"/>
        <v>88.03</v>
      </c>
      <c r="AF50" s="282">
        <f t="shared" si="28"/>
        <v>80.010000000000005</v>
      </c>
      <c r="AG50" s="282" t="str">
        <f t="shared" si="29"/>
        <v>baik</v>
      </c>
      <c r="AH50" s="282" t="str">
        <f t="shared" si="29"/>
        <v>cukup</v>
      </c>
      <c r="AI50" s="282">
        <f t="shared" si="30"/>
        <v>3</v>
      </c>
      <c r="AJ50" s="283">
        <f t="shared" si="31"/>
        <v>1</v>
      </c>
      <c r="AK50" s="284" t="str">
        <f t="shared" si="32"/>
        <v>Memiliki kemampuan baik dalam Memahami dan merancang naskah dan peran dalam teater, cukup kemampuan dalam memahami karya seni rupa dua dimensi dan tiga dimensi</v>
      </c>
      <c r="AL50" s="276">
        <v>90</v>
      </c>
      <c r="AM50" s="277">
        <v>90</v>
      </c>
      <c r="AN50" s="277">
        <v>90</v>
      </c>
      <c r="AO50" s="277"/>
      <c r="AP50" s="277"/>
      <c r="AQ50" s="277"/>
      <c r="AR50" s="277"/>
      <c r="AS50" s="280"/>
      <c r="AT50" s="277"/>
      <c r="AU50" s="278"/>
      <c r="AV50" s="285">
        <f t="shared" si="33"/>
        <v>90</v>
      </c>
      <c r="AW50" s="296" t="str">
        <f t="shared" si="34"/>
        <v>B</v>
      </c>
      <c r="AX50" s="1220">
        <f t="shared" si="42"/>
        <v>90.01</v>
      </c>
      <c r="AY50" s="1221">
        <f t="shared" si="42"/>
        <v>90.02</v>
      </c>
      <c r="AZ50" s="1221">
        <f t="shared" si="42"/>
        <v>90.03</v>
      </c>
      <c r="BA50" s="1221" t="str">
        <f t="shared" si="42"/>
        <v/>
      </c>
      <c r="BB50" s="1221" t="str">
        <f t="shared" si="42"/>
        <v/>
      </c>
      <c r="BC50" s="1221" t="str">
        <f t="shared" si="42"/>
        <v/>
      </c>
      <c r="BD50" s="1221" t="str">
        <f t="shared" si="42"/>
        <v/>
      </c>
      <c r="BE50" s="1222" t="str">
        <f t="shared" si="42"/>
        <v/>
      </c>
      <c r="BF50" s="1221" t="str">
        <f t="shared" si="42"/>
        <v/>
      </c>
      <c r="BG50" s="1223" t="str">
        <f t="shared" si="42"/>
        <v/>
      </c>
      <c r="BH50" s="286">
        <f t="shared" si="35"/>
        <v>90.03</v>
      </c>
      <c r="BI50" s="286">
        <f t="shared" si="36"/>
        <v>90.01</v>
      </c>
      <c r="BJ50" s="287" t="str">
        <f t="shared" si="37"/>
        <v>baik</v>
      </c>
      <c r="BK50" s="287" t="str">
        <f t="shared" si="37"/>
        <v>baik</v>
      </c>
      <c r="BL50" s="286">
        <f t="shared" si="38"/>
        <v>3</v>
      </c>
      <c r="BM50" s="288">
        <f t="shared" si="39"/>
        <v>1</v>
      </c>
      <c r="BN50" s="289" t="str">
        <f t="shared" si="40"/>
        <v>Memiliki keterampilan baik dalam memeragakan seni teater tradisional dan Membuat karya seni rupa dua dimensi menggunakan berbagai media</v>
      </c>
      <c r="BO50" s="67"/>
    </row>
    <row r="51" spans="1:67" ht="33" customHeight="1">
      <c r="A51" s="67"/>
      <c r="B51" s="272" t="str">
        <f t="shared" si="44"/>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44"/>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44"/>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44"/>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44"/>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5">IF(K55="","",K55+Z$13)</f>
        <v/>
      </c>
      <c r="AA55" s="1216" t="str">
        <f t="shared" si="45"/>
        <v/>
      </c>
      <c r="AB55" s="1217" t="str">
        <f t="shared" si="45"/>
        <v/>
      </c>
      <c r="AC55" s="1216" t="str">
        <f t="shared" si="45"/>
        <v/>
      </c>
      <c r="AD55" s="1218" t="str">
        <f t="shared" si="45"/>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6">IF(AQ55="","",AQ55+BC$12)</f>
        <v/>
      </c>
      <c r="BD55" s="1221" t="str">
        <f t="shared" si="46"/>
        <v/>
      </c>
      <c r="BE55" s="1222" t="str">
        <f t="shared" si="46"/>
        <v/>
      </c>
      <c r="BF55" s="1221" t="str">
        <f t="shared" si="46"/>
        <v/>
      </c>
      <c r="BG55" s="1223" t="str">
        <f t="shared" si="46"/>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44"/>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7">IF(F56="","",F56+U$13)</f>
        <v/>
      </c>
      <c r="V56" s="1216" t="str">
        <f t="shared" si="47"/>
        <v/>
      </c>
      <c r="W56" s="1216" t="str">
        <f t="shared" si="47"/>
        <v/>
      </c>
      <c r="X56" s="1216" t="str">
        <f t="shared" si="47"/>
        <v/>
      </c>
      <c r="Y56" s="1216" t="str">
        <f t="shared" si="47"/>
        <v/>
      </c>
      <c r="Z56" s="1216" t="str">
        <f t="shared" si="45"/>
        <v/>
      </c>
      <c r="AA56" s="1216" t="str">
        <f t="shared" si="45"/>
        <v/>
      </c>
      <c r="AB56" s="1217" t="str">
        <f t="shared" si="45"/>
        <v/>
      </c>
      <c r="AC56" s="1216" t="str">
        <f t="shared" si="45"/>
        <v/>
      </c>
      <c r="AD56" s="1218" t="str">
        <f t="shared" si="45"/>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8">IF(AL56="","",AL56+AX$12)</f>
        <v/>
      </c>
      <c r="AY56" s="1221" t="str">
        <f t="shared" si="48"/>
        <v/>
      </c>
      <c r="AZ56" s="1221" t="str">
        <f t="shared" si="48"/>
        <v/>
      </c>
      <c r="BA56" s="1221" t="str">
        <f t="shared" si="48"/>
        <v/>
      </c>
      <c r="BB56" s="1221" t="str">
        <f t="shared" si="48"/>
        <v/>
      </c>
      <c r="BC56" s="1221" t="str">
        <f t="shared" si="46"/>
        <v/>
      </c>
      <c r="BD56" s="1221" t="str">
        <f t="shared" si="46"/>
        <v/>
      </c>
      <c r="BE56" s="1222" t="str">
        <f t="shared" si="46"/>
        <v/>
      </c>
      <c r="BF56" s="1221" t="str">
        <f t="shared" si="46"/>
        <v/>
      </c>
      <c r="BG56" s="1223" t="str">
        <f t="shared" si="46"/>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44"/>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7"/>
        <v/>
      </c>
      <c r="V57" s="1216" t="str">
        <f t="shared" si="47"/>
        <v/>
      </c>
      <c r="W57" s="1216" t="str">
        <f t="shared" si="47"/>
        <v/>
      </c>
      <c r="X57" s="1216" t="str">
        <f t="shared" si="47"/>
        <v/>
      </c>
      <c r="Y57" s="1216" t="str">
        <f t="shared" si="47"/>
        <v/>
      </c>
      <c r="Z57" s="1216" t="str">
        <f t="shared" si="45"/>
        <v/>
      </c>
      <c r="AA57" s="1216" t="str">
        <f t="shared" si="45"/>
        <v/>
      </c>
      <c r="AB57" s="1217" t="str">
        <f t="shared" si="45"/>
        <v/>
      </c>
      <c r="AC57" s="1216" t="str">
        <f t="shared" si="45"/>
        <v/>
      </c>
      <c r="AD57" s="1218" t="str">
        <f t="shared" si="45"/>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8"/>
        <v/>
      </c>
      <c r="AY57" s="1221" t="str">
        <f t="shared" si="48"/>
        <v/>
      </c>
      <c r="AZ57" s="1221" t="str">
        <f t="shared" si="48"/>
        <v/>
      </c>
      <c r="BA57" s="1221" t="str">
        <f t="shared" si="48"/>
        <v/>
      </c>
      <c r="BB57" s="1221" t="str">
        <f t="shared" si="48"/>
        <v/>
      </c>
      <c r="BC57" s="1221" t="str">
        <f t="shared" si="46"/>
        <v/>
      </c>
      <c r="BD57" s="1221" t="str">
        <f t="shared" si="46"/>
        <v/>
      </c>
      <c r="BE57" s="1222" t="str">
        <f t="shared" si="46"/>
        <v/>
      </c>
      <c r="BF57" s="1221" t="str">
        <f t="shared" si="46"/>
        <v/>
      </c>
      <c r="BG57" s="1223" t="str">
        <f t="shared" si="46"/>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44"/>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7"/>
        <v/>
      </c>
      <c r="V58" s="1216" t="str">
        <f t="shared" si="47"/>
        <v/>
      </c>
      <c r="W58" s="1216" t="str">
        <f t="shared" si="47"/>
        <v/>
      </c>
      <c r="X58" s="1216" t="str">
        <f t="shared" si="47"/>
        <v/>
      </c>
      <c r="Y58" s="1216" t="str">
        <f t="shared" si="47"/>
        <v/>
      </c>
      <c r="Z58" s="1216" t="str">
        <f t="shared" si="45"/>
        <v/>
      </c>
      <c r="AA58" s="1216" t="str">
        <f t="shared" si="45"/>
        <v/>
      </c>
      <c r="AB58" s="1217" t="str">
        <f t="shared" si="45"/>
        <v/>
      </c>
      <c r="AC58" s="1216" t="str">
        <f t="shared" si="45"/>
        <v/>
      </c>
      <c r="AD58" s="1218" t="str">
        <f t="shared" si="45"/>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8"/>
        <v/>
      </c>
      <c r="AY58" s="1221" t="str">
        <f t="shared" si="48"/>
        <v/>
      </c>
      <c r="AZ58" s="1221" t="str">
        <f t="shared" si="48"/>
        <v/>
      </c>
      <c r="BA58" s="1221" t="str">
        <f t="shared" si="48"/>
        <v/>
      </c>
      <c r="BB58" s="1221" t="str">
        <f t="shared" si="48"/>
        <v/>
      </c>
      <c r="BC58" s="1221" t="str">
        <f t="shared" si="46"/>
        <v/>
      </c>
      <c r="BD58" s="1221" t="str">
        <f t="shared" si="46"/>
        <v/>
      </c>
      <c r="BE58" s="1222" t="str">
        <f t="shared" si="46"/>
        <v/>
      </c>
      <c r="BF58" s="1221" t="str">
        <f t="shared" si="46"/>
        <v/>
      </c>
      <c r="BG58" s="1223" t="str">
        <f t="shared" si="46"/>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44"/>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7"/>
        <v/>
      </c>
      <c r="V59" s="1216" t="str">
        <f t="shared" si="47"/>
        <v/>
      </c>
      <c r="W59" s="1216" t="str">
        <f t="shared" si="47"/>
        <v/>
      </c>
      <c r="X59" s="1216" t="str">
        <f t="shared" si="47"/>
        <v/>
      </c>
      <c r="Y59" s="1216" t="str">
        <f t="shared" si="47"/>
        <v/>
      </c>
      <c r="Z59" s="1216" t="str">
        <f t="shared" si="45"/>
        <v/>
      </c>
      <c r="AA59" s="1216" t="str">
        <f t="shared" si="45"/>
        <v/>
      </c>
      <c r="AB59" s="1217" t="str">
        <f t="shared" si="45"/>
        <v/>
      </c>
      <c r="AC59" s="1216" t="str">
        <f t="shared" si="45"/>
        <v/>
      </c>
      <c r="AD59" s="1218" t="str">
        <f t="shared" si="45"/>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8"/>
        <v/>
      </c>
      <c r="AY59" s="1221" t="str">
        <f t="shared" si="48"/>
        <v/>
      </c>
      <c r="AZ59" s="1221" t="str">
        <f t="shared" si="48"/>
        <v/>
      </c>
      <c r="BA59" s="1221" t="str">
        <f t="shared" si="48"/>
        <v/>
      </c>
      <c r="BB59" s="1221" t="str">
        <f t="shared" si="48"/>
        <v/>
      </c>
      <c r="BC59" s="1221" t="str">
        <f t="shared" si="46"/>
        <v/>
      </c>
      <c r="BD59" s="1221" t="str">
        <f t="shared" si="46"/>
        <v/>
      </c>
      <c r="BE59" s="1222" t="str">
        <f t="shared" si="46"/>
        <v/>
      </c>
      <c r="BF59" s="1221" t="str">
        <f t="shared" si="46"/>
        <v/>
      </c>
      <c r="BG59" s="1223" t="str">
        <f t="shared" si="46"/>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44"/>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7"/>
        <v/>
      </c>
      <c r="V60" s="1216" t="str">
        <f t="shared" si="47"/>
        <v/>
      </c>
      <c r="W60" s="1216" t="str">
        <f t="shared" si="47"/>
        <v/>
      </c>
      <c r="X60" s="1216" t="str">
        <f t="shared" si="47"/>
        <v/>
      </c>
      <c r="Y60" s="1216" t="str">
        <f t="shared" si="47"/>
        <v/>
      </c>
      <c r="Z60" s="1216" t="str">
        <f t="shared" si="45"/>
        <v/>
      </c>
      <c r="AA60" s="1216" t="str">
        <f t="shared" si="45"/>
        <v/>
      </c>
      <c r="AB60" s="1217" t="str">
        <f t="shared" si="45"/>
        <v/>
      </c>
      <c r="AC60" s="1216" t="str">
        <f t="shared" si="45"/>
        <v/>
      </c>
      <c r="AD60" s="1218" t="str">
        <f t="shared" si="45"/>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8"/>
        <v/>
      </c>
      <c r="AY60" s="1221" t="str">
        <f t="shared" si="48"/>
        <v/>
      </c>
      <c r="AZ60" s="1221" t="str">
        <f t="shared" si="48"/>
        <v/>
      </c>
      <c r="BA60" s="1221" t="str">
        <f t="shared" si="48"/>
        <v/>
      </c>
      <c r="BB60" s="1221" t="str">
        <f t="shared" si="48"/>
        <v/>
      </c>
      <c r="BC60" s="1221" t="str">
        <f t="shared" si="46"/>
        <v/>
      </c>
      <c r="BD60" s="1221" t="str">
        <f t="shared" si="46"/>
        <v/>
      </c>
      <c r="BE60" s="1222" t="str">
        <f t="shared" si="46"/>
        <v/>
      </c>
      <c r="BF60" s="1221" t="str">
        <f t="shared" si="46"/>
        <v/>
      </c>
      <c r="BG60" s="1223" t="str">
        <f t="shared" si="46"/>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44"/>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7"/>
        <v/>
      </c>
      <c r="V61" s="1216" t="str">
        <f t="shared" si="47"/>
        <v/>
      </c>
      <c r="W61" s="1216" t="str">
        <f t="shared" si="47"/>
        <v/>
      </c>
      <c r="X61" s="1216" t="str">
        <f t="shared" si="47"/>
        <v/>
      </c>
      <c r="Y61" s="1216" t="str">
        <f t="shared" si="47"/>
        <v/>
      </c>
      <c r="Z61" s="1216" t="str">
        <f t="shared" si="45"/>
        <v/>
      </c>
      <c r="AA61" s="1216" t="str">
        <f t="shared" si="45"/>
        <v/>
      </c>
      <c r="AB61" s="1217" t="str">
        <f t="shared" si="45"/>
        <v/>
      </c>
      <c r="AC61" s="1216" t="str">
        <f t="shared" si="45"/>
        <v/>
      </c>
      <c r="AD61" s="1218" t="str">
        <f t="shared" si="45"/>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8"/>
        <v/>
      </c>
      <c r="AY61" s="1221" t="str">
        <f t="shared" si="48"/>
        <v/>
      </c>
      <c r="AZ61" s="1221" t="str">
        <f t="shared" si="48"/>
        <v/>
      </c>
      <c r="BA61" s="1221" t="str">
        <f t="shared" si="48"/>
        <v/>
      </c>
      <c r="BB61" s="1221" t="str">
        <f t="shared" si="48"/>
        <v/>
      </c>
      <c r="BC61" s="1221" t="str">
        <f t="shared" si="46"/>
        <v/>
      </c>
      <c r="BD61" s="1221" t="str">
        <f t="shared" si="46"/>
        <v/>
      </c>
      <c r="BE61" s="1222" t="str">
        <f t="shared" si="46"/>
        <v/>
      </c>
      <c r="BF61" s="1221" t="str">
        <f t="shared" si="46"/>
        <v/>
      </c>
      <c r="BG61" s="1223" t="str">
        <f t="shared" si="46"/>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44"/>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7"/>
        <v/>
      </c>
      <c r="V62" s="1216" t="str">
        <f t="shared" si="47"/>
        <v/>
      </c>
      <c r="W62" s="1216" t="str">
        <f t="shared" si="47"/>
        <v/>
      </c>
      <c r="X62" s="1216" t="str">
        <f t="shared" si="47"/>
        <v/>
      </c>
      <c r="Y62" s="1216" t="str">
        <f t="shared" si="47"/>
        <v/>
      </c>
      <c r="Z62" s="1216" t="str">
        <f t="shared" si="45"/>
        <v/>
      </c>
      <c r="AA62" s="1216" t="str">
        <f t="shared" si="45"/>
        <v/>
      </c>
      <c r="AB62" s="1217" t="str">
        <f t="shared" si="45"/>
        <v/>
      </c>
      <c r="AC62" s="1216" t="str">
        <f t="shared" si="45"/>
        <v/>
      </c>
      <c r="AD62" s="1218" t="str">
        <f t="shared" si="45"/>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8"/>
        <v/>
      </c>
      <c r="AY62" s="1221" t="str">
        <f t="shared" si="48"/>
        <v/>
      </c>
      <c r="AZ62" s="1221" t="str">
        <f t="shared" si="48"/>
        <v/>
      </c>
      <c r="BA62" s="1221" t="str">
        <f t="shared" si="48"/>
        <v/>
      </c>
      <c r="BB62" s="1221" t="str">
        <f t="shared" si="48"/>
        <v/>
      </c>
      <c r="BC62" s="1221" t="str">
        <f t="shared" si="46"/>
        <v/>
      </c>
      <c r="BD62" s="1221" t="str">
        <f t="shared" si="46"/>
        <v/>
      </c>
      <c r="BE62" s="1222" t="str">
        <f t="shared" si="46"/>
        <v/>
      </c>
      <c r="BF62" s="1221" t="str">
        <f t="shared" si="46"/>
        <v/>
      </c>
      <c r="BG62" s="1223" t="str">
        <f t="shared" si="46"/>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44"/>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7"/>
        <v/>
      </c>
      <c r="V63" s="1216" t="str">
        <f t="shared" si="47"/>
        <v/>
      </c>
      <c r="W63" s="1216" t="str">
        <f t="shared" si="47"/>
        <v/>
      </c>
      <c r="X63" s="1216" t="str">
        <f t="shared" si="47"/>
        <v/>
      </c>
      <c r="Y63" s="1216" t="str">
        <f t="shared" si="47"/>
        <v/>
      </c>
      <c r="Z63" s="1216" t="str">
        <f t="shared" si="45"/>
        <v/>
      </c>
      <c r="AA63" s="1216" t="str">
        <f t="shared" si="45"/>
        <v/>
      </c>
      <c r="AB63" s="1217" t="str">
        <f t="shared" si="45"/>
        <v/>
      </c>
      <c r="AC63" s="1216" t="str">
        <f t="shared" si="45"/>
        <v/>
      </c>
      <c r="AD63" s="1218" t="str">
        <f t="shared" si="45"/>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8"/>
        <v/>
      </c>
      <c r="AY63" s="1221" t="str">
        <f t="shared" si="48"/>
        <v/>
      </c>
      <c r="AZ63" s="1221" t="str">
        <f t="shared" si="48"/>
        <v/>
      </c>
      <c r="BA63" s="1221" t="str">
        <f t="shared" si="48"/>
        <v/>
      </c>
      <c r="BB63" s="1221" t="str">
        <f t="shared" si="48"/>
        <v/>
      </c>
      <c r="BC63" s="1221" t="str">
        <f t="shared" si="46"/>
        <v/>
      </c>
      <c r="BD63" s="1221" t="str">
        <f t="shared" si="46"/>
        <v/>
      </c>
      <c r="BE63" s="1222" t="str">
        <f t="shared" si="46"/>
        <v/>
      </c>
      <c r="BF63" s="1221" t="str">
        <f t="shared" si="46"/>
        <v/>
      </c>
      <c r="BG63" s="1223" t="str">
        <f t="shared" si="46"/>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ht="12">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9">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9"/>
        <v>85</v>
      </c>
      <c r="AM69" s="349" t="s">
        <v>5</v>
      </c>
      <c r="AN69" s="347">
        <f t="shared" ref="AN69" si="50">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Data2!G10</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51">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2">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3">F76</f>
        <v>85</v>
      </c>
      <c r="AM76" s="7" t="s">
        <v>5</v>
      </c>
      <c r="AN76" s="9">
        <f t="shared" si="53"/>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3"/>
        <v>76</v>
      </c>
      <c r="AM77" s="7" t="s">
        <v>5</v>
      </c>
      <c r="AN77" s="9">
        <f t="shared" si="53"/>
        <v>84.5</v>
      </c>
      <c r="AO77" s="1357" t="str">
        <f t="shared" ref="AO77:AO78" si="54">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3"/>
        <v>0</v>
      </c>
      <c r="AM78" s="7" t="s">
        <v>5</v>
      </c>
      <c r="AN78" s="9">
        <f t="shared" si="53"/>
        <v>75.5</v>
      </c>
      <c r="AO78" s="1357" t="str">
        <f t="shared" si="54"/>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75" hidden="1" customHeight="1">
      <c r="C84" s="2"/>
      <c r="AL84" s="10"/>
      <c r="AM84" s="8"/>
      <c r="AN84" s="10"/>
      <c r="AO84" s="108"/>
      <c r="AP84" s="108"/>
      <c r="AQ84" s="108"/>
      <c r="AR84" s="1159"/>
      <c r="AS84" s="1159"/>
      <c r="AT84" s="108"/>
      <c r="AU84" s="108"/>
      <c r="AV84" s="111"/>
    </row>
    <row r="85" spans="3:48" ht="12.75" hidden="1" customHeight="1">
      <c r="C85" s="2"/>
      <c r="AL85" s="10"/>
      <c r="AM85" s="8"/>
      <c r="AN85" s="10"/>
      <c r="AO85" s="108"/>
      <c r="AP85" s="108"/>
      <c r="AQ85" s="108"/>
      <c r="AR85" s="1159"/>
      <c r="AS85" s="1159"/>
      <c r="AT85" s="108"/>
      <c r="AU85" s="108"/>
      <c r="AV85" s="111"/>
    </row>
    <row r="86" spans="3:48" ht="12" hidden="1" customHeight="1"/>
    <row r="87" spans="3:48" ht="12" hidden="1" customHeight="1"/>
    <row r="88" spans="3:48" ht="12" hidden="1" customHeight="1"/>
    <row r="89" spans="3:48" ht="12" hidden="1" customHeight="1"/>
    <row r="90" spans="3:48" ht="12" hidden="1" customHeight="1"/>
    <row r="91" spans="3:48" ht="12" hidden="1" customHeight="1"/>
    <row r="92" spans="3:48" ht="12" hidden="1" customHeight="1"/>
    <row r="93" spans="3:48" ht="0" hidden="1" customHeight="1"/>
    <row r="94" spans="3:48" ht="0" hidden="1" customHeight="1"/>
    <row r="95" spans="3:48" ht="0" hidden="1" customHeight="1"/>
    <row r="96" spans="3:48" ht="0" hidden="1" customHeight="1"/>
    <row r="97" ht="0" hidden="1" customHeight="1"/>
  </sheetData>
  <mergeCells count="70">
    <mergeCell ref="D1:E2"/>
    <mergeCell ref="B3:C4"/>
    <mergeCell ref="D3:E6"/>
    <mergeCell ref="B6:C6"/>
    <mergeCell ref="B7:C7"/>
    <mergeCell ref="D7:E9"/>
    <mergeCell ref="B8:C8"/>
    <mergeCell ref="B9:C9"/>
    <mergeCell ref="B1:C2"/>
    <mergeCell ref="F3:F6"/>
    <mergeCell ref="G3:R6"/>
    <mergeCell ref="AL4:AL5"/>
    <mergeCell ref="AM4:AU5"/>
    <mergeCell ref="AL6:AL7"/>
    <mergeCell ref="AM6:AU7"/>
    <mergeCell ref="F7:F10"/>
    <mergeCell ref="G7:R10"/>
    <mergeCell ref="AL8:AL11"/>
    <mergeCell ref="AM8:AU11"/>
    <mergeCell ref="G11:R11"/>
    <mergeCell ref="G1:R1"/>
    <mergeCell ref="AM1:AU1"/>
    <mergeCell ref="G2:R2"/>
    <mergeCell ref="AL2:AL3"/>
    <mergeCell ref="AM2:AU3"/>
    <mergeCell ref="AW12:AW13"/>
    <mergeCell ref="BN12:BN13"/>
    <mergeCell ref="BJ13:BK13"/>
    <mergeCell ref="BL13:BM13"/>
    <mergeCell ref="AV12:AV13"/>
    <mergeCell ref="AG13:AH13"/>
    <mergeCell ref="AI13:AJ13"/>
    <mergeCell ref="B12:B13"/>
    <mergeCell ref="C12:C13"/>
    <mergeCell ref="D12:D13"/>
    <mergeCell ref="E12:E13"/>
    <mergeCell ref="F12:O12"/>
    <mergeCell ref="S12:S13"/>
    <mergeCell ref="F74:H74"/>
    <mergeCell ref="I74:Q74"/>
    <mergeCell ref="AL74:AN74"/>
    <mergeCell ref="AO74:AV74"/>
    <mergeCell ref="B10:C11"/>
    <mergeCell ref="D10:E11"/>
    <mergeCell ref="F65:Q65"/>
    <mergeCell ref="AL65:AV65"/>
    <mergeCell ref="F67:H67"/>
    <mergeCell ref="I67:Q67"/>
    <mergeCell ref="AL67:AN67"/>
    <mergeCell ref="AO67:AV67"/>
    <mergeCell ref="F66:Q66"/>
    <mergeCell ref="AL66:AV66"/>
    <mergeCell ref="T12:T13"/>
    <mergeCell ref="AK12:AK13"/>
    <mergeCell ref="AO82:AV82"/>
    <mergeCell ref="AO83:AV83"/>
    <mergeCell ref="I77:P77"/>
    <mergeCell ref="I78:P78"/>
    <mergeCell ref="I68:Q68"/>
    <mergeCell ref="AO68:AV68"/>
    <mergeCell ref="I69:Q69"/>
    <mergeCell ref="AO69:AV69"/>
    <mergeCell ref="I70:Q70"/>
    <mergeCell ref="AO70:AV70"/>
    <mergeCell ref="I71:Q71"/>
    <mergeCell ref="AO71:AV71"/>
    <mergeCell ref="I75:P75"/>
    <mergeCell ref="I76:P76"/>
    <mergeCell ref="F73:Q73"/>
    <mergeCell ref="AL73:AV73"/>
  </mergeCells>
  <conditionalFormatting sqref="B14:E63">
    <cfRule type="expression" dxfId="4550" priority="376">
      <formula>AND($B14&lt;&gt;"",$B15="")</formula>
    </cfRule>
    <cfRule type="expression" dxfId="4549" priority="377">
      <formula>$B14=""</formula>
    </cfRule>
  </conditionalFormatting>
  <conditionalFormatting sqref="B56:E56">
    <cfRule type="expression" dxfId="4548" priority="753">
      <formula>AND($B56&lt;&gt;"",$B63="")</formula>
    </cfRule>
    <cfRule type="expression" dxfId="4547" priority="754">
      <formula>$B56=""</formula>
    </cfRule>
  </conditionalFormatting>
  <conditionalFormatting sqref="B50:E50">
    <cfRule type="expression" dxfId="4546" priority="871">
      <formula>AND($B50&lt;&gt;"",$B63="")</formula>
    </cfRule>
    <cfRule type="expression" dxfId="4545" priority="872">
      <formula>$B50=""</formula>
    </cfRule>
  </conditionalFormatting>
  <conditionalFormatting sqref="B43:E44">
    <cfRule type="expression" dxfId="4544" priority="999">
      <formula>AND($B43&lt;&gt;"",$B62="")</formula>
    </cfRule>
    <cfRule type="expression" dxfId="4543" priority="1000">
      <formula>$B43=""</formula>
    </cfRule>
  </conditionalFormatting>
  <conditionalFormatting sqref="B63:E63">
    <cfRule type="expression" dxfId="4542" priority="1479">
      <formula>AND($B63&lt;&gt;"",#REF!="")</formula>
    </cfRule>
    <cfRule type="expression" dxfId="4541" priority="1480">
      <formula>$B63=""</formula>
    </cfRule>
  </conditionalFormatting>
  <conditionalFormatting sqref="B61:E61">
    <cfRule type="expression" dxfId="4540" priority="1533">
      <formula>AND($B61&lt;&gt;"",$B64="")</formula>
    </cfRule>
    <cfRule type="expression" dxfId="4539" priority="1534">
      <formula>$B61=""</formula>
    </cfRule>
  </conditionalFormatting>
  <conditionalFormatting sqref="B57:E60">
    <cfRule type="expression" dxfId="4538" priority="1535">
      <formula>AND($B57&lt;&gt;"",#REF!="")</formula>
    </cfRule>
    <cfRule type="expression" dxfId="4537" priority="1536">
      <formula>$B57=""</formula>
    </cfRule>
  </conditionalFormatting>
  <conditionalFormatting sqref="B55:E55">
    <cfRule type="expression" dxfId="4536" priority="1539">
      <formula>AND($B55&lt;&gt;"",$B64="")</formula>
    </cfRule>
    <cfRule type="expression" dxfId="4535" priority="1540">
      <formula>$B55=""</formula>
    </cfRule>
  </conditionalFormatting>
  <conditionalFormatting sqref="B51:E54">
    <cfRule type="expression" dxfId="4534" priority="1541">
      <formula>AND($B51&lt;&gt;"",#REF!="")</formula>
    </cfRule>
    <cfRule type="expression" dxfId="4533" priority="1542">
      <formula>$B51=""</formula>
    </cfRule>
  </conditionalFormatting>
  <conditionalFormatting sqref="B49:E49">
    <cfRule type="expression" dxfId="4532" priority="1545">
      <formula>AND($B49&lt;&gt;"",$B64="")</formula>
    </cfRule>
    <cfRule type="expression" dxfId="4531" priority="1546">
      <formula>$B49=""</formula>
    </cfRule>
  </conditionalFormatting>
  <conditionalFormatting sqref="B45:E63">
    <cfRule type="expression" dxfId="4530" priority="1547">
      <formula>AND($B45&lt;&gt;"",#REF!="")</formula>
    </cfRule>
    <cfRule type="expression" dxfId="4529" priority="1548">
      <formula>$B45=""</formula>
    </cfRule>
  </conditionalFormatting>
  <conditionalFormatting sqref="R70 F66:Q71">
    <cfRule type="expression" dxfId="4528" priority="1551">
      <formula>$F$65="SAMA DENGAN DATA"</formula>
    </cfRule>
  </conditionalFormatting>
  <conditionalFormatting sqref="F66:Q71">
    <cfRule type="expression" dxfId="4527" priority="1553">
      <formula>$F$65="kkm tunggal"</formula>
    </cfRule>
  </conditionalFormatting>
  <conditionalFormatting sqref="AW70:BG70 AL66:AV71">
    <cfRule type="expression" dxfId="4526" priority="1554">
      <formula>$AL$65="SAMA DENGAN DATA"</formula>
    </cfRule>
  </conditionalFormatting>
  <conditionalFormatting sqref="AL66:AV71">
    <cfRule type="expression" dxfId="4525" priority="1556">
      <formula>$AL$65="KKM TUNGGAL"</formula>
    </cfRule>
  </conditionalFormatting>
  <conditionalFormatting sqref="B61:E63">
    <cfRule type="expression" dxfId="4524" priority="2809">
      <formula>AND($B61&lt;&gt;"",$B65="")</formula>
    </cfRule>
    <cfRule type="expression" dxfId="4523" priority="2810">
      <formula>$B61=""</formula>
    </cfRule>
  </conditionalFormatting>
  <conditionalFormatting sqref="B50:E60">
    <cfRule type="expression" dxfId="4522" priority="2811">
      <formula>AND($B50&lt;&gt;"",#REF!="")</formula>
    </cfRule>
    <cfRule type="expression" dxfId="4521" priority="2812">
      <formula>$B50=""</formula>
    </cfRule>
  </conditionalFormatting>
  <conditionalFormatting sqref="U14:AB63 P51:S63 AV14:BE63 AE14:AK63 BH14:BN63 P14:P50 S14:S50">
    <cfRule type="expression" dxfId="4520" priority="191">
      <formula>AND($B14&lt;&gt;"",$B15="")</formula>
    </cfRule>
    <cfRule type="expression" dxfId="4519" priority="192">
      <formula>$B14=""</formula>
    </cfRule>
  </conditionalFormatting>
  <conditionalFormatting sqref="T14:T63">
    <cfRule type="expression" dxfId="4518" priority="189">
      <formula>AND($B14&lt;&gt;"",$B15="")</formula>
    </cfRule>
    <cfRule type="expression" dxfId="4517" priority="190">
      <formula>$B14=""</formula>
    </cfRule>
  </conditionalFormatting>
  <conditionalFormatting sqref="AV14">
    <cfRule type="expression" dxfId="4516" priority="187">
      <formula>AND($B14&lt;&gt;"",$B15="")</formula>
    </cfRule>
    <cfRule type="expression" dxfId="4515" priority="188">
      <formula>$B14=""</formula>
    </cfRule>
  </conditionalFormatting>
  <conditionalFormatting sqref="P56:S56 U56:AB56 BH56:BN56 AE56:AK56 AV56:BE56">
    <cfRule type="expression" dxfId="4514" priority="193">
      <formula>AND($B56&lt;&gt;"",$B63="")</formula>
    </cfRule>
    <cfRule type="expression" dxfId="4513" priority="194">
      <formula>$B56=""</formula>
    </cfRule>
  </conditionalFormatting>
  <conditionalFormatting sqref="P50 U50:AB50 BH50:BN50 AE50:AK50 AV50:BE50 S50">
    <cfRule type="expression" dxfId="4512" priority="195">
      <formula>AND($B50&lt;&gt;"",$B63="")</formula>
    </cfRule>
    <cfRule type="expression" dxfId="4511" priority="196">
      <formula>$B50=""</formula>
    </cfRule>
  </conditionalFormatting>
  <conditionalFormatting sqref="P43:P44 U43:AB44 BH43:BN44 AE43:AK44 AV43:BE44 S43:S44">
    <cfRule type="expression" dxfId="4510" priority="197">
      <formula>AND($B43&lt;&gt;"",$B62="")</formula>
    </cfRule>
    <cfRule type="expression" dxfId="4509" priority="198">
      <formula>$B43=""</formula>
    </cfRule>
  </conditionalFormatting>
  <conditionalFormatting sqref="P63:S63 U63:AB63 BH63:BN63 AE63:AK63 AV63:BE63">
    <cfRule type="expression" dxfId="4508" priority="199">
      <formula>AND($B63&lt;&gt;"",#REF!="")</formula>
    </cfRule>
    <cfRule type="expression" dxfId="4507" priority="200">
      <formula>$B63=""</formula>
    </cfRule>
  </conditionalFormatting>
  <conditionalFormatting sqref="P61:S61 U61:AB61 BH61:BN61 AE61:AK61 AV61:BE61">
    <cfRule type="expression" dxfId="4506" priority="201">
      <formula>AND($B61&lt;&gt;"",$B64="")</formula>
    </cfRule>
    <cfRule type="expression" dxfId="4505" priority="202">
      <formula>$B61=""</formula>
    </cfRule>
  </conditionalFormatting>
  <conditionalFormatting sqref="P57:S60 U57:AB60 BH57:BN60 AE57:AK60 AV57:BE60">
    <cfRule type="expression" dxfId="4504" priority="203">
      <formula>AND($B57&lt;&gt;"",#REF!="")</formula>
    </cfRule>
    <cfRule type="expression" dxfId="4503" priority="204">
      <formula>$B57=""</formula>
    </cfRule>
  </conditionalFormatting>
  <conditionalFormatting sqref="P55:S55 U55:AB55 BH55:BN55 AE55:AK55 AV55:BE55">
    <cfRule type="expression" dxfId="4502" priority="205">
      <formula>AND($B55&lt;&gt;"",$B64="")</formula>
    </cfRule>
    <cfRule type="expression" dxfId="4501" priority="206">
      <formula>$B55=""</formula>
    </cfRule>
  </conditionalFormatting>
  <conditionalFormatting sqref="P51:S54 U51:AB54 BH51:BN54 AE51:AK54 AV51:BE54">
    <cfRule type="expression" dxfId="4500" priority="207">
      <formula>AND($B51&lt;&gt;"",#REF!="")</formula>
    </cfRule>
    <cfRule type="expression" dxfId="4499" priority="208">
      <formula>$B51=""</formula>
    </cfRule>
  </conditionalFormatting>
  <conditionalFormatting sqref="I49:P49 U49:AK49 S49 AO49:BN49">
    <cfRule type="expression" dxfId="4498" priority="209">
      <formula>AND($B49&lt;&gt;"",$B64="")</formula>
    </cfRule>
    <cfRule type="expression" dxfId="4497" priority="210">
      <formula>$B49=""</formula>
    </cfRule>
  </conditionalFormatting>
  <conditionalFormatting sqref="P51:S63 U45:AB63 BH45:BN63 AE45:AK63 AV45:BE63 P45:P50 S45:S50">
    <cfRule type="expression" dxfId="4496" priority="211">
      <formula>AND($B45&lt;&gt;"",#REF!="")</formula>
    </cfRule>
    <cfRule type="expression" dxfId="4495" priority="212">
      <formula>$B45=""</formula>
    </cfRule>
  </conditionalFormatting>
  <conditionalFormatting sqref="T16:T63">
    <cfRule type="expression" dxfId="4494" priority="185">
      <formula>AND($B16&lt;&gt;"",$B17="")</formula>
    </cfRule>
    <cfRule type="expression" dxfId="4493" priority="186">
      <formula>$B16=""</formula>
    </cfRule>
  </conditionalFormatting>
  <conditionalFormatting sqref="U13:AB13 AX12:BG12">
    <cfRule type="expression" dxfId="4492" priority="184">
      <formula>COUNTA(U$14:U$63)&gt;0</formula>
    </cfRule>
  </conditionalFormatting>
  <conditionalFormatting sqref="F51:M63 I14:M50">
    <cfRule type="expression" dxfId="4491" priority="163">
      <formula>AND($B14&lt;&gt;"",$B15="")</formula>
    </cfRule>
    <cfRule type="expression" dxfId="4490" priority="164">
      <formula>$B14=""</formula>
    </cfRule>
  </conditionalFormatting>
  <conditionalFormatting sqref="F56:M56">
    <cfRule type="expression" dxfId="4489" priority="165">
      <formula>AND($B56&lt;&gt;"",$B63="")</formula>
    </cfRule>
    <cfRule type="expression" dxfId="4488" priority="166">
      <formula>$B56=""</formula>
    </cfRule>
  </conditionalFormatting>
  <conditionalFormatting sqref="I50:M50">
    <cfRule type="expression" dxfId="4487" priority="167">
      <formula>AND($B50&lt;&gt;"",$B63="")</formula>
    </cfRule>
    <cfRule type="expression" dxfId="4486" priority="168">
      <formula>$B50=""</formula>
    </cfRule>
  </conditionalFormatting>
  <conditionalFormatting sqref="I43:M44">
    <cfRule type="expression" dxfId="4485" priority="169">
      <formula>AND($B43&lt;&gt;"",$B62="")</formula>
    </cfRule>
    <cfRule type="expression" dxfId="4484" priority="170">
      <formula>$B43=""</formula>
    </cfRule>
  </conditionalFormatting>
  <conditionalFormatting sqref="F63:M63">
    <cfRule type="expression" dxfId="4483" priority="171">
      <formula>AND($B63&lt;&gt;"",#REF!="")</formula>
    </cfRule>
    <cfRule type="expression" dxfId="4482" priority="172">
      <formula>$B63=""</formula>
    </cfRule>
  </conditionalFormatting>
  <conditionalFormatting sqref="F61:M61">
    <cfRule type="expression" dxfId="4481" priority="173">
      <formula>AND($B61&lt;&gt;"",$B64="")</formula>
    </cfRule>
    <cfRule type="expression" dxfId="4480" priority="174">
      <formula>$B61=""</formula>
    </cfRule>
  </conditionalFormatting>
  <conditionalFormatting sqref="F57:M60">
    <cfRule type="expression" dxfId="4479" priority="175">
      <formula>AND($B57&lt;&gt;"",#REF!="")</formula>
    </cfRule>
    <cfRule type="expression" dxfId="4478" priority="176">
      <formula>$B57=""</formula>
    </cfRule>
  </conditionalFormatting>
  <conditionalFormatting sqref="F55:M55">
    <cfRule type="expression" dxfId="4477" priority="177">
      <formula>AND($B55&lt;&gt;"",$B64="")</formula>
    </cfRule>
    <cfRule type="expression" dxfId="4476" priority="178">
      <formula>$B55=""</formula>
    </cfRule>
  </conditionalFormatting>
  <conditionalFormatting sqref="F51:M54">
    <cfRule type="expression" dxfId="4475" priority="179">
      <formula>AND($B51&lt;&gt;"",#REF!="")</formula>
    </cfRule>
    <cfRule type="expression" dxfId="4474" priority="180">
      <formula>$B51=""</formula>
    </cfRule>
  </conditionalFormatting>
  <conditionalFormatting sqref="F51:M63 I45:M50">
    <cfRule type="expression" dxfId="4473" priority="181">
      <formula>AND($B45&lt;&gt;"",#REF!="")</formula>
    </cfRule>
    <cfRule type="expression" dxfId="4472" priority="182">
      <formula>$B45=""</formula>
    </cfRule>
  </conditionalFormatting>
  <conditionalFormatting sqref="F13:M13">
    <cfRule type="expression" dxfId="4471" priority="162">
      <formula>COUNTA(F$14:F$63)&gt;0</formula>
    </cfRule>
  </conditionalFormatting>
  <conditionalFormatting sqref="F51:M63 I14:M50">
    <cfRule type="expression" dxfId="4470" priority="183">
      <formula>COUNTIF($U14:$AB14,F14)&gt;1</formula>
    </cfRule>
  </conditionalFormatting>
  <conditionalFormatting sqref="AC14:AD63">
    <cfRule type="expression" dxfId="4469" priority="142">
      <formula>AND($B14&lt;&gt;"",$B15="")</formula>
    </cfRule>
    <cfRule type="expression" dxfId="4468" priority="143">
      <formula>$B14=""</formula>
    </cfRule>
  </conditionalFormatting>
  <conditionalFormatting sqref="AC56:AD56">
    <cfRule type="expression" dxfId="4467" priority="144">
      <formula>AND($B56&lt;&gt;"",$B63="")</formula>
    </cfRule>
    <cfRule type="expression" dxfId="4466" priority="145">
      <formula>$B56=""</formula>
    </cfRule>
  </conditionalFormatting>
  <conditionalFormatting sqref="AC50:AD50">
    <cfRule type="expression" dxfId="4465" priority="146">
      <formula>AND($B50&lt;&gt;"",$B63="")</formula>
    </cfRule>
    <cfRule type="expression" dxfId="4464" priority="147">
      <formula>$B50=""</formula>
    </cfRule>
  </conditionalFormatting>
  <conditionalFormatting sqref="AC43:AD44">
    <cfRule type="expression" dxfId="4463" priority="148">
      <formula>AND($B43&lt;&gt;"",$B62="")</formula>
    </cfRule>
    <cfRule type="expression" dxfId="4462" priority="149">
      <formula>$B43=""</formula>
    </cfRule>
  </conditionalFormatting>
  <conditionalFormatting sqref="AC63:AD63">
    <cfRule type="expression" dxfId="4461" priority="150">
      <formula>AND($B63&lt;&gt;"",#REF!="")</formula>
    </cfRule>
    <cfRule type="expression" dxfId="4460" priority="151">
      <formula>$B63=""</formula>
    </cfRule>
  </conditionalFormatting>
  <conditionalFormatting sqref="AC61:AD61">
    <cfRule type="expression" dxfId="4459" priority="152">
      <formula>AND($B61&lt;&gt;"",$B64="")</formula>
    </cfRule>
    <cfRule type="expression" dxfId="4458" priority="153">
      <formula>$B61=""</formula>
    </cfRule>
  </conditionalFormatting>
  <conditionalFormatting sqref="AC57:AD60">
    <cfRule type="expression" dxfId="4457" priority="154">
      <formula>AND($B57&lt;&gt;"",#REF!="")</formula>
    </cfRule>
    <cfRule type="expression" dxfId="4456" priority="155">
      <formula>$B57=""</formula>
    </cfRule>
  </conditionalFormatting>
  <conditionalFormatting sqref="AC55:AD55">
    <cfRule type="expression" dxfId="4455" priority="156">
      <formula>AND($B55&lt;&gt;"",$B64="")</formula>
    </cfRule>
    <cfRule type="expression" dxfId="4454" priority="157">
      <formula>$B55=""</formula>
    </cfRule>
  </conditionalFormatting>
  <conditionalFormatting sqref="AC51:AD54">
    <cfRule type="expression" dxfId="4453" priority="158">
      <formula>AND($B51&lt;&gt;"",#REF!="")</formula>
    </cfRule>
    <cfRule type="expression" dxfId="4452" priority="159">
      <formula>$B51=""</formula>
    </cfRule>
  </conditionalFormatting>
  <conditionalFormatting sqref="AC45:AD63">
    <cfRule type="expression" dxfId="4451" priority="160">
      <formula>AND($B45&lt;&gt;"",#REF!="")</formula>
    </cfRule>
    <cfRule type="expression" dxfId="4450" priority="161">
      <formula>$B45=""</formula>
    </cfRule>
  </conditionalFormatting>
  <conditionalFormatting sqref="AC13:AD13">
    <cfRule type="expression" dxfId="4449" priority="141">
      <formula>COUNTA(AC$14:AC$63)&gt;0</formula>
    </cfRule>
  </conditionalFormatting>
  <conditionalFormatting sqref="N14:O63">
    <cfRule type="expression" dxfId="4448" priority="120">
      <formula>AND($B14&lt;&gt;"",$B15="")</formula>
    </cfRule>
    <cfRule type="expression" dxfId="4447" priority="121">
      <formula>$B14=""</formula>
    </cfRule>
  </conditionalFormatting>
  <conditionalFormatting sqref="N56:O56">
    <cfRule type="expression" dxfId="4446" priority="122">
      <formula>AND($B56&lt;&gt;"",$B63="")</formula>
    </cfRule>
    <cfRule type="expression" dxfId="4445" priority="123">
      <formula>$B56=""</formula>
    </cfRule>
  </conditionalFormatting>
  <conditionalFormatting sqref="N50:O50">
    <cfRule type="expression" dxfId="4444" priority="124">
      <formula>AND($B50&lt;&gt;"",$B63="")</formula>
    </cfRule>
    <cfRule type="expression" dxfId="4443" priority="125">
      <formula>$B50=""</formula>
    </cfRule>
  </conditionalFormatting>
  <conditionalFormatting sqref="N43:O44">
    <cfRule type="expression" dxfId="4442" priority="126">
      <formula>AND($B43&lt;&gt;"",$B62="")</formula>
    </cfRule>
    <cfRule type="expression" dxfId="4441" priority="127">
      <formula>$B43=""</formula>
    </cfRule>
  </conditionalFormatting>
  <conditionalFormatting sqref="N63:O63">
    <cfRule type="expression" dxfId="4440" priority="128">
      <formula>AND($B63&lt;&gt;"",#REF!="")</formula>
    </cfRule>
    <cfRule type="expression" dxfId="4439" priority="129">
      <formula>$B63=""</formula>
    </cfRule>
  </conditionalFormatting>
  <conditionalFormatting sqref="N61:O61">
    <cfRule type="expression" dxfId="4438" priority="130">
      <formula>AND($B61&lt;&gt;"",$B64="")</formula>
    </cfRule>
    <cfRule type="expression" dxfId="4437" priority="131">
      <formula>$B61=""</formula>
    </cfRule>
  </conditionalFormatting>
  <conditionalFormatting sqref="N57:O60">
    <cfRule type="expression" dxfId="4436" priority="132">
      <formula>AND($B57&lt;&gt;"",#REF!="")</formula>
    </cfRule>
    <cfRule type="expression" dxfId="4435" priority="133">
      <formula>$B57=""</formula>
    </cfRule>
  </conditionalFormatting>
  <conditionalFormatting sqref="N55:O55">
    <cfRule type="expression" dxfId="4434" priority="134">
      <formula>AND($B55&lt;&gt;"",$B64="")</formula>
    </cfRule>
    <cfRule type="expression" dxfId="4433" priority="135">
      <formula>$B55=""</formula>
    </cfRule>
  </conditionalFormatting>
  <conditionalFormatting sqref="N51:O54">
    <cfRule type="expression" dxfId="4432" priority="136">
      <formula>AND($B51&lt;&gt;"",#REF!="")</formula>
    </cfRule>
    <cfRule type="expression" dxfId="4431" priority="137">
      <formula>$B51=""</formula>
    </cfRule>
  </conditionalFormatting>
  <conditionalFormatting sqref="N45:O63">
    <cfRule type="expression" dxfId="4430" priority="138">
      <formula>AND($B45&lt;&gt;"",#REF!="")</formula>
    </cfRule>
    <cfRule type="expression" dxfId="4429" priority="139">
      <formula>$B45=""</formula>
    </cfRule>
  </conditionalFormatting>
  <conditionalFormatting sqref="N13:O13">
    <cfRule type="expression" dxfId="4428" priority="119">
      <formula>COUNTA(N$14:N$63)&gt;0</formula>
    </cfRule>
  </conditionalFormatting>
  <conditionalFormatting sqref="N14:O63">
    <cfRule type="expression" dxfId="4427" priority="140">
      <formula>COUNTIF($U14:$AB14,N14)&gt;1</formula>
    </cfRule>
  </conditionalFormatting>
  <conditionalFormatting sqref="BF14:BG63">
    <cfRule type="expression" dxfId="4426" priority="99">
      <formula>AND($B14&lt;&gt;"",$B15="")</formula>
    </cfRule>
    <cfRule type="expression" dxfId="4425" priority="100">
      <formula>$B14=""</formula>
    </cfRule>
  </conditionalFormatting>
  <conditionalFormatting sqref="BF56:BG56">
    <cfRule type="expression" dxfId="4424" priority="101">
      <formula>AND($B56&lt;&gt;"",$B63="")</formula>
    </cfRule>
    <cfRule type="expression" dxfId="4423" priority="102">
      <formula>$B56=""</formula>
    </cfRule>
  </conditionalFormatting>
  <conditionalFormatting sqref="BF50:BG50">
    <cfRule type="expression" dxfId="4422" priority="103">
      <formula>AND($B50&lt;&gt;"",$B63="")</formula>
    </cfRule>
    <cfRule type="expression" dxfId="4421" priority="104">
      <formula>$B50=""</formula>
    </cfRule>
  </conditionalFormatting>
  <conditionalFormatting sqref="BF43:BG44">
    <cfRule type="expression" dxfId="4420" priority="105">
      <formula>AND($B43&lt;&gt;"",$B62="")</formula>
    </cfRule>
    <cfRule type="expression" dxfId="4419" priority="106">
      <formula>$B43=""</formula>
    </cfRule>
  </conditionalFormatting>
  <conditionalFormatting sqref="BF63:BG63">
    <cfRule type="expression" dxfId="4418" priority="107">
      <formula>AND($B63&lt;&gt;"",#REF!="")</formula>
    </cfRule>
    <cfRule type="expression" dxfId="4417" priority="108">
      <formula>$B63=""</formula>
    </cfRule>
  </conditionalFormatting>
  <conditionalFormatting sqref="BF61:BG61">
    <cfRule type="expression" dxfId="4416" priority="109">
      <formula>AND($B61&lt;&gt;"",$B64="")</formula>
    </cfRule>
    <cfRule type="expression" dxfId="4415" priority="110">
      <formula>$B61=""</formula>
    </cfRule>
  </conditionalFormatting>
  <conditionalFormatting sqref="BF57:BG60">
    <cfRule type="expression" dxfId="4414" priority="111">
      <formula>AND($B57&lt;&gt;"",#REF!="")</formula>
    </cfRule>
    <cfRule type="expression" dxfId="4413" priority="112">
      <formula>$B57=""</formula>
    </cfRule>
  </conditionalFormatting>
  <conditionalFormatting sqref="BF55:BG55">
    <cfRule type="expression" dxfId="4412" priority="113">
      <formula>AND($B55&lt;&gt;"",$B64="")</formula>
    </cfRule>
    <cfRule type="expression" dxfId="4411" priority="114">
      <formula>$B55=""</formula>
    </cfRule>
  </conditionalFormatting>
  <conditionalFormatting sqref="BF51:BG54">
    <cfRule type="expression" dxfId="4410" priority="115">
      <formula>AND($B51&lt;&gt;"",#REF!="")</formula>
    </cfRule>
    <cfRule type="expression" dxfId="4409" priority="116">
      <formula>$B51=""</formula>
    </cfRule>
  </conditionalFormatting>
  <conditionalFormatting sqref="BF45:BG63">
    <cfRule type="expression" dxfId="4408" priority="117">
      <formula>AND($B45&lt;&gt;"",#REF!="")</formula>
    </cfRule>
    <cfRule type="expression" dxfId="4407" priority="118">
      <formula>$B45=""</formula>
    </cfRule>
  </conditionalFormatting>
  <conditionalFormatting sqref="AL51:AS63 AO14:AS50">
    <cfRule type="expression" dxfId="4406" priority="78">
      <formula>AND($B14&lt;&gt;"",$B15="")</formula>
    </cfRule>
    <cfRule type="expression" dxfId="4405" priority="79">
      <formula>$B14=""</formula>
    </cfRule>
  </conditionalFormatting>
  <conditionalFormatting sqref="AL56:AS56">
    <cfRule type="expression" dxfId="4404" priority="80">
      <formula>AND($B56&lt;&gt;"",$B63="")</formula>
    </cfRule>
    <cfRule type="expression" dxfId="4403" priority="81">
      <formula>$B56=""</formula>
    </cfRule>
  </conditionalFormatting>
  <conditionalFormatting sqref="AO50:AS50">
    <cfRule type="expression" dxfId="4402" priority="82">
      <formula>AND($B50&lt;&gt;"",$B63="")</formula>
    </cfRule>
    <cfRule type="expression" dxfId="4401" priority="83">
      <formula>$B50=""</formula>
    </cfRule>
  </conditionalFormatting>
  <conditionalFormatting sqref="AO43:AS44">
    <cfRule type="expression" dxfId="4400" priority="84">
      <formula>AND($B43&lt;&gt;"",$B62="")</formula>
    </cfRule>
    <cfRule type="expression" dxfId="4399" priority="85">
      <formula>$B43=""</formula>
    </cfRule>
  </conditionalFormatting>
  <conditionalFormatting sqref="AL63:AS63">
    <cfRule type="expression" dxfId="4398" priority="86">
      <formula>AND($B63&lt;&gt;"",#REF!="")</formula>
    </cfRule>
    <cfRule type="expression" dxfId="4397" priority="87">
      <formula>$B63=""</formula>
    </cfRule>
  </conditionalFormatting>
  <conditionalFormatting sqref="AL61:AS61">
    <cfRule type="expression" dxfId="4396" priority="88">
      <formula>AND($B61&lt;&gt;"",$B64="")</formula>
    </cfRule>
    <cfRule type="expression" dxfId="4395" priority="89">
      <formula>$B61=""</formula>
    </cfRule>
  </conditionalFormatting>
  <conditionalFormatting sqref="AL57:AS60">
    <cfRule type="expression" dxfId="4394" priority="90">
      <formula>AND($B57&lt;&gt;"",#REF!="")</formula>
    </cfRule>
    <cfRule type="expression" dxfId="4393" priority="91">
      <formula>$B57=""</formula>
    </cfRule>
  </conditionalFormatting>
  <conditionalFormatting sqref="AL55:AS55">
    <cfRule type="expression" dxfId="4392" priority="92">
      <formula>AND($B55&lt;&gt;"",$B64="")</formula>
    </cfRule>
    <cfRule type="expression" dxfId="4391" priority="93">
      <formula>$B55=""</formula>
    </cfRule>
  </conditionalFormatting>
  <conditionalFormatting sqref="AL51:AS54">
    <cfRule type="expression" dxfId="4390" priority="94">
      <formula>AND($B51&lt;&gt;"",#REF!="")</formula>
    </cfRule>
    <cfRule type="expression" dxfId="4389" priority="95">
      <formula>$B51=""</formula>
    </cfRule>
  </conditionalFormatting>
  <conditionalFormatting sqref="AL51:AS63 AO45:AS50">
    <cfRule type="expression" dxfId="4388" priority="96">
      <formula>AND($B45&lt;&gt;"",#REF!="")</formula>
    </cfRule>
    <cfRule type="expression" dxfId="4387" priority="97">
      <formula>$B45=""</formula>
    </cfRule>
  </conditionalFormatting>
  <conditionalFormatting sqref="AL12:AU12">
    <cfRule type="expression" dxfId="4386" priority="77">
      <formula>COUNTA(AL$14:AL$63)&gt;0</formula>
    </cfRule>
  </conditionalFormatting>
  <conditionalFormatting sqref="AT14:AU63">
    <cfRule type="expression" dxfId="4385" priority="57">
      <formula>AND($B14&lt;&gt;"",$B15="")</formula>
    </cfRule>
    <cfRule type="expression" dxfId="4384" priority="58">
      <formula>$B14=""</formula>
    </cfRule>
  </conditionalFormatting>
  <conditionalFormatting sqref="AT56:AU56">
    <cfRule type="expression" dxfId="4383" priority="59">
      <formula>AND($B56&lt;&gt;"",$B63="")</formula>
    </cfRule>
    <cfRule type="expression" dxfId="4382" priority="60">
      <formula>$B56=""</formula>
    </cfRule>
  </conditionalFormatting>
  <conditionalFormatting sqref="AT50:AU50">
    <cfRule type="expression" dxfId="4381" priority="61">
      <formula>AND($B50&lt;&gt;"",$B63="")</formula>
    </cfRule>
    <cfRule type="expression" dxfId="4380" priority="62">
      <formula>$B50=""</formula>
    </cfRule>
  </conditionalFormatting>
  <conditionalFormatting sqref="AT43:AU44">
    <cfRule type="expression" dxfId="4379" priority="63">
      <formula>AND($B43&lt;&gt;"",$B62="")</formula>
    </cfRule>
    <cfRule type="expression" dxfId="4378" priority="64">
      <formula>$B43=""</formula>
    </cfRule>
  </conditionalFormatting>
  <conditionalFormatting sqref="AT63:AU63">
    <cfRule type="expression" dxfId="4377" priority="65">
      <formula>AND($B63&lt;&gt;"",#REF!="")</formula>
    </cfRule>
    <cfRule type="expression" dxfId="4376" priority="66">
      <formula>$B63=""</formula>
    </cfRule>
  </conditionalFormatting>
  <conditionalFormatting sqref="AT61:AU61">
    <cfRule type="expression" dxfId="4375" priority="67">
      <formula>AND($B61&lt;&gt;"",$B64="")</formula>
    </cfRule>
    <cfRule type="expression" dxfId="4374" priority="68">
      <formula>$B61=""</formula>
    </cfRule>
  </conditionalFormatting>
  <conditionalFormatting sqref="AT57:AU60">
    <cfRule type="expression" dxfId="4373" priority="69">
      <formula>AND($B57&lt;&gt;"",#REF!="")</formula>
    </cfRule>
    <cfRule type="expression" dxfId="4372" priority="70">
      <formula>$B57=""</formula>
    </cfRule>
  </conditionalFormatting>
  <conditionalFormatting sqref="AT55:AU55">
    <cfRule type="expression" dxfId="4371" priority="71">
      <formula>AND($B55&lt;&gt;"",$B64="")</formula>
    </cfRule>
    <cfRule type="expression" dxfId="4370" priority="72">
      <formula>$B55=""</formula>
    </cfRule>
  </conditionalFormatting>
  <conditionalFormatting sqref="AT51:AU54">
    <cfRule type="expression" dxfId="4369" priority="73">
      <formula>AND($B51&lt;&gt;"",#REF!="")</formula>
    </cfRule>
    <cfRule type="expression" dxfId="4368" priority="74">
      <formula>$B51=""</formula>
    </cfRule>
  </conditionalFormatting>
  <conditionalFormatting sqref="AT45:AU63">
    <cfRule type="expression" dxfId="4367" priority="75">
      <formula>AND($B45&lt;&gt;"",#REF!="")</formula>
    </cfRule>
    <cfRule type="expression" dxfId="4366" priority="76">
      <formula>$B45=""</formula>
    </cfRule>
  </conditionalFormatting>
  <conditionalFormatting sqref="AL51:AU63 AO14:AU50">
    <cfRule type="expression" dxfId="4365" priority="98">
      <formula>COUNTIF($AX14:$BE14,AL14)&gt;1</formula>
    </cfRule>
  </conditionalFormatting>
  <conditionalFormatting sqref="F61:S63 U61:BN63">
    <cfRule type="expression" dxfId="4364" priority="213">
      <formula>AND($B61&lt;&gt;"",$B65="")</formula>
    </cfRule>
    <cfRule type="expression" dxfId="4363" priority="214">
      <formula>$B61=""</formula>
    </cfRule>
  </conditionalFormatting>
  <conditionalFormatting sqref="F51:S60 U51:BN60 I50:P50 S50 U50:AK50 AO50:BN50">
    <cfRule type="expression" dxfId="4362" priority="215">
      <formula>AND($B50&lt;&gt;"",#REF!="")</formula>
    </cfRule>
    <cfRule type="expression" dxfId="4361" priority="216">
      <formula>$B50=""</formula>
    </cfRule>
  </conditionalFormatting>
  <conditionalFormatting sqref="T2">
    <cfRule type="expression" dxfId="4360" priority="56">
      <formula>COUNTA(F$14:F$63)&gt;0</formula>
    </cfRule>
  </conditionalFormatting>
  <conditionalFormatting sqref="T3">
    <cfRule type="expression" dxfId="4359" priority="217">
      <formula>COUNTA(G$14:G$63)&gt;0</formula>
    </cfRule>
  </conditionalFormatting>
  <conditionalFormatting sqref="T4">
    <cfRule type="expression" dxfId="4358" priority="218">
      <formula>COUNTA(H$14:H$63)&gt;0</formula>
    </cfRule>
  </conditionalFormatting>
  <conditionalFormatting sqref="T5">
    <cfRule type="expression" dxfId="4357" priority="219">
      <formula>COUNTA(I$14:I$63)&gt;0</formula>
    </cfRule>
  </conditionalFormatting>
  <conditionalFormatting sqref="T7">
    <cfRule type="expression" dxfId="4356" priority="55">
      <formula>COUNTA(K$14:K$63)&gt;0</formula>
    </cfRule>
  </conditionalFormatting>
  <conditionalFormatting sqref="T11">
    <cfRule type="expression" dxfId="4355" priority="220">
      <formula>COUNTA(O$14:O$63)&gt;0</formula>
    </cfRule>
  </conditionalFormatting>
  <conditionalFormatting sqref="T10">
    <cfRule type="expression" dxfId="4354" priority="221">
      <formula>COUNTA(N$14:N$63)&gt;0</formula>
    </cfRule>
  </conditionalFormatting>
  <conditionalFormatting sqref="T9">
    <cfRule type="expression" dxfId="4353" priority="222">
      <formula>COUNTA(M$14:M$63)&gt;0</formula>
    </cfRule>
  </conditionalFormatting>
  <conditionalFormatting sqref="T8">
    <cfRule type="expression" dxfId="4352" priority="223">
      <formula>COUNTA(L$14:L$63)&gt;0</formula>
    </cfRule>
  </conditionalFormatting>
  <conditionalFormatting sqref="T6">
    <cfRule type="expression" dxfId="4351" priority="54">
      <formula>COUNTA(J$14:J$63)&gt;0</formula>
    </cfRule>
  </conditionalFormatting>
  <conditionalFormatting sqref="AW2">
    <cfRule type="expression" dxfId="4350" priority="53">
      <formula>COUNTA(AL$14:AL$63)&gt;0</formula>
    </cfRule>
  </conditionalFormatting>
  <conditionalFormatting sqref="AW3">
    <cfRule type="expression" dxfId="4349" priority="52">
      <formula>COUNTA(AM$14:AM$63)&gt;0</formula>
    </cfRule>
  </conditionalFormatting>
  <conditionalFormatting sqref="AW4">
    <cfRule type="expression" dxfId="4348" priority="51">
      <formula>COUNTA(AN$14:AN$63)&gt;0</formula>
    </cfRule>
  </conditionalFormatting>
  <conditionalFormatting sqref="AW5">
    <cfRule type="expression" dxfId="4347" priority="50">
      <formula>COUNTA(AO$14:AO$63)&gt;0</formula>
    </cfRule>
  </conditionalFormatting>
  <conditionalFormatting sqref="AW6">
    <cfRule type="expression" dxfId="4346" priority="49">
      <formula>COUNTA(AP$14:AP$63)&gt;0</formula>
    </cfRule>
  </conditionalFormatting>
  <conditionalFormatting sqref="AW7">
    <cfRule type="expression" dxfId="4345" priority="48">
      <formula>COUNTA(AQ$14:AQ$63)&gt;0</formula>
    </cfRule>
  </conditionalFormatting>
  <conditionalFormatting sqref="AW8">
    <cfRule type="expression" dxfId="4344" priority="47">
      <formula>COUNTA(AR$14:AR$63)&gt;0</formula>
    </cfRule>
  </conditionalFormatting>
  <conditionalFormatting sqref="AW9">
    <cfRule type="expression" dxfId="4343" priority="46">
      <formula>COUNTA(AS$14:AS$63)&gt;0</formula>
    </cfRule>
  </conditionalFormatting>
  <conditionalFormatting sqref="AW10">
    <cfRule type="expression" dxfId="4342" priority="45">
      <formula>COUNTA(AT$14:AT$63)&gt;0</formula>
    </cfRule>
  </conditionalFormatting>
  <conditionalFormatting sqref="AW11">
    <cfRule type="expression" dxfId="4341" priority="44">
      <formula>COUNTA(AU$14:AU$63)&gt;0</formula>
    </cfRule>
  </conditionalFormatting>
  <conditionalFormatting sqref="F49:H49">
    <cfRule type="expression" dxfId="4340" priority="40">
      <formula>AND($B49&lt;&gt;"",$B64="")</formula>
    </cfRule>
    <cfRule type="expression" dxfId="4339" priority="41">
      <formula>$B49=""</formula>
    </cfRule>
  </conditionalFormatting>
  <conditionalFormatting sqref="F49:H50">
    <cfRule type="expression" dxfId="4338" priority="33">
      <formula>AND($B49&lt;&gt;"",$B50="")</formula>
    </cfRule>
    <cfRule type="expression" dxfId="4337" priority="34">
      <formula>$B49=""</formula>
    </cfRule>
  </conditionalFormatting>
  <conditionalFormatting sqref="F50:H50">
    <cfRule type="expression" dxfId="4336" priority="35">
      <formula>AND($B50&lt;&gt;"",$B63="")</formula>
    </cfRule>
    <cfRule type="expression" dxfId="4335" priority="36">
      <formula>$B50=""</formula>
    </cfRule>
  </conditionalFormatting>
  <conditionalFormatting sqref="F49:H50">
    <cfRule type="expression" dxfId="4334" priority="37">
      <formula>AND($B49&lt;&gt;"",#REF!="")</formula>
    </cfRule>
    <cfRule type="expression" dxfId="4333" priority="38">
      <formula>$B49=""</formula>
    </cfRule>
  </conditionalFormatting>
  <conditionalFormatting sqref="F49:H50">
    <cfRule type="expression" dxfId="4332" priority="39">
      <formula>COUNTIF($U49:$AB49,F49)&gt;1</formula>
    </cfRule>
  </conditionalFormatting>
  <conditionalFormatting sqref="F50:H50">
    <cfRule type="expression" dxfId="4331" priority="42">
      <formula>AND($B50&lt;&gt;"",#REF!="")</formula>
    </cfRule>
    <cfRule type="expression" dxfId="4330" priority="43">
      <formula>$B50=""</formula>
    </cfRule>
  </conditionalFormatting>
  <conditionalFormatting sqref="F14:H48">
    <cfRule type="expression" dxfId="4329" priority="26">
      <formula>AND($B14&lt;&gt;"",$B15="")</formula>
    </cfRule>
    <cfRule type="expression" dxfId="4328" priority="27">
      <formula>$B14=""</formula>
    </cfRule>
  </conditionalFormatting>
  <conditionalFormatting sqref="F43:H44">
    <cfRule type="expression" dxfId="4327" priority="28">
      <formula>AND($B43&lt;&gt;"",$B62="")</formula>
    </cfRule>
    <cfRule type="expression" dxfId="4326" priority="29">
      <formula>$B43=""</formula>
    </cfRule>
  </conditionalFormatting>
  <conditionalFormatting sqref="F45:H48">
    <cfRule type="expression" dxfId="4325" priority="30">
      <formula>AND($B45&lt;&gt;"",#REF!="")</formula>
    </cfRule>
    <cfRule type="expression" dxfId="4324" priority="31">
      <formula>$B45=""</formula>
    </cfRule>
  </conditionalFormatting>
  <conditionalFormatting sqref="F14:H48">
    <cfRule type="expression" dxfId="4323" priority="32">
      <formula>COUNTIF($U14:$AB14,F14)&gt;1</formula>
    </cfRule>
  </conditionalFormatting>
  <conditionalFormatting sqref="Q14:R50">
    <cfRule type="expression" dxfId="4322" priority="14">
      <formula>AND($B14&lt;&gt;"",$B15="")</formula>
    </cfRule>
    <cfRule type="expression" dxfId="4321" priority="15">
      <formula>$B14=""</formula>
    </cfRule>
  </conditionalFormatting>
  <conditionalFormatting sqref="Q50:R50">
    <cfRule type="expression" dxfId="4320" priority="16">
      <formula>AND($B50&lt;&gt;"",$B63="")</formula>
    </cfRule>
    <cfRule type="expression" dxfId="4319" priority="17">
      <formula>$B50=""</formula>
    </cfRule>
  </conditionalFormatting>
  <conditionalFormatting sqref="Q43:R44">
    <cfRule type="expression" dxfId="4318" priority="18">
      <formula>AND($B43&lt;&gt;"",$B62="")</formula>
    </cfRule>
    <cfRule type="expression" dxfId="4317" priority="19">
      <formula>$B43=""</formula>
    </cfRule>
  </conditionalFormatting>
  <conditionalFormatting sqref="Q49:R49">
    <cfRule type="expression" dxfId="4316" priority="20">
      <formula>AND($B49&lt;&gt;"",$B64="")</formula>
    </cfRule>
    <cfRule type="expression" dxfId="4315" priority="21">
      <formula>$B49=""</formula>
    </cfRule>
  </conditionalFormatting>
  <conditionalFormatting sqref="Q45:R50">
    <cfRule type="expression" dxfId="4314" priority="22">
      <formula>AND($B45&lt;&gt;"",#REF!="")</formula>
    </cfRule>
    <cfRule type="expression" dxfId="4313" priority="23">
      <formula>$B45=""</formula>
    </cfRule>
  </conditionalFormatting>
  <conditionalFormatting sqref="Q50:R50">
    <cfRule type="expression" dxfId="4312" priority="24">
      <formula>AND($B50&lt;&gt;"",#REF!="")</formula>
    </cfRule>
    <cfRule type="expression" dxfId="4311" priority="25">
      <formula>$B50=""</formula>
    </cfRule>
  </conditionalFormatting>
  <conditionalFormatting sqref="AL49:AN49">
    <cfRule type="expression" dxfId="4310" priority="10">
      <formula>AND($B49&lt;&gt;"",$B64="")</formula>
    </cfRule>
    <cfRule type="expression" dxfId="4309" priority="11">
      <formula>$B49=""</formula>
    </cfRule>
  </conditionalFormatting>
  <conditionalFormatting sqref="AL14:AN50">
    <cfRule type="expression" dxfId="4308" priority="1">
      <formula>AND($B14&lt;&gt;"",$B15="")</formula>
    </cfRule>
    <cfRule type="expression" dxfId="4307" priority="2">
      <formula>$B14=""</formula>
    </cfRule>
  </conditionalFormatting>
  <conditionalFormatting sqref="AL50:AN50">
    <cfRule type="expression" dxfId="4306" priority="3">
      <formula>AND($B50&lt;&gt;"",$B63="")</formula>
    </cfRule>
    <cfRule type="expression" dxfId="4305" priority="4">
      <formula>$B50=""</formula>
    </cfRule>
  </conditionalFormatting>
  <conditionalFormatting sqref="AL43:AN44">
    <cfRule type="expression" dxfId="4304" priority="5">
      <formula>AND($B43&lt;&gt;"",$B62="")</formula>
    </cfRule>
    <cfRule type="expression" dxfId="4303" priority="6">
      <formula>$B43=""</formula>
    </cfRule>
  </conditionalFormatting>
  <conditionalFormatting sqref="AL45:AN50">
    <cfRule type="expression" dxfId="4302" priority="7">
      <formula>AND($B45&lt;&gt;"",#REF!="")</formula>
    </cfRule>
    <cfRule type="expression" dxfId="4301" priority="8">
      <formula>$B45=""</formula>
    </cfRule>
  </conditionalFormatting>
  <conditionalFormatting sqref="AL14:AN50">
    <cfRule type="expression" dxfId="4300" priority="9">
      <formula>COUNTIF($AX14:$BE14,AL14)&gt;1</formula>
    </cfRule>
  </conditionalFormatting>
  <conditionalFormatting sqref="AL50:AN50">
    <cfRule type="expression" dxfId="4299" priority="12">
      <formula>AND($B50&lt;&gt;"",#REF!="")</formula>
    </cfRule>
    <cfRule type="expression" dxfId="4298" priority="13">
      <formula>$B50=""</formula>
    </cfRule>
  </conditionalFormatting>
  <dataValidations count="6">
    <dataValidation allowBlank="1" showInputMessage="1" showErrorMessage="1" prompt="KKM" sqref="H69:H70"/>
    <dataValidation type="whole" allowBlank="1" showInputMessage="1" showErrorMessage="1" errorTitle="Petunjuk" error="Nilai 0-100" sqref="F14:O63 Q14:R63 AL14:AU63">
      <formula1>0</formula1>
      <formula2>100</formula2>
    </dataValidation>
    <dataValidation allowBlank="1" showInputMessage="1" showErrorMessage="1" prompt="Rata-rata Harian" sqref="P12 AV12"/>
    <dataValidation allowBlank="1" showInputMessage="1" showErrorMessage="1" promptTitle="Tulis Bobot Nilai" prompt="Berupa Nilai Praktik, Portofolio atau Proyek._x000a_Bobot Praktik disarankan lebih tinggi" sqref="AL13:AU13 AX13:BG13"/>
    <dataValidation allowBlank="1" showInputMessage="1" showErrorMessage="1" prompt="Bobot Nilai" sqref="P13:R13 BH11 AE12:AF12"/>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0866141732283472" right="0.43307086614173229" top="0.27559055118110237" bottom="0.31496062992125984" header="0.31496062992125984" footer="0.23622047244094491"/>
  <pageSetup paperSize="9" orientation="landscape" blackAndWhite="1"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00FF"/>
  </sheetPr>
  <dimension ref="A1:DG97"/>
  <sheetViews>
    <sheetView showGridLines="0" showRowColHeaders="0" workbookViewId="0">
      <pane xSplit="5" ySplit="13" topLeftCell="F14" activePane="bottomRight" state="frozen"/>
      <selection activeCell="AW5" sqref="AW5:BN7"/>
      <selection pane="topRight" activeCell="AW5" sqref="AW5:BN7"/>
      <selection pane="bottomLeft" activeCell="AW5" sqref="AW5:BN7"/>
      <selection pane="bottomRight" activeCell="AL14" sqref="AL14:AP50"/>
    </sheetView>
  </sheetViews>
  <sheetFormatPr defaultColWidth="0" defaultRowHeight="0" customHeight="1"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t="str">
        <f>Data2!C11</f>
        <v>Pendidikan Jasmani Olahraga dan Kesehatan</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74" t="s">
        <v>1639</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79" t="s">
        <v>1644</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1640</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1645</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1641</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1646</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t="s">
        <v>1642</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1647</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1643</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1648</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1142</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1269</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1143</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1270</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1144</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1271</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1145</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1272</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1146</v>
      </c>
      <c r="AL11" s="1800"/>
      <c r="AM11" s="1803"/>
      <c r="AN11" s="1803"/>
      <c r="AO11" s="1803"/>
      <c r="AP11" s="1803"/>
      <c r="AQ11" s="1803"/>
      <c r="AR11" s="1803"/>
      <c r="AS11" s="1803"/>
      <c r="AT11" s="1803"/>
      <c r="AU11" s="1804"/>
      <c r="AV11" s="1196">
        <v>10</v>
      </c>
      <c r="AW11" s="1197" t="s">
        <v>929</v>
      </c>
      <c r="AX11" s="1198">
        <f t="shared" ref="AX11:BG11" si="1">IF(COUNT(AX14:AX63)&gt;0,AX13,"")</f>
        <v>1</v>
      </c>
      <c r="AY11" s="1198">
        <f t="shared" si="1"/>
        <v>1</v>
      </c>
      <c r="AZ11" s="1198">
        <f t="shared" si="1"/>
        <v>1</v>
      </c>
      <c r="BA11" s="1198">
        <f t="shared" si="1"/>
        <v>1</v>
      </c>
      <c r="BB11" s="1198">
        <f t="shared" si="1"/>
        <v>1</v>
      </c>
      <c r="BC11" s="1198" t="str">
        <f t="shared" si="1"/>
        <v/>
      </c>
      <c r="BD11" s="1198" t="str">
        <f t="shared" si="1"/>
        <v/>
      </c>
      <c r="BE11" s="1198" t="str">
        <f t="shared" si="1"/>
        <v/>
      </c>
      <c r="BF11" s="1198" t="str">
        <f t="shared" si="1"/>
        <v/>
      </c>
      <c r="BG11" s="1198" t="str">
        <f t="shared" si="1"/>
        <v/>
      </c>
      <c r="BH11" s="1198">
        <f>SUM(AX11:BG11)</f>
        <v>5</v>
      </c>
      <c r="BI11" s="1199"/>
      <c r="BJ11" s="1199"/>
      <c r="BK11" s="1199"/>
      <c r="BL11" s="1199"/>
      <c r="BM11" s="1199"/>
      <c r="BN11" s="1186" t="s">
        <v>1273</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f t="shared" ref="U12:AD12" si="2">IF(COUNT(U14:U63)&gt;0,1,"")</f>
        <v>1</v>
      </c>
      <c r="V12" s="1201">
        <f t="shared" si="2"/>
        <v>1</v>
      </c>
      <c r="W12" s="1201">
        <f t="shared" si="2"/>
        <v>1</v>
      </c>
      <c r="X12" s="1201">
        <f t="shared" si="2"/>
        <v>1</v>
      </c>
      <c r="Y12" s="1201">
        <f t="shared" si="2"/>
        <v>1</v>
      </c>
      <c r="Z12" s="1201" t="str">
        <f t="shared" si="2"/>
        <v/>
      </c>
      <c r="AA12" s="1201" t="str">
        <f t="shared" si="2"/>
        <v/>
      </c>
      <c r="AB12" s="1201" t="str">
        <f t="shared" si="2"/>
        <v/>
      </c>
      <c r="AC12" s="1201" t="str">
        <f t="shared" si="2"/>
        <v/>
      </c>
      <c r="AD12" s="1201" t="str">
        <f t="shared" si="2"/>
        <v/>
      </c>
      <c r="AE12" s="1202">
        <f>SUM(U12:AD12)</f>
        <v>5</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v>85</v>
      </c>
      <c r="G14" s="277">
        <v>86</v>
      </c>
      <c r="H14" s="277">
        <v>90</v>
      </c>
      <c r="I14" s="277">
        <v>86</v>
      </c>
      <c r="J14" s="277">
        <v>78</v>
      </c>
      <c r="K14" s="277"/>
      <c r="L14" s="277"/>
      <c r="M14" s="280"/>
      <c r="N14" s="277"/>
      <c r="O14" s="278"/>
      <c r="P14" s="279">
        <f t="shared" ref="P14" si="4">IF(COUNT(U14:AD14)&lt;2,"",ROUND(SUM(U14:AD14)/$AE$12,0))</f>
        <v>85</v>
      </c>
      <c r="Q14" s="1480">
        <v>85</v>
      </c>
      <c r="R14" s="1481">
        <v>88</v>
      </c>
      <c r="S14" s="281">
        <f t="shared" ref="S14" si="5">IFERROR(ROUND(((P14*$P$13)+(Q14*$Q$13)+(R14*$R$13))/$AF$12,0),"")</f>
        <v>86</v>
      </c>
      <c r="T14" s="295" t="str">
        <f t="shared" ref="T14" si="6">IF(S14="","",IF(S14&gt;$H$76,$Q$75,IF(S14&gt;$H$77,$Q$76,IF(S14&gt;$H$78,$Q$77,$Q$78))))</f>
        <v>B</v>
      </c>
      <c r="U14" s="1215">
        <f t="shared" ref="U14:AD29" si="7">IF(F14="","",F14+U$13)</f>
        <v>85.01</v>
      </c>
      <c r="V14" s="1216">
        <f t="shared" si="7"/>
        <v>86.02</v>
      </c>
      <c r="W14" s="1216">
        <f t="shared" si="7"/>
        <v>90.03</v>
      </c>
      <c r="X14" s="1216">
        <f t="shared" si="7"/>
        <v>86.04</v>
      </c>
      <c r="Y14" s="1216">
        <f t="shared" si="7"/>
        <v>78.05</v>
      </c>
      <c r="Z14" s="1216" t="str">
        <f t="shared" si="7"/>
        <v/>
      </c>
      <c r="AA14" s="1216" t="str">
        <f t="shared" si="7"/>
        <v/>
      </c>
      <c r="AB14" s="1217" t="str">
        <f t="shared" si="7"/>
        <v/>
      </c>
      <c r="AC14" s="1216" t="str">
        <f t="shared" si="7"/>
        <v/>
      </c>
      <c r="AD14" s="1218" t="str">
        <f t="shared" si="7"/>
        <v/>
      </c>
      <c r="AE14" s="1219">
        <f t="shared" ref="AE14" si="8">MAX(U14:AD14)</f>
        <v>90.03</v>
      </c>
      <c r="AF14" s="282">
        <f t="shared" ref="AF14" si="9">MIN(U14:AD14)</f>
        <v>78.05</v>
      </c>
      <c r="AG14" s="282" t="str">
        <f t="shared" ref="AG14:AH29" si="10">IF(AE14&gt;$H$76,$I$75,IF(AE14&gt;$H$77,$I$76,IF(AE14&gt;$H$78,$I$77,$I$78)))</f>
        <v>baik</v>
      </c>
      <c r="AH14" s="282" t="str">
        <f t="shared" si="10"/>
        <v>cukup</v>
      </c>
      <c r="AI14" s="282">
        <f t="shared" ref="AI14" si="11">IFERROR(MATCH(AE14,U14:AD14,0),"")</f>
        <v>3</v>
      </c>
      <c r="AJ14" s="283">
        <f t="shared" ref="AJ14" si="12">IFERROR(MATCH(AF14,U14:AD14,0),"")</f>
        <v>5</v>
      </c>
      <c r="AK14" s="284" t="str">
        <f t="shared" ref="AK14" si="13">IF(S14="","",IFERROR("Memiliki kemampuan "&amp;IF(AG14=AH14,AG14&amp;" dalam "&amp;VLOOKUP(AI14,$S$2:$AK$11,19)&amp;" dan "&amp;VLOOKUP(AJ14,$S$2:$AK$11,19),AG14&amp;" dalam "&amp;VLOOKUP(AI14,$S$2:$AK$11,19)&amp;", "&amp;AH14&amp;" kemampuan dalam "&amp;VLOOKUP(AJ14,$S$2:$AK$11,19)),""))</f>
        <v>Memiliki kemampuan baik dalam Menganalisis aktifitas renang gaya bebas, cukup kemampuan dalam Menganalisis bahaya penyala gunaan narkoba</v>
      </c>
      <c r="AL14" s="276">
        <v>92</v>
      </c>
      <c r="AM14" s="277">
        <v>89</v>
      </c>
      <c r="AN14" s="277">
        <v>90</v>
      </c>
      <c r="AO14" s="277">
        <v>88</v>
      </c>
      <c r="AP14" s="277">
        <v>89</v>
      </c>
      <c r="AQ14" s="277"/>
      <c r="AR14" s="277"/>
      <c r="AS14" s="280"/>
      <c r="AT14" s="277"/>
      <c r="AU14" s="278"/>
      <c r="AV14" s="285">
        <f t="shared" ref="AV14" si="14">IF(COUNT(AL14:AU14)&lt;2,"",ROUND(((AL14*$AX$13)+(AM14*$AY$13)+(AN14*$AZ$13)+(AO14*$BA$13)+(AP14*$BB$13)+(AQ14*$BC$13)+(AR14*$BD$13)+(AS14*$BE$13)+(AT14*$BF$13)+(AU14*$BG$13))/$BH$11,0))</f>
        <v>90</v>
      </c>
      <c r="AW14" s="296" t="str">
        <f t="shared" ref="AW14" si="15">IF(AV14="","",IF(AV14&gt;$AN$76,$AV$75,IF(AV14&gt;$AN$77,$AV$76,IF(AV14&gt;$AN$78,$AV$77,$AV$78))))</f>
        <v>B</v>
      </c>
      <c r="AX14" s="1220">
        <f t="shared" ref="AX14:BG29" si="16">IF(AL14="","",AL14+AX$12)</f>
        <v>92.01</v>
      </c>
      <c r="AY14" s="1221">
        <f t="shared" si="16"/>
        <v>89.02</v>
      </c>
      <c r="AZ14" s="1221">
        <f t="shared" si="16"/>
        <v>90.03</v>
      </c>
      <c r="BA14" s="1221">
        <f t="shared" si="16"/>
        <v>88.04</v>
      </c>
      <c r="BB14" s="1221">
        <f t="shared" si="16"/>
        <v>89.05</v>
      </c>
      <c r="BC14" s="1221" t="str">
        <f t="shared" si="16"/>
        <v/>
      </c>
      <c r="BD14" s="1221" t="str">
        <f t="shared" si="16"/>
        <v/>
      </c>
      <c r="BE14" s="1222" t="str">
        <f t="shared" si="16"/>
        <v/>
      </c>
      <c r="BF14" s="1221" t="str">
        <f t="shared" si="16"/>
        <v/>
      </c>
      <c r="BG14" s="1223" t="str">
        <f t="shared" si="16"/>
        <v/>
      </c>
      <c r="BH14" s="286">
        <f t="shared" ref="BH14" si="17">MAX(AX14:BG14)</f>
        <v>92.01</v>
      </c>
      <c r="BI14" s="286">
        <f t="shared" ref="BI14" si="18">MIN(AX14:BG14)</f>
        <v>88.04</v>
      </c>
      <c r="BJ14" s="287" t="str">
        <f t="shared" ref="BJ14:BK14" si="19">IF(BH14&gt;$H$76,$AO$75,IF(BH14&gt;$H$77,$AO$76,IF(BH14&gt;$H$78,$AO$77,$AO$78)))</f>
        <v>baik</v>
      </c>
      <c r="BK14" s="287" t="str">
        <f t="shared" si="19"/>
        <v>baik</v>
      </c>
      <c r="BL14" s="286">
        <f t="shared" ref="BL14" si="20">MATCH(BH14,AX14:BG14,0)</f>
        <v>1</v>
      </c>
      <c r="BM14" s="288">
        <f t="shared" ref="BM14" si="21">MATCH(BI14,AX14:BG14,0)</f>
        <v>4</v>
      </c>
      <c r="BN14" s="289" t="str">
        <f t="shared" ref="BN14" si="22">IF(AV14="","",IFERROR("Memiliki keterampilan "&amp;IF(BJ14=BK14,BJ14&amp;" dalam "&amp;VLOOKUP(BL14,$AV$2:$BN$11,19)&amp;" dan "&amp;VLOOKUP(BM14,$AV$2:$BN$11,19),BJ14&amp;" dalam "&amp;VLOOKUP(BL14,$AV$2:$BN$11,19)&amp;", "&amp;BK14&amp;" keterampilan dalam "&amp;VLOOKUP(BM14,$AV$2:$BN$11,19)),""))</f>
        <v>Memiliki keterampilan baik dalam Mempraktikan gerak senam lantai dan Menyajikan cara remaja bergaul sehat</v>
      </c>
      <c r="BO14" s="67"/>
    </row>
    <row r="15" spans="1:67" ht="33" customHeight="1">
      <c r="A15" s="67"/>
      <c r="B15" s="272">
        <f>IF(D15="","",B14+1)</f>
        <v>2</v>
      </c>
      <c r="C15" s="273">
        <f>IF(Data!F6="","",Data!F6)</f>
        <v>0</v>
      </c>
      <c r="D15" s="274" t="str">
        <f>IF(Data!H6="","",Data!H6)</f>
        <v>Aprianus Bira</v>
      </c>
      <c r="E15" s="275" t="str">
        <f>IF(Data!I6="","",Data!I6)</f>
        <v>L</v>
      </c>
      <c r="F15" s="276">
        <v>88</v>
      </c>
      <c r="G15" s="277">
        <v>80</v>
      </c>
      <c r="H15" s="277">
        <v>86</v>
      </c>
      <c r="I15" s="277">
        <v>80</v>
      </c>
      <c r="J15" s="277">
        <v>87</v>
      </c>
      <c r="K15" s="277"/>
      <c r="L15" s="277"/>
      <c r="M15" s="280"/>
      <c r="N15" s="277"/>
      <c r="O15" s="278"/>
      <c r="P15" s="279">
        <f>IF(COUNT(U15:AD15)&lt;2,"",ROUND(SUM(U15:AD15)/$AE$12,0))</f>
        <v>84</v>
      </c>
      <c r="Q15" s="277">
        <v>86</v>
      </c>
      <c r="R15" s="280">
        <v>87</v>
      </c>
      <c r="S15" s="281">
        <f>IFERROR(ROUND(((P15*$P$13)+(Q15*$Q$13)+(R15*$R$13))/$AF$12,0),"")</f>
        <v>85</v>
      </c>
      <c r="T15" s="295" t="str">
        <f>IF(S15="","",IF(S15&gt;$H$76,$Q$75,IF(S15&gt;$H$77,$Q$76,IF(S15&gt;$H$78,$Q$77,$Q$78))))</f>
        <v>B</v>
      </c>
      <c r="U15" s="1215">
        <f t="shared" si="7"/>
        <v>88.01</v>
      </c>
      <c r="V15" s="1216">
        <f t="shared" si="7"/>
        <v>80.02</v>
      </c>
      <c r="W15" s="1216">
        <f t="shared" si="7"/>
        <v>86.03</v>
      </c>
      <c r="X15" s="1216">
        <f t="shared" si="7"/>
        <v>80.040000000000006</v>
      </c>
      <c r="Y15" s="1216">
        <f t="shared" si="7"/>
        <v>87.05</v>
      </c>
      <c r="Z15" s="1216" t="str">
        <f t="shared" si="7"/>
        <v/>
      </c>
      <c r="AA15" s="1216" t="str">
        <f t="shared" si="7"/>
        <v/>
      </c>
      <c r="AB15" s="1217" t="str">
        <f t="shared" si="7"/>
        <v/>
      </c>
      <c r="AC15" s="1216" t="str">
        <f t="shared" si="7"/>
        <v/>
      </c>
      <c r="AD15" s="1218" t="str">
        <f t="shared" si="7"/>
        <v/>
      </c>
      <c r="AE15" s="1219">
        <f>MAX(U15:AD15)</f>
        <v>88.01</v>
      </c>
      <c r="AF15" s="282">
        <f>MIN(U15:AD15)</f>
        <v>80.02</v>
      </c>
      <c r="AG15" s="282" t="str">
        <f>IF(AE15&gt;$H$76,$I$75,IF(AE15&gt;$H$77,$I$76,IF(AE15&gt;$H$78,$I$77,$I$78)))</f>
        <v>baik</v>
      </c>
      <c r="AH15" s="282" t="str">
        <f t="shared" si="10"/>
        <v>cukup</v>
      </c>
      <c r="AI15" s="282">
        <f>IFERROR(MATCH(AE15,U15:AD15,0),"")</f>
        <v>1</v>
      </c>
      <c r="AJ15" s="283">
        <f>IFERROR(MATCH(AF15,U15:AD15,0),"")</f>
        <v>2</v>
      </c>
      <c r="AK15" s="284" t="str">
        <f>IF(S15="","",IFERROR("Memiliki kemampuan "&amp;IF(AG15=AH15,AG15&amp;" dalam "&amp;VLOOKUP(AI15,$S$2:$AK$11,19)&amp;" dan "&amp;VLOOKUP(AJ15,$S$2:$AK$11,19),AG15&amp;" dalam "&amp;VLOOKUP(AI15,$S$2:$AK$11,19)&amp;", "&amp;AH15&amp;" kemampuan dalam "&amp;VLOOKUP(AJ15,$S$2:$AK$11,19)),""))</f>
        <v>Memiliki kemampuan baik dalam Menganalisis aktifitas gerak senam lantai, cukup kemampuan dalam Mengidentifikasi variasi gerak ritmik</v>
      </c>
      <c r="AL15" s="276">
        <v>80</v>
      </c>
      <c r="AM15" s="277">
        <v>90</v>
      </c>
      <c r="AN15" s="277">
        <v>95</v>
      </c>
      <c r="AO15" s="277">
        <v>79</v>
      </c>
      <c r="AP15" s="277">
        <v>80</v>
      </c>
      <c r="AQ15" s="277"/>
      <c r="AR15" s="277"/>
      <c r="AS15" s="280"/>
      <c r="AT15" s="277"/>
      <c r="AU15" s="278"/>
      <c r="AV15" s="285">
        <f>IF(COUNT(AL15:AU15)&lt;2,"",ROUND(((AL15*$AX$13)+(AM15*$AY$13)+(AN15*$AZ$13)+(AO15*$BA$13)+(AP15*$BB$13)+(AQ15*$BC$13)+(AR15*$BD$13)+(AS15*$BE$13)+(AT15*$BF$13)+(AU15*$BG$13))/$BH$11,0))</f>
        <v>85</v>
      </c>
      <c r="AW15" s="296" t="str">
        <f>IF(AV15="","",IF(AV15&gt;$AN$76,$AV$75,IF(AV15&gt;$AN$77,$AV$76,IF(AV15&gt;$AN$78,$AV$77,$AV$78))))</f>
        <v>B</v>
      </c>
      <c r="AX15" s="1220">
        <f t="shared" si="16"/>
        <v>80.010000000000005</v>
      </c>
      <c r="AY15" s="1221">
        <f t="shared" si="16"/>
        <v>90.02</v>
      </c>
      <c r="AZ15" s="1221">
        <f>IF(AN15="","",AN15+AZ$12)</f>
        <v>95.03</v>
      </c>
      <c r="BA15" s="1221">
        <f t="shared" si="16"/>
        <v>79.040000000000006</v>
      </c>
      <c r="BB15" s="1221">
        <f t="shared" si="16"/>
        <v>80.05</v>
      </c>
      <c r="BC15" s="1221" t="str">
        <f t="shared" si="16"/>
        <v/>
      </c>
      <c r="BD15" s="1221" t="str">
        <f t="shared" si="16"/>
        <v/>
      </c>
      <c r="BE15" s="1222" t="str">
        <f t="shared" si="16"/>
        <v/>
      </c>
      <c r="BF15" s="1221" t="str">
        <f t="shared" si="16"/>
        <v/>
      </c>
      <c r="BG15" s="1223" t="str">
        <f t="shared" si="16"/>
        <v/>
      </c>
      <c r="BH15" s="286">
        <f>MAX(AX15:BG15)</f>
        <v>95.03</v>
      </c>
      <c r="BI15" s="286">
        <f>MIN(AX15:BG15)</f>
        <v>79.040000000000006</v>
      </c>
      <c r="BJ15" s="287" t="str">
        <f>IF(BH15&gt;$H$76,$AO$75,IF(BH15&gt;$H$77,$AO$76,IF(BH15&gt;$H$78,$AO$77,$AO$78)))</f>
        <v>sangat baik</v>
      </c>
      <c r="BK15" s="287" t="str">
        <f>IF(BI15&gt;$H$76,$AO$75,IF(BI15&gt;$H$77,$AO$76,IF(BI15&gt;$H$78,$AO$77,$AO$78)))</f>
        <v>cukup</v>
      </c>
      <c r="BL15" s="286">
        <f>MATCH(BH15,AX15:BG15,0)</f>
        <v>3</v>
      </c>
      <c r="BM15" s="288">
        <f>MATCH(BI15,AX15:BG15,0)</f>
        <v>4</v>
      </c>
      <c r="BN15" s="289" t="str">
        <f>IF(AV15="","",IFERROR("Memiliki keterampilan "&amp;IF(BJ15=BK15,BJ15&amp;" dalam "&amp;VLOOKUP(BL15,$AV$2:$BN$11,19)&amp;" dan "&amp;VLOOKUP(BM15,$AV$2:$BN$11,19),BJ15&amp;" dalam "&amp;VLOOKUP(BL15,$AV$2:$BN$11,19)&amp;", "&amp;BK15&amp;" keterampilan dalam "&amp;VLOOKUP(BM15,$AV$2:$BN$11,19)),""))</f>
        <v>Memiliki keterampilan sangat baik dalam Memeragakan renang gaya bebas, cukup keterampilan dalam Menyajikan cara remaja bergaul sehat</v>
      </c>
      <c r="BO15" s="67"/>
    </row>
    <row r="16" spans="1:67" ht="33" customHeight="1">
      <c r="A16" s="67"/>
      <c r="B16" s="272">
        <f t="shared" ref="B16:B37" si="23">IF(D16="","",B15+1)</f>
        <v>3</v>
      </c>
      <c r="C16" s="273">
        <f>IF(Data!F7="","",Data!F7)</f>
        <v>0</v>
      </c>
      <c r="D16" s="274" t="str">
        <f>IF(Data!H7="","",Data!H7)</f>
        <v>Asri Aldina Baksuni</v>
      </c>
      <c r="E16" s="275" t="str">
        <f>IF(Data!I7="","",Data!I7)</f>
        <v>P</v>
      </c>
      <c r="F16" s="276">
        <v>90</v>
      </c>
      <c r="G16" s="277">
        <v>86</v>
      </c>
      <c r="H16" s="277">
        <v>88</v>
      </c>
      <c r="I16" s="277">
        <v>80</v>
      </c>
      <c r="J16" s="277">
        <v>80</v>
      </c>
      <c r="K16" s="277"/>
      <c r="L16" s="277"/>
      <c r="M16" s="280"/>
      <c r="N16" s="277"/>
      <c r="O16" s="278"/>
      <c r="P16" s="279">
        <f t="shared" ref="P16:P63" si="24">IF(COUNT(U16:AD16)&lt;2,"",ROUND(SUM(U16:AD16)/$AE$12,0))</f>
        <v>85</v>
      </c>
      <c r="Q16" s="277">
        <v>87</v>
      </c>
      <c r="R16" s="280">
        <v>84</v>
      </c>
      <c r="S16" s="281">
        <f t="shared" ref="S16:S63" si="25">IFERROR(ROUND(((P16*$P$13)+(Q16*$Q$13)+(R16*$R$13))/$AF$12,0),"")</f>
        <v>85</v>
      </c>
      <c r="T16" s="295" t="str">
        <f t="shared" ref="T16:T63" si="26">IF(S16="","",IF(S16&gt;$H$76,$Q$75,IF(S16&gt;$H$77,$Q$76,IF(S16&gt;$H$78,$Q$77,$Q$78))))</f>
        <v>B</v>
      </c>
      <c r="U16" s="1215">
        <f t="shared" si="7"/>
        <v>90.01</v>
      </c>
      <c r="V16" s="1216">
        <f t="shared" si="7"/>
        <v>86.02</v>
      </c>
      <c r="W16" s="1216">
        <f t="shared" si="7"/>
        <v>88.03</v>
      </c>
      <c r="X16" s="1216">
        <f t="shared" si="7"/>
        <v>80.040000000000006</v>
      </c>
      <c r="Y16" s="1216">
        <f t="shared" si="7"/>
        <v>80.05</v>
      </c>
      <c r="Z16" s="1216" t="str">
        <f t="shared" si="7"/>
        <v/>
      </c>
      <c r="AA16" s="1216" t="str">
        <f t="shared" si="7"/>
        <v/>
      </c>
      <c r="AB16" s="1217" t="str">
        <f t="shared" si="7"/>
        <v/>
      </c>
      <c r="AC16" s="1216" t="str">
        <f t="shared" si="7"/>
        <v/>
      </c>
      <c r="AD16" s="1218" t="str">
        <f t="shared" si="7"/>
        <v/>
      </c>
      <c r="AE16" s="1219">
        <f t="shared" ref="AE16:AE63" si="27">MAX(U16:AD16)</f>
        <v>90.01</v>
      </c>
      <c r="AF16" s="282">
        <f t="shared" ref="AF16:AF63" si="28">MIN(U16:AD16)</f>
        <v>80.040000000000006</v>
      </c>
      <c r="AG16" s="282" t="str">
        <f t="shared" ref="AG16:AH63" si="29">IF(AE16&gt;$H$76,$I$75,IF(AE16&gt;$H$77,$I$76,IF(AE16&gt;$H$78,$I$77,$I$78)))</f>
        <v>baik</v>
      </c>
      <c r="AH16" s="282" t="str">
        <f t="shared" si="10"/>
        <v>cukup</v>
      </c>
      <c r="AI16" s="282">
        <f t="shared" ref="AI16:AI63" si="30">IFERROR(MATCH(AE16,U16:AD16,0),"")</f>
        <v>1</v>
      </c>
      <c r="AJ16" s="283">
        <f t="shared" ref="AJ16:AJ63" si="31">IFERROR(MATCH(AF16,U16:AD16,0),"")</f>
        <v>4</v>
      </c>
      <c r="AK16" s="284" t="str">
        <f t="shared" ref="AK16:AK63" si="32">IF(S16="","",IFERROR("Memiliki kemampuan "&amp;IF(AG16=AH16,AG16&amp;" dalam "&amp;VLOOKUP(AI16,$S$2:$AK$11,19)&amp;" dan "&amp;VLOOKUP(AJ16,$S$2:$AK$11,19),AG16&amp;" dalam "&amp;VLOOKUP(AI16,$S$2:$AK$11,19)&amp;", "&amp;AH16&amp;" kemampuan dalam "&amp;VLOOKUP(AJ16,$S$2:$AK$11,19)),""))</f>
        <v>Memiliki kemampuan baik dalam Menganalisis aktifitas gerak senam lantai, cukup kemampuan dalam Mengidentifikasi konsep pergaulan sehat</v>
      </c>
      <c r="AL16" s="276">
        <v>90</v>
      </c>
      <c r="AM16" s="277">
        <v>80</v>
      </c>
      <c r="AN16" s="277">
        <v>87</v>
      </c>
      <c r="AO16" s="277">
        <v>89</v>
      </c>
      <c r="AP16" s="277">
        <v>79</v>
      </c>
      <c r="AQ16" s="277"/>
      <c r="AR16" s="277"/>
      <c r="AS16" s="280"/>
      <c r="AT16" s="277"/>
      <c r="AU16" s="278"/>
      <c r="AV16" s="285">
        <f t="shared" ref="AV16:AV63" si="33">IF(COUNT(AL16:AU16)&lt;2,"",ROUND(((AL16*$AX$13)+(AM16*$AY$13)+(AN16*$AZ$13)+(AO16*$BA$13)+(AP16*$BB$13)+(AQ16*$BC$13)+(AR16*$BD$13)+(AS16*$BE$13)+(AT16*$BF$13)+(AU16*$BG$13))/$BH$11,0))</f>
        <v>85</v>
      </c>
      <c r="AW16" s="296" t="str">
        <f t="shared" ref="AW16:AW63" si="34">IF(AV16="","",IF(AV16&gt;$AN$76,$AV$75,IF(AV16&gt;$AN$77,$AV$76,IF(AV16&gt;$AN$78,$AV$77,$AV$78))))</f>
        <v>B</v>
      </c>
      <c r="AX16" s="1220">
        <f t="shared" si="16"/>
        <v>90.01</v>
      </c>
      <c r="AY16" s="1221">
        <f t="shared" si="16"/>
        <v>80.02</v>
      </c>
      <c r="AZ16" s="1221">
        <f t="shared" si="16"/>
        <v>87.03</v>
      </c>
      <c r="BA16" s="1221">
        <f t="shared" si="16"/>
        <v>89.04</v>
      </c>
      <c r="BB16" s="1221">
        <f t="shared" si="16"/>
        <v>79.05</v>
      </c>
      <c r="BC16" s="1221" t="str">
        <f t="shared" si="16"/>
        <v/>
      </c>
      <c r="BD16" s="1221" t="str">
        <f t="shared" si="16"/>
        <v/>
      </c>
      <c r="BE16" s="1222" t="str">
        <f t="shared" si="16"/>
        <v/>
      </c>
      <c r="BF16" s="1221" t="str">
        <f t="shared" si="16"/>
        <v/>
      </c>
      <c r="BG16" s="1223" t="str">
        <f t="shared" si="16"/>
        <v/>
      </c>
      <c r="BH16" s="286">
        <f t="shared" ref="BH16:BH63" si="35">MAX(AX16:BG16)</f>
        <v>90.01</v>
      </c>
      <c r="BI16" s="286">
        <f t="shared" ref="BI16:BI63" si="36">MIN(AX16:BG16)</f>
        <v>79.05</v>
      </c>
      <c r="BJ16" s="287" t="str">
        <f t="shared" ref="BJ16:BK63" si="37">IF(BH16&gt;$H$76,$AO$75,IF(BH16&gt;$H$77,$AO$76,IF(BH16&gt;$H$78,$AO$77,$AO$78)))</f>
        <v>baik</v>
      </c>
      <c r="BK16" s="287" t="str">
        <f t="shared" si="37"/>
        <v>cukup</v>
      </c>
      <c r="BL16" s="286">
        <f t="shared" ref="BL16:BL63" si="38">MATCH(BH16,AX16:BG16,0)</f>
        <v>1</v>
      </c>
      <c r="BM16" s="288">
        <f t="shared" ref="BM16:BM63" si="39">MATCH(BI16,AX16:BG16,0)</f>
        <v>5</v>
      </c>
      <c r="BN16" s="289" t="str">
        <f t="shared" ref="BN16:BN63" si="40">IF(AV16="","",IFERROR("Memiliki keterampilan "&amp;IF(BJ16=BK16,BJ16&amp;" dalam "&amp;VLOOKUP(BL16,$AV$2:$BN$11,19)&amp;" dan "&amp;VLOOKUP(BM16,$AV$2:$BN$11,19),BJ16&amp;" dalam "&amp;VLOOKUP(BL16,$AV$2:$BN$11,19)&amp;", "&amp;BK16&amp;" keterampilan dalam "&amp;VLOOKUP(BM16,$AV$2:$BN$11,19)),""))</f>
        <v>Memiliki keterampilan baik dalam Mempraktikan gerak senam lantai, cukup keterampilan dalam Menyajikan bahaya penyala gunaan narkoba</v>
      </c>
      <c r="BO16" s="67"/>
    </row>
    <row r="17" spans="1:67" ht="33" customHeight="1">
      <c r="A17" s="67"/>
      <c r="B17" s="272">
        <f t="shared" si="23"/>
        <v>4</v>
      </c>
      <c r="C17" s="273">
        <f>IF(Data!F8="","",Data!F8)</f>
        <v>0</v>
      </c>
      <c r="D17" s="274" t="str">
        <f>IF(Data!H8="","",Data!H8)</f>
        <v>Asti Welmince Welkis</v>
      </c>
      <c r="E17" s="275" t="str">
        <f>IF(Data!I8="","",Data!I8)</f>
        <v>P</v>
      </c>
      <c r="F17" s="276">
        <v>86</v>
      </c>
      <c r="G17" s="277">
        <v>80</v>
      </c>
      <c r="H17" s="277">
        <v>87</v>
      </c>
      <c r="I17" s="277">
        <v>88</v>
      </c>
      <c r="J17" s="277">
        <v>89</v>
      </c>
      <c r="K17" s="277"/>
      <c r="L17" s="277"/>
      <c r="M17" s="280"/>
      <c r="N17" s="277"/>
      <c r="O17" s="278"/>
      <c r="P17" s="279">
        <f t="shared" si="24"/>
        <v>86</v>
      </c>
      <c r="Q17" s="277">
        <v>88</v>
      </c>
      <c r="R17" s="280">
        <v>89</v>
      </c>
      <c r="S17" s="281">
        <f t="shared" si="25"/>
        <v>87</v>
      </c>
      <c r="T17" s="295" t="str">
        <f t="shared" si="26"/>
        <v>B</v>
      </c>
      <c r="U17" s="1215">
        <f t="shared" si="7"/>
        <v>86.01</v>
      </c>
      <c r="V17" s="1216">
        <f t="shared" si="7"/>
        <v>80.02</v>
      </c>
      <c r="W17" s="1216">
        <f t="shared" si="7"/>
        <v>87.03</v>
      </c>
      <c r="X17" s="1216">
        <f t="shared" si="7"/>
        <v>88.04</v>
      </c>
      <c r="Y17" s="1216">
        <f t="shared" si="7"/>
        <v>89.05</v>
      </c>
      <c r="Z17" s="1216" t="str">
        <f t="shared" si="7"/>
        <v/>
      </c>
      <c r="AA17" s="1216" t="str">
        <f t="shared" si="7"/>
        <v/>
      </c>
      <c r="AB17" s="1217" t="str">
        <f t="shared" si="7"/>
        <v/>
      </c>
      <c r="AC17" s="1216" t="str">
        <f t="shared" si="7"/>
        <v/>
      </c>
      <c r="AD17" s="1218" t="str">
        <f t="shared" si="7"/>
        <v/>
      </c>
      <c r="AE17" s="1219">
        <f t="shared" si="27"/>
        <v>89.05</v>
      </c>
      <c r="AF17" s="282">
        <f t="shared" si="28"/>
        <v>80.02</v>
      </c>
      <c r="AG17" s="282" t="str">
        <f t="shared" si="29"/>
        <v>baik</v>
      </c>
      <c r="AH17" s="282" t="str">
        <f t="shared" si="10"/>
        <v>cukup</v>
      </c>
      <c r="AI17" s="282">
        <f t="shared" si="30"/>
        <v>5</v>
      </c>
      <c r="AJ17" s="283">
        <f t="shared" si="31"/>
        <v>2</v>
      </c>
      <c r="AK17" s="284" t="str">
        <f t="shared" si="32"/>
        <v>Memiliki kemampuan baik dalam Menganalisis bahaya penyala gunaan narkoba, cukup kemampuan dalam Mengidentifikasi variasi gerak ritmik</v>
      </c>
      <c r="AL17" s="276">
        <v>89</v>
      </c>
      <c r="AM17" s="277">
        <v>90</v>
      </c>
      <c r="AN17" s="277">
        <v>88</v>
      </c>
      <c r="AO17" s="277">
        <v>87</v>
      </c>
      <c r="AP17" s="277">
        <v>90</v>
      </c>
      <c r="AQ17" s="277"/>
      <c r="AR17" s="277"/>
      <c r="AS17" s="280"/>
      <c r="AT17" s="277"/>
      <c r="AU17" s="278"/>
      <c r="AV17" s="285">
        <f t="shared" si="33"/>
        <v>89</v>
      </c>
      <c r="AW17" s="296" t="str">
        <f t="shared" si="34"/>
        <v>B</v>
      </c>
      <c r="AX17" s="1220">
        <f t="shared" si="16"/>
        <v>89.01</v>
      </c>
      <c r="AY17" s="1221">
        <f t="shared" si="16"/>
        <v>90.02</v>
      </c>
      <c r="AZ17" s="1221">
        <f t="shared" si="16"/>
        <v>88.03</v>
      </c>
      <c r="BA17" s="1221">
        <f t="shared" si="16"/>
        <v>87.04</v>
      </c>
      <c r="BB17" s="1221">
        <f t="shared" si="16"/>
        <v>90.05</v>
      </c>
      <c r="BC17" s="1221" t="str">
        <f t="shared" si="16"/>
        <v/>
      </c>
      <c r="BD17" s="1221" t="str">
        <f t="shared" si="16"/>
        <v/>
      </c>
      <c r="BE17" s="1222" t="str">
        <f t="shared" si="16"/>
        <v/>
      </c>
      <c r="BF17" s="1221" t="str">
        <f t="shared" si="16"/>
        <v/>
      </c>
      <c r="BG17" s="1223" t="str">
        <f t="shared" si="16"/>
        <v/>
      </c>
      <c r="BH17" s="286">
        <f t="shared" si="35"/>
        <v>90.05</v>
      </c>
      <c r="BI17" s="286">
        <f t="shared" si="36"/>
        <v>87.04</v>
      </c>
      <c r="BJ17" s="287" t="str">
        <f t="shared" si="37"/>
        <v>baik</v>
      </c>
      <c r="BK17" s="287" t="str">
        <f t="shared" si="37"/>
        <v>baik</v>
      </c>
      <c r="BL17" s="286">
        <f t="shared" si="38"/>
        <v>5</v>
      </c>
      <c r="BM17" s="288">
        <f t="shared" si="39"/>
        <v>4</v>
      </c>
      <c r="BN17" s="289" t="str">
        <f t="shared" si="40"/>
        <v>Memiliki keterampilan baik dalam Menyajikan bahaya penyala gunaan narkoba dan Menyajikan cara remaja bergaul sehat</v>
      </c>
      <c r="BO17" s="67"/>
    </row>
    <row r="18" spans="1:67" ht="33" customHeight="1">
      <c r="A18" s="67"/>
      <c r="B18" s="272">
        <f t="shared" si="23"/>
        <v>5</v>
      </c>
      <c r="C18" s="273">
        <f>IF(Data!F9="","",Data!F9)</f>
        <v>0</v>
      </c>
      <c r="D18" s="274" t="str">
        <f>IF(Data!H9="","",Data!H9)</f>
        <v>Aulya Noviyanti Mbura</v>
      </c>
      <c r="E18" s="275" t="str">
        <f>IF(Data!I9="","",Data!I9)</f>
        <v>P</v>
      </c>
      <c r="F18" s="276">
        <v>80</v>
      </c>
      <c r="G18" s="277">
        <v>88</v>
      </c>
      <c r="H18" s="277">
        <v>86</v>
      </c>
      <c r="I18" s="277">
        <v>88</v>
      </c>
      <c r="J18" s="277">
        <v>89</v>
      </c>
      <c r="K18" s="277"/>
      <c r="L18" s="277"/>
      <c r="M18" s="280"/>
      <c r="N18" s="277"/>
      <c r="O18" s="278"/>
      <c r="P18" s="279">
        <f t="shared" si="24"/>
        <v>86</v>
      </c>
      <c r="Q18" s="277">
        <v>85</v>
      </c>
      <c r="R18" s="280">
        <v>87</v>
      </c>
      <c r="S18" s="281">
        <f t="shared" si="25"/>
        <v>86</v>
      </c>
      <c r="T18" s="295" t="str">
        <f t="shared" si="26"/>
        <v>B</v>
      </c>
      <c r="U18" s="1215">
        <f t="shared" si="7"/>
        <v>80.010000000000005</v>
      </c>
      <c r="V18" s="1216">
        <f t="shared" si="7"/>
        <v>88.02</v>
      </c>
      <c r="W18" s="1216">
        <f t="shared" si="7"/>
        <v>86.03</v>
      </c>
      <c r="X18" s="1216">
        <f t="shared" si="7"/>
        <v>88.04</v>
      </c>
      <c r="Y18" s="1216">
        <f t="shared" si="7"/>
        <v>89.05</v>
      </c>
      <c r="Z18" s="1216" t="str">
        <f t="shared" si="7"/>
        <v/>
      </c>
      <c r="AA18" s="1216" t="str">
        <f t="shared" si="7"/>
        <v/>
      </c>
      <c r="AB18" s="1217" t="str">
        <f t="shared" si="7"/>
        <v/>
      </c>
      <c r="AC18" s="1216" t="str">
        <f t="shared" si="7"/>
        <v/>
      </c>
      <c r="AD18" s="1218" t="str">
        <f t="shared" si="7"/>
        <v/>
      </c>
      <c r="AE18" s="1219">
        <f t="shared" si="27"/>
        <v>89.05</v>
      </c>
      <c r="AF18" s="282">
        <f t="shared" si="28"/>
        <v>80.010000000000005</v>
      </c>
      <c r="AG18" s="282" t="str">
        <f t="shared" si="29"/>
        <v>baik</v>
      </c>
      <c r="AH18" s="282" t="str">
        <f t="shared" si="10"/>
        <v>cukup</v>
      </c>
      <c r="AI18" s="282">
        <f t="shared" si="30"/>
        <v>5</v>
      </c>
      <c r="AJ18" s="283">
        <f t="shared" si="31"/>
        <v>1</v>
      </c>
      <c r="AK18" s="284" t="str">
        <f t="shared" si="32"/>
        <v>Memiliki kemampuan baik dalam Menganalisis bahaya penyala gunaan narkoba, cukup kemampuan dalam Menganalisis aktifitas gerak senam lantai</v>
      </c>
      <c r="AL18" s="276">
        <v>80</v>
      </c>
      <c r="AM18" s="277">
        <v>95</v>
      </c>
      <c r="AN18" s="277">
        <v>89</v>
      </c>
      <c r="AO18" s="277">
        <v>79</v>
      </c>
      <c r="AP18" s="277">
        <v>89</v>
      </c>
      <c r="AQ18" s="277"/>
      <c r="AR18" s="277"/>
      <c r="AS18" s="280"/>
      <c r="AT18" s="277"/>
      <c r="AU18" s="278"/>
      <c r="AV18" s="285">
        <f t="shared" si="33"/>
        <v>86</v>
      </c>
      <c r="AW18" s="296" t="str">
        <f t="shared" si="34"/>
        <v>B</v>
      </c>
      <c r="AX18" s="1220">
        <f t="shared" si="16"/>
        <v>80.010000000000005</v>
      </c>
      <c r="AY18" s="1221">
        <f t="shared" si="16"/>
        <v>95.02</v>
      </c>
      <c r="AZ18" s="1221">
        <f t="shared" si="16"/>
        <v>89.03</v>
      </c>
      <c r="BA18" s="1221">
        <f t="shared" si="16"/>
        <v>79.040000000000006</v>
      </c>
      <c r="BB18" s="1221">
        <f t="shared" si="16"/>
        <v>89.05</v>
      </c>
      <c r="BC18" s="1221" t="str">
        <f t="shared" si="16"/>
        <v/>
      </c>
      <c r="BD18" s="1221" t="str">
        <f t="shared" si="16"/>
        <v/>
      </c>
      <c r="BE18" s="1222" t="str">
        <f t="shared" si="16"/>
        <v/>
      </c>
      <c r="BF18" s="1221" t="str">
        <f t="shared" si="16"/>
        <v/>
      </c>
      <c r="BG18" s="1223" t="str">
        <f t="shared" si="16"/>
        <v/>
      </c>
      <c r="BH18" s="286">
        <f t="shared" si="35"/>
        <v>95.02</v>
      </c>
      <c r="BI18" s="286">
        <f t="shared" si="36"/>
        <v>79.040000000000006</v>
      </c>
      <c r="BJ18" s="287" t="str">
        <f t="shared" si="37"/>
        <v>sangat baik</v>
      </c>
      <c r="BK18" s="287" t="str">
        <f t="shared" si="37"/>
        <v>cukup</v>
      </c>
      <c r="BL18" s="286">
        <f t="shared" si="38"/>
        <v>2</v>
      </c>
      <c r="BM18" s="288">
        <f t="shared" si="39"/>
        <v>4</v>
      </c>
      <c r="BN18" s="289" t="str">
        <f t="shared" si="40"/>
        <v>Memiliki keterampilan sangat baik dalam Memeragakan gerak ritmik, cukup keterampilan dalam Menyajikan cara remaja bergaul sehat</v>
      </c>
      <c r="BO18" s="67"/>
    </row>
    <row r="19" spans="1:67" ht="33" customHeight="1">
      <c r="A19" s="67"/>
      <c r="B19" s="272">
        <f t="shared" si="23"/>
        <v>6</v>
      </c>
      <c r="C19" s="273">
        <f>IF(Data!F10="","",Data!F10)</f>
        <v>0</v>
      </c>
      <c r="D19" s="274" t="str">
        <f>IF(Data!H10="","",Data!H10)</f>
        <v>Ayu Oliberta Ranboki</v>
      </c>
      <c r="E19" s="275" t="str">
        <f>IF(Data!I10="","",Data!I10)</f>
        <v>P</v>
      </c>
      <c r="F19" s="276">
        <v>89</v>
      </c>
      <c r="G19" s="277">
        <v>88</v>
      </c>
      <c r="H19" s="277">
        <v>87</v>
      </c>
      <c r="I19" s="277">
        <v>88</v>
      </c>
      <c r="J19" s="277">
        <v>86</v>
      </c>
      <c r="K19" s="277"/>
      <c r="L19" s="277"/>
      <c r="M19" s="280"/>
      <c r="N19" s="277"/>
      <c r="O19" s="278"/>
      <c r="P19" s="279">
        <f t="shared" si="24"/>
        <v>88</v>
      </c>
      <c r="Q19" s="277">
        <v>86</v>
      </c>
      <c r="R19" s="280">
        <v>88</v>
      </c>
      <c r="S19" s="281">
        <f t="shared" si="25"/>
        <v>88</v>
      </c>
      <c r="T19" s="295" t="str">
        <f t="shared" si="26"/>
        <v>B</v>
      </c>
      <c r="U19" s="1215">
        <f t="shared" si="7"/>
        <v>89.01</v>
      </c>
      <c r="V19" s="1216">
        <f t="shared" si="7"/>
        <v>88.02</v>
      </c>
      <c r="W19" s="1216">
        <f t="shared" si="7"/>
        <v>87.03</v>
      </c>
      <c r="X19" s="1216">
        <f t="shared" si="7"/>
        <v>88.04</v>
      </c>
      <c r="Y19" s="1216">
        <f t="shared" si="7"/>
        <v>86.05</v>
      </c>
      <c r="Z19" s="1216" t="str">
        <f t="shared" si="7"/>
        <v/>
      </c>
      <c r="AA19" s="1216" t="str">
        <f t="shared" si="7"/>
        <v/>
      </c>
      <c r="AB19" s="1217" t="str">
        <f t="shared" si="7"/>
        <v/>
      </c>
      <c r="AC19" s="1216" t="str">
        <f t="shared" si="7"/>
        <v/>
      </c>
      <c r="AD19" s="1218" t="str">
        <f t="shared" si="7"/>
        <v/>
      </c>
      <c r="AE19" s="1219">
        <f t="shared" si="27"/>
        <v>89.01</v>
      </c>
      <c r="AF19" s="282">
        <f t="shared" si="28"/>
        <v>86.05</v>
      </c>
      <c r="AG19" s="282" t="str">
        <f t="shared" si="29"/>
        <v>baik</v>
      </c>
      <c r="AH19" s="282" t="str">
        <f t="shared" si="10"/>
        <v>baik</v>
      </c>
      <c r="AI19" s="282">
        <f t="shared" si="30"/>
        <v>1</v>
      </c>
      <c r="AJ19" s="283">
        <f t="shared" si="31"/>
        <v>5</v>
      </c>
      <c r="AK19" s="284" t="str">
        <f t="shared" si="32"/>
        <v>Memiliki kemampuan baik dalam Menganalisis aktifitas gerak senam lantai dan Menganalisis bahaya penyala gunaan narkoba</v>
      </c>
      <c r="AL19" s="276">
        <v>90</v>
      </c>
      <c r="AM19" s="277">
        <v>87</v>
      </c>
      <c r="AN19" s="277">
        <v>88</v>
      </c>
      <c r="AO19" s="277">
        <v>79</v>
      </c>
      <c r="AP19" s="277">
        <v>90</v>
      </c>
      <c r="AQ19" s="277"/>
      <c r="AR19" s="277"/>
      <c r="AS19" s="280"/>
      <c r="AT19" s="277"/>
      <c r="AU19" s="278"/>
      <c r="AV19" s="285">
        <f t="shared" si="33"/>
        <v>87</v>
      </c>
      <c r="AW19" s="296" t="str">
        <f t="shared" si="34"/>
        <v>B</v>
      </c>
      <c r="AX19" s="1220">
        <f t="shared" si="16"/>
        <v>90.01</v>
      </c>
      <c r="AY19" s="1221">
        <f t="shared" si="16"/>
        <v>87.02</v>
      </c>
      <c r="AZ19" s="1221">
        <f t="shared" si="16"/>
        <v>88.03</v>
      </c>
      <c r="BA19" s="1221">
        <f t="shared" si="16"/>
        <v>79.040000000000006</v>
      </c>
      <c r="BB19" s="1221">
        <f t="shared" si="16"/>
        <v>90.05</v>
      </c>
      <c r="BC19" s="1221" t="str">
        <f t="shared" si="16"/>
        <v/>
      </c>
      <c r="BD19" s="1221" t="str">
        <f t="shared" si="16"/>
        <v/>
      </c>
      <c r="BE19" s="1222" t="str">
        <f t="shared" si="16"/>
        <v/>
      </c>
      <c r="BF19" s="1221" t="str">
        <f t="shared" si="16"/>
        <v/>
      </c>
      <c r="BG19" s="1223" t="str">
        <f t="shared" si="16"/>
        <v/>
      </c>
      <c r="BH19" s="286">
        <f t="shared" si="35"/>
        <v>90.05</v>
      </c>
      <c r="BI19" s="286">
        <f t="shared" si="36"/>
        <v>79.040000000000006</v>
      </c>
      <c r="BJ19" s="287" t="str">
        <f t="shared" si="37"/>
        <v>baik</v>
      </c>
      <c r="BK19" s="287" t="str">
        <f t="shared" si="37"/>
        <v>cukup</v>
      </c>
      <c r="BL19" s="286">
        <f t="shared" si="38"/>
        <v>5</v>
      </c>
      <c r="BM19" s="288">
        <f t="shared" si="39"/>
        <v>4</v>
      </c>
      <c r="BN19" s="289" t="str">
        <f t="shared" si="40"/>
        <v>Memiliki keterampilan baik dalam Menyajikan bahaya penyala gunaan narkoba, cukup keterampilan dalam Menyajikan cara remaja bergaul sehat</v>
      </c>
      <c r="BO19" s="67"/>
    </row>
    <row r="20" spans="1:67" ht="33" customHeight="1">
      <c r="A20" s="67"/>
      <c r="B20" s="272">
        <f t="shared" si="23"/>
        <v>7</v>
      </c>
      <c r="C20" s="273">
        <f>IF(Data!F11="","",Data!F11)</f>
        <v>0</v>
      </c>
      <c r="D20" s="274" t="str">
        <f>IF(Data!H11="","",Data!H11)</f>
        <v>Benediktus Faot</v>
      </c>
      <c r="E20" s="275" t="str">
        <f>IF(Data!I11="","",Data!I11)</f>
        <v>L</v>
      </c>
      <c r="F20" s="276">
        <v>89</v>
      </c>
      <c r="G20" s="277">
        <v>86</v>
      </c>
      <c r="H20" s="277">
        <v>80</v>
      </c>
      <c r="I20" s="277">
        <v>80</v>
      </c>
      <c r="J20" s="277">
        <v>80</v>
      </c>
      <c r="K20" s="277"/>
      <c r="L20" s="277"/>
      <c r="M20" s="280"/>
      <c r="N20" s="277"/>
      <c r="O20" s="278"/>
      <c r="P20" s="279">
        <f t="shared" si="24"/>
        <v>83</v>
      </c>
      <c r="Q20" s="277">
        <v>85</v>
      </c>
      <c r="R20" s="280">
        <v>87</v>
      </c>
      <c r="S20" s="281">
        <f t="shared" si="25"/>
        <v>85</v>
      </c>
      <c r="T20" s="295" t="str">
        <f t="shared" si="26"/>
        <v>B</v>
      </c>
      <c r="U20" s="1215">
        <f t="shared" si="7"/>
        <v>89.01</v>
      </c>
      <c r="V20" s="1216">
        <f t="shared" si="7"/>
        <v>86.02</v>
      </c>
      <c r="W20" s="1216">
        <f t="shared" si="7"/>
        <v>80.03</v>
      </c>
      <c r="X20" s="1216">
        <f t="shared" si="7"/>
        <v>80.040000000000006</v>
      </c>
      <c r="Y20" s="1216">
        <f t="shared" si="7"/>
        <v>80.05</v>
      </c>
      <c r="Z20" s="1216" t="str">
        <f t="shared" si="7"/>
        <v/>
      </c>
      <c r="AA20" s="1216" t="str">
        <f t="shared" si="7"/>
        <v/>
      </c>
      <c r="AB20" s="1217" t="str">
        <f t="shared" si="7"/>
        <v/>
      </c>
      <c r="AC20" s="1216" t="str">
        <f t="shared" si="7"/>
        <v/>
      </c>
      <c r="AD20" s="1218" t="str">
        <f t="shared" si="7"/>
        <v/>
      </c>
      <c r="AE20" s="1219">
        <f t="shared" si="27"/>
        <v>89.01</v>
      </c>
      <c r="AF20" s="282">
        <f t="shared" si="28"/>
        <v>80.03</v>
      </c>
      <c r="AG20" s="282" t="str">
        <f t="shared" si="29"/>
        <v>baik</v>
      </c>
      <c r="AH20" s="282" t="str">
        <f t="shared" si="10"/>
        <v>cukup</v>
      </c>
      <c r="AI20" s="282">
        <f t="shared" si="30"/>
        <v>1</v>
      </c>
      <c r="AJ20" s="283">
        <f t="shared" si="31"/>
        <v>3</v>
      </c>
      <c r="AK20" s="284" t="str">
        <f t="shared" si="32"/>
        <v>Memiliki kemampuan baik dalam Menganalisis aktifitas gerak senam lantai, cukup kemampuan dalam Menganalisis aktifitas renang gaya bebas</v>
      </c>
      <c r="AL20" s="276">
        <v>90</v>
      </c>
      <c r="AM20" s="277">
        <v>89</v>
      </c>
      <c r="AN20" s="277">
        <v>87</v>
      </c>
      <c r="AO20" s="277">
        <v>88</v>
      </c>
      <c r="AP20" s="277">
        <v>85</v>
      </c>
      <c r="AQ20" s="277"/>
      <c r="AR20" s="277"/>
      <c r="AS20" s="280"/>
      <c r="AT20" s="277"/>
      <c r="AU20" s="278"/>
      <c r="AV20" s="285">
        <f t="shared" si="33"/>
        <v>88</v>
      </c>
      <c r="AW20" s="296" t="str">
        <f t="shared" si="34"/>
        <v>B</v>
      </c>
      <c r="AX20" s="1220">
        <f t="shared" si="16"/>
        <v>90.01</v>
      </c>
      <c r="AY20" s="1221">
        <f t="shared" si="16"/>
        <v>89.02</v>
      </c>
      <c r="AZ20" s="1221">
        <f t="shared" si="16"/>
        <v>87.03</v>
      </c>
      <c r="BA20" s="1221">
        <f t="shared" si="16"/>
        <v>88.04</v>
      </c>
      <c r="BB20" s="1221">
        <f t="shared" si="16"/>
        <v>85.05</v>
      </c>
      <c r="BC20" s="1221" t="str">
        <f t="shared" si="16"/>
        <v/>
      </c>
      <c r="BD20" s="1221" t="str">
        <f t="shared" si="16"/>
        <v/>
      </c>
      <c r="BE20" s="1222" t="str">
        <f t="shared" si="16"/>
        <v/>
      </c>
      <c r="BF20" s="1221" t="str">
        <f t="shared" si="16"/>
        <v/>
      </c>
      <c r="BG20" s="1223" t="str">
        <f t="shared" si="16"/>
        <v/>
      </c>
      <c r="BH20" s="286">
        <f t="shared" si="35"/>
        <v>90.01</v>
      </c>
      <c r="BI20" s="286">
        <f t="shared" si="36"/>
        <v>85.05</v>
      </c>
      <c r="BJ20" s="287" t="str">
        <f t="shared" si="37"/>
        <v>baik</v>
      </c>
      <c r="BK20" s="287" t="str">
        <f t="shared" si="37"/>
        <v>baik</v>
      </c>
      <c r="BL20" s="286">
        <f t="shared" si="38"/>
        <v>1</v>
      </c>
      <c r="BM20" s="288">
        <f t="shared" si="39"/>
        <v>5</v>
      </c>
      <c r="BN20" s="289" t="str">
        <f t="shared" si="40"/>
        <v>Memiliki keterampilan baik dalam Mempraktikan gerak senam lantai dan Menyajikan bahaya penyala gunaan narkoba</v>
      </c>
      <c r="BO20" s="67"/>
    </row>
    <row r="21" spans="1:67" ht="33" customHeight="1">
      <c r="A21" s="67"/>
      <c r="B21" s="272">
        <f t="shared" si="23"/>
        <v>8</v>
      </c>
      <c r="C21" s="273">
        <f>IF(Data!F12="","",Data!F12)</f>
        <v>0</v>
      </c>
      <c r="D21" s="274" t="str">
        <f>IF(Data!H12="","",Data!H12)</f>
        <v>Betron Imanuel Kuni</v>
      </c>
      <c r="E21" s="275" t="str">
        <f>IF(Data!I12="","",Data!I12)</f>
        <v>L</v>
      </c>
      <c r="F21" s="276">
        <v>89</v>
      </c>
      <c r="G21" s="277">
        <v>88</v>
      </c>
      <c r="H21" s="277">
        <v>87</v>
      </c>
      <c r="I21" s="277">
        <v>89</v>
      </c>
      <c r="J21" s="277">
        <v>89</v>
      </c>
      <c r="K21" s="277"/>
      <c r="L21" s="277"/>
      <c r="M21" s="280"/>
      <c r="N21" s="277"/>
      <c r="O21" s="278"/>
      <c r="P21" s="279">
        <f t="shared" si="24"/>
        <v>88</v>
      </c>
      <c r="Q21" s="277">
        <v>88</v>
      </c>
      <c r="R21" s="280">
        <v>87</v>
      </c>
      <c r="S21" s="281">
        <f t="shared" si="25"/>
        <v>88</v>
      </c>
      <c r="T21" s="295" t="str">
        <f t="shared" si="26"/>
        <v>B</v>
      </c>
      <c r="U21" s="1215">
        <f t="shared" si="7"/>
        <v>89.01</v>
      </c>
      <c r="V21" s="1216">
        <f t="shared" si="7"/>
        <v>88.02</v>
      </c>
      <c r="W21" s="1216">
        <f t="shared" si="7"/>
        <v>87.03</v>
      </c>
      <c r="X21" s="1216">
        <f t="shared" si="7"/>
        <v>89.04</v>
      </c>
      <c r="Y21" s="1216">
        <f t="shared" si="7"/>
        <v>89.05</v>
      </c>
      <c r="Z21" s="1216" t="str">
        <f t="shared" si="7"/>
        <v/>
      </c>
      <c r="AA21" s="1216" t="str">
        <f t="shared" si="7"/>
        <v/>
      </c>
      <c r="AB21" s="1217" t="str">
        <f t="shared" si="7"/>
        <v/>
      </c>
      <c r="AC21" s="1216" t="str">
        <f t="shared" si="7"/>
        <v/>
      </c>
      <c r="AD21" s="1218" t="str">
        <f t="shared" si="7"/>
        <v/>
      </c>
      <c r="AE21" s="1219">
        <f t="shared" si="27"/>
        <v>89.05</v>
      </c>
      <c r="AF21" s="282">
        <f t="shared" si="28"/>
        <v>87.03</v>
      </c>
      <c r="AG21" s="282" t="str">
        <f t="shared" si="29"/>
        <v>baik</v>
      </c>
      <c r="AH21" s="282" t="str">
        <f t="shared" si="10"/>
        <v>baik</v>
      </c>
      <c r="AI21" s="282">
        <f t="shared" si="30"/>
        <v>5</v>
      </c>
      <c r="AJ21" s="283">
        <f t="shared" si="31"/>
        <v>3</v>
      </c>
      <c r="AK21" s="284" t="str">
        <f t="shared" si="32"/>
        <v>Memiliki kemampuan baik dalam Menganalisis bahaya penyala gunaan narkoba dan Menganalisis aktifitas renang gaya bebas</v>
      </c>
      <c r="AL21" s="276">
        <v>90</v>
      </c>
      <c r="AM21" s="277">
        <v>85</v>
      </c>
      <c r="AN21" s="277">
        <v>89</v>
      </c>
      <c r="AO21" s="277">
        <v>78</v>
      </c>
      <c r="AP21" s="277">
        <v>79</v>
      </c>
      <c r="AQ21" s="277"/>
      <c r="AR21" s="277"/>
      <c r="AS21" s="280"/>
      <c r="AT21" s="277"/>
      <c r="AU21" s="278"/>
      <c r="AV21" s="285">
        <f t="shared" si="33"/>
        <v>84</v>
      </c>
      <c r="AW21" s="296" t="str">
        <f t="shared" si="34"/>
        <v>C</v>
      </c>
      <c r="AX21" s="1220">
        <f t="shared" si="16"/>
        <v>90.01</v>
      </c>
      <c r="AY21" s="1221">
        <f t="shared" si="16"/>
        <v>85.02</v>
      </c>
      <c r="AZ21" s="1221">
        <f t="shared" si="16"/>
        <v>89.03</v>
      </c>
      <c r="BA21" s="1221">
        <f t="shared" si="16"/>
        <v>78.040000000000006</v>
      </c>
      <c r="BB21" s="1221">
        <f t="shared" si="16"/>
        <v>79.05</v>
      </c>
      <c r="BC21" s="1221" t="str">
        <f t="shared" si="16"/>
        <v/>
      </c>
      <c r="BD21" s="1221" t="str">
        <f t="shared" si="16"/>
        <v/>
      </c>
      <c r="BE21" s="1222" t="str">
        <f t="shared" si="16"/>
        <v/>
      </c>
      <c r="BF21" s="1221" t="str">
        <f t="shared" si="16"/>
        <v/>
      </c>
      <c r="BG21" s="1223" t="str">
        <f t="shared" si="16"/>
        <v/>
      </c>
      <c r="BH21" s="286">
        <f t="shared" si="35"/>
        <v>90.01</v>
      </c>
      <c r="BI21" s="286">
        <f t="shared" si="36"/>
        <v>78.040000000000006</v>
      </c>
      <c r="BJ21" s="287" t="str">
        <f t="shared" si="37"/>
        <v>baik</v>
      </c>
      <c r="BK21" s="287" t="str">
        <f t="shared" si="37"/>
        <v>cukup</v>
      </c>
      <c r="BL21" s="286">
        <f t="shared" si="38"/>
        <v>1</v>
      </c>
      <c r="BM21" s="288">
        <f t="shared" si="39"/>
        <v>4</v>
      </c>
      <c r="BN21" s="289" t="str">
        <f t="shared" si="40"/>
        <v>Memiliki keterampilan baik dalam Mempraktikan gerak senam lantai, cukup keterampilan dalam Menyajikan cara remaja bergaul sehat</v>
      </c>
      <c r="BO21" s="67"/>
    </row>
    <row r="22" spans="1:67" ht="33" customHeight="1">
      <c r="A22" s="67"/>
      <c r="B22" s="272">
        <f t="shared" si="23"/>
        <v>9</v>
      </c>
      <c r="C22" s="273">
        <f>IF(Data!F13="","",Data!F13)</f>
        <v>0</v>
      </c>
      <c r="D22" s="274" t="str">
        <f>IF(Data!H13="","",Data!H13)</f>
        <v>Demrianus Ton</v>
      </c>
      <c r="E22" s="275" t="str">
        <f>IF(Data!I13="","",Data!I13)</f>
        <v>L</v>
      </c>
      <c r="F22" s="276">
        <v>88</v>
      </c>
      <c r="G22" s="277">
        <v>87</v>
      </c>
      <c r="H22" s="277">
        <v>89</v>
      </c>
      <c r="I22" s="277">
        <v>87</v>
      </c>
      <c r="J22" s="277">
        <v>87</v>
      </c>
      <c r="K22" s="277"/>
      <c r="L22" s="277"/>
      <c r="M22" s="280"/>
      <c r="N22" s="277"/>
      <c r="O22" s="278"/>
      <c r="P22" s="279">
        <f t="shared" si="24"/>
        <v>88</v>
      </c>
      <c r="Q22" s="277">
        <v>80</v>
      </c>
      <c r="R22" s="280">
        <v>80</v>
      </c>
      <c r="S22" s="281">
        <f t="shared" si="25"/>
        <v>84</v>
      </c>
      <c r="T22" s="295" t="str">
        <f t="shared" si="26"/>
        <v>C</v>
      </c>
      <c r="U22" s="1215">
        <f t="shared" si="7"/>
        <v>88.01</v>
      </c>
      <c r="V22" s="1216">
        <f t="shared" si="7"/>
        <v>87.02</v>
      </c>
      <c r="W22" s="1216">
        <f t="shared" si="7"/>
        <v>89.03</v>
      </c>
      <c r="X22" s="1216">
        <f t="shared" si="7"/>
        <v>87.04</v>
      </c>
      <c r="Y22" s="1216">
        <f t="shared" si="7"/>
        <v>87.05</v>
      </c>
      <c r="Z22" s="1216" t="str">
        <f t="shared" si="7"/>
        <v/>
      </c>
      <c r="AA22" s="1216" t="str">
        <f t="shared" si="7"/>
        <v/>
      </c>
      <c r="AB22" s="1217" t="str">
        <f t="shared" si="7"/>
        <v/>
      </c>
      <c r="AC22" s="1216" t="str">
        <f t="shared" si="7"/>
        <v/>
      </c>
      <c r="AD22" s="1218" t="str">
        <f t="shared" si="7"/>
        <v/>
      </c>
      <c r="AE22" s="1219">
        <f t="shared" si="27"/>
        <v>89.03</v>
      </c>
      <c r="AF22" s="282">
        <f t="shared" si="28"/>
        <v>87.02</v>
      </c>
      <c r="AG22" s="282" t="str">
        <f t="shared" si="29"/>
        <v>baik</v>
      </c>
      <c r="AH22" s="282" t="str">
        <f t="shared" si="10"/>
        <v>baik</v>
      </c>
      <c r="AI22" s="282">
        <f t="shared" si="30"/>
        <v>3</v>
      </c>
      <c r="AJ22" s="283">
        <f t="shared" si="31"/>
        <v>2</v>
      </c>
      <c r="AK22" s="284" t="str">
        <f t="shared" si="32"/>
        <v>Memiliki kemampuan baik dalam Menganalisis aktifitas renang gaya bebas dan Mengidentifikasi variasi gerak ritmik</v>
      </c>
      <c r="AL22" s="276">
        <v>80</v>
      </c>
      <c r="AM22" s="277">
        <v>81</v>
      </c>
      <c r="AN22" s="277">
        <v>79</v>
      </c>
      <c r="AO22" s="277">
        <v>80</v>
      </c>
      <c r="AP22" s="277">
        <v>87</v>
      </c>
      <c r="AQ22" s="277"/>
      <c r="AR22" s="277"/>
      <c r="AS22" s="280"/>
      <c r="AT22" s="277"/>
      <c r="AU22" s="278"/>
      <c r="AV22" s="285">
        <f t="shared" si="33"/>
        <v>81</v>
      </c>
      <c r="AW22" s="296" t="str">
        <f t="shared" si="34"/>
        <v>C</v>
      </c>
      <c r="AX22" s="1220">
        <f t="shared" si="16"/>
        <v>80.010000000000005</v>
      </c>
      <c r="AY22" s="1221">
        <f t="shared" si="16"/>
        <v>81.02</v>
      </c>
      <c r="AZ22" s="1221">
        <f t="shared" si="16"/>
        <v>79.03</v>
      </c>
      <c r="BA22" s="1221">
        <f t="shared" si="16"/>
        <v>80.040000000000006</v>
      </c>
      <c r="BB22" s="1221">
        <f t="shared" si="16"/>
        <v>87.05</v>
      </c>
      <c r="BC22" s="1221" t="str">
        <f t="shared" si="16"/>
        <v/>
      </c>
      <c r="BD22" s="1221" t="str">
        <f t="shared" si="16"/>
        <v/>
      </c>
      <c r="BE22" s="1222" t="str">
        <f t="shared" si="16"/>
        <v/>
      </c>
      <c r="BF22" s="1221" t="str">
        <f t="shared" si="16"/>
        <v/>
      </c>
      <c r="BG22" s="1223" t="str">
        <f t="shared" si="16"/>
        <v/>
      </c>
      <c r="BH22" s="286">
        <f t="shared" si="35"/>
        <v>87.05</v>
      </c>
      <c r="BI22" s="286">
        <f t="shared" si="36"/>
        <v>79.03</v>
      </c>
      <c r="BJ22" s="287" t="str">
        <f t="shared" si="37"/>
        <v>baik</v>
      </c>
      <c r="BK22" s="287" t="str">
        <f t="shared" si="37"/>
        <v>cukup</v>
      </c>
      <c r="BL22" s="286">
        <f t="shared" si="38"/>
        <v>5</v>
      </c>
      <c r="BM22" s="288">
        <f t="shared" si="39"/>
        <v>3</v>
      </c>
      <c r="BN22" s="289" t="str">
        <f t="shared" si="40"/>
        <v>Memiliki keterampilan baik dalam Menyajikan bahaya penyala gunaan narkoba, cukup keterampilan dalam Memeragakan renang gaya bebas</v>
      </c>
      <c r="BO22" s="67"/>
    </row>
    <row r="23" spans="1:67" ht="33" customHeight="1">
      <c r="A23" s="67"/>
      <c r="B23" s="272">
        <f t="shared" si="23"/>
        <v>10</v>
      </c>
      <c r="C23" s="273">
        <f>IF(Data!F14="","",Data!F14)</f>
        <v>0</v>
      </c>
      <c r="D23" s="274" t="str">
        <f>IF(Data!H14="","",Data!H14)</f>
        <v>Desti Manggoa</v>
      </c>
      <c r="E23" s="275" t="str">
        <f>IF(Data!I14="","",Data!I14)</f>
        <v>P</v>
      </c>
      <c r="F23" s="276">
        <v>85</v>
      </c>
      <c r="G23" s="277">
        <v>90</v>
      </c>
      <c r="H23" s="277">
        <v>80</v>
      </c>
      <c r="I23" s="277">
        <v>80</v>
      </c>
      <c r="J23" s="277">
        <v>78</v>
      </c>
      <c r="K23" s="277"/>
      <c r="L23" s="277"/>
      <c r="M23" s="280"/>
      <c r="N23" s="277"/>
      <c r="O23" s="278"/>
      <c r="P23" s="279">
        <f t="shared" si="24"/>
        <v>83</v>
      </c>
      <c r="Q23" s="277">
        <v>88</v>
      </c>
      <c r="R23" s="280">
        <v>87</v>
      </c>
      <c r="S23" s="281">
        <f t="shared" si="25"/>
        <v>85</v>
      </c>
      <c r="T23" s="295" t="str">
        <f t="shared" si="26"/>
        <v>B</v>
      </c>
      <c r="U23" s="1215">
        <f t="shared" si="7"/>
        <v>85.01</v>
      </c>
      <c r="V23" s="1216">
        <f t="shared" si="7"/>
        <v>90.02</v>
      </c>
      <c r="W23" s="1216">
        <f t="shared" si="7"/>
        <v>80.03</v>
      </c>
      <c r="X23" s="1216">
        <f t="shared" si="7"/>
        <v>80.040000000000006</v>
      </c>
      <c r="Y23" s="1216">
        <f t="shared" si="7"/>
        <v>78.05</v>
      </c>
      <c r="Z23" s="1216" t="str">
        <f t="shared" si="7"/>
        <v/>
      </c>
      <c r="AA23" s="1216" t="str">
        <f t="shared" si="7"/>
        <v/>
      </c>
      <c r="AB23" s="1217" t="str">
        <f t="shared" si="7"/>
        <v/>
      </c>
      <c r="AC23" s="1216" t="str">
        <f t="shared" si="7"/>
        <v/>
      </c>
      <c r="AD23" s="1218" t="str">
        <f t="shared" si="7"/>
        <v/>
      </c>
      <c r="AE23" s="1219">
        <f t="shared" si="27"/>
        <v>90.02</v>
      </c>
      <c r="AF23" s="282">
        <f t="shared" si="28"/>
        <v>78.05</v>
      </c>
      <c r="AG23" s="282" t="str">
        <f t="shared" si="29"/>
        <v>baik</v>
      </c>
      <c r="AH23" s="282" t="str">
        <f t="shared" si="10"/>
        <v>cukup</v>
      </c>
      <c r="AI23" s="282">
        <f t="shared" si="30"/>
        <v>2</v>
      </c>
      <c r="AJ23" s="283">
        <f t="shared" si="31"/>
        <v>5</v>
      </c>
      <c r="AK23" s="284" t="str">
        <f t="shared" si="32"/>
        <v>Memiliki kemampuan baik dalam Mengidentifikasi variasi gerak ritmik, cukup kemampuan dalam Menganalisis bahaya penyala gunaan narkoba</v>
      </c>
      <c r="AL23" s="276">
        <v>91</v>
      </c>
      <c r="AM23" s="277">
        <v>89</v>
      </c>
      <c r="AN23" s="277">
        <v>90</v>
      </c>
      <c r="AO23" s="277">
        <v>85</v>
      </c>
      <c r="AP23" s="277">
        <v>88</v>
      </c>
      <c r="AQ23" s="277"/>
      <c r="AR23" s="277"/>
      <c r="AS23" s="280"/>
      <c r="AT23" s="277"/>
      <c r="AU23" s="278"/>
      <c r="AV23" s="285">
        <f t="shared" si="33"/>
        <v>89</v>
      </c>
      <c r="AW23" s="296" t="str">
        <f t="shared" si="34"/>
        <v>B</v>
      </c>
      <c r="AX23" s="1220">
        <f t="shared" si="16"/>
        <v>91.01</v>
      </c>
      <c r="AY23" s="1221">
        <f t="shared" si="16"/>
        <v>89.02</v>
      </c>
      <c r="AZ23" s="1221">
        <f t="shared" si="16"/>
        <v>90.03</v>
      </c>
      <c r="BA23" s="1221">
        <f t="shared" si="16"/>
        <v>85.04</v>
      </c>
      <c r="BB23" s="1221">
        <f t="shared" si="16"/>
        <v>88.05</v>
      </c>
      <c r="BC23" s="1221" t="str">
        <f t="shared" si="16"/>
        <v/>
      </c>
      <c r="BD23" s="1221" t="str">
        <f t="shared" si="16"/>
        <v/>
      </c>
      <c r="BE23" s="1222" t="str">
        <f t="shared" si="16"/>
        <v/>
      </c>
      <c r="BF23" s="1221" t="str">
        <f t="shared" si="16"/>
        <v/>
      </c>
      <c r="BG23" s="1223" t="str">
        <f t="shared" si="16"/>
        <v/>
      </c>
      <c r="BH23" s="286">
        <f t="shared" si="35"/>
        <v>91.01</v>
      </c>
      <c r="BI23" s="286">
        <f t="shared" si="36"/>
        <v>85.04</v>
      </c>
      <c r="BJ23" s="287" t="str">
        <f t="shared" si="37"/>
        <v>baik</v>
      </c>
      <c r="BK23" s="287" t="str">
        <f t="shared" si="37"/>
        <v>baik</v>
      </c>
      <c r="BL23" s="286">
        <f t="shared" si="38"/>
        <v>1</v>
      </c>
      <c r="BM23" s="288">
        <f t="shared" si="39"/>
        <v>4</v>
      </c>
      <c r="BN23" s="289" t="str">
        <f t="shared" si="40"/>
        <v>Memiliki keterampilan baik dalam Mempraktikan gerak senam lantai dan Menyajikan cara remaja bergaul sehat</v>
      </c>
      <c r="BO23" s="67"/>
    </row>
    <row r="24" spans="1:67" ht="33" customHeight="1">
      <c r="A24" s="67"/>
      <c r="B24" s="272">
        <f t="shared" si="23"/>
        <v>11</v>
      </c>
      <c r="C24" s="273">
        <f>IF(Data!F15="","",Data!F15)</f>
        <v>0</v>
      </c>
      <c r="D24" s="274" t="str">
        <f>IF(Data!H15="","",Data!H15)</f>
        <v>Dorkas Meliana Talita Kesnay</v>
      </c>
      <c r="E24" s="275" t="str">
        <f>IF(Data!I15="","",Data!I15)</f>
        <v>P</v>
      </c>
      <c r="F24" s="276">
        <v>80</v>
      </c>
      <c r="G24" s="277">
        <v>87</v>
      </c>
      <c r="H24" s="277">
        <v>88</v>
      </c>
      <c r="I24" s="277">
        <v>89</v>
      </c>
      <c r="J24" s="277">
        <v>87</v>
      </c>
      <c r="K24" s="277"/>
      <c r="L24" s="277"/>
      <c r="M24" s="280"/>
      <c r="N24" s="277"/>
      <c r="O24" s="278"/>
      <c r="P24" s="279">
        <f t="shared" si="24"/>
        <v>86</v>
      </c>
      <c r="Q24" s="277">
        <v>88</v>
      </c>
      <c r="R24" s="280">
        <v>86</v>
      </c>
      <c r="S24" s="281">
        <f t="shared" si="25"/>
        <v>87</v>
      </c>
      <c r="T24" s="295" t="str">
        <f t="shared" si="26"/>
        <v>B</v>
      </c>
      <c r="U24" s="1215">
        <f t="shared" si="7"/>
        <v>80.010000000000005</v>
      </c>
      <c r="V24" s="1216">
        <f t="shared" si="7"/>
        <v>87.02</v>
      </c>
      <c r="W24" s="1216">
        <f t="shared" si="7"/>
        <v>88.03</v>
      </c>
      <c r="X24" s="1216">
        <f t="shared" si="7"/>
        <v>89.04</v>
      </c>
      <c r="Y24" s="1216">
        <f t="shared" si="7"/>
        <v>87.05</v>
      </c>
      <c r="Z24" s="1216" t="str">
        <f t="shared" si="7"/>
        <v/>
      </c>
      <c r="AA24" s="1216" t="str">
        <f t="shared" si="7"/>
        <v/>
      </c>
      <c r="AB24" s="1217" t="str">
        <f t="shared" si="7"/>
        <v/>
      </c>
      <c r="AC24" s="1216" t="str">
        <f t="shared" si="7"/>
        <v/>
      </c>
      <c r="AD24" s="1218" t="str">
        <f t="shared" si="7"/>
        <v/>
      </c>
      <c r="AE24" s="1219">
        <f t="shared" si="27"/>
        <v>89.04</v>
      </c>
      <c r="AF24" s="282">
        <f t="shared" si="28"/>
        <v>80.010000000000005</v>
      </c>
      <c r="AG24" s="282" t="str">
        <f t="shared" si="29"/>
        <v>baik</v>
      </c>
      <c r="AH24" s="282" t="str">
        <f t="shared" si="10"/>
        <v>cukup</v>
      </c>
      <c r="AI24" s="282">
        <f t="shared" si="30"/>
        <v>4</v>
      </c>
      <c r="AJ24" s="283">
        <f t="shared" si="31"/>
        <v>1</v>
      </c>
      <c r="AK24" s="284" t="str">
        <f t="shared" si="32"/>
        <v>Memiliki kemampuan baik dalam Mengidentifikasi konsep pergaulan sehat, cukup kemampuan dalam Menganalisis aktifitas gerak senam lantai</v>
      </c>
      <c r="AL24" s="276">
        <v>90</v>
      </c>
      <c r="AM24" s="277">
        <v>90</v>
      </c>
      <c r="AN24" s="277">
        <v>86</v>
      </c>
      <c r="AO24" s="277">
        <v>85</v>
      </c>
      <c r="AP24" s="277">
        <v>82</v>
      </c>
      <c r="AQ24" s="277"/>
      <c r="AR24" s="277"/>
      <c r="AS24" s="280"/>
      <c r="AT24" s="277"/>
      <c r="AU24" s="278"/>
      <c r="AV24" s="285">
        <f t="shared" si="33"/>
        <v>87</v>
      </c>
      <c r="AW24" s="296" t="str">
        <f t="shared" si="34"/>
        <v>B</v>
      </c>
      <c r="AX24" s="1220">
        <f t="shared" si="16"/>
        <v>90.01</v>
      </c>
      <c r="AY24" s="1221">
        <f t="shared" si="16"/>
        <v>90.02</v>
      </c>
      <c r="AZ24" s="1221">
        <f t="shared" si="16"/>
        <v>86.03</v>
      </c>
      <c r="BA24" s="1221">
        <f t="shared" si="16"/>
        <v>85.04</v>
      </c>
      <c r="BB24" s="1221">
        <f t="shared" si="16"/>
        <v>82.05</v>
      </c>
      <c r="BC24" s="1221" t="str">
        <f t="shared" si="16"/>
        <v/>
      </c>
      <c r="BD24" s="1221" t="str">
        <f t="shared" si="16"/>
        <v/>
      </c>
      <c r="BE24" s="1222" t="str">
        <f t="shared" si="16"/>
        <v/>
      </c>
      <c r="BF24" s="1221" t="str">
        <f t="shared" si="16"/>
        <v/>
      </c>
      <c r="BG24" s="1223" t="str">
        <f t="shared" si="16"/>
        <v/>
      </c>
      <c r="BH24" s="286">
        <f t="shared" si="35"/>
        <v>90.02</v>
      </c>
      <c r="BI24" s="286">
        <f t="shared" si="36"/>
        <v>82.05</v>
      </c>
      <c r="BJ24" s="287" t="str">
        <f t="shared" si="37"/>
        <v>baik</v>
      </c>
      <c r="BK24" s="287" t="str">
        <f t="shared" si="37"/>
        <v>cukup</v>
      </c>
      <c r="BL24" s="286">
        <f t="shared" si="38"/>
        <v>2</v>
      </c>
      <c r="BM24" s="288">
        <f t="shared" si="39"/>
        <v>5</v>
      </c>
      <c r="BN24" s="289" t="str">
        <f t="shared" si="40"/>
        <v>Memiliki keterampilan baik dalam Memeragakan gerak ritmik, cukup keterampilan dalam Menyajikan bahaya penyala gunaan narkoba</v>
      </c>
      <c r="BO24" s="67"/>
    </row>
    <row r="25" spans="1:67" ht="33" customHeight="1">
      <c r="A25" s="67"/>
      <c r="B25" s="272">
        <f t="shared" si="23"/>
        <v>12</v>
      </c>
      <c r="C25" s="273">
        <f>IF(Data!F16="","",Data!F16)</f>
        <v>0</v>
      </c>
      <c r="D25" s="274" t="str">
        <f>IF(Data!H16="","",Data!H16)</f>
        <v>Erto Seprianto Leukune</v>
      </c>
      <c r="E25" s="275" t="str">
        <f>IF(Data!I16="","",Data!I16)</f>
        <v>L</v>
      </c>
      <c r="F25" s="276">
        <v>87</v>
      </c>
      <c r="G25" s="277">
        <v>88</v>
      </c>
      <c r="H25" s="277">
        <v>80</v>
      </c>
      <c r="I25" s="277">
        <v>89</v>
      </c>
      <c r="J25" s="277">
        <v>89</v>
      </c>
      <c r="K25" s="277"/>
      <c r="L25" s="277"/>
      <c r="M25" s="280"/>
      <c r="N25" s="277"/>
      <c r="O25" s="278"/>
      <c r="P25" s="279">
        <f t="shared" si="24"/>
        <v>87</v>
      </c>
      <c r="Q25" s="277">
        <v>89</v>
      </c>
      <c r="R25" s="280">
        <v>86</v>
      </c>
      <c r="S25" s="281">
        <f t="shared" si="25"/>
        <v>87</v>
      </c>
      <c r="T25" s="295" t="str">
        <f t="shared" si="26"/>
        <v>B</v>
      </c>
      <c r="U25" s="1215">
        <f t="shared" si="7"/>
        <v>87.01</v>
      </c>
      <c r="V25" s="1216">
        <f t="shared" si="7"/>
        <v>88.02</v>
      </c>
      <c r="W25" s="1216">
        <f t="shared" si="7"/>
        <v>80.03</v>
      </c>
      <c r="X25" s="1216">
        <f t="shared" si="7"/>
        <v>89.04</v>
      </c>
      <c r="Y25" s="1216">
        <f t="shared" si="7"/>
        <v>89.05</v>
      </c>
      <c r="Z25" s="1216" t="str">
        <f t="shared" si="7"/>
        <v/>
      </c>
      <c r="AA25" s="1216" t="str">
        <f t="shared" si="7"/>
        <v/>
      </c>
      <c r="AB25" s="1217" t="str">
        <f t="shared" si="7"/>
        <v/>
      </c>
      <c r="AC25" s="1216" t="str">
        <f t="shared" si="7"/>
        <v/>
      </c>
      <c r="AD25" s="1218" t="str">
        <f t="shared" si="7"/>
        <v/>
      </c>
      <c r="AE25" s="1219">
        <f t="shared" si="27"/>
        <v>89.05</v>
      </c>
      <c r="AF25" s="282">
        <f t="shared" si="28"/>
        <v>80.03</v>
      </c>
      <c r="AG25" s="282" t="str">
        <f t="shared" si="29"/>
        <v>baik</v>
      </c>
      <c r="AH25" s="282" t="str">
        <f t="shared" si="10"/>
        <v>cukup</v>
      </c>
      <c r="AI25" s="282">
        <f t="shared" si="30"/>
        <v>5</v>
      </c>
      <c r="AJ25" s="283">
        <f t="shared" si="31"/>
        <v>3</v>
      </c>
      <c r="AK25" s="284" t="str">
        <f t="shared" si="32"/>
        <v>Memiliki kemampuan baik dalam Menganalisis bahaya penyala gunaan narkoba, cukup kemampuan dalam Menganalisis aktifitas renang gaya bebas</v>
      </c>
      <c r="AL25" s="276">
        <v>80</v>
      </c>
      <c r="AM25" s="277">
        <v>90</v>
      </c>
      <c r="AN25" s="277">
        <v>88</v>
      </c>
      <c r="AO25" s="277">
        <v>89</v>
      </c>
      <c r="AP25" s="277">
        <v>87</v>
      </c>
      <c r="AQ25" s="277"/>
      <c r="AR25" s="277"/>
      <c r="AS25" s="280"/>
      <c r="AT25" s="277"/>
      <c r="AU25" s="278"/>
      <c r="AV25" s="285">
        <f t="shared" si="33"/>
        <v>87</v>
      </c>
      <c r="AW25" s="296" t="str">
        <f t="shared" si="34"/>
        <v>B</v>
      </c>
      <c r="AX25" s="1220">
        <f t="shared" si="16"/>
        <v>80.010000000000005</v>
      </c>
      <c r="AY25" s="1221">
        <f t="shared" si="16"/>
        <v>90.02</v>
      </c>
      <c r="AZ25" s="1221">
        <f t="shared" si="16"/>
        <v>88.03</v>
      </c>
      <c r="BA25" s="1221">
        <f t="shared" si="16"/>
        <v>89.04</v>
      </c>
      <c r="BB25" s="1221">
        <f t="shared" si="16"/>
        <v>87.05</v>
      </c>
      <c r="BC25" s="1221" t="str">
        <f t="shared" si="16"/>
        <v/>
      </c>
      <c r="BD25" s="1221" t="str">
        <f t="shared" si="16"/>
        <v/>
      </c>
      <c r="BE25" s="1222" t="str">
        <f t="shared" si="16"/>
        <v/>
      </c>
      <c r="BF25" s="1221" t="str">
        <f t="shared" si="16"/>
        <v/>
      </c>
      <c r="BG25" s="1223" t="str">
        <f t="shared" si="16"/>
        <v/>
      </c>
      <c r="BH25" s="286">
        <f t="shared" si="35"/>
        <v>90.02</v>
      </c>
      <c r="BI25" s="286">
        <f t="shared" si="36"/>
        <v>80.010000000000005</v>
      </c>
      <c r="BJ25" s="287" t="str">
        <f t="shared" si="37"/>
        <v>baik</v>
      </c>
      <c r="BK25" s="287" t="str">
        <f t="shared" si="37"/>
        <v>cukup</v>
      </c>
      <c r="BL25" s="286">
        <f t="shared" si="38"/>
        <v>2</v>
      </c>
      <c r="BM25" s="288">
        <f t="shared" si="39"/>
        <v>1</v>
      </c>
      <c r="BN25" s="289" t="str">
        <f t="shared" si="40"/>
        <v>Memiliki keterampilan baik dalam Memeragakan gerak ritmik, cukup keterampilan dalam Mempraktikan gerak senam lantai</v>
      </c>
      <c r="BO25" s="67"/>
    </row>
    <row r="26" spans="1:67" ht="33" customHeight="1">
      <c r="A26" s="67"/>
      <c r="B26" s="272">
        <f t="shared" si="23"/>
        <v>13</v>
      </c>
      <c r="C26" s="273">
        <f>IF(Data!F17="","",Data!F17)</f>
        <v>0</v>
      </c>
      <c r="D26" s="274" t="str">
        <f>IF(Data!H17="","",Data!H17)</f>
        <v>Feli Tipnoni</v>
      </c>
      <c r="E26" s="275" t="str">
        <f>IF(Data!I17="","",Data!I17)</f>
        <v>P</v>
      </c>
      <c r="F26" s="276">
        <v>88</v>
      </c>
      <c r="G26" s="277">
        <v>84</v>
      </c>
      <c r="H26" s="277">
        <v>84</v>
      </c>
      <c r="I26" s="277">
        <v>80</v>
      </c>
      <c r="J26" s="277">
        <v>80</v>
      </c>
      <c r="K26" s="277"/>
      <c r="L26" s="277"/>
      <c r="M26" s="280"/>
      <c r="N26" s="277"/>
      <c r="O26" s="278"/>
      <c r="P26" s="279">
        <f t="shared" si="24"/>
        <v>83</v>
      </c>
      <c r="Q26" s="277">
        <v>88</v>
      </c>
      <c r="R26" s="280">
        <v>87</v>
      </c>
      <c r="S26" s="281">
        <f t="shared" si="25"/>
        <v>85</v>
      </c>
      <c r="T26" s="295" t="str">
        <f t="shared" si="26"/>
        <v>B</v>
      </c>
      <c r="U26" s="1215">
        <f t="shared" si="7"/>
        <v>88.01</v>
      </c>
      <c r="V26" s="1216">
        <f t="shared" si="7"/>
        <v>84.02</v>
      </c>
      <c r="W26" s="1216">
        <f t="shared" si="7"/>
        <v>84.03</v>
      </c>
      <c r="X26" s="1216">
        <f t="shared" si="7"/>
        <v>80.040000000000006</v>
      </c>
      <c r="Y26" s="1216">
        <f t="shared" si="7"/>
        <v>80.05</v>
      </c>
      <c r="Z26" s="1216" t="str">
        <f t="shared" si="7"/>
        <v/>
      </c>
      <c r="AA26" s="1216" t="str">
        <f t="shared" si="7"/>
        <v/>
      </c>
      <c r="AB26" s="1217" t="str">
        <f t="shared" si="7"/>
        <v/>
      </c>
      <c r="AC26" s="1216" t="str">
        <f t="shared" si="7"/>
        <v/>
      </c>
      <c r="AD26" s="1218" t="str">
        <f t="shared" si="7"/>
        <v/>
      </c>
      <c r="AE26" s="1219">
        <f t="shared" si="27"/>
        <v>88.01</v>
      </c>
      <c r="AF26" s="282">
        <f t="shared" si="28"/>
        <v>80.040000000000006</v>
      </c>
      <c r="AG26" s="282" t="str">
        <f t="shared" si="29"/>
        <v>baik</v>
      </c>
      <c r="AH26" s="282" t="str">
        <f t="shared" si="10"/>
        <v>cukup</v>
      </c>
      <c r="AI26" s="282">
        <f t="shared" si="30"/>
        <v>1</v>
      </c>
      <c r="AJ26" s="283">
        <f t="shared" si="31"/>
        <v>4</v>
      </c>
      <c r="AK26" s="284" t="str">
        <f t="shared" si="32"/>
        <v>Memiliki kemampuan baik dalam Menganalisis aktifitas gerak senam lantai, cukup kemampuan dalam Mengidentifikasi konsep pergaulan sehat</v>
      </c>
      <c r="AL26" s="276">
        <v>89</v>
      </c>
      <c r="AM26" s="277">
        <v>90</v>
      </c>
      <c r="AN26" s="277">
        <v>93</v>
      </c>
      <c r="AO26" s="277">
        <v>79</v>
      </c>
      <c r="AP26" s="277">
        <v>86</v>
      </c>
      <c r="AQ26" s="277"/>
      <c r="AR26" s="277"/>
      <c r="AS26" s="280"/>
      <c r="AT26" s="277"/>
      <c r="AU26" s="278"/>
      <c r="AV26" s="285">
        <f t="shared" si="33"/>
        <v>87</v>
      </c>
      <c r="AW26" s="296" t="str">
        <f t="shared" si="34"/>
        <v>B</v>
      </c>
      <c r="AX26" s="1220">
        <f t="shared" si="16"/>
        <v>89.01</v>
      </c>
      <c r="AY26" s="1221">
        <f t="shared" si="16"/>
        <v>90.02</v>
      </c>
      <c r="AZ26" s="1221">
        <f t="shared" si="16"/>
        <v>93.03</v>
      </c>
      <c r="BA26" s="1221">
        <f t="shared" si="16"/>
        <v>79.040000000000006</v>
      </c>
      <c r="BB26" s="1221">
        <f t="shared" si="16"/>
        <v>86.05</v>
      </c>
      <c r="BC26" s="1221" t="str">
        <f t="shared" si="16"/>
        <v/>
      </c>
      <c r="BD26" s="1221" t="str">
        <f t="shared" si="16"/>
        <v/>
      </c>
      <c r="BE26" s="1222" t="str">
        <f t="shared" si="16"/>
        <v/>
      </c>
      <c r="BF26" s="1221" t="str">
        <f t="shared" si="16"/>
        <v/>
      </c>
      <c r="BG26" s="1223" t="str">
        <f t="shared" si="16"/>
        <v/>
      </c>
      <c r="BH26" s="286">
        <f t="shared" si="35"/>
        <v>93.03</v>
      </c>
      <c r="BI26" s="286">
        <f t="shared" si="36"/>
        <v>79.040000000000006</v>
      </c>
      <c r="BJ26" s="287" t="str">
        <f t="shared" si="37"/>
        <v>sangat baik</v>
      </c>
      <c r="BK26" s="287" t="str">
        <f t="shared" si="37"/>
        <v>cukup</v>
      </c>
      <c r="BL26" s="286">
        <f t="shared" si="38"/>
        <v>3</v>
      </c>
      <c r="BM26" s="288">
        <f t="shared" si="39"/>
        <v>4</v>
      </c>
      <c r="BN26" s="289" t="str">
        <f t="shared" si="40"/>
        <v>Memiliki keterampilan sangat baik dalam Memeragakan renang gaya bebas, cukup keterampilan dalam Menyajikan cara remaja bergaul sehat</v>
      </c>
      <c r="BO26" s="67"/>
    </row>
    <row r="27" spans="1:67" ht="33" customHeight="1">
      <c r="A27" s="67"/>
      <c r="B27" s="272">
        <f t="shared" si="23"/>
        <v>14</v>
      </c>
      <c r="C27" s="273">
        <f>IF(Data!F18="","",Data!F18)</f>
        <v>0</v>
      </c>
      <c r="D27" s="274" t="str">
        <f>IF(Data!H18="","",Data!H18)</f>
        <v xml:space="preserve">Ferdinandes Sakbana </v>
      </c>
      <c r="E27" s="275" t="str">
        <f>IF(Data!I18="","",Data!I18)</f>
        <v>L</v>
      </c>
      <c r="F27" s="276">
        <v>88</v>
      </c>
      <c r="G27" s="277">
        <v>84</v>
      </c>
      <c r="H27" s="277">
        <v>90</v>
      </c>
      <c r="I27" s="277">
        <v>80</v>
      </c>
      <c r="J27" s="277">
        <v>87</v>
      </c>
      <c r="K27" s="277"/>
      <c r="L27" s="277"/>
      <c r="M27" s="280"/>
      <c r="N27" s="277"/>
      <c r="O27" s="278"/>
      <c r="P27" s="279">
        <f t="shared" si="24"/>
        <v>86</v>
      </c>
      <c r="Q27" s="277">
        <v>87</v>
      </c>
      <c r="R27" s="280">
        <v>86</v>
      </c>
      <c r="S27" s="281">
        <f t="shared" si="25"/>
        <v>86</v>
      </c>
      <c r="T27" s="295" t="str">
        <f t="shared" si="26"/>
        <v>B</v>
      </c>
      <c r="U27" s="1215">
        <f t="shared" si="7"/>
        <v>88.01</v>
      </c>
      <c r="V27" s="1216">
        <f t="shared" si="7"/>
        <v>84.02</v>
      </c>
      <c r="W27" s="1216">
        <f t="shared" si="7"/>
        <v>90.03</v>
      </c>
      <c r="X27" s="1216">
        <f t="shared" si="7"/>
        <v>80.040000000000006</v>
      </c>
      <c r="Y27" s="1216">
        <f t="shared" si="7"/>
        <v>87.05</v>
      </c>
      <c r="Z27" s="1216" t="str">
        <f t="shared" si="7"/>
        <v/>
      </c>
      <c r="AA27" s="1216" t="str">
        <f t="shared" si="7"/>
        <v/>
      </c>
      <c r="AB27" s="1217" t="str">
        <f t="shared" si="7"/>
        <v/>
      </c>
      <c r="AC27" s="1216" t="str">
        <f t="shared" si="7"/>
        <v/>
      </c>
      <c r="AD27" s="1218" t="str">
        <f t="shared" si="7"/>
        <v/>
      </c>
      <c r="AE27" s="1219">
        <f t="shared" si="27"/>
        <v>90.03</v>
      </c>
      <c r="AF27" s="282">
        <f t="shared" si="28"/>
        <v>80.040000000000006</v>
      </c>
      <c r="AG27" s="282" t="str">
        <f t="shared" si="29"/>
        <v>baik</v>
      </c>
      <c r="AH27" s="282" t="str">
        <f t="shared" si="10"/>
        <v>cukup</v>
      </c>
      <c r="AI27" s="282">
        <f t="shared" si="30"/>
        <v>3</v>
      </c>
      <c r="AJ27" s="283">
        <f t="shared" si="31"/>
        <v>4</v>
      </c>
      <c r="AK27" s="284" t="str">
        <f t="shared" si="32"/>
        <v>Memiliki kemampuan baik dalam Menganalisis aktifitas renang gaya bebas, cukup kemampuan dalam Mengidentifikasi konsep pergaulan sehat</v>
      </c>
      <c r="AL27" s="276">
        <v>89</v>
      </c>
      <c r="AM27" s="277">
        <v>89</v>
      </c>
      <c r="AN27" s="277">
        <v>88</v>
      </c>
      <c r="AO27" s="277">
        <v>78</v>
      </c>
      <c r="AP27" s="277">
        <v>88</v>
      </c>
      <c r="AQ27" s="277"/>
      <c r="AR27" s="277"/>
      <c r="AS27" s="280"/>
      <c r="AT27" s="277"/>
      <c r="AU27" s="278"/>
      <c r="AV27" s="285">
        <f t="shared" si="33"/>
        <v>86</v>
      </c>
      <c r="AW27" s="296" t="str">
        <f t="shared" si="34"/>
        <v>B</v>
      </c>
      <c r="AX27" s="1220">
        <f t="shared" si="16"/>
        <v>89.01</v>
      </c>
      <c r="AY27" s="1221">
        <f t="shared" si="16"/>
        <v>89.02</v>
      </c>
      <c r="AZ27" s="1221">
        <f t="shared" si="16"/>
        <v>88.03</v>
      </c>
      <c r="BA27" s="1221">
        <f t="shared" si="16"/>
        <v>78.040000000000006</v>
      </c>
      <c r="BB27" s="1221">
        <f t="shared" si="16"/>
        <v>88.05</v>
      </c>
      <c r="BC27" s="1221" t="str">
        <f t="shared" si="16"/>
        <v/>
      </c>
      <c r="BD27" s="1221" t="str">
        <f t="shared" si="16"/>
        <v/>
      </c>
      <c r="BE27" s="1222" t="str">
        <f t="shared" si="16"/>
        <v/>
      </c>
      <c r="BF27" s="1221" t="str">
        <f t="shared" si="16"/>
        <v/>
      </c>
      <c r="BG27" s="1223" t="str">
        <f t="shared" si="16"/>
        <v/>
      </c>
      <c r="BH27" s="286">
        <f t="shared" si="35"/>
        <v>89.02</v>
      </c>
      <c r="BI27" s="286">
        <f t="shared" si="36"/>
        <v>78.040000000000006</v>
      </c>
      <c r="BJ27" s="287" t="str">
        <f t="shared" si="37"/>
        <v>baik</v>
      </c>
      <c r="BK27" s="287" t="str">
        <f t="shared" si="37"/>
        <v>cukup</v>
      </c>
      <c r="BL27" s="286">
        <f t="shared" si="38"/>
        <v>2</v>
      </c>
      <c r="BM27" s="288">
        <f t="shared" si="39"/>
        <v>4</v>
      </c>
      <c r="BN27" s="289" t="str">
        <f t="shared" si="40"/>
        <v>Memiliki keterampilan baik dalam Memeragakan gerak ritmik, cukup keterampilan dalam Menyajikan cara remaja bergaul sehat</v>
      </c>
      <c r="BO27" s="67"/>
    </row>
    <row r="28" spans="1:67" ht="33" customHeight="1">
      <c r="A28" s="67"/>
      <c r="B28" s="272">
        <f t="shared" si="23"/>
        <v>15</v>
      </c>
      <c r="C28" s="273">
        <f>IF(Data!F19="","",Data!F19)</f>
        <v>0</v>
      </c>
      <c r="D28" s="274" t="str">
        <f>IF(Data!H19="","",Data!H19)</f>
        <v>Fitri Novani Nitbani</v>
      </c>
      <c r="E28" s="275" t="str">
        <f>IF(Data!I19="","",Data!I19)</f>
        <v>P</v>
      </c>
      <c r="F28" s="276">
        <v>88</v>
      </c>
      <c r="G28" s="277">
        <v>90</v>
      </c>
      <c r="H28" s="277">
        <v>86</v>
      </c>
      <c r="I28" s="277">
        <v>95</v>
      </c>
      <c r="J28" s="277">
        <v>89</v>
      </c>
      <c r="K28" s="277"/>
      <c r="L28" s="277"/>
      <c r="M28" s="280"/>
      <c r="N28" s="277"/>
      <c r="O28" s="278"/>
      <c r="P28" s="279">
        <f t="shared" si="24"/>
        <v>90</v>
      </c>
      <c r="Q28" s="277">
        <v>87</v>
      </c>
      <c r="R28" s="280">
        <v>86</v>
      </c>
      <c r="S28" s="281">
        <f t="shared" si="25"/>
        <v>88</v>
      </c>
      <c r="T28" s="295" t="str">
        <f t="shared" si="26"/>
        <v>B</v>
      </c>
      <c r="U28" s="1215">
        <f t="shared" si="7"/>
        <v>88.01</v>
      </c>
      <c r="V28" s="1216">
        <f t="shared" si="7"/>
        <v>90.02</v>
      </c>
      <c r="W28" s="1216">
        <f t="shared" si="7"/>
        <v>86.03</v>
      </c>
      <c r="X28" s="1216">
        <f t="shared" si="7"/>
        <v>95.04</v>
      </c>
      <c r="Y28" s="1216">
        <f t="shared" si="7"/>
        <v>89.05</v>
      </c>
      <c r="Z28" s="1216" t="str">
        <f t="shared" si="7"/>
        <v/>
      </c>
      <c r="AA28" s="1216" t="str">
        <f t="shared" si="7"/>
        <v/>
      </c>
      <c r="AB28" s="1217" t="str">
        <f t="shared" si="7"/>
        <v/>
      </c>
      <c r="AC28" s="1216" t="str">
        <f t="shared" si="7"/>
        <v/>
      </c>
      <c r="AD28" s="1218" t="str">
        <f t="shared" si="7"/>
        <v/>
      </c>
      <c r="AE28" s="1219">
        <f t="shared" si="27"/>
        <v>95.04</v>
      </c>
      <c r="AF28" s="282">
        <f t="shared" si="28"/>
        <v>86.03</v>
      </c>
      <c r="AG28" s="282" t="str">
        <f t="shared" si="29"/>
        <v>sangat baik</v>
      </c>
      <c r="AH28" s="282" t="str">
        <f t="shared" si="10"/>
        <v>baik</v>
      </c>
      <c r="AI28" s="282">
        <f t="shared" si="30"/>
        <v>4</v>
      </c>
      <c r="AJ28" s="283">
        <f t="shared" si="31"/>
        <v>3</v>
      </c>
      <c r="AK28" s="284" t="str">
        <f t="shared" si="32"/>
        <v>Memiliki kemampuan sangat baik dalam Mengidentifikasi konsep pergaulan sehat, baik kemampuan dalam Menganalisis aktifitas renang gaya bebas</v>
      </c>
      <c r="AL28" s="276">
        <v>85</v>
      </c>
      <c r="AM28" s="277">
        <v>89</v>
      </c>
      <c r="AN28" s="277">
        <v>95</v>
      </c>
      <c r="AO28" s="277">
        <v>85</v>
      </c>
      <c r="AP28" s="277">
        <v>80</v>
      </c>
      <c r="AQ28" s="277"/>
      <c r="AR28" s="277"/>
      <c r="AS28" s="280"/>
      <c r="AT28" s="277"/>
      <c r="AU28" s="278"/>
      <c r="AV28" s="285">
        <f t="shared" si="33"/>
        <v>87</v>
      </c>
      <c r="AW28" s="296" t="str">
        <f t="shared" si="34"/>
        <v>B</v>
      </c>
      <c r="AX28" s="1220">
        <f t="shared" si="16"/>
        <v>85.01</v>
      </c>
      <c r="AY28" s="1221">
        <f t="shared" si="16"/>
        <v>89.02</v>
      </c>
      <c r="AZ28" s="1221">
        <f t="shared" si="16"/>
        <v>95.03</v>
      </c>
      <c r="BA28" s="1221">
        <f t="shared" si="16"/>
        <v>85.04</v>
      </c>
      <c r="BB28" s="1221">
        <f t="shared" si="16"/>
        <v>80.05</v>
      </c>
      <c r="BC28" s="1221" t="str">
        <f t="shared" si="16"/>
        <v/>
      </c>
      <c r="BD28" s="1221" t="str">
        <f t="shared" si="16"/>
        <v/>
      </c>
      <c r="BE28" s="1222" t="str">
        <f t="shared" si="16"/>
        <v/>
      </c>
      <c r="BF28" s="1221" t="str">
        <f t="shared" si="16"/>
        <v/>
      </c>
      <c r="BG28" s="1223" t="str">
        <f t="shared" si="16"/>
        <v/>
      </c>
      <c r="BH28" s="286">
        <f t="shared" si="35"/>
        <v>95.03</v>
      </c>
      <c r="BI28" s="286">
        <f t="shared" si="36"/>
        <v>80.05</v>
      </c>
      <c r="BJ28" s="287" t="str">
        <f t="shared" si="37"/>
        <v>sangat baik</v>
      </c>
      <c r="BK28" s="287" t="str">
        <f t="shared" si="37"/>
        <v>cukup</v>
      </c>
      <c r="BL28" s="286">
        <f t="shared" si="38"/>
        <v>3</v>
      </c>
      <c r="BM28" s="288">
        <f t="shared" si="39"/>
        <v>5</v>
      </c>
      <c r="BN28" s="289" t="str">
        <f t="shared" si="40"/>
        <v>Memiliki keterampilan sangat baik dalam Memeragakan renang gaya bebas, cukup keterampilan dalam Menyajikan bahaya penyala gunaan narkoba</v>
      </c>
      <c r="BO28" s="67"/>
    </row>
    <row r="29" spans="1:67" ht="33" customHeight="1">
      <c r="A29" s="67"/>
      <c r="B29" s="272">
        <f t="shared" si="23"/>
        <v>16</v>
      </c>
      <c r="C29" s="273">
        <f>IF(Data!F20="","",Data!F20)</f>
        <v>0</v>
      </c>
      <c r="D29" s="274" t="str">
        <f>IF(Data!H20="","",Data!H20)</f>
        <v>Helsina Benu</v>
      </c>
      <c r="E29" s="275" t="str">
        <f>IF(Data!I20="","",Data!I20)</f>
        <v>P</v>
      </c>
      <c r="F29" s="276">
        <v>88</v>
      </c>
      <c r="G29" s="277">
        <v>95</v>
      </c>
      <c r="H29" s="277">
        <v>87</v>
      </c>
      <c r="I29" s="277">
        <v>89</v>
      </c>
      <c r="J29" s="277">
        <v>80</v>
      </c>
      <c r="K29" s="277"/>
      <c r="L29" s="277"/>
      <c r="M29" s="280"/>
      <c r="N29" s="277"/>
      <c r="O29" s="278"/>
      <c r="P29" s="279">
        <f t="shared" si="24"/>
        <v>88</v>
      </c>
      <c r="Q29" s="277">
        <v>86</v>
      </c>
      <c r="R29" s="280">
        <v>88</v>
      </c>
      <c r="S29" s="281">
        <f t="shared" si="25"/>
        <v>88</v>
      </c>
      <c r="T29" s="295" t="str">
        <f t="shared" si="26"/>
        <v>B</v>
      </c>
      <c r="U29" s="1215">
        <f t="shared" si="7"/>
        <v>88.01</v>
      </c>
      <c r="V29" s="1216">
        <f t="shared" si="7"/>
        <v>95.02</v>
      </c>
      <c r="W29" s="1216">
        <f t="shared" si="7"/>
        <v>87.03</v>
      </c>
      <c r="X29" s="1216">
        <f t="shared" si="7"/>
        <v>89.04</v>
      </c>
      <c r="Y29" s="1216">
        <f t="shared" si="7"/>
        <v>80.05</v>
      </c>
      <c r="Z29" s="1216" t="str">
        <f t="shared" si="7"/>
        <v/>
      </c>
      <c r="AA29" s="1216" t="str">
        <f t="shared" si="7"/>
        <v/>
      </c>
      <c r="AB29" s="1217" t="str">
        <f t="shared" si="7"/>
        <v/>
      </c>
      <c r="AC29" s="1216" t="str">
        <f t="shared" si="7"/>
        <v/>
      </c>
      <c r="AD29" s="1218" t="str">
        <f t="shared" si="7"/>
        <v/>
      </c>
      <c r="AE29" s="1219">
        <f t="shared" si="27"/>
        <v>95.02</v>
      </c>
      <c r="AF29" s="282">
        <f t="shared" si="28"/>
        <v>80.05</v>
      </c>
      <c r="AG29" s="282" t="str">
        <f t="shared" si="29"/>
        <v>sangat baik</v>
      </c>
      <c r="AH29" s="282" t="str">
        <f t="shared" si="10"/>
        <v>cukup</v>
      </c>
      <c r="AI29" s="282">
        <f t="shared" si="30"/>
        <v>2</v>
      </c>
      <c r="AJ29" s="283">
        <f t="shared" si="31"/>
        <v>5</v>
      </c>
      <c r="AK29" s="284" t="str">
        <f t="shared" si="32"/>
        <v>Memiliki kemampuan sangat baik dalam Mengidentifikasi variasi gerak ritmik, cukup kemampuan dalam Menganalisis bahaya penyala gunaan narkoba</v>
      </c>
      <c r="AL29" s="276">
        <v>90</v>
      </c>
      <c r="AM29" s="277">
        <v>80</v>
      </c>
      <c r="AN29" s="277">
        <v>89</v>
      </c>
      <c r="AO29" s="277">
        <v>85</v>
      </c>
      <c r="AP29" s="277">
        <v>80</v>
      </c>
      <c r="AQ29" s="277"/>
      <c r="AR29" s="277"/>
      <c r="AS29" s="280"/>
      <c r="AT29" s="277"/>
      <c r="AU29" s="278"/>
      <c r="AV29" s="285">
        <f t="shared" si="33"/>
        <v>85</v>
      </c>
      <c r="AW29" s="296" t="str">
        <f t="shared" si="34"/>
        <v>B</v>
      </c>
      <c r="AX29" s="1220">
        <f t="shared" si="16"/>
        <v>90.01</v>
      </c>
      <c r="AY29" s="1221">
        <f t="shared" si="16"/>
        <v>80.02</v>
      </c>
      <c r="AZ29" s="1221">
        <f t="shared" si="16"/>
        <v>89.03</v>
      </c>
      <c r="BA29" s="1221">
        <f t="shared" si="16"/>
        <v>85.04</v>
      </c>
      <c r="BB29" s="1221">
        <f t="shared" si="16"/>
        <v>80.05</v>
      </c>
      <c r="BC29" s="1221" t="str">
        <f t="shared" si="16"/>
        <v/>
      </c>
      <c r="BD29" s="1221" t="str">
        <f t="shared" si="16"/>
        <v/>
      </c>
      <c r="BE29" s="1222" t="str">
        <f t="shared" si="16"/>
        <v/>
      </c>
      <c r="BF29" s="1221" t="str">
        <f t="shared" si="16"/>
        <v/>
      </c>
      <c r="BG29" s="1223" t="str">
        <f t="shared" si="16"/>
        <v/>
      </c>
      <c r="BH29" s="286">
        <f t="shared" si="35"/>
        <v>90.01</v>
      </c>
      <c r="BI29" s="286">
        <f t="shared" si="36"/>
        <v>80.02</v>
      </c>
      <c r="BJ29" s="287" t="str">
        <f t="shared" si="37"/>
        <v>baik</v>
      </c>
      <c r="BK29" s="287" t="str">
        <f t="shared" si="37"/>
        <v>cukup</v>
      </c>
      <c r="BL29" s="286">
        <f t="shared" si="38"/>
        <v>1</v>
      </c>
      <c r="BM29" s="288">
        <f t="shared" si="39"/>
        <v>2</v>
      </c>
      <c r="BN29" s="289" t="str">
        <f t="shared" si="40"/>
        <v>Memiliki keterampilan baik dalam Mempraktikan gerak senam lantai, cukup keterampilan dalam Memeragakan gerak ritmik</v>
      </c>
      <c r="BO29" s="67"/>
    </row>
    <row r="30" spans="1:67" ht="33" customHeight="1">
      <c r="A30" s="67"/>
      <c r="B30" s="272">
        <f t="shared" si="23"/>
        <v>17</v>
      </c>
      <c r="C30" s="273">
        <f>IF(Data!F21="","",Data!F21)</f>
        <v>0</v>
      </c>
      <c r="D30" s="274" t="str">
        <f>IF(Data!H21="","",Data!H21)</f>
        <v xml:space="preserve">Hezron Nubatonis </v>
      </c>
      <c r="E30" s="275" t="str">
        <f>IF(Data!I21="","",Data!I21)</f>
        <v>L</v>
      </c>
      <c r="F30" s="276">
        <v>86</v>
      </c>
      <c r="G30" s="277">
        <v>86</v>
      </c>
      <c r="H30" s="277">
        <v>88</v>
      </c>
      <c r="I30" s="277">
        <v>90</v>
      </c>
      <c r="J30" s="277">
        <v>89</v>
      </c>
      <c r="K30" s="277"/>
      <c r="L30" s="277"/>
      <c r="M30" s="280"/>
      <c r="N30" s="277"/>
      <c r="O30" s="278"/>
      <c r="P30" s="279">
        <f t="shared" si="24"/>
        <v>88</v>
      </c>
      <c r="Q30" s="277">
        <v>87</v>
      </c>
      <c r="R30" s="280">
        <v>86</v>
      </c>
      <c r="S30" s="281">
        <f t="shared" si="25"/>
        <v>87</v>
      </c>
      <c r="T30" s="295" t="str">
        <f t="shared" si="26"/>
        <v>B</v>
      </c>
      <c r="U30" s="1215">
        <f t="shared" ref="U30:AD55" si="41">IF(F30="","",F30+U$13)</f>
        <v>86.01</v>
      </c>
      <c r="V30" s="1216">
        <f t="shared" si="41"/>
        <v>86.02</v>
      </c>
      <c r="W30" s="1216">
        <f t="shared" si="41"/>
        <v>88.03</v>
      </c>
      <c r="X30" s="1216">
        <f t="shared" si="41"/>
        <v>90.04</v>
      </c>
      <c r="Y30" s="1216">
        <f t="shared" si="41"/>
        <v>89.05</v>
      </c>
      <c r="Z30" s="1216" t="str">
        <f t="shared" si="41"/>
        <v/>
      </c>
      <c r="AA30" s="1216" t="str">
        <f t="shared" si="41"/>
        <v/>
      </c>
      <c r="AB30" s="1217" t="str">
        <f t="shared" si="41"/>
        <v/>
      </c>
      <c r="AC30" s="1216" t="str">
        <f t="shared" si="41"/>
        <v/>
      </c>
      <c r="AD30" s="1218" t="str">
        <f t="shared" si="41"/>
        <v/>
      </c>
      <c r="AE30" s="1219">
        <f t="shared" si="27"/>
        <v>90.04</v>
      </c>
      <c r="AF30" s="282">
        <f t="shared" si="28"/>
        <v>86.01</v>
      </c>
      <c r="AG30" s="282" t="str">
        <f t="shared" si="29"/>
        <v>baik</v>
      </c>
      <c r="AH30" s="282" t="str">
        <f t="shared" si="29"/>
        <v>baik</v>
      </c>
      <c r="AI30" s="282">
        <f t="shared" si="30"/>
        <v>4</v>
      </c>
      <c r="AJ30" s="283">
        <f t="shared" si="31"/>
        <v>1</v>
      </c>
      <c r="AK30" s="284" t="str">
        <f t="shared" si="32"/>
        <v>Memiliki kemampuan baik dalam Mengidentifikasi konsep pergaulan sehat dan Menganalisis aktifitas gerak senam lantai</v>
      </c>
      <c r="AL30" s="276">
        <v>87</v>
      </c>
      <c r="AM30" s="277">
        <v>87</v>
      </c>
      <c r="AN30" s="277">
        <v>89</v>
      </c>
      <c r="AO30" s="277">
        <v>80</v>
      </c>
      <c r="AP30" s="277">
        <v>78</v>
      </c>
      <c r="AQ30" s="277"/>
      <c r="AR30" s="277"/>
      <c r="AS30" s="280"/>
      <c r="AT30" s="277"/>
      <c r="AU30" s="278"/>
      <c r="AV30" s="285">
        <f t="shared" si="33"/>
        <v>84</v>
      </c>
      <c r="AW30" s="296" t="str">
        <f t="shared" si="34"/>
        <v>C</v>
      </c>
      <c r="AX30" s="1220">
        <f t="shared" ref="AX30:BG55" si="42">IF(AL30="","",AL30+AX$12)</f>
        <v>87.01</v>
      </c>
      <c r="AY30" s="1221">
        <f t="shared" si="42"/>
        <v>87.02</v>
      </c>
      <c r="AZ30" s="1221">
        <f t="shared" si="42"/>
        <v>89.03</v>
      </c>
      <c r="BA30" s="1221">
        <f t="shared" si="42"/>
        <v>80.040000000000006</v>
      </c>
      <c r="BB30" s="1221">
        <f t="shared" si="42"/>
        <v>78.05</v>
      </c>
      <c r="BC30" s="1221" t="str">
        <f t="shared" si="42"/>
        <v/>
      </c>
      <c r="BD30" s="1221" t="str">
        <f t="shared" si="42"/>
        <v/>
      </c>
      <c r="BE30" s="1222" t="str">
        <f t="shared" si="42"/>
        <v/>
      </c>
      <c r="BF30" s="1221" t="str">
        <f t="shared" si="42"/>
        <v/>
      </c>
      <c r="BG30" s="1223" t="str">
        <f t="shared" si="42"/>
        <v/>
      </c>
      <c r="BH30" s="286">
        <f t="shared" si="35"/>
        <v>89.03</v>
      </c>
      <c r="BI30" s="286">
        <f t="shared" si="36"/>
        <v>78.05</v>
      </c>
      <c r="BJ30" s="287" t="str">
        <f t="shared" si="37"/>
        <v>baik</v>
      </c>
      <c r="BK30" s="287" t="str">
        <f t="shared" si="37"/>
        <v>cukup</v>
      </c>
      <c r="BL30" s="286">
        <f t="shared" si="38"/>
        <v>3</v>
      </c>
      <c r="BM30" s="288">
        <f t="shared" si="39"/>
        <v>5</v>
      </c>
      <c r="BN30" s="289" t="str">
        <f t="shared" si="40"/>
        <v>Memiliki keterampilan baik dalam Memeragakan renang gaya bebas, cukup keterampilan dalam Menyajikan bahaya penyala gunaan narkoba</v>
      </c>
      <c r="BO30" s="67"/>
    </row>
    <row r="31" spans="1:67" ht="33" customHeight="1">
      <c r="A31" s="67"/>
      <c r="B31" s="272">
        <f t="shared" si="23"/>
        <v>18</v>
      </c>
      <c r="C31" s="273">
        <f>IF(Data!F22="","",Data!F22)</f>
        <v>0</v>
      </c>
      <c r="D31" s="274" t="str">
        <f>IF(Data!H22="","",Data!H22)</f>
        <v>Jelita Anita Boimau</v>
      </c>
      <c r="E31" s="275" t="str">
        <f>IF(Data!I22="","",Data!I22)</f>
        <v>P</v>
      </c>
      <c r="F31" s="276">
        <v>85</v>
      </c>
      <c r="G31" s="277">
        <v>90</v>
      </c>
      <c r="H31" s="277">
        <v>88</v>
      </c>
      <c r="I31" s="277">
        <v>89</v>
      </c>
      <c r="J31" s="277">
        <v>89</v>
      </c>
      <c r="K31" s="277"/>
      <c r="L31" s="277"/>
      <c r="M31" s="280"/>
      <c r="N31" s="277"/>
      <c r="O31" s="278"/>
      <c r="P31" s="279">
        <f t="shared" si="24"/>
        <v>88</v>
      </c>
      <c r="Q31" s="277">
        <v>87</v>
      </c>
      <c r="R31" s="280">
        <v>88</v>
      </c>
      <c r="S31" s="281">
        <f t="shared" si="25"/>
        <v>88</v>
      </c>
      <c r="T31" s="295" t="str">
        <f t="shared" si="26"/>
        <v>B</v>
      </c>
      <c r="U31" s="1215">
        <f t="shared" si="41"/>
        <v>85.01</v>
      </c>
      <c r="V31" s="1216">
        <f t="shared" si="41"/>
        <v>90.02</v>
      </c>
      <c r="W31" s="1216">
        <f t="shared" si="41"/>
        <v>88.03</v>
      </c>
      <c r="X31" s="1216">
        <f t="shared" si="41"/>
        <v>89.04</v>
      </c>
      <c r="Y31" s="1216">
        <f t="shared" si="41"/>
        <v>89.05</v>
      </c>
      <c r="Z31" s="1216" t="str">
        <f t="shared" si="41"/>
        <v/>
      </c>
      <c r="AA31" s="1216" t="str">
        <f t="shared" si="41"/>
        <v/>
      </c>
      <c r="AB31" s="1217" t="str">
        <f t="shared" si="41"/>
        <v/>
      </c>
      <c r="AC31" s="1216" t="str">
        <f t="shared" si="41"/>
        <v/>
      </c>
      <c r="AD31" s="1218" t="str">
        <f t="shared" si="41"/>
        <v/>
      </c>
      <c r="AE31" s="1219">
        <f t="shared" si="27"/>
        <v>90.02</v>
      </c>
      <c r="AF31" s="282">
        <f t="shared" si="28"/>
        <v>85.01</v>
      </c>
      <c r="AG31" s="282" t="str">
        <f t="shared" si="29"/>
        <v>baik</v>
      </c>
      <c r="AH31" s="282" t="str">
        <f t="shared" si="29"/>
        <v>baik</v>
      </c>
      <c r="AI31" s="282">
        <f t="shared" si="30"/>
        <v>2</v>
      </c>
      <c r="AJ31" s="283">
        <f t="shared" si="31"/>
        <v>1</v>
      </c>
      <c r="AK31" s="284" t="str">
        <f t="shared" si="32"/>
        <v>Memiliki kemampuan baik dalam Mengidentifikasi variasi gerak ritmik dan Menganalisis aktifitas gerak senam lantai</v>
      </c>
      <c r="AL31" s="276">
        <v>90</v>
      </c>
      <c r="AM31" s="277">
        <v>89</v>
      </c>
      <c r="AN31" s="277">
        <v>91</v>
      </c>
      <c r="AO31" s="277">
        <v>80</v>
      </c>
      <c r="AP31" s="277">
        <v>86</v>
      </c>
      <c r="AQ31" s="277"/>
      <c r="AR31" s="277"/>
      <c r="AS31" s="280"/>
      <c r="AT31" s="277"/>
      <c r="AU31" s="278"/>
      <c r="AV31" s="285">
        <f t="shared" si="33"/>
        <v>87</v>
      </c>
      <c r="AW31" s="296" t="str">
        <f t="shared" si="34"/>
        <v>B</v>
      </c>
      <c r="AX31" s="1220">
        <f t="shared" si="42"/>
        <v>90.01</v>
      </c>
      <c r="AY31" s="1221">
        <f t="shared" si="42"/>
        <v>89.02</v>
      </c>
      <c r="AZ31" s="1221">
        <f t="shared" si="42"/>
        <v>91.03</v>
      </c>
      <c r="BA31" s="1221">
        <f t="shared" si="42"/>
        <v>80.040000000000006</v>
      </c>
      <c r="BB31" s="1221">
        <f t="shared" si="42"/>
        <v>86.05</v>
      </c>
      <c r="BC31" s="1221" t="str">
        <f t="shared" si="42"/>
        <v/>
      </c>
      <c r="BD31" s="1221" t="str">
        <f t="shared" si="42"/>
        <v/>
      </c>
      <c r="BE31" s="1222" t="str">
        <f t="shared" si="42"/>
        <v/>
      </c>
      <c r="BF31" s="1221" t="str">
        <f t="shared" si="42"/>
        <v/>
      </c>
      <c r="BG31" s="1223" t="str">
        <f t="shared" si="42"/>
        <v/>
      </c>
      <c r="BH31" s="286">
        <f t="shared" si="35"/>
        <v>91.03</v>
      </c>
      <c r="BI31" s="286">
        <f t="shared" si="36"/>
        <v>80.040000000000006</v>
      </c>
      <c r="BJ31" s="287" t="str">
        <f t="shared" si="37"/>
        <v>baik</v>
      </c>
      <c r="BK31" s="287" t="str">
        <f t="shared" si="37"/>
        <v>cukup</v>
      </c>
      <c r="BL31" s="286">
        <f t="shared" si="38"/>
        <v>3</v>
      </c>
      <c r="BM31" s="288">
        <f t="shared" si="39"/>
        <v>4</v>
      </c>
      <c r="BN31" s="289" t="str">
        <f t="shared" si="40"/>
        <v>Memiliki keterampilan baik dalam Memeragakan renang gaya bebas, cukup keterampilan dalam Menyajikan cara remaja bergaul sehat</v>
      </c>
      <c r="BO31" s="67"/>
    </row>
    <row r="32" spans="1:67" ht="33" customHeight="1">
      <c r="A32" s="67"/>
      <c r="B32" s="272">
        <f t="shared" si="23"/>
        <v>19</v>
      </c>
      <c r="C32" s="273">
        <f>IF(Data!F23="","",Data!F23)</f>
        <v>0</v>
      </c>
      <c r="D32" s="274" t="str">
        <f>IF(Data!H23="","",Data!H23)</f>
        <v>Jidon Nubatonis</v>
      </c>
      <c r="E32" s="275" t="str">
        <f>IF(Data!I23="","",Data!I23)</f>
        <v>L</v>
      </c>
      <c r="F32" s="276">
        <v>88</v>
      </c>
      <c r="G32" s="277">
        <v>90</v>
      </c>
      <c r="H32" s="277">
        <v>88</v>
      </c>
      <c r="I32" s="277">
        <v>88</v>
      </c>
      <c r="J32" s="277">
        <v>78</v>
      </c>
      <c r="K32" s="277"/>
      <c r="L32" s="277"/>
      <c r="M32" s="280"/>
      <c r="N32" s="277"/>
      <c r="O32" s="278"/>
      <c r="P32" s="279">
        <f t="shared" si="24"/>
        <v>86</v>
      </c>
      <c r="Q32" s="277">
        <v>80</v>
      </c>
      <c r="R32" s="280">
        <v>78</v>
      </c>
      <c r="S32" s="281">
        <f t="shared" si="25"/>
        <v>83</v>
      </c>
      <c r="T32" s="295" t="str">
        <f t="shared" si="26"/>
        <v>C</v>
      </c>
      <c r="U32" s="1215">
        <f t="shared" si="41"/>
        <v>88.01</v>
      </c>
      <c r="V32" s="1216">
        <f t="shared" si="41"/>
        <v>90.02</v>
      </c>
      <c r="W32" s="1216">
        <f t="shared" si="41"/>
        <v>88.03</v>
      </c>
      <c r="X32" s="1216">
        <f t="shared" si="41"/>
        <v>88.04</v>
      </c>
      <c r="Y32" s="1216">
        <f t="shared" si="41"/>
        <v>78.05</v>
      </c>
      <c r="Z32" s="1216" t="str">
        <f t="shared" si="41"/>
        <v/>
      </c>
      <c r="AA32" s="1216" t="str">
        <f t="shared" si="41"/>
        <v/>
      </c>
      <c r="AB32" s="1217" t="str">
        <f t="shared" si="41"/>
        <v/>
      </c>
      <c r="AC32" s="1216" t="str">
        <f t="shared" si="41"/>
        <v/>
      </c>
      <c r="AD32" s="1218" t="str">
        <f t="shared" si="41"/>
        <v/>
      </c>
      <c r="AE32" s="1219">
        <f t="shared" si="27"/>
        <v>90.02</v>
      </c>
      <c r="AF32" s="282">
        <f t="shared" si="28"/>
        <v>78.05</v>
      </c>
      <c r="AG32" s="282" t="str">
        <f t="shared" si="29"/>
        <v>baik</v>
      </c>
      <c r="AH32" s="282" t="str">
        <f t="shared" si="29"/>
        <v>cukup</v>
      </c>
      <c r="AI32" s="282">
        <f t="shared" si="30"/>
        <v>2</v>
      </c>
      <c r="AJ32" s="283">
        <f t="shared" si="31"/>
        <v>5</v>
      </c>
      <c r="AK32" s="284" t="str">
        <f t="shared" si="32"/>
        <v>Memiliki kemampuan baik dalam Mengidentifikasi variasi gerak ritmik, cukup kemampuan dalam Menganalisis bahaya penyala gunaan narkoba</v>
      </c>
      <c r="AL32" s="276">
        <v>90</v>
      </c>
      <c r="AM32" s="277">
        <v>89</v>
      </c>
      <c r="AN32" s="277">
        <v>90</v>
      </c>
      <c r="AO32" s="277">
        <v>85</v>
      </c>
      <c r="AP32" s="277">
        <v>86</v>
      </c>
      <c r="AQ32" s="277"/>
      <c r="AR32" s="277"/>
      <c r="AS32" s="280"/>
      <c r="AT32" s="277"/>
      <c r="AU32" s="278"/>
      <c r="AV32" s="285">
        <f t="shared" si="33"/>
        <v>88</v>
      </c>
      <c r="AW32" s="296" t="str">
        <f t="shared" si="34"/>
        <v>B</v>
      </c>
      <c r="AX32" s="1220">
        <f t="shared" si="42"/>
        <v>90.01</v>
      </c>
      <c r="AY32" s="1221">
        <f t="shared" si="42"/>
        <v>89.02</v>
      </c>
      <c r="AZ32" s="1221">
        <f t="shared" si="42"/>
        <v>90.03</v>
      </c>
      <c r="BA32" s="1221">
        <f t="shared" si="42"/>
        <v>85.04</v>
      </c>
      <c r="BB32" s="1221">
        <f t="shared" si="42"/>
        <v>86.05</v>
      </c>
      <c r="BC32" s="1221" t="str">
        <f t="shared" si="42"/>
        <v/>
      </c>
      <c r="BD32" s="1221" t="str">
        <f t="shared" si="42"/>
        <v/>
      </c>
      <c r="BE32" s="1222" t="str">
        <f t="shared" si="42"/>
        <v/>
      </c>
      <c r="BF32" s="1221" t="str">
        <f t="shared" si="42"/>
        <v/>
      </c>
      <c r="BG32" s="1223" t="str">
        <f t="shared" si="42"/>
        <v/>
      </c>
      <c r="BH32" s="286">
        <f t="shared" si="35"/>
        <v>90.03</v>
      </c>
      <c r="BI32" s="286">
        <f t="shared" si="36"/>
        <v>85.04</v>
      </c>
      <c r="BJ32" s="287" t="str">
        <f t="shared" si="37"/>
        <v>baik</v>
      </c>
      <c r="BK32" s="287" t="str">
        <f t="shared" si="37"/>
        <v>baik</v>
      </c>
      <c r="BL32" s="286">
        <f t="shared" si="38"/>
        <v>3</v>
      </c>
      <c r="BM32" s="288">
        <f t="shared" si="39"/>
        <v>4</v>
      </c>
      <c r="BN32" s="289" t="str">
        <f t="shared" si="40"/>
        <v>Memiliki keterampilan baik dalam Memeragakan renang gaya bebas dan Menyajikan cara remaja bergaul sehat</v>
      </c>
      <c r="BO32" s="67"/>
    </row>
    <row r="33" spans="1:67" ht="33" customHeight="1">
      <c r="A33" s="67"/>
      <c r="B33" s="272">
        <f t="shared" si="23"/>
        <v>20</v>
      </c>
      <c r="C33" s="273">
        <f>IF(Data!F24="","",Data!F24)</f>
        <v>0</v>
      </c>
      <c r="D33" s="274" t="str">
        <f>IF(Data!H24="","",Data!H24)</f>
        <v>Jitro Andro Baran</v>
      </c>
      <c r="E33" s="275" t="str">
        <f>IF(Data!I24="","",Data!I24)</f>
        <v>L</v>
      </c>
      <c r="F33" s="276">
        <v>77</v>
      </c>
      <c r="G33" s="277">
        <v>88</v>
      </c>
      <c r="H33" s="277">
        <v>89</v>
      </c>
      <c r="I33" s="277">
        <v>88</v>
      </c>
      <c r="J33" s="277">
        <v>78</v>
      </c>
      <c r="K33" s="277"/>
      <c r="L33" s="277"/>
      <c r="M33" s="280"/>
      <c r="N33" s="277"/>
      <c r="O33" s="278"/>
      <c r="P33" s="279">
        <f t="shared" si="24"/>
        <v>84</v>
      </c>
      <c r="Q33" s="277">
        <v>85</v>
      </c>
      <c r="R33" s="280">
        <v>80</v>
      </c>
      <c r="S33" s="281">
        <f t="shared" si="25"/>
        <v>83</v>
      </c>
      <c r="T33" s="295" t="str">
        <f t="shared" si="26"/>
        <v>C</v>
      </c>
      <c r="U33" s="1215">
        <f t="shared" si="41"/>
        <v>77.010000000000005</v>
      </c>
      <c r="V33" s="1216">
        <f t="shared" si="41"/>
        <v>88.02</v>
      </c>
      <c r="W33" s="1216">
        <f t="shared" si="41"/>
        <v>89.03</v>
      </c>
      <c r="X33" s="1216">
        <f t="shared" si="41"/>
        <v>88.04</v>
      </c>
      <c r="Y33" s="1216">
        <f t="shared" si="41"/>
        <v>78.05</v>
      </c>
      <c r="Z33" s="1216" t="str">
        <f t="shared" si="41"/>
        <v/>
      </c>
      <c r="AA33" s="1216" t="str">
        <f t="shared" si="41"/>
        <v/>
      </c>
      <c r="AB33" s="1217" t="str">
        <f t="shared" si="41"/>
        <v/>
      </c>
      <c r="AC33" s="1216" t="str">
        <f t="shared" si="41"/>
        <v/>
      </c>
      <c r="AD33" s="1218" t="str">
        <f t="shared" si="41"/>
        <v/>
      </c>
      <c r="AE33" s="1219">
        <f t="shared" si="27"/>
        <v>89.03</v>
      </c>
      <c r="AF33" s="282">
        <f t="shared" si="28"/>
        <v>77.010000000000005</v>
      </c>
      <c r="AG33" s="282" t="str">
        <f t="shared" si="29"/>
        <v>baik</v>
      </c>
      <c r="AH33" s="282" t="str">
        <f t="shared" si="29"/>
        <v>cukup</v>
      </c>
      <c r="AI33" s="282">
        <f t="shared" si="30"/>
        <v>3</v>
      </c>
      <c r="AJ33" s="283">
        <f t="shared" si="31"/>
        <v>1</v>
      </c>
      <c r="AK33" s="284" t="str">
        <f t="shared" si="32"/>
        <v>Memiliki kemampuan baik dalam Menganalisis aktifitas renang gaya bebas, cukup kemampuan dalam Menganalisis aktifitas gerak senam lantai</v>
      </c>
      <c r="AL33" s="276">
        <v>89</v>
      </c>
      <c r="AM33" s="277">
        <v>87</v>
      </c>
      <c r="AN33" s="277">
        <v>80</v>
      </c>
      <c r="AO33" s="277">
        <v>80</v>
      </c>
      <c r="AP33" s="277">
        <v>84</v>
      </c>
      <c r="AQ33" s="277"/>
      <c r="AR33" s="277"/>
      <c r="AS33" s="280"/>
      <c r="AT33" s="277"/>
      <c r="AU33" s="278"/>
      <c r="AV33" s="285">
        <f t="shared" si="33"/>
        <v>84</v>
      </c>
      <c r="AW33" s="296" t="str">
        <f t="shared" si="34"/>
        <v>C</v>
      </c>
      <c r="AX33" s="1220">
        <f t="shared" si="42"/>
        <v>89.01</v>
      </c>
      <c r="AY33" s="1221">
        <f t="shared" si="42"/>
        <v>87.02</v>
      </c>
      <c r="AZ33" s="1221">
        <f t="shared" si="42"/>
        <v>80.03</v>
      </c>
      <c r="BA33" s="1221">
        <f t="shared" si="42"/>
        <v>80.040000000000006</v>
      </c>
      <c r="BB33" s="1221">
        <f t="shared" si="42"/>
        <v>84.05</v>
      </c>
      <c r="BC33" s="1221" t="str">
        <f t="shared" si="42"/>
        <v/>
      </c>
      <c r="BD33" s="1221" t="str">
        <f t="shared" si="42"/>
        <v/>
      </c>
      <c r="BE33" s="1222" t="str">
        <f t="shared" si="42"/>
        <v/>
      </c>
      <c r="BF33" s="1221" t="str">
        <f t="shared" si="42"/>
        <v/>
      </c>
      <c r="BG33" s="1223" t="str">
        <f t="shared" si="42"/>
        <v/>
      </c>
      <c r="BH33" s="286">
        <f t="shared" si="35"/>
        <v>89.01</v>
      </c>
      <c r="BI33" s="286">
        <f t="shared" si="36"/>
        <v>80.03</v>
      </c>
      <c r="BJ33" s="287" t="str">
        <f t="shared" si="37"/>
        <v>baik</v>
      </c>
      <c r="BK33" s="287" t="str">
        <f t="shared" si="37"/>
        <v>cukup</v>
      </c>
      <c r="BL33" s="286">
        <f t="shared" si="38"/>
        <v>1</v>
      </c>
      <c r="BM33" s="288">
        <f t="shared" si="39"/>
        <v>3</v>
      </c>
      <c r="BN33" s="289" t="str">
        <f t="shared" si="40"/>
        <v>Memiliki keterampilan baik dalam Mempraktikan gerak senam lantai, cukup keterampilan dalam Memeragakan renang gaya bebas</v>
      </c>
      <c r="BO33" s="67"/>
    </row>
    <row r="34" spans="1:67" ht="33" customHeight="1">
      <c r="A34" s="67"/>
      <c r="B34" s="272">
        <f t="shared" si="23"/>
        <v>21</v>
      </c>
      <c r="C34" s="273">
        <f>IF(Data!F25="","",Data!F25)</f>
        <v>0</v>
      </c>
      <c r="D34" s="274" t="str">
        <f>IF(Data!H25="","",Data!H25)</f>
        <v>Juan Manuel Boys</v>
      </c>
      <c r="E34" s="275" t="str">
        <f>IF(Data!I25="","",Data!I25)</f>
        <v>L</v>
      </c>
      <c r="F34" s="276">
        <v>78</v>
      </c>
      <c r="G34" s="277">
        <v>78</v>
      </c>
      <c r="H34" s="277">
        <v>80</v>
      </c>
      <c r="I34" s="277">
        <v>70</v>
      </c>
      <c r="J34" s="277">
        <v>80</v>
      </c>
      <c r="K34" s="277"/>
      <c r="L34" s="277"/>
      <c r="M34" s="280"/>
      <c r="N34" s="277"/>
      <c r="O34" s="278"/>
      <c r="P34" s="279">
        <f t="shared" si="24"/>
        <v>77</v>
      </c>
      <c r="Q34" s="277">
        <v>88</v>
      </c>
      <c r="R34" s="280">
        <v>88</v>
      </c>
      <c r="S34" s="281">
        <f t="shared" si="25"/>
        <v>83</v>
      </c>
      <c r="T34" s="295" t="str">
        <f t="shared" si="26"/>
        <v>C</v>
      </c>
      <c r="U34" s="1215">
        <f t="shared" si="41"/>
        <v>78.010000000000005</v>
      </c>
      <c r="V34" s="1216">
        <f t="shared" si="41"/>
        <v>78.02</v>
      </c>
      <c r="W34" s="1216">
        <f t="shared" si="41"/>
        <v>80.03</v>
      </c>
      <c r="X34" s="1216">
        <f t="shared" si="41"/>
        <v>70.040000000000006</v>
      </c>
      <c r="Y34" s="1216">
        <f t="shared" si="41"/>
        <v>80.05</v>
      </c>
      <c r="Z34" s="1216" t="str">
        <f t="shared" si="41"/>
        <v/>
      </c>
      <c r="AA34" s="1216" t="str">
        <f t="shared" si="41"/>
        <v/>
      </c>
      <c r="AB34" s="1217" t="str">
        <f t="shared" si="41"/>
        <v/>
      </c>
      <c r="AC34" s="1216" t="str">
        <f t="shared" si="41"/>
        <v/>
      </c>
      <c r="AD34" s="1218" t="str">
        <f t="shared" si="41"/>
        <v/>
      </c>
      <c r="AE34" s="1219">
        <f t="shared" si="27"/>
        <v>80.05</v>
      </c>
      <c r="AF34" s="282">
        <f t="shared" si="28"/>
        <v>70.040000000000006</v>
      </c>
      <c r="AG34" s="282" t="str">
        <f t="shared" si="29"/>
        <v>cukup</v>
      </c>
      <c r="AH34" s="282" t="str">
        <f t="shared" si="29"/>
        <v>perlu dimaksimalkan</v>
      </c>
      <c r="AI34" s="282">
        <f t="shared" si="30"/>
        <v>5</v>
      </c>
      <c r="AJ34" s="283">
        <f t="shared" si="31"/>
        <v>4</v>
      </c>
      <c r="AK34" s="284" t="str">
        <f t="shared" si="32"/>
        <v>Memiliki kemampuan cukup dalam Menganalisis bahaya penyala gunaan narkoba, perlu dimaksimalkan kemampuan dalam Mengidentifikasi konsep pergaulan sehat</v>
      </c>
      <c r="AL34" s="276">
        <v>90</v>
      </c>
      <c r="AM34" s="277">
        <v>87</v>
      </c>
      <c r="AN34" s="277">
        <v>89</v>
      </c>
      <c r="AO34" s="277">
        <v>88</v>
      </c>
      <c r="AP34" s="277">
        <v>80</v>
      </c>
      <c r="AQ34" s="277"/>
      <c r="AR34" s="277"/>
      <c r="AS34" s="280"/>
      <c r="AT34" s="277"/>
      <c r="AU34" s="278"/>
      <c r="AV34" s="285">
        <f t="shared" si="33"/>
        <v>87</v>
      </c>
      <c r="AW34" s="296" t="str">
        <f t="shared" si="34"/>
        <v>B</v>
      </c>
      <c r="AX34" s="1220">
        <f t="shared" si="42"/>
        <v>90.01</v>
      </c>
      <c r="AY34" s="1221">
        <f t="shared" si="42"/>
        <v>87.02</v>
      </c>
      <c r="AZ34" s="1221">
        <f t="shared" si="42"/>
        <v>89.03</v>
      </c>
      <c r="BA34" s="1221">
        <f t="shared" si="42"/>
        <v>88.04</v>
      </c>
      <c r="BB34" s="1221">
        <f t="shared" si="42"/>
        <v>80.05</v>
      </c>
      <c r="BC34" s="1221" t="str">
        <f t="shared" si="42"/>
        <v/>
      </c>
      <c r="BD34" s="1221" t="str">
        <f t="shared" si="42"/>
        <v/>
      </c>
      <c r="BE34" s="1222" t="str">
        <f t="shared" si="42"/>
        <v/>
      </c>
      <c r="BF34" s="1221" t="str">
        <f t="shared" si="42"/>
        <v/>
      </c>
      <c r="BG34" s="1223" t="str">
        <f t="shared" si="42"/>
        <v/>
      </c>
      <c r="BH34" s="286">
        <f t="shared" si="35"/>
        <v>90.01</v>
      </c>
      <c r="BI34" s="286">
        <f t="shared" si="36"/>
        <v>80.05</v>
      </c>
      <c r="BJ34" s="287" t="str">
        <f t="shared" si="37"/>
        <v>baik</v>
      </c>
      <c r="BK34" s="287" t="str">
        <f t="shared" si="37"/>
        <v>cukup</v>
      </c>
      <c r="BL34" s="286">
        <f t="shared" si="38"/>
        <v>1</v>
      </c>
      <c r="BM34" s="288">
        <f t="shared" si="39"/>
        <v>5</v>
      </c>
      <c r="BN34" s="289" t="str">
        <f t="shared" si="40"/>
        <v>Memiliki keterampilan baik dalam Mempraktikan gerak senam lantai, cukup keterampilan dalam Menyajikan bahaya penyala gunaan narkoba</v>
      </c>
      <c r="BO34" s="67"/>
    </row>
    <row r="35" spans="1:67" ht="33" customHeight="1">
      <c r="A35" s="67"/>
      <c r="B35" s="272">
        <f t="shared" si="23"/>
        <v>22</v>
      </c>
      <c r="C35" s="273">
        <f>IF(Data!F26="","",Data!F26)</f>
        <v>0</v>
      </c>
      <c r="D35" s="274" t="str">
        <f>IF(Data!H26="","",Data!H26)</f>
        <v>Krisyanti Ernela Kesnay</v>
      </c>
      <c r="E35" s="275" t="str">
        <f>IF(Data!I26="","",Data!I26)</f>
        <v>P</v>
      </c>
      <c r="F35" s="276">
        <v>86</v>
      </c>
      <c r="G35" s="277">
        <v>90</v>
      </c>
      <c r="H35" s="277">
        <v>88</v>
      </c>
      <c r="I35" s="277">
        <v>89</v>
      </c>
      <c r="J35" s="277">
        <v>89</v>
      </c>
      <c r="K35" s="277"/>
      <c r="L35" s="277"/>
      <c r="M35" s="280"/>
      <c r="N35" s="277"/>
      <c r="O35" s="278"/>
      <c r="P35" s="279">
        <f t="shared" si="24"/>
        <v>88</v>
      </c>
      <c r="Q35" s="277">
        <v>88</v>
      </c>
      <c r="R35" s="280">
        <v>87</v>
      </c>
      <c r="S35" s="281">
        <f t="shared" si="25"/>
        <v>88</v>
      </c>
      <c r="T35" s="295" t="str">
        <f t="shared" si="26"/>
        <v>B</v>
      </c>
      <c r="U35" s="1215">
        <f t="shared" si="41"/>
        <v>86.01</v>
      </c>
      <c r="V35" s="1216">
        <f t="shared" si="41"/>
        <v>90.02</v>
      </c>
      <c r="W35" s="1216">
        <f t="shared" si="41"/>
        <v>88.03</v>
      </c>
      <c r="X35" s="1216">
        <f t="shared" si="41"/>
        <v>89.04</v>
      </c>
      <c r="Y35" s="1216">
        <f t="shared" si="41"/>
        <v>89.05</v>
      </c>
      <c r="Z35" s="1216" t="str">
        <f t="shared" si="41"/>
        <v/>
      </c>
      <c r="AA35" s="1216" t="str">
        <f t="shared" si="41"/>
        <v/>
      </c>
      <c r="AB35" s="1217" t="str">
        <f t="shared" si="41"/>
        <v/>
      </c>
      <c r="AC35" s="1216" t="str">
        <f t="shared" si="41"/>
        <v/>
      </c>
      <c r="AD35" s="1218" t="str">
        <f t="shared" si="41"/>
        <v/>
      </c>
      <c r="AE35" s="1219">
        <f t="shared" si="27"/>
        <v>90.02</v>
      </c>
      <c r="AF35" s="282">
        <f t="shared" si="28"/>
        <v>86.01</v>
      </c>
      <c r="AG35" s="282" t="str">
        <f t="shared" si="29"/>
        <v>baik</v>
      </c>
      <c r="AH35" s="282" t="str">
        <f t="shared" si="29"/>
        <v>baik</v>
      </c>
      <c r="AI35" s="282">
        <f t="shared" si="30"/>
        <v>2</v>
      </c>
      <c r="AJ35" s="283">
        <f t="shared" si="31"/>
        <v>1</v>
      </c>
      <c r="AK35" s="284" t="str">
        <f t="shared" si="32"/>
        <v>Memiliki kemampuan baik dalam Mengidentifikasi variasi gerak ritmik dan Menganalisis aktifitas gerak senam lantai</v>
      </c>
      <c r="AL35" s="276">
        <v>87</v>
      </c>
      <c r="AM35" s="277">
        <v>88</v>
      </c>
      <c r="AN35" s="277">
        <v>89</v>
      </c>
      <c r="AO35" s="277">
        <v>87</v>
      </c>
      <c r="AP35" s="277">
        <v>80</v>
      </c>
      <c r="AQ35" s="277"/>
      <c r="AR35" s="277"/>
      <c r="AS35" s="280"/>
      <c r="AT35" s="277"/>
      <c r="AU35" s="278"/>
      <c r="AV35" s="285">
        <f t="shared" si="33"/>
        <v>86</v>
      </c>
      <c r="AW35" s="296" t="str">
        <f t="shared" si="34"/>
        <v>B</v>
      </c>
      <c r="AX35" s="1220">
        <f t="shared" si="42"/>
        <v>87.01</v>
      </c>
      <c r="AY35" s="1221">
        <f t="shared" si="42"/>
        <v>88.02</v>
      </c>
      <c r="AZ35" s="1221">
        <f t="shared" si="42"/>
        <v>89.03</v>
      </c>
      <c r="BA35" s="1221">
        <f t="shared" si="42"/>
        <v>87.04</v>
      </c>
      <c r="BB35" s="1221">
        <f t="shared" si="42"/>
        <v>80.05</v>
      </c>
      <c r="BC35" s="1221" t="str">
        <f t="shared" si="42"/>
        <v/>
      </c>
      <c r="BD35" s="1221" t="str">
        <f t="shared" si="42"/>
        <v/>
      </c>
      <c r="BE35" s="1222" t="str">
        <f t="shared" si="42"/>
        <v/>
      </c>
      <c r="BF35" s="1221" t="str">
        <f t="shared" si="42"/>
        <v/>
      </c>
      <c r="BG35" s="1223" t="str">
        <f t="shared" si="42"/>
        <v/>
      </c>
      <c r="BH35" s="286">
        <f t="shared" si="35"/>
        <v>89.03</v>
      </c>
      <c r="BI35" s="286">
        <f t="shared" si="36"/>
        <v>80.05</v>
      </c>
      <c r="BJ35" s="287" t="str">
        <f t="shared" si="37"/>
        <v>baik</v>
      </c>
      <c r="BK35" s="287" t="str">
        <f t="shared" si="37"/>
        <v>cukup</v>
      </c>
      <c r="BL35" s="286">
        <f t="shared" si="38"/>
        <v>3</v>
      </c>
      <c r="BM35" s="288">
        <f t="shared" si="39"/>
        <v>5</v>
      </c>
      <c r="BN35" s="289" t="str">
        <f t="shared" si="40"/>
        <v>Memiliki keterampilan baik dalam Memeragakan renang gaya bebas, cukup keterampilan dalam Menyajikan bahaya penyala gunaan narkoba</v>
      </c>
      <c r="BO35" s="67"/>
    </row>
    <row r="36" spans="1:67" ht="33" customHeight="1">
      <c r="A36" s="67"/>
      <c r="B36" s="272">
        <f t="shared" si="23"/>
        <v>23</v>
      </c>
      <c r="C36" s="273">
        <f>IF(Data!F27="","",Data!F27)</f>
        <v>0</v>
      </c>
      <c r="D36" s="274" t="str">
        <f>IF(Data!H27="","",Data!H27)</f>
        <v>Leni Aknesia Knoan</v>
      </c>
      <c r="E36" s="275" t="str">
        <f>IF(Data!I27="","",Data!I27)</f>
        <v>P</v>
      </c>
      <c r="F36" s="276">
        <v>80</v>
      </c>
      <c r="G36" s="277">
        <v>87</v>
      </c>
      <c r="H36" s="277">
        <v>0</v>
      </c>
      <c r="I36" s="277">
        <v>0</v>
      </c>
      <c r="J36" s="277">
        <v>0</v>
      </c>
      <c r="K36" s="277"/>
      <c r="L36" s="277"/>
      <c r="M36" s="280"/>
      <c r="N36" s="277"/>
      <c r="O36" s="278"/>
      <c r="P36" s="279">
        <f t="shared" si="24"/>
        <v>33</v>
      </c>
      <c r="Q36" s="277">
        <v>85</v>
      </c>
      <c r="R36" s="280">
        <v>0</v>
      </c>
      <c r="S36" s="281">
        <f t="shared" si="25"/>
        <v>38</v>
      </c>
      <c r="T36" s="295" t="str">
        <f t="shared" si="26"/>
        <v>D</v>
      </c>
      <c r="U36" s="1215">
        <f t="shared" si="41"/>
        <v>80.010000000000005</v>
      </c>
      <c r="V36" s="1216">
        <f t="shared" si="41"/>
        <v>87.02</v>
      </c>
      <c r="W36" s="1216">
        <f t="shared" si="41"/>
        <v>0.03</v>
      </c>
      <c r="X36" s="1216">
        <f t="shared" si="41"/>
        <v>0.04</v>
      </c>
      <c r="Y36" s="1216">
        <f t="shared" si="41"/>
        <v>0.05</v>
      </c>
      <c r="Z36" s="1216" t="str">
        <f t="shared" si="41"/>
        <v/>
      </c>
      <c r="AA36" s="1216" t="str">
        <f t="shared" si="41"/>
        <v/>
      </c>
      <c r="AB36" s="1217" t="str">
        <f t="shared" si="41"/>
        <v/>
      </c>
      <c r="AC36" s="1216" t="str">
        <f t="shared" si="41"/>
        <v/>
      </c>
      <c r="AD36" s="1218" t="str">
        <f t="shared" si="41"/>
        <v/>
      </c>
      <c r="AE36" s="1219">
        <f t="shared" si="27"/>
        <v>87.02</v>
      </c>
      <c r="AF36" s="282">
        <f t="shared" si="28"/>
        <v>0.03</v>
      </c>
      <c r="AG36" s="282" t="str">
        <f t="shared" si="29"/>
        <v>baik</v>
      </c>
      <c r="AH36" s="282" t="str">
        <f t="shared" si="29"/>
        <v>perlu dimaksimalkan</v>
      </c>
      <c r="AI36" s="282">
        <f t="shared" si="30"/>
        <v>2</v>
      </c>
      <c r="AJ36" s="283">
        <f t="shared" si="31"/>
        <v>3</v>
      </c>
      <c r="AK36" s="284" t="str">
        <f t="shared" si="32"/>
        <v>Memiliki kemampuan baik dalam Mengidentifikasi variasi gerak ritmik, perlu dimaksimalkan kemampuan dalam Menganalisis aktifitas renang gaya bebas</v>
      </c>
      <c r="AL36" s="276">
        <v>88</v>
      </c>
      <c r="AM36" s="277">
        <v>80</v>
      </c>
      <c r="AN36" s="277">
        <v>0</v>
      </c>
      <c r="AO36" s="277">
        <v>0</v>
      </c>
      <c r="AP36" s="277">
        <v>0</v>
      </c>
      <c r="AQ36" s="277"/>
      <c r="AR36" s="277"/>
      <c r="AS36" s="280"/>
      <c r="AT36" s="277"/>
      <c r="AU36" s="278"/>
      <c r="AV36" s="285">
        <f t="shared" si="33"/>
        <v>34</v>
      </c>
      <c r="AW36" s="296" t="str">
        <f t="shared" si="34"/>
        <v>D</v>
      </c>
      <c r="AX36" s="1220">
        <f t="shared" si="42"/>
        <v>88.01</v>
      </c>
      <c r="AY36" s="1221">
        <f t="shared" si="42"/>
        <v>80.02</v>
      </c>
      <c r="AZ36" s="1221">
        <f t="shared" si="42"/>
        <v>0.03</v>
      </c>
      <c r="BA36" s="1221">
        <f t="shared" si="42"/>
        <v>0.04</v>
      </c>
      <c r="BB36" s="1221">
        <f t="shared" si="42"/>
        <v>0.05</v>
      </c>
      <c r="BC36" s="1221" t="str">
        <f t="shared" si="42"/>
        <v/>
      </c>
      <c r="BD36" s="1221" t="str">
        <f t="shared" si="42"/>
        <v/>
      </c>
      <c r="BE36" s="1222" t="str">
        <f t="shared" si="42"/>
        <v/>
      </c>
      <c r="BF36" s="1221" t="str">
        <f t="shared" si="42"/>
        <v/>
      </c>
      <c r="BG36" s="1223" t="str">
        <f t="shared" si="42"/>
        <v/>
      </c>
      <c r="BH36" s="286">
        <f t="shared" si="35"/>
        <v>88.01</v>
      </c>
      <c r="BI36" s="286">
        <f t="shared" si="36"/>
        <v>0.03</v>
      </c>
      <c r="BJ36" s="287" t="str">
        <f t="shared" si="37"/>
        <v>baik</v>
      </c>
      <c r="BK36" s="287" t="str">
        <f t="shared" si="37"/>
        <v>perlu dimaksimalkan</v>
      </c>
      <c r="BL36" s="286">
        <f t="shared" si="38"/>
        <v>1</v>
      </c>
      <c r="BM36" s="288">
        <f t="shared" si="39"/>
        <v>3</v>
      </c>
      <c r="BN36" s="289" t="str">
        <f t="shared" si="40"/>
        <v>Memiliki keterampilan baik dalam Mempraktikan gerak senam lantai, perlu dimaksimalkan keterampilan dalam Memeragakan renang gaya bebas</v>
      </c>
      <c r="BO36" s="67"/>
    </row>
    <row r="37" spans="1:67" ht="33" customHeight="1">
      <c r="A37" s="67"/>
      <c r="B37" s="272">
        <f t="shared" si="23"/>
        <v>24</v>
      </c>
      <c r="C37" s="273">
        <f>IF(Data!F28="","",Data!F28)</f>
        <v>0</v>
      </c>
      <c r="D37" s="274" t="str">
        <f>IF(Data!H28="","",Data!H28)</f>
        <v>Marlon Dioninsius Lalus</v>
      </c>
      <c r="E37" s="275" t="str">
        <f>IF(Data!I28="","",Data!I28)</f>
        <v>L</v>
      </c>
      <c r="F37" s="276">
        <v>80</v>
      </c>
      <c r="G37" s="277">
        <v>89</v>
      </c>
      <c r="H37" s="277">
        <v>88</v>
      </c>
      <c r="I37" s="277">
        <v>89</v>
      </c>
      <c r="J37" s="277">
        <v>80</v>
      </c>
      <c r="K37" s="277"/>
      <c r="L37" s="277"/>
      <c r="M37" s="280"/>
      <c r="N37" s="277"/>
      <c r="O37" s="278"/>
      <c r="P37" s="279">
        <f t="shared" si="24"/>
        <v>85</v>
      </c>
      <c r="Q37" s="277">
        <v>85</v>
      </c>
      <c r="R37" s="280">
        <v>87</v>
      </c>
      <c r="S37" s="281">
        <f t="shared" si="25"/>
        <v>86</v>
      </c>
      <c r="T37" s="295" t="str">
        <f t="shared" si="26"/>
        <v>B</v>
      </c>
      <c r="U37" s="1215">
        <f t="shared" si="41"/>
        <v>80.010000000000005</v>
      </c>
      <c r="V37" s="1216">
        <f t="shared" si="41"/>
        <v>89.02</v>
      </c>
      <c r="W37" s="1216">
        <f t="shared" si="41"/>
        <v>88.03</v>
      </c>
      <c r="X37" s="1216">
        <f t="shared" si="41"/>
        <v>89.04</v>
      </c>
      <c r="Y37" s="1216">
        <f t="shared" si="41"/>
        <v>80.05</v>
      </c>
      <c r="Z37" s="1216" t="str">
        <f t="shared" si="41"/>
        <v/>
      </c>
      <c r="AA37" s="1216" t="str">
        <f t="shared" si="41"/>
        <v/>
      </c>
      <c r="AB37" s="1217" t="str">
        <f t="shared" si="41"/>
        <v/>
      </c>
      <c r="AC37" s="1216" t="str">
        <f t="shared" si="41"/>
        <v/>
      </c>
      <c r="AD37" s="1218" t="str">
        <f t="shared" si="41"/>
        <v/>
      </c>
      <c r="AE37" s="1219">
        <f t="shared" si="27"/>
        <v>89.04</v>
      </c>
      <c r="AF37" s="282">
        <f t="shared" si="28"/>
        <v>80.010000000000005</v>
      </c>
      <c r="AG37" s="282" t="str">
        <f t="shared" si="29"/>
        <v>baik</v>
      </c>
      <c r="AH37" s="282" t="str">
        <f t="shared" si="29"/>
        <v>cukup</v>
      </c>
      <c r="AI37" s="282">
        <f t="shared" si="30"/>
        <v>4</v>
      </c>
      <c r="AJ37" s="283">
        <f t="shared" si="31"/>
        <v>1</v>
      </c>
      <c r="AK37" s="284" t="str">
        <f t="shared" si="32"/>
        <v>Memiliki kemampuan baik dalam Mengidentifikasi konsep pergaulan sehat, cukup kemampuan dalam Menganalisis aktifitas gerak senam lantai</v>
      </c>
      <c r="AL37" s="276">
        <v>89</v>
      </c>
      <c r="AM37" s="277">
        <v>85</v>
      </c>
      <c r="AN37" s="277">
        <v>86</v>
      </c>
      <c r="AO37" s="277">
        <v>88</v>
      </c>
      <c r="AP37" s="277">
        <v>88</v>
      </c>
      <c r="AQ37" s="277"/>
      <c r="AR37" s="277"/>
      <c r="AS37" s="280"/>
      <c r="AT37" s="277"/>
      <c r="AU37" s="278"/>
      <c r="AV37" s="285">
        <f t="shared" si="33"/>
        <v>87</v>
      </c>
      <c r="AW37" s="296" t="str">
        <f t="shared" si="34"/>
        <v>B</v>
      </c>
      <c r="AX37" s="1220">
        <f t="shared" si="42"/>
        <v>89.01</v>
      </c>
      <c r="AY37" s="1221">
        <f t="shared" si="42"/>
        <v>85.02</v>
      </c>
      <c r="AZ37" s="1221">
        <f t="shared" si="42"/>
        <v>86.03</v>
      </c>
      <c r="BA37" s="1221">
        <f t="shared" si="42"/>
        <v>88.04</v>
      </c>
      <c r="BB37" s="1221">
        <f t="shared" si="42"/>
        <v>88.05</v>
      </c>
      <c r="BC37" s="1221" t="str">
        <f t="shared" si="42"/>
        <v/>
      </c>
      <c r="BD37" s="1221" t="str">
        <f t="shared" si="42"/>
        <v/>
      </c>
      <c r="BE37" s="1222" t="str">
        <f t="shared" si="42"/>
        <v/>
      </c>
      <c r="BF37" s="1221" t="str">
        <f t="shared" si="42"/>
        <v/>
      </c>
      <c r="BG37" s="1223" t="str">
        <f t="shared" si="42"/>
        <v/>
      </c>
      <c r="BH37" s="286">
        <f t="shared" si="35"/>
        <v>89.01</v>
      </c>
      <c r="BI37" s="286">
        <f t="shared" si="36"/>
        <v>85.02</v>
      </c>
      <c r="BJ37" s="287" t="str">
        <f t="shared" si="37"/>
        <v>baik</v>
      </c>
      <c r="BK37" s="287" t="str">
        <f t="shared" si="37"/>
        <v>baik</v>
      </c>
      <c r="BL37" s="286">
        <f t="shared" si="38"/>
        <v>1</v>
      </c>
      <c r="BM37" s="288">
        <f t="shared" si="39"/>
        <v>2</v>
      </c>
      <c r="BN37" s="289" t="str">
        <f t="shared" si="40"/>
        <v>Memiliki keterampilan baik dalam Mempraktikan gerak senam lantai dan Memeragakan gerak ritmik</v>
      </c>
      <c r="BO37" s="67"/>
    </row>
    <row r="38" spans="1:67" ht="33" customHeight="1">
      <c r="A38" s="67"/>
      <c r="B38" s="272">
        <f t="shared" ref="B38:B46" si="43">IF(D38="","",B37+1)</f>
        <v>25</v>
      </c>
      <c r="C38" s="273">
        <f>IF(Data!F29="","",Data!F29)</f>
        <v>0</v>
      </c>
      <c r="D38" s="274" t="str">
        <f>IF(Data!H29="","",Data!H29)</f>
        <v>Maya Trifena Niobe</v>
      </c>
      <c r="E38" s="275" t="str">
        <f>IF(Data!I29="","",Data!I29)</f>
        <v>P</v>
      </c>
      <c r="F38" s="276">
        <v>87</v>
      </c>
      <c r="G38" s="277">
        <v>88</v>
      </c>
      <c r="H38" s="277">
        <v>90</v>
      </c>
      <c r="I38" s="277">
        <v>80</v>
      </c>
      <c r="J38" s="277">
        <v>80</v>
      </c>
      <c r="K38" s="277"/>
      <c r="L38" s="277"/>
      <c r="M38" s="280"/>
      <c r="N38" s="277"/>
      <c r="O38" s="278"/>
      <c r="P38" s="279">
        <f t="shared" si="24"/>
        <v>85</v>
      </c>
      <c r="Q38" s="277">
        <v>88</v>
      </c>
      <c r="R38" s="280">
        <v>87</v>
      </c>
      <c r="S38" s="281">
        <f t="shared" si="25"/>
        <v>86</v>
      </c>
      <c r="T38" s="295" t="str">
        <f t="shared" si="26"/>
        <v>B</v>
      </c>
      <c r="U38" s="1215">
        <f t="shared" si="41"/>
        <v>87.01</v>
      </c>
      <c r="V38" s="1216">
        <f t="shared" si="41"/>
        <v>88.02</v>
      </c>
      <c r="W38" s="1216">
        <f t="shared" si="41"/>
        <v>90.03</v>
      </c>
      <c r="X38" s="1216">
        <f t="shared" si="41"/>
        <v>80.040000000000006</v>
      </c>
      <c r="Y38" s="1216">
        <f t="shared" si="41"/>
        <v>80.05</v>
      </c>
      <c r="Z38" s="1216" t="str">
        <f t="shared" si="41"/>
        <v/>
      </c>
      <c r="AA38" s="1216" t="str">
        <f t="shared" si="41"/>
        <v/>
      </c>
      <c r="AB38" s="1217" t="str">
        <f t="shared" si="41"/>
        <v/>
      </c>
      <c r="AC38" s="1216" t="str">
        <f t="shared" si="41"/>
        <v/>
      </c>
      <c r="AD38" s="1218" t="str">
        <f t="shared" si="41"/>
        <v/>
      </c>
      <c r="AE38" s="1219">
        <f t="shared" si="27"/>
        <v>90.03</v>
      </c>
      <c r="AF38" s="282">
        <f t="shared" si="28"/>
        <v>80.040000000000006</v>
      </c>
      <c r="AG38" s="282" t="str">
        <f t="shared" si="29"/>
        <v>baik</v>
      </c>
      <c r="AH38" s="282" t="str">
        <f t="shared" si="29"/>
        <v>cukup</v>
      </c>
      <c r="AI38" s="282">
        <f t="shared" si="30"/>
        <v>3</v>
      </c>
      <c r="AJ38" s="283">
        <f t="shared" si="31"/>
        <v>4</v>
      </c>
      <c r="AK38" s="284" t="str">
        <f t="shared" si="32"/>
        <v>Memiliki kemampuan baik dalam Menganalisis aktifitas renang gaya bebas, cukup kemampuan dalam Mengidentifikasi konsep pergaulan sehat</v>
      </c>
      <c r="AL38" s="276">
        <v>88</v>
      </c>
      <c r="AM38" s="277">
        <v>87</v>
      </c>
      <c r="AN38" s="277">
        <v>89</v>
      </c>
      <c r="AO38" s="277">
        <v>80</v>
      </c>
      <c r="AP38" s="277">
        <v>87</v>
      </c>
      <c r="AQ38" s="277"/>
      <c r="AR38" s="277"/>
      <c r="AS38" s="280"/>
      <c r="AT38" s="277"/>
      <c r="AU38" s="278"/>
      <c r="AV38" s="285">
        <f t="shared" si="33"/>
        <v>86</v>
      </c>
      <c r="AW38" s="296" t="str">
        <f t="shared" si="34"/>
        <v>B</v>
      </c>
      <c r="AX38" s="1220">
        <f t="shared" si="42"/>
        <v>88.01</v>
      </c>
      <c r="AY38" s="1221">
        <f t="shared" si="42"/>
        <v>87.02</v>
      </c>
      <c r="AZ38" s="1221">
        <f t="shared" si="42"/>
        <v>89.03</v>
      </c>
      <c r="BA38" s="1221">
        <f t="shared" si="42"/>
        <v>80.040000000000006</v>
      </c>
      <c r="BB38" s="1221">
        <f t="shared" si="42"/>
        <v>87.05</v>
      </c>
      <c r="BC38" s="1221" t="str">
        <f t="shared" si="42"/>
        <v/>
      </c>
      <c r="BD38" s="1221" t="str">
        <f t="shared" si="42"/>
        <v/>
      </c>
      <c r="BE38" s="1222" t="str">
        <f t="shared" si="42"/>
        <v/>
      </c>
      <c r="BF38" s="1221" t="str">
        <f t="shared" si="42"/>
        <v/>
      </c>
      <c r="BG38" s="1223" t="str">
        <f t="shared" si="42"/>
        <v/>
      </c>
      <c r="BH38" s="286">
        <f t="shared" si="35"/>
        <v>89.03</v>
      </c>
      <c r="BI38" s="286">
        <f t="shared" si="36"/>
        <v>80.040000000000006</v>
      </c>
      <c r="BJ38" s="287" t="str">
        <f t="shared" si="37"/>
        <v>baik</v>
      </c>
      <c r="BK38" s="287" t="str">
        <f t="shared" si="37"/>
        <v>cukup</v>
      </c>
      <c r="BL38" s="286">
        <f t="shared" si="38"/>
        <v>3</v>
      </c>
      <c r="BM38" s="288">
        <f t="shared" si="39"/>
        <v>4</v>
      </c>
      <c r="BN38" s="289" t="str">
        <f t="shared" si="40"/>
        <v>Memiliki keterampilan baik dalam Memeragakan renang gaya bebas, cukup keterampilan dalam Menyajikan cara remaja bergaul sehat</v>
      </c>
      <c r="BO38" s="67"/>
    </row>
    <row r="39" spans="1:67" ht="33" customHeight="1">
      <c r="A39" s="67"/>
      <c r="B39" s="272">
        <f t="shared" si="43"/>
        <v>26</v>
      </c>
      <c r="C39" s="273">
        <f>IF(Data!F30="","",Data!F30)</f>
        <v>0</v>
      </c>
      <c r="D39" s="274" t="str">
        <f>IF(Data!H30="","",Data!H30)</f>
        <v>Misel Miranda Sora</v>
      </c>
      <c r="E39" s="275" t="str">
        <f>IF(Data!I30="","",Data!I30)</f>
        <v>P</v>
      </c>
      <c r="F39" s="276">
        <v>87</v>
      </c>
      <c r="G39" s="277">
        <v>95</v>
      </c>
      <c r="H39" s="277">
        <v>87</v>
      </c>
      <c r="I39" s="277">
        <v>80</v>
      </c>
      <c r="J39" s="277">
        <v>80</v>
      </c>
      <c r="K39" s="277"/>
      <c r="L39" s="277"/>
      <c r="M39" s="280"/>
      <c r="N39" s="277"/>
      <c r="O39" s="278"/>
      <c r="P39" s="279">
        <f t="shared" si="24"/>
        <v>86</v>
      </c>
      <c r="Q39" s="277">
        <v>88</v>
      </c>
      <c r="R39" s="280">
        <v>86</v>
      </c>
      <c r="S39" s="281">
        <f t="shared" si="25"/>
        <v>87</v>
      </c>
      <c r="T39" s="295" t="str">
        <f t="shared" si="26"/>
        <v>B</v>
      </c>
      <c r="U39" s="1215">
        <f t="shared" si="41"/>
        <v>87.01</v>
      </c>
      <c r="V39" s="1216">
        <f t="shared" si="41"/>
        <v>95.02</v>
      </c>
      <c r="W39" s="1216">
        <f t="shared" si="41"/>
        <v>87.03</v>
      </c>
      <c r="X39" s="1216">
        <f t="shared" si="41"/>
        <v>80.040000000000006</v>
      </c>
      <c r="Y39" s="1216">
        <f t="shared" si="41"/>
        <v>80.05</v>
      </c>
      <c r="Z39" s="1216" t="str">
        <f t="shared" si="41"/>
        <v/>
      </c>
      <c r="AA39" s="1216" t="str">
        <f t="shared" si="41"/>
        <v/>
      </c>
      <c r="AB39" s="1217" t="str">
        <f t="shared" si="41"/>
        <v/>
      </c>
      <c r="AC39" s="1216" t="str">
        <f t="shared" si="41"/>
        <v/>
      </c>
      <c r="AD39" s="1218" t="str">
        <f t="shared" si="41"/>
        <v/>
      </c>
      <c r="AE39" s="1219">
        <f t="shared" si="27"/>
        <v>95.02</v>
      </c>
      <c r="AF39" s="282">
        <f t="shared" si="28"/>
        <v>80.040000000000006</v>
      </c>
      <c r="AG39" s="282" t="str">
        <f t="shared" si="29"/>
        <v>sangat baik</v>
      </c>
      <c r="AH39" s="282" t="str">
        <f t="shared" si="29"/>
        <v>cukup</v>
      </c>
      <c r="AI39" s="282">
        <f t="shared" si="30"/>
        <v>2</v>
      </c>
      <c r="AJ39" s="283">
        <f t="shared" si="31"/>
        <v>4</v>
      </c>
      <c r="AK39" s="284" t="str">
        <f t="shared" si="32"/>
        <v>Memiliki kemampuan sangat baik dalam Mengidentifikasi variasi gerak ritmik, cukup kemampuan dalam Mengidentifikasi konsep pergaulan sehat</v>
      </c>
      <c r="AL39" s="276">
        <v>92</v>
      </c>
      <c r="AM39" s="277">
        <v>90</v>
      </c>
      <c r="AN39" s="277">
        <v>89</v>
      </c>
      <c r="AO39" s="277">
        <v>79</v>
      </c>
      <c r="AP39" s="277">
        <v>87</v>
      </c>
      <c r="AQ39" s="277"/>
      <c r="AR39" s="277"/>
      <c r="AS39" s="280"/>
      <c r="AT39" s="277"/>
      <c r="AU39" s="278"/>
      <c r="AV39" s="285">
        <f t="shared" si="33"/>
        <v>87</v>
      </c>
      <c r="AW39" s="296" t="str">
        <f t="shared" si="34"/>
        <v>B</v>
      </c>
      <c r="AX39" s="1220">
        <f t="shared" si="42"/>
        <v>92.01</v>
      </c>
      <c r="AY39" s="1221">
        <f t="shared" si="42"/>
        <v>90.02</v>
      </c>
      <c r="AZ39" s="1221">
        <f t="shared" si="42"/>
        <v>89.03</v>
      </c>
      <c r="BA39" s="1221">
        <f t="shared" si="42"/>
        <v>79.040000000000006</v>
      </c>
      <c r="BB39" s="1221">
        <f t="shared" si="42"/>
        <v>87.05</v>
      </c>
      <c r="BC39" s="1221" t="str">
        <f t="shared" si="42"/>
        <v/>
      </c>
      <c r="BD39" s="1221" t="str">
        <f t="shared" si="42"/>
        <v/>
      </c>
      <c r="BE39" s="1222" t="str">
        <f t="shared" si="42"/>
        <v/>
      </c>
      <c r="BF39" s="1221" t="str">
        <f t="shared" si="42"/>
        <v/>
      </c>
      <c r="BG39" s="1223" t="str">
        <f t="shared" si="42"/>
        <v/>
      </c>
      <c r="BH39" s="286">
        <f t="shared" si="35"/>
        <v>92.01</v>
      </c>
      <c r="BI39" s="286">
        <f t="shared" si="36"/>
        <v>79.040000000000006</v>
      </c>
      <c r="BJ39" s="287" t="str">
        <f t="shared" si="37"/>
        <v>baik</v>
      </c>
      <c r="BK39" s="287" t="str">
        <f t="shared" si="37"/>
        <v>cukup</v>
      </c>
      <c r="BL39" s="286">
        <f t="shared" si="38"/>
        <v>1</v>
      </c>
      <c r="BM39" s="288">
        <f t="shared" si="39"/>
        <v>4</v>
      </c>
      <c r="BN39" s="289" t="str">
        <f t="shared" si="40"/>
        <v>Memiliki keterampilan baik dalam Mempraktikan gerak senam lantai, cukup keterampilan dalam Menyajikan cara remaja bergaul sehat</v>
      </c>
      <c r="BO39" s="67"/>
    </row>
    <row r="40" spans="1:67" ht="33" customHeight="1">
      <c r="A40" s="67"/>
      <c r="B40" s="272">
        <f t="shared" si="43"/>
        <v>27</v>
      </c>
      <c r="C40" s="273">
        <f>IF(Data!F31="","",Data!F31)</f>
        <v>0</v>
      </c>
      <c r="D40" s="274" t="str">
        <f>IF(Data!H31="","",Data!H31)</f>
        <v>Nofianti Tainmeta</v>
      </c>
      <c r="E40" s="275" t="str">
        <f>IF(Data!I31="","",Data!I31)</f>
        <v>P</v>
      </c>
      <c r="F40" s="276">
        <v>86</v>
      </c>
      <c r="G40" s="277">
        <v>95</v>
      </c>
      <c r="H40" s="277">
        <v>87</v>
      </c>
      <c r="I40" s="277">
        <v>80</v>
      </c>
      <c r="J40" s="277">
        <v>90</v>
      </c>
      <c r="K40" s="277"/>
      <c r="L40" s="277"/>
      <c r="M40" s="280"/>
      <c r="N40" s="277"/>
      <c r="O40" s="278"/>
      <c r="P40" s="279">
        <f t="shared" si="24"/>
        <v>88</v>
      </c>
      <c r="Q40" s="277">
        <v>88</v>
      </c>
      <c r="R40" s="280">
        <v>85</v>
      </c>
      <c r="S40" s="281">
        <f t="shared" si="25"/>
        <v>87</v>
      </c>
      <c r="T40" s="295" t="str">
        <f t="shared" si="26"/>
        <v>B</v>
      </c>
      <c r="U40" s="1215">
        <f t="shared" si="41"/>
        <v>86.01</v>
      </c>
      <c r="V40" s="1216">
        <f t="shared" si="41"/>
        <v>95.02</v>
      </c>
      <c r="W40" s="1216">
        <f t="shared" si="41"/>
        <v>87.03</v>
      </c>
      <c r="X40" s="1216">
        <f t="shared" si="41"/>
        <v>80.040000000000006</v>
      </c>
      <c r="Y40" s="1216">
        <f t="shared" si="41"/>
        <v>90.05</v>
      </c>
      <c r="Z40" s="1216" t="str">
        <f t="shared" si="41"/>
        <v/>
      </c>
      <c r="AA40" s="1216" t="str">
        <f t="shared" si="41"/>
        <v/>
      </c>
      <c r="AB40" s="1217" t="str">
        <f t="shared" si="41"/>
        <v/>
      </c>
      <c r="AC40" s="1216" t="str">
        <f t="shared" si="41"/>
        <v/>
      </c>
      <c r="AD40" s="1218" t="str">
        <f t="shared" si="41"/>
        <v/>
      </c>
      <c r="AE40" s="1219">
        <f t="shared" si="27"/>
        <v>95.02</v>
      </c>
      <c r="AF40" s="282">
        <f t="shared" si="28"/>
        <v>80.040000000000006</v>
      </c>
      <c r="AG40" s="282" t="str">
        <f t="shared" si="29"/>
        <v>sangat baik</v>
      </c>
      <c r="AH40" s="282" t="str">
        <f t="shared" si="29"/>
        <v>cukup</v>
      </c>
      <c r="AI40" s="282">
        <f t="shared" si="30"/>
        <v>2</v>
      </c>
      <c r="AJ40" s="283">
        <f t="shared" si="31"/>
        <v>4</v>
      </c>
      <c r="AK40" s="284" t="str">
        <f t="shared" si="32"/>
        <v>Memiliki kemampuan sangat baik dalam Mengidentifikasi variasi gerak ritmik, cukup kemampuan dalam Mengidentifikasi konsep pergaulan sehat</v>
      </c>
      <c r="AL40" s="276">
        <v>89</v>
      </c>
      <c r="AM40" s="277">
        <v>90</v>
      </c>
      <c r="AN40" s="277">
        <v>88</v>
      </c>
      <c r="AO40" s="277">
        <v>82</v>
      </c>
      <c r="AP40" s="277">
        <v>80</v>
      </c>
      <c r="AQ40" s="277"/>
      <c r="AR40" s="277"/>
      <c r="AS40" s="280"/>
      <c r="AT40" s="277"/>
      <c r="AU40" s="278"/>
      <c r="AV40" s="285">
        <f t="shared" si="33"/>
        <v>86</v>
      </c>
      <c r="AW40" s="296" t="str">
        <f t="shared" si="34"/>
        <v>B</v>
      </c>
      <c r="AX40" s="1220">
        <f t="shared" si="42"/>
        <v>89.01</v>
      </c>
      <c r="AY40" s="1221">
        <f t="shared" si="42"/>
        <v>90.02</v>
      </c>
      <c r="AZ40" s="1221">
        <f t="shared" si="42"/>
        <v>88.03</v>
      </c>
      <c r="BA40" s="1221">
        <f t="shared" si="42"/>
        <v>82.04</v>
      </c>
      <c r="BB40" s="1221">
        <f t="shared" si="42"/>
        <v>80.05</v>
      </c>
      <c r="BC40" s="1221" t="str">
        <f t="shared" si="42"/>
        <v/>
      </c>
      <c r="BD40" s="1221" t="str">
        <f t="shared" si="42"/>
        <v/>
      </c>
      <c r="BE40" s="1222" t="str">
        <f t="shared" si="42"/>
        <v/>
      </c>
      <c r="BF40" s="1221" t="str">
        <f t="shared" si="42"/>
        <v/>
      </c>
      <c r="BG40" s="1223" t="str">
        <f t="shared" si="42"/>
        <v/>
      </c>
      <c r="BH40" s="286">
        <f t="shared" si="35"/>
        <v>90.02</v>
      </c>
      <c r="BI40" s="286">
        <f t="shared" si="36"/>
        <v>80.05</v>
      </c>
      <c r="BJ40" s="287" t="str">
        <f t="shared" si="37"/>
        <v>baik</v>
      </c>
      <c r="BK40" s="287" t="str">
        <f t="shared" si="37"/>
        <v>cukup</v>
      </c>
      <c r="BL40" s="286">
        <f t="shared" si="38"/>
        <v>2</v>
      </c>
      <c r="BM40" s="288">
        <f t="shared" si="39"/>
        <v>5</v>
      </c>
      <c r="BN40" s="289" t="str">
        <f t="shared" si="40"/>
        <v>Memiliki keterampilan baik dalam Memeragakan gerak ritmik, cukup keterampilan dalam Menyajikan bahaya penyala gunaan narkoba</v>
      </c>
      <c r="BO40" s="67"/>
    </row>
    <row r="41" spans="1:67" ht="33" customHeight="1">
      <c r="A41" s="67"/>
      <c r="B41" s="272">
        <f t="shared" si="43"/>
        <v>28</v>
      </c>
      <c r="C41" s="273">
        <f>IF(Data!F32="","",Data!F32)</f>
        <v>0</v>
      </c>
      <c r="D41" s="274" t="str">
        <f>IF(Data!H32="","",Data!H32)</f>
        <v>Ofni Antrikus Banun</v>
      </c>
      <c r="E41" s="275" t="str">
        <f>IF(Data!I32="","",Data!I32)</f>
        <v>L</v>
      </c>
      <c r="F41" s="276">
        <v>86</v>
      </c>
      <c r="G41" s="277">
        <v>78</v>
      </c>
      <c r="H41" s="277">
        <v>80</v>
      </c>
      <c r="I41" s="277">
        <v>80</v>
      </c>
      <c r="J41" s="277">
        <v>78</v>
      </c>
      <c r="K41" s="277"/>
      <c r="L41" s="277"/>
      <c r="M41" s="280"/>
      <c r="N41" s="277"/>
      <c r="O41" s="278"/>
      <c r="P41" s="279">
        <f t="shared" si="24"/>
        <v>80</v>
      </c>
      <c r="Q41" s="277">
        <v>78</v>
      </c>
      <c r="R41" s="280">
        <v>87</v>
      </c>
      <c r="S41" s="281">
        <f t="shared" si="25"/>
        <v>81</v>
      </c>
      <c r="T41" s="295" t="str">
        <f t="shared" si="26"/>
        <v>C</v>
      </c>
      <c r="U41" s="1215">
        <f t="shared" si="41"/>
        <v>86.01</v>
      </c>
      <c r="V41" s="1216">
        <f t="shared" si="41"/>
        <v>78.02</v>
      </c>
      <c r="W41" s="1216">
        <f t="shared" si="41"/>
        <v>80.03</v>
      </c>
      <c r="X41" s="1216">
        <f t="shared" si="41"/>
        <v>80.040000000000006</v>
      </c>
      <c r="Y41" s="1216">
        <f t="shared" si="41"/>
        <v>78.05</v>
      </c>
      <c r="Z41" s="1216" t="str">
        <f t="shared" si="41"/>
        <v/>
      </c>
      <c r="AA41" s="1216" t="str">
        <f t="shared" si="41"/>
        <v/>
      </c>
      <c r="AB41" s="1217" t="str">
        <f t="shared" si="41"/>
        <v/>
      </c>
      <c r="AC41" s="1216" t="str">
        <f t="shared" si="41"/>
        <v/>
      </c>
      <c r="AD41" s="1218" t="str">
        <f t="shared" si="41"/>
        <v/>
      </c>
      <c r="AE41" s="1219">
        <f t="shared" si="27"/>
        <v>86.01</v>
      </c>
      <c r="AF41" s="282">
        <f t="shared" si="28"/>
        <v>78.02</v>
      </c>
      <c r="AG41" s="282" t="str">
        <f t="shared" si="29"/>
        <v>baik</v>
      </c>
      <c r="AH41" s="282" t="str">
        <f t="shared" si="29"/>
        <v>cukup</v>
      </c>
      <c r="AI41" s="282">
        <f t="shared" si="30"/>
        <v>1</v>
      </c>
      <c r="AJ41" s="283">
        <f t="shared" si="31"/>
        <v>2</v>
      </c>
      <c r="AK41" s="284" t="str">
        <f t="shared" si="32"/>
        <v>Memiliki kemampuan baik dalam Menganalisis aktifitas gerak senam lantai, cukup kemampuan dalam Mengidentifikasi variasi gerak ritmik</v>
      </c>
      <c r="AL41" s="276">
        <v>85</v>
      </c>
      <c r="AM41" s="277">
        <v>87</v>
      </c>
      <c r="AN41" s="277">
        <v>85</v>
      </c>
      <c r="AO41" s="277">
        <v>82</v>
      </c>
      <c r="AP41" s="277">
        <v>80</v>
      </c>
      <c r="AQ41" s="277"/>
      <c r="AR41" s="277"/>
      <c r="AS41" s="280"/>
      <c r="AT41" s="277"/>
      <c r="AU41" s="278"/>
      <c r="AV41" s="285">
        <f t="shared" si="33"/>
        <v>84</v>
      </c>
      <c r="AW41" s="296" t="str">
        <f t="shared" si="34"/>
        <v>C</v>
      </c>
      <c r="AX41" s="1220">
        <f t="shared" si="42"/>
        <v>85.01</v>
      </c>
      <c r="AY41" s="1221">
        <f t="shared" si="42"/>
        <v>87.02</v>
      </c>
      <c r="AZ41" s="1221">
        <f t="shared" si="42"/>
        <v>85.03</v>
      </c>
      <c r="BA41" s="1221">
        <f t="shared" si="42"/>
        <v>82.04</v>
      </c>
      <c r="BB41" s="1221">
        <f t="shared" si="42"/>
        <v>80.05</v>
      </c>
      <c r="BC41" s="1221" t="str">
        <f t="shared" si="42"/>
        <v/>
      </c>
      <c r="BD41" s="1221" t="str">
        <f t="shared" si="42"/>
        <v/>
      </c>
      <c r="BE41" s="1222" t="str">
        <f t="shared" si="42"/>
        <v/>
      </c>
      <c r="BF41" s="1221" t="str">
        <f t="shared" si="42"/>
        <v/>
      </c>
      <c r="BG41" s="1223" t="str">
        <f t="shared" si="42"/>
        <v/>
      </c>
      <c r="BH41" s="286">
        <f t="shared" si="35"/>
        <v>87.02</v>
      </c>
      <c r="BI41" s="286">
        <f t="shared" si="36"/>
        <v>80.05</v>
      </c>
      <c r="BJ41" s="287" t="str">
        <f t="shared" si="37"/>
        <v>baik</v>
      </c>
      <c r="BK41" s="287" t="str">
        <f t="shared" si="37"/>
        <v>cukup</v>
      </c>
      <c r="BL41" s="286">
        <f t="shared" si="38"/>
        <v>2</v>
      </c>
      <c r="BM41" s="288">
        <f t="shared" si="39"/>
        <v>5</v>
      </c>
      <c r="BN41" s="289" t="str">
        <f t="shared" si="40"/>
        <v>Memiliki keterampilan baik dalam Memeragakan gerak ritmik, cukup keterampilan dalam Menyajikan bahaya penyala gunaan narkoba</v>
      </c>
      <c r="BO41" s="67"/>
    </row>
    <row r="42" spans="1:67" ht="33" customHeight="1">
      <c r="A42" s="67"/>
      <c r="B42" s="272">
        <f t="shared" si="43"/>
        <v>29</v>
      </c>
      <c r="C42" s="273">
        <f>IF(Data!F33="","",Data!F33)</f>
        <v>0</v>
      </c>
      <c r="D42" s="274" t="str">
        <f>IF(Data!H33="","",Data!H33)</f>
        <v>Roiyandi Saebesi</v>
      </c>
      <c r="E42" s="275" t="str">
        <f>IF(Data!I33="","",Data!I33)</f>
        <v>L</v>
      </c>
      <c r="F42" s="276">
        <v>86</v>
      </c>
      <c r="G42" s="277">
        <v>88</v>
      </c>
      <c r="H42" s="277">
        <v>88</v>
      </c>
      <c r="I42" s="277">
        <v>87</v>
      </c>
      <c r="J42" s="277">
        <v>89</v>
      </c>
      <c r="K42" s="277"/>
      <c r="L42" s="277"/>
      <c r="M42" s="280"/>
      <c r="N42" s="277"/>
      <c r="O42" s="278"/>
      <c r="P42" s="279">
        <f t="shared" si="24"/>
        <v>88</v>
      </c>
      <c r="Q42" s="277">
        <v>88</v>
      </c>
      <c r="R42" s="280">
        <v>87</v>
      </c>
      <c r="S42" s="281">
        <f t="shared" si="25"/>
        <v>88</v>
      </c>
      <c r="T42" s="295" t="str">
        <f t="shared" si="26"/>
        <v>B</v>
      </c>
      <c r="U42" s="1215">
        <f t="shared" si="41"/>
        <v>86.01</v>
      </c>
      <c r="V42" s="1216">
        <f t="shared" si="41"/>
        <v>88.02</v>
      </c>
      <c r="W42" s="1216">
        <f t="shared" si="41"/>
        <v>88.03</v>
      </c>
      <c r="X42" s="1216">
        <f t="shared" si="41"/>
        <v>87.04</v>
      </c>
      <c r="Y42" s="1216">
        <f t="shared" si="41"/>
        <v>89.05</v>
      </c>
      <c r="Z42" s="1216" t="str">
        <f t="shared" si="41"/>
        <v/>
      </c>
      <c r="AA42" s="1216" t="str">
        <f t="shared" si="41"/>
        <v/>
      </c>
      <c r="AB42" s="1217" t="str">
        <f t="shared" si="41"/>
        <v/>
      </c>
      <c r="AC42" s="1216" t="str">
        <f t="shared" si="41"/>
        <v/>
      </c>
      <c r="AD42" s="1218" t="str">
        <f t="shared" si="41"/>
        <v/>
      </c>
      <c r="AE42" s="1219">
        <f t="shared" si="27"/>
        <v>89.05</v>
      </c>
      <c r="AF42" s="282">
        <f t="shared" si="28"/>
        <v>86.01</v>
      </c>
      <c r="AG42" s="282" t="str">
        <f t="shared" si="29"/>
        <v>baik</v>
      </c>
      <c r="AH42" s="282" t="str">
        <f t="shared" si="29"/>
        <v>baik</v>
      </c>
      <c r="AI42" s="282">
        <f t="shared" si="30"/>
        <v>5</v>
      </c>
      <c r="AJ42" s="283">
        <f t="shared" si="31"/>
        <v>1</v>
      </c>
      <c r="AK42" s="284" t="str">
        <f t="shared" si="32"/>
        <v>Memiliki kemampuan baik dalam Menganalisis bahaya penyala gunaan narkoba dan Menganalisis aktifitas gerak senam lantai</v>
      </c>
      <c r="AL42" s="276">
        <v>88</v>
      </c>
      <c r="AM42" s="277">
        <v>79</v>
      </c>
      <c r="AN42" s="277">
        <v>80</v>
      </c>
      <c r="AO42" s="277">
        <v>80</v>
      </c>
      <c r="AP42" s="277">
        <v>85</v>
      </c>
      <c r="AQ42" s="277"/>
      <c r="AR42" s="277"/>
      <c r="AS42" s="280"/>
      <c r="AT42" s="277"/>
      <c r="AU42" s="278"/>
      <c r="AV42" s="285">
        <f t="shared" si="33"/>
        <v>82</v>
      </c>
      <c r="AW42" s="296" t="str">
        <f t="shared" si="34"/>
        <v>C</v>
      </c>
      <c r="AX42" s="1220">
        <f t="shared" si="42"/>
        <v>88.01</v>
      </c>
      <c r="AY42" s="1221">
        <f t="shared" si="42"/>
        <v>79.02</v>
      </c>
      <c r="AZ42" s="1221">
        <f t="shared" si="42"/>
        <v>80.03</v>
      </c>
      <c r="BA42" s="1221">
        <f t="shared" si="42"/>
        <v>80.040000000000006</v>
      </c>
      <c r="BB42" s="1221">
        <f t="shared" si="42"/>
        <v>85.05</v>
      </c>
      <c r="BC42" s="1221" t="str">
        <f t="shared" si="42"/>
        <v/>
      </c>
      <c r="BD42" s="1221" t="str">
        <f t="shared" si="42"/>
        <v/>
      </c>
      <c r="BE42" s="1222" t="str">
        <f t="shared" si="42"/>
        <v/>
      </c>
      <c r="BF42" s="1221" t="str">
        <f t="shared" si="42"/>
        <v/>
      </c>
      <c r="BG42" s="1223" t="str">
        <f t="shared" si="42"/>
        <v/>
      </c>
      <c r="BH42" s="286">
        <f t="shared" si="35"/>
        <v>88.01</v>
      </c>
      <c r="BI42" s="286">
        <f t="shared" si="36"/>
        <v>79.02</v>
      </c>
      <c r="BJ42" s="287" t="str">
        <f t="shared" si="37"/>
        <v>baik</v>
      </c>
      <c r="BK42" s="287" t="str">
        <f t="shared" si="37"/>
        <v>cukup</v>
      </c>
      <c r="BL42" s="286">
        <f t="shared" si="38"/>
        <v>1</v>
      </c>
      <c r="BM42" s="288">
        <f t="shared" si="39"/>
        <v>2</v>
      </c>
      <c r="BN42" s="289" t="str">
        <f t="shared" si="40"/>
        <v>Memiliki keterampilan baik dalam Mempraktikan gerak senam lantai, cukup keterampilan dalam Memeragakan gerak ritmik</v>
      </c>
      <c r="BO42" s="67"/>
    </row>
    <row r="43" spans="1:67" ht="33" customHeight="1">
      <c r="A43" s="67"/>
      <c r="B43" s="272">
        <f t="shared" si="43"/>
        <v>30</v>
      </c>
      <c r="C43" s="273">
        <f>IF(Data!F34="","",Data!F34)</f>
        <v>0</v>
      </c>
      <c r="D43" s="274" t="str">
        <f>IF(Data!H34="","",Data!H34)</f>
        <v>Roni Yohanis Bira</v>
      </c>
      <c r="E43" s="275" t="str">
        <f>IF(Data!I34="","",Data!I34)</f>
        <v>L</v>
      </c>
      <c r="F43" s="276">
        <v>96</v>
      </c>
      <c r="G43" s="277">
        <v>88</v>
      </c>
      <c r="H43" s="277">
        <v>90</v>
      </c>
      <c r="I43" s="277">
        <v>89</v>
      </c>
      <c r="J43" s="277">
        <v>80</v>
      </c>
      <c r="K43" s="277"/>
      <c r="L43" s="277"/>
      <c r="M43" s="280"/>
      <c r="N43" s="277"/>
      <c r="O43" s="278"/>
      <c r="P43" s="279">
        <f t="shared" si="24"/>
        <v>89</v>
      </c>
      <c r="Q43" s="277">
        <v>87</v>
      </c>
      <c r="R43" s="280">
        <v>88</v>
      </c>
      <c r="S43" s="281">
        <f t="shared" si="25"/>
        <v>88</v>
      </c>
      <c r="T43" s="295" t="str">
        <f t="shared" si="26"/>
        <v>B</v>
      </c>
      <c r="U43" s="1215">
        <f t="shared" si="41"/>
        <v>96.01</v>
      </c>
      <c r="V43" s="1216">
        <f t="shared" si="41"/>
        <v>88.02</v>
      </c>
      <c r="W43" s="1216">
        <f t="shared" si="41"/>
        <v>90.03</v>
      </c>
      <c r="X43" s="1216">
        <f t="shared" si="41"/>
        <v>89.04</v>
      </c>
      <c r="Y43" s="1216">
        <f t="shared" si="41"/>
        <v>80.05</v>
      </c>
      <c r="Z43" s="1216" t="str">
        <f t="shared" si="41"/>
        <v/>
      </c>
      <c r="AA43" s="1216" t="str">
        <f t="shared" si="41"/>
        <v/>
      </c>
      <c r="AB43" s="1217" t="str">
        <f t="shared" si="41"/>
        <v/>
      </c>
      <c r="AC43" s="1216" t="str">
        <f t="shared" si="41"/>
        <v/>
      </c>
      <c r="AD43" s="1218" t="str">
        <f t="shared" si="41"/>
        <v/>
      </c>
      <c r="AE43" s="1219">
        <f t="shared" si="27"/>
        <v>96.01</v>
      </c>
      <c r="AF43" s="282">
        <f t="shared" si="28"/>
        <v>80.05</v>
      </c>
      <c r="AG43" s="282" t="str">
        <f t="shared" si="29"/>
        <v>sangat baik</v>
      </c>
      <c r="AH43" s="282" t="str">
        <f t="shared" si="29"/>
        <v>cukup</v>
      </c>
      <c r="AI43" s="282">
        <f t="shared" si="30"/>
        <v>1</v>
      </c>
      <c r="AJ43" s="283">
        <f t="shared" si="31"/>
        <v>5</v>
      </c>
      <c r="AK43" s="284" t="str">
        <f t="shared" si="32"/>
        <v>Memiliki kemampuan sangat baik dalam Menganalisis aktifitas gerak senam lantai, cukup kemampuan dalam Menganalisis bahaya penyala gunaan narkoba</v>
      </c>
      <c r="AL43" s="276">
        <v>80</v>
      </c>
      <c r="AM43" s="277">
        <v>95</v>
      </c>
      <c r="AN43" s="277">
        <v>88</v>
      </c>
      <c r="AO43" s="277">
        <v>89</v>
      </c>
      <c r="AP43" s="277">
        <v>80</v>
      </c>
      <c r="AQ43" s="277"/>
      <c r="AR43" s="277"/>
      <c r="AS43" s="280"/>
      <c r="AT43" s="277"/>
      <c r="AU43" s="278"/>
      <c r="AV43" s="285">
        <f t="shared" si="33"/>
        <v>86</v>
      </c>
      <c r="AW43" s="296" t="str">
        <f t="shared" si="34"/>
        <v>B</v>
      </c>
      <c r="AX43" s="1220">
        <f t="shared" si="42"/>
        <v>80.010000000000005</v>
      </c>
      <c r="AY43" s="1221">
        <f t="shared" si="42"/>
        <v>95.02</v>
      </c>
      <c r="AZ43" s="1221">
        <f t="shared" si="42"/>
        <v>88.03</v>
      </c>
      <c r="BA43" s="1221">
        <f t="shared" si="42"/>
        <v>89.04</v>
      </c>
      <c r="BB43" s="1221">
        <f t="shared" si="42"/>
        <v>80.05</v>
      </c>
      <c r="BC43" s="1221" t="str">
        <f t="shared" si="42"/>
        <v/>
      </c>
      <c r="BD43" s="1221" t="str">
        <f t="shared" si="42"/>
        <v/>
      </c>
      <c r="BE43" s="1222" t="str">
        <f t="shared" si="42"/>
        <v/>
      </c>
      <c r="BF43" s="1221" t="str">
        <f t="shared" si="42"/>
        <v/>
      </c>
      <c r="BG43" s="1223" t="str">
        <f t="shared" si="42"/>
        <v/>
      </c>
      <c r="BH43" s="286">
        <f t="shared" si="35"/>
        <v>95.02</v>
      </c>
      <c r="BI43" s="286">
        <f t="shared" si="36"/>
        <v>80.010000000000005</v>
      </c>
      <c r="BJ43" s="287" t="str">
        <f t="shared" si="37"/>
        <v>sangat baik</v>
      </c>
      <c r="BK43" s="287" t="str">
        <f t="shared" si="37"/>
        <v>cukup</v>
      </c>
      <c r="BL43" s="286">
        <f t="shared" si="38"/>
        <v>2</v>
      </c>
      <c r="BM43" s="288">
        <f t="shared" si="39"/>
        <v>1</v>
      </c>
      <c r="BN43" s="289" t="str">
        <f t="shared" si="40"/>
        <v>Memiliki keterampilan sangat baik dalam Memeragakan gerak ritmik, cukup keterampilan dalam Mempraktikan gerak senam lantai</v>
      </c>
      <c r="BO43" s="67"/>
    </row>
    <row r="44" spans="1:67" ht="33" customHeight="1">
      <c r="A44" s="67"/>
      <c r="B44" s="272">
        <f t="shared" si="43"/>
        <v>31</v>
      </c>
      <c r="C44" s="273">
        <f>IF(Data!F35="","",Data!F35)</f>
        <v>0</v>
      </c>
      <c r="D44" s="274" t="str">
        <f>IF(Data!H35="","",Data!H35)</f>
        <v>Sinta Norliana Funan</v>
      </c>
      <c r="E44" s="275" t="str">
        <f>IF(Data!I35="","",Data!I35)</f>
        <v>P</v>
      </c>
      <c r="F44" s="276">
        <v>86</v>
      </c>
      <c r="G44" s="277">
        <v>88</v>
      </c>
      <c r="H44" s="277">
        <v>88</v>
      </c>
      <c r="I44" s="277">
        <v>80</v>
      </c>
      <c r="J44" s="277">
        <v>80</v>
      </c>
      <c r="K44" s="277"/>
      <c r="L44" s="277"/>
      <c r="M44" s="280"/>
      <c r="N44" s="277"/>
      <c r="O44" s="278"/>
      <c r="P44" s="279">
        <f t="shared" si="24"/>
        <v>84</v>
      </c>
      <c r="Q44" s="277">
        <v>88</v>
      </c>
      <c r="R44" s="280">
        <v>87</v>
      </c>
      <c r="S44" s="281">
        <f t="shared" si="25"/>
        <v>86</v>
      </c>
      <c r="T44" s="295" t="str">
        <f t="shared" si="26"/>
        <v>B</v>
      </c>
      <c r="U44" s="1215">
        <f t="shared" si="41"/>
        <v>86.01</v>
      </c>
      <c r="V44" s="1216">
        <f t="shared" si="41"/>
        <v>88.02</v>
      </c>
      <c r="W44" s="1216">
        <f t="shared" si="41"/>
        <v>88.03</v>
      </c>
      <c r="X44" s="1216">
        <f t="shared" si="41"/>
        <v>80.040000000000006</v>
      </c>
      <c r="Y44" s="1216">
        <f t="shared" si="41"/>
        <v>80.05</v>
      </c>
      <c r="Z44" s="1216" t="str">
        <f t="shared" si="41"/>
        <v/>
      </c>
      <c r="AA44" s="1216" t="str">
        <f t="shared" si="41"/>
        <v/>
      </c>
      <c r="AB44" s="1217" t="str">
        <f t="shared" si="41"/>
        <v/>
      </c>
      <c r="AC44" s="1216" t="str">
        <f t="shared" si="41"/>
        <v/>
      </c>
      <c r="AD44" s="1218" t="str">
        <f t="shared" si="41"/>
        <v/>
      </c>
      <c r="AE44" s="1219">
        <f t="shared" si="27"/>
        <v>88.03</v>
      </c>
      <c r="AF44" s="282">
        <f t="shared" si="28"/>
        <v>80.040000000000006</v>
      </c>
      <c r="AG44" s="282" t="str">
        <f t="shared" si="29"/>
        <v>baik</v>
      </c>
      <c r="AH44" s="282" t="str">
        <f t="shared" si="29"/>
        <v>cukup</v>
      </c>
      <c r="AI44" s="282">
        <f t="shared" si="30"/>
        <v>3</v>
      </c>
      <c r="AJ44" s="283">
        <f t="shared" si="31"/>
        <v>4</v>
      </c>
      <c r="AK44" s="284" t="str">
        <f t="shared" si="32"/>
        <v>Memiliki kemampuan baik dalam Menganalisis aktifitas renang gaya bebas, cukup kemampuan dalam Mengidentifikasi konsep pergaulan sehat</v>
      </c>
      <c r="AL44" s="276">
        <v>88</v>
      </c>
      <c r="AM44" s="277">
        <v>95</v>
      </c>
      <c r="AN44" s="277">
        <v>87</v>
      </c>
      <c r="AO44" s="277">
        <v>80</v>
      </c>
      <c r="AP44" s="277">
        <v>80</v>
      </c>
      <c r="AQ44" s="277"/>
      <c r="AR44" s="277"/>
      <c r="AS44" s="280"/>
      <c r="AT44" s="277"/>
      <c r="AU44" s="278"/>
      <c r="AV44" s="285">
        <f t="shared" si="33"/>
        <v>86</v>
      </c>
      <c r="AW44" s="296" t="str">
        <f t="shared" si="34"/>
        <v>B</v>
      </c>
      <c r="AX44" s="1220">
        <f t="shared" si="42"/>
        <v>88.01</v>
      </c>
      <c r="AY44" s="1221">
        <f t="shared" si="42"/>
        <v>95.02</v>
      </c>
      <c r="AZ44" s="1221">
        <f t="shared" si="42"/>
        <v>87.03</v>
      </c>
      <c r="BA44" s="1221">
        <f t="shared" si="42"/>
        <v>80.040000000000006</v>
      </c>
      <c r="BB44" s="1221">
        <f t="shared" si="42"/>
        <v>80.05</v>
      </c>
      <c r="BC44" s="1221" t="str">
        <f t="shared" si="42"/>
        <v/>
      </c>
      <c r="BD44" s="1221" t="str">
        <f t="shared" si="42"/>
        <v/>
      </c>
      <c r="BE44" s="1222" t="str">
        <f t="shared" si="42"/>
        <v/>
      </c>
      <c r="BF44" s="1221" t="str">
        <f t="shared" si="42"/>
        <v/>
      </c>
      <c r="BG44" s="1223" t="str">
        <f t="shared" si="42"/>
        <v/>
      </c>
      <c r="BH44" s="286">
        <f t="shared" si="35"/>
        <v>95.02</v>
      </c>
      <c r="BI44" s="286">
        <f t="shared" si="36"/>
        <v>80.040000000000006</v>
      </c>
      <c r="BJ44" s="287" t="str">
        <f t="shared" si="37"/>
        <v>sangat baik</v>
      </c>
      <c r="BK44" s="287" t="str">
        <f t="shared" si="37"/>
        <v>cukup</v>
      </c>
      <c r="BL44" s="286">
        <f t="shared" si="38"/>
        <v>2</v>
      </c>
      <c r="BM44" s="288">
        <f t="shared" si="39"/>
        <v>4</v>
      </c>
      <c r="BN44" s="289" t="str">
        <f t="shared" si="40"/>
        <v>Memiliki keterampilan sangat baik dalam Memeragakan gerak ritmik, cukup keterampilan dalam Menyajikan cara remaja bergaul sehat</v>
      </c>
      <c r="BO44" s="67"/>
    </row>
    <row r="45" spans="1:67" ht="33" customHeight="1">
      <c r="A45" s="67"/>
      <c r="B45" s="272">
        <f t="shared" si="43"/>
        <v>32</v>
      </c>
      <c r="C45" s="273">
        <f>IF(Data!F36="","",Data!F36)</f>
        <v>0</v>
      </c>
      <c r="D45" s="274" t="str">
        <f>IF(Data!H36="","",Data!H36)</f>
        <v>Stevi Otnial Loemnanu</v>
      </c>
      <c r="E45" s="275" t="str">
        <f>IF(Data!I36="","",Data!I36)</f>
        <v>L</v>
      </c>
      <c r="F45" s="276">
        <v>88</v>
      </c>
      <c r="G45" s="277">
        <v>80</v>
      </c>
      <c r="H45" s="277">
        <v>90</v>
      </c>
      <c r="I45" s="277">
        <v>80</v>
      </c>
      <c r="J45" s="277">
        <v>79</v>
      </c>
      <c r="K45" s="277"/>
      <c r="L45" s="277"/>
      <c r="M45" s="280"/>
      <c r="N45" s="277"/>
      <c r="O45" s="278"/>
      <c r="P45" s="279">
        <f t="shared" si="24"/>
        <v>83</v>
      </c>
      <c r="Q45" s="277">
        <v>88</v>
      </c>
      <c r="R45" s="280">
        <v>86</v>
      </c>
      <c r="S45" s="281">
        <f t="shared" si="25"/>
        <v>85</v>
      </c>
      <c r="T45" s="295" t="str">
        <f t="shared" si="26"/>
        <v>B</v>
      </c>
      <c r="U45" s="1215">
        <f t="shared" si="41"/>
        <v>88.01</v>
      </c>
      <c r="V45" s="1216">
        <f t="shared" si="41"/>
        <v>80.02</v>
      </c>
      <c r="W45" s="1216">
        <f t="shared" si="41"/>
        <v>90.03</v>
      </c>
      <c r="X45" s="1216">
        <f t="shared" si="41"/>
        <v>80.040000000000006</v>
      </c>
      <c r="Y45" s="1216">
        <f t="shared" si="41"/>
        <v>79.05</v>
      </c>
      <c r="Z45" s="1216" t="str">
        <f t="shared" si="41"/>
        <v/>
      </c>
      <c r="AA45" s="1216" t="str">
        <f t="shared" si="41"/>
        <v/>
      </c>
      <c r="AB45" s="1217" t="str">
        <f t="shared" si="41"/>
        <v/>
      </c>
      <c r="AC45" s="1216" t="str">
        <f t="shared" si="41"/>
        <v/>
      </c>
      <c r="AD45" s="1218" t="str">
        <f t="shared" si="41"/>
        <v/>
      </c>
      <c r="AE45" s="1219">
        <f t="shared" si="27"/>
        <v>90.03</v>
      </c>
      <c r="AF45" s="282">
        <f t="shared" si="28"/>
        <v>79.05</v>
      </c>
      <c r="AG45" s="282" t="str">
        <f t="shared" si="29"/>
        <v>baik</v>
      </c>
      <c r="AH45" s="282" t="str">
        <f t="shared" si="29"/>
        <v>cukup</v>
      </c>
      <c r="AI45" s="282">
        <f t="shared" si="30"/>
        <v>3</v>
      </c>
      <c r="AJ45" s="283">
        <f t="shared" si="31"/>
        <v>5</v>
      </c>
      <c r="AK45" s="284" t="str">
        <f t="shared" si="32"/>
        <v>Memiliki kemampuan baik dalam Menganalisis aktifitas renang gaya bebas, cukup kemampuan dalam Menganalisis bahaya penyala gunaan narkoba</v>
      </c>
      <c r="AL45" s="276">
        <v>80</v>
      </c>
      <c r="AM45" s="277">
        <v>88</v>
      </c>
      <c r="AN45" s="277">
        <v>87</v>
      </c>
      <c r="AO45" s="277">
        <v>80</v>
      </c>
      <c r="AP45" s="277">
        <v>80</v>
      </c>
      <c r="AQ45" s="277"/>
      <c r="AR45" s="277"/>
      <c r="AS45" s="280"/>
      <c r="AT45" s="277"/>
      <c r="AU45" s="278"/>
      <c r="AV45" s="285">
        <f t="shared" si="33"/>
        <v>83</v>
      </c>
      <c r="AW45" s="296" t="str">
        <f t="shared" si="34"/>
        <v>C</v>
      </c>
      <c r="AX45" s="1220">
        <f t="shared" si="42"/>
        <v>80.010000000000005</v>
      </c>
      <c r="AY45" s="1221">
        <f t="shared" si="42"/>
        <v>88.02</v>
      </c>
      <c r="AZ45" s="1221">
        <f t="shared" si="42"/>
        <v>87.03</v>
      </c>
      <c r="BA45" s="1221">
        <f t="shared" si="42"/>
        <v>80.040000000000006</v>
      </c>
      <c r="BB45" s="1221">
        <f t="shared" si="42"/>
        <v>80.05</v>
      </c>
      <c r="BC45" s="1221" t="str">
        <f t="shared" si="42"/>
        <v/>
      </c>
      <c r="BD45" s="1221" t="str">
        <f t="shared" si="42"/>
        <v/>
      </c>
      <c r="BE45" s="1222" t="str">
        <f t="shared" si="42"/>
        <v/>
      </c>
      <c r="BF45" s="1221" t="str">
        <f t="shared" si="42"/>
        <v/>
      </c>
      <c r="BG45" s="1223" t="str">
        <f t="shared" si="42"/>
        <v/>
      </c>
      <c r="BH45" s="286">
        <f t="shared" si="35"/>
        <v>88.02</v>
      </c>
      <c r="BI45" s="286">
        <f t="shared" si="36"/>
        <v>80.010000000000005</v>
      </c>
      <c r="BJ45" s="287" t="str">
        <f t="shared" si="37"/>
        <v>baik</v>
      </c>
      <c r="BK45" s="287" t="str">
        <f t="shared" si="37"/>
        <v>cukup</v>
      </c>
      <c r="BL45" s="286">
        <f t="shared" si="38"/>
        <v>2</v>
      </c>
      <c r="BM45" s="288">
        <f t="shared" si="39"/>
        <v>1</v>
      </c>
      <c r="BN45" s="289" t="str">
        <f t="shared" si="40"/>
        <v>Memiliki keterampilan baik dalam Memeragakan gerak ritmik, cukup keterampilan dalam Mempraktikan gerak senam lantai</v>
      </c>
      <c r="BO45" s="67"/>
    </row>
    <row r="46" spans="1:67" ht="33" customHeight="1">
      <c r="A46" s="67"/>
      <c r="B46" s="272">
        <f t="shared" si="43"/>
        <v>33</v>
      </c>
      <c r="C46" s="273">
        <f>IF(Data!F37="","",Data!F37)</f>
        <v>0</v>
      </c>
      <c r="D46" s="274" t="str">
        <f>IF(Data!H37="","",Data!H37)</f>
        <v>Venciani Sefrianti Sufnera</v>
      </c>
      <c r="E46" s="275" t="str">
        <f>IF(Data!I37="","",Data!I37)</f>
        <v>P</v>
      </c>
      <c r="F46" s="276">
        <v>88</v>
      </c>
      <c r="G46" s="277">
        <v>86</v>
      </c>
      <c r="H46" s="277">
        <v>90</v>
      </c>
      <c r="I46" s="277">
        <v>80</v>
      </c>
      <c r="J46" s="277">
        <v>89</v>
      </c>
      <c r="K46" s="277"/>
      <c r="L46" s="277"/>
      <c r="M46" s="280"/>
      <c r="N46" s="277"/>
      <c r="O46" s="278"/>
      <c r="P46" s="279">
        <f t="shared" si="24"/>
        <v>87</v>
      </c>
      <c r="Q46" s="277">
        <v>89</v>
      </c>
      <c r="R46" s="280">
        <v>88</v>
      </c>
      <c r="S46" s="281">
        <f t="shared" si="25"/>
        <v>88</v>
      </c>
      <c r="T46" s="295" t="str">
        <f t="shared" si="26"/>
        <v>B</v>
      </c>
      <c r="U46" s="1215">
        <f t="shared" si="41"/>
        <v>88.01</v>
      </c>
      <c r="V46" s="1216">
        <f t="shared" si="41"/>
        <v>86.02</v>
      </c>
      <c r="W46" s="1216">
        <f t="shared" si="41"/>
        <v>90.03</v>
      </c>
      <c r="X46" s="1216">
        <f t="shared" si="41"/>
        <v>80.040000000000006</v>
      </c>
      <c r="Y46" s="1216">
        <f t="shared" si="41"/>
        <v>89.05</v>
      </c>
      <c r="Z46" s="1216" t="str">
        <f t="shared" si="41"/>
        <v/>
      </c>
      <c r="AA46" s="1216" t="str">
        <f t="shared" si="41"/>
        <v/>
      </c>
      <c r="AB46" s="1217" t="str">
        <f t="shared" si="41"/>
        <v/>
      </c>
      <c r="AC46" s="1216" t="str">
        <f t="shared" si="41"/>
        <v/>
      </c>
      <c r="AD46" s="1218" t="str">
        <f t="shared" si="41"/>
        <v/>
      </c>
      <c r="AE46" s="1219">
        <f t="shared" si="27"/>
        <v>90.03</v>
      </c>
      <c r="AF46" s="282">
        <f t="shared" si="28"/>
        <v>80.040000000000006</v>
      </c>
      <c r="AG46" s="282" t="str">
        <f t="shared" si="29"/>
        <v>baik</v>
      </c>
      <c r="AH46" s="282" t="str">
        <f t="shared" si="29"/>
        <v>cukup</v>
      </c>
      <c r="AI46" s="282">
        <f t="shared" si="30"/>
        <v>3</v>
      </c>
      <c r="AJ46" s="283">
        <f t="shared" si="31"/>
        <v>4</v>
      </c>
      <c r="AK46" s="284" t="str">
        <f t="shared" si="32"/>
        <v>Memiliki kemampuan baik dalam Menganalisis aktifitas renang gaya bebas, cukup kemampuan dalam Mengidentifikasi konsep pergaulan sehat</v>
      </c>
      <c r="AL46" s="276">
        <v>87</v>
      </c>
      <c r="AM46" s="277">
        <v>89</v>
      </c>
      <c r="AN46" s="277">
        <v>95</v>
      </c>
      <c r="AO46" s="277">
        <v>89</v>
      </c>
      <c r="AP46" s="277">
        <v>80</v>
      </c>
      <c r="AQ46" s="277"/>
      <c r="AR46" s="277"/>
      <c r="AS46" s="280"/>
      <c r="AT46" s="277"/>
      <c r="AU46" s="278"/>
      <c r="AV46" s="285">
        <f t="shared" si="33"/>
        <v>88</v>
      </c>
      <c r="AW46" s="296" t="str">
        <f t="shared" si="34"/>
        <v>B</v>
      </c>
      <c r="AX46" s="1220">
        <f t="shared" si="42"/>
        <v>87.01</v>
      </c>
      <c r="AY46" s="1221">
        <f t="shared" si="42"/>
        <v>89.02</v>
      </c>
      <c r="AZ46" s="1221">
        <f t="shared" si="42"/>
        <v>95.03</v>
      </c>
      <c r="BA46" s="1221">
        <f t="shared" si="42"/>
        <v>89.04</v>
      </c>
      <c r="BB46" s="1221">
        <f t="shared" si="42"/>
        <v>80.05</v>
      </c>
      <c r="BC46" s="1221" t="str">
        <f t="shared" si="42"/>
        <v/>
      </c>
      <c r="BD46" s="1221" t="str">
        <f t="shared" si="42"/>
        <v/>
      </c>
      <c r="BE46" s="1222" t="str">
        <f t="shared" si="42"/>
        <v/>
      </c>
      <c r="BF46" s="1221" t="str">
        <f t="shared" si="42"/>
        <v/>
      </c>
      <c r="BG46" s="1223" t="str">
        <f t="shared" si="42"/>
        <v/>
      </c>
      <c r="BH46" s="286">
        <f t="shared" si="35"/>
        <v>95.03</v>
      </c>
      <c r="BI46" s="286">
        <f t="shared" si="36"/>
        <v>80.05</v>
      </c>
      <c r="BJ46" s="287" t="str">
        <f t="shared" si="37"/>
        <v>sangat baik</v>
      </c>
      <c r="BK46" s="287" t="str">
        <f t="shared" si="37"/>
        <v>cukup</v>
      </c>
      <c r="BL46" s="286">
        <f t="shared" si="38"/>
        <v>3</v>
      </c>
      <c r="BM46" s="288">
        <f t="shared" si="39"/>
        <v>5</v>
      </c>
      <c r="BN46" s="289" t="str">
        <f t="shared" si="40"/>
        <v>Memiliki keterampilan sangat baik dalam Memeragakan renang gaya bebas, cukup keterampilan dalam Menyajikan bahaya penyala gunaan narkoba</v>
      </c>
      <c r="BO46" s="67"/>
    </row>
    <row r="47" spans="1:67" ht="33" customHeight="1">
      <c r="A47" s="67"/>
      <c r="B47" s="272">
        <f t="shared" ref="B47:B63" si="44">IF(D47="","",B46+1)</f>
        <v>34</v>
      </c>
      <c r="C47" s="273">
        <f>IF(Data!F38="","",Data!F38)</f>
        <v>0</v>
      </c>
      <c r="D47" s="274" t="str">
        <f>IF(Data!H38="","",Data!H38)</f>
        <v>Yangres Nitti</v>
      </c>
      <c r="E47" s="275" t="str">
        <f>IF(Data!I38="","",Data!I38)</f>
        <v>L</v>
      </c>
      <c r="F47" s="276">
        <v>89</v>
      </c>
      <c r="G47" s="277">
        <v>90</v>
      </c>
      <c r="H47" s="277">
        <v>80</v>
      </c>
      <c r="I47" s="277">
        <v>80</v>
      </c>
      <c r="J47" s="277">
        <v>89</v>
      </c>
      <c r="K47" s="277"/>
      <c r="L47" s="277"/>
      <c r="M47" s="280"/>
      <c r="N47" s="277"/>
      <c r="O47" s="278"/>
      <c r="P47" s="279">
        <f t="shared" si="24"/>
        <v>86</v>
      </c>
      <c r="Q47" s="277">
        <v>88</v>
      </c>
      <c r="R47" s="280">
        <v>86</v>
      </c>
      <c r="S47" s="281">
        <f t="shared" si="25"/>
        <v>87</v>
      </c>
      <c r="T47" s="295" t="str">
        <f t="shared" si="26"/>
        <v>B</v>
      </c>
      <c r="U47" s="1215">
        <f t="shared" si="41"/>
        <v>89.01</v>
      </c>
      <c r="V47" s="1216">
        <f t="shared" si="41"/>
        <v>90.02</v>
      </c>
      <c r="W47" s="1216">
        <f t="shared" si="41"/>
        <v>80.03</v>
      </c>
      <c r="X47" s="1216">
        <f t="shared" si="41"/>
        <v>80.040000000000006</v>
      </c>
      <c r="Y47" s="1216">
        <f t="shared" si="41"/>
        <v>89.05</v>
      </c>
      <c r="Z47" s="1216" t="str">
        <f t="shared" si="41"/>
        <v/>
      </c>
      <c r="AA47" s="1216" t="str">
        <f t="shared" si="41"/>
        <v/>
      </c>
      <c r="AB47" s="1217" t="str">
        <f t="shared" si="41"/>
        <v/>
      </c>
      <c r="AC47" s="1216" t="str">
        <f t="shared" si="41"/>
        <v/>
      </c>
      <c r="AD47" s="1218" t="str">
        <f t="shared" si="41"/>
        <v/>
      </c>
      <c r="AE47" s="1219">
        <f t="shared" si="27"/>
        <v>90.02</v>
      </c>
      <c r="AF47" s="282">
        <f t="shared" si="28"/>
        <v>80.03</v>
      </c>
      <c r="AG47" s="282" t="str">
        <f t="shared" si="29"/>
        <v>baik</v>
      </c>
      <c r="AH47" s="282" t="str">
        <f t="shared" si="29"/>
        <v>cukup</v>
      </c>
      <c r="AI47" s="282">
        <f t="shared" si="30"/>
        <v>2</v>
      </c>
      <c r="AJ47" s="283">
        <f t="shared" si="31"/>
        <v>3</v>
      </c>
      <c r="AK47" s="284" t="str">
        <f t="shared" si="32"/>
        <v>Memiliki kemampuan baik dalam Mengidentifikasi variasi gerak ritmik, cukup kemampuan dalam Menganalisis aktifitas renang gaya bebas</v>
      </c>
      <c r="AL47" s="276">
        <v>95</v>
      </c>
      <c r="AM47" s="277">
        <v>80</v>
      </c>
      <c r="AN47" s="277">
        <v>95</v>
      </c>
      <c r="AO47" s="277">
        <v>89</v>
      </c>
      <c r="AP47" s="277">
        <v>80</v>
      </c>
      <c r="AQ47" s="277"/>
      <c r="AR47" s="277"/>
      <c r="AS47" s="280"/>
      <c r="AT47" s="277"/>
      <c r="AU47" s="278"/>
      <c r="AV47" s="285">
        <f t="shared" si="33"/>
        <v>88</v>
      </c>
      <c r="AW47" s="296" t="str">
        <f t="shared" si="34"/>
        <v>B</v>
      </c>
      <c r="AX47" s="1220">
        <f t="shared" si="42"/>
        <v>95.01</v>
      </c>
      <c r="AY47" s="1221">
        <f t="shared" si="42"/>
        <v>80.02</v>
      </c>
      <c r="AZ47" s="1221">
        <f t="shared" si="42"/>
        <v>95.03</v>
      </c>
      <c r="BA47" s="1221">
        <f t="shared" si="42"/>
        <v>89.04</v>
      </c>
      <c r="BB47" s="1221">
        <f t="shared" si="42"/>
        <v>80.05</v>
      </c>
      <c r="BC47" s="1221" t="str">
        <f t="shared" si="42"/>
        <v/>
      </c>
      <c r="BD47" s="1221" t="str">
        <f t="shared" si="42"/>
        <v/>
      </c>
      <c r="BE47" s="1222" t="str">
        <f t="shared" si="42"/>
        <v/>
      </c>
      <c r="BF47" s="1221" t="str">
        <f t="shared" si="42"/>
        <v/>
      </c>
      <c r="BG47" s="1223" t="str">
        <f t="shared" si="42"/>
        <v/>
      </c>
      <c r="BH47" s="286">
        <f t="shared" si="35"/>
        <v>95.03</v>
      </c>
      <c r="BI47" s="286">
        <f t="shared" si="36"/>
        <v>80.02</v>
      </c>
      <c r="BJ47" s="287" t="str">
        <f t="shared" si="37"/>
        <v>sangat baik</v>
      </c>
      <c r="BK47" s="287" t="str">
        <f t="shared" si="37"/>
        <v>cukup</v>
      </c>
      <c r="BL47" s="286">
        <f t="shared" si="38"/>
        <v>3</v>
      </c>
      <c r="BM47" s="288">
        <f t="shared" si="39"/>
        <v>2</v>
      </c>
      <c r="BN47" s="289" t="str">
        <f t="shared" si="40"/>
        <v>Memiliki keterampilan sangat baik dalam Memeragakan renang gaya bebas, cukup keterampilan dalam Memeragakan gerak ritmik</v>
      </c>
      <c r="BO47" s="67"/>
    </row>
    <row r="48" spans="1:67" ht="33" customHeight="1">
      <c r="A48" s="67"/>
      <c r="B48" s="272">
        <f t="shared" si="44"/>
        <v>35</v>
      </c>
      <c r="C48" s="273">
        <f>IF(Data!F39="","",Data!F39)</f>
        <v>0</v>
      </c>
      <c r="D48" s="274" t="str">
        <f>IF(Data!H39="","",Data!H39)</f>
        <v>Yefta Trianus Mau</v>
      </c>
      <c r="E48" s="275" t="str">
        <f>IF(Data!I39="","",Data!I39)</f>
        <v>L</v>
      </c>
      <c r="F48" s="276">
        <v>87</v>
      </c>
      <c r="G48" s="277">
        <v>88</v>
      </c>
      <c r="H48" s="277">
        <v>88</v>
      </c>
      <c r="I48" s="277">
        <v>80</v>
      </c>
      <c r="J48" s="277">
        <v>80</v>
      </c>
      <c r="K48" s="277"/>
      <c r="L48" s="277"/>
      <c r="M48" s="280"/>
      <c r="N48" s="277"/>
      <c r="O48" s="278"/>
      <c r="P48" s="279">
        <f t="shared" si="24"/>
        <v>85</v>
      </c>
      <c r="Q48" s="277">
        <v>86</v>
      </c>
      <c r="R48" s="280">
        <v>88</v>
      </c>
      <c r="S48" s="281">
        <f t="shared" si="25"/>
        <v>86</v>
      </c>
      <c r="T48" s="295" t="str">
        <f t="shared" si="26"/>
        <v>B</v>
      </c>
      <c r="U48" s="1215">
        <f t="shared" si="41"/>
        <v>87.01</v>
      </c>
      <c r="V48" s="1216">
        <f t="shared" si="41"/>
        <v>88.02</v>
      </c>
      <c r="W48" s="1216">
        <f t="shared" si="41"/>
        <v>88.03</v>
      </c>
      <c r="X48" s="1216">
        <f t="shared" si="41"/>
        <v>80.040000000000006</v>
      </c>
      <c r="Y48" s="1216">
        <f t="shared" si="41"/>
        <v>80.05</v>
      </c>
      <c r="Z48" s="1216" t="str">
        <f t="shared" si="41"/>
        <v/>
      </c>
      <c r="AA48" s="1216" t="str">
        <f t="shared" si="41"/>
        <v/>
      </c>
      <c r="AB48" s="1217" t="str">
        <f t="shared" si="41"/>
        <v/>
      </c>
      <c r="AC48" s="1216" t="str">
        <f t="shared" si="41"/>
        <v/>
      </c>
      <c r="AD48" s="1218" t="str">
        <f t="shared" si="41"/>
        <v/>
      </c>
      <c r="AE48" s="1219">
        <f t="shared" si="27"/>
        <v>88.03</v>
      </c>
      <c r="AF48" s="282">
        <f t="shared" si="28"/>
        <v>80.040000000000006</v>
      </c>
      <c r="AG48" s="282" t="str">
        <f t="shared" si="29"/>
        <v>baik</v>
      </c>
      <c r="AH48" s="282" t="str">
        <f t="shared" si="29"/>
        <v>cukup</v>
      </c>
      <c r="AI48" s="282">
        <f t="shared" si="30"/>
        <v>3</v>
      </c>
      <c r="AJ48" s="283">
        <f t="shared" si="31"/>
        <v>4</v>
      </c>
      <c r="AK48" s="284" t="str">
        <f t="shared" si="32"/>
        <v>Memiliki kemampuan baik dalam Menganalisis aktifitas renang gaya bebas, cukup kemampuan dalam Mengidentifikasi konsep pergaulan sehat</v>
      </c>
      <c r="AL48" s="276">
        <v>89</v>
      </c>
      <c r="AM48" s="277">
        <v>88</v>
      </c>
      <c r="AN48" s="277">
        <v>80</v>
      </c>
      <c r="AO48" s="277">
        <v>87</v>
      </c>
      <c r="AP48" s="277">
        <v>80</v>
      </c>
      <c r="AQ48" s="277"/>
      <c r="AR48" s="277"/>
      <c r="AS48" s="280"/>
      <c r="AT48" s="277"/>
      <c r="AU48" s="278"/>
      <c r="AV48" s="285">
        <f t="shared" si="33"/>
        <v>85</v>
      </c>
      <c r="AW48" s="296" t="str">
        <f t="shared" si="34"/>
        <v>B</v>
      </c>
      <c r="AX48" s="1220">
        <f t="shared" si="42"/>
        <v>89.01</v>
      </c>
      <c r="AY48" s="1221">
        <f t="shared" si="42"/>
        <v>88.02</v>
      </c>
      <c r="AZ48" s="1221">
        <f t="shared" si="42"/>
        <v>80.03</v>
      </c>
      <c r="BA48" s="1221">
        <f t="shared" si="42"/>
        <v>87.04</v>
      </c>
      <c r="BB48" s="1221">
        <f t="shared" si="42"/>
        <v>80.05</v>
      </c>
      <c r="BC48" s="1221" t="str">
        <f t="shared" si="42"/>
        <v/>
      </c>
      <c r="BD48" s="1221" t="str">
        <f t="shared" si="42"/>
        <v/>
      </c>
      <c r="BE48" s="1222" t="str">
        <f t="shared" si="42"/>
        <v/>
      </c>
      <c r="BF48" s="1221" t="str">
        <f t="shared" si="42"/>
        <v/>
      </c>
      <c r="BG48" s="1223" t="str">
        <f t="shared" si="42"/>
        <v/>
      </c>
      <c r="BH48" s="286">
        <f t="shared" si="35"/>
        <v>89.01</v>
      </c>
      <c r="BI48" s="286">
        <f t="shared" si="36"/>
        <v>80.03</v>
      </c>
      <c r="BJ48" s="287" t="str">
        <f t="shared" si="37"/>
        <v>baik</v>
      </c>
      <c r="BK48" s="287" t="str">
        <f t="shared" si="37"/>
        <v>cukup</v>
      </c>
      <c r="BL48" s="286">
        <f t="shared" si="38"/>
        <v>1</v>
      </c>
      <c r="BM48" s="288">
        <f t="shared" si="39"/>
        <v>3</v>
      </c>
      <c r="BN48" s="289" t="str">
        <f t="shared" si="40"/>
        <v>Memiliki keterampilan baik dalam Mempraktikan gerak senam lantai, cukup keterampilan dalam Memeragakan renang gaya bebas</v>
      </c>
      <c r="BO48" s="67"/>
    </row>
    <row r="49" spans="1:67" ht="33" customHeight="1">
      <c r="A49" s="67"/>
      <c r="B49" s="272">
        <f t="shared" si="44"/>
        <v>36</v>
      </c>
      <c r="C49" s="273">
        <f>IF(Data!F40="","",Data!F40)</f>
        <v>0</v>
      </c>
      <c r="D49" s="274" t="str">
        <f>IF(Data!H40="","",Data!H40)</f>
        <v>Yuliana Febriyanti Nggeon</v>
      </c>
      <c r="E49" s="275" t="str">
        <f>IF(Data!I40="","",Data!I40)</f>
        <v>P</v>
      </c>
      <c r="F49" s="276">
        <v>86</v>
      </c>
      <c r="G49" s="277">
        <v>90</v>
      </c>
      <c r="H49" s="277">
        <v>80</v>
      </c>
      <c r="I49" s="277">
        <v>80</v>
      </c>
      <c r="J49" s="277">
        <v>80</v>
      </c>
      <c r="K49" s="277"/>
      <c r="L49" s="277"/>
      <c r="M49" s="280"/>
      <c r="N49" s="277"/>
      <c r="O49" s="278"/>
      <c r="P49" s="279">
        <f t="shared" si="24"/>
        <v>83</v>
      </c>
      <c r="Q49" s="277">
        <v>85</v>
      </c>
      <c r="R49" s="280">
        <v>88</v>
      </c>
      <c r="S49" s="281">
        <f t="shared" si="25"/>
        <v>85</v>
      </c>
      <c r="T49" s="295" t="str">
        <f t="shared" si="26"/>
        <v>B</v>
      </c>
      <c r="U49" s="1215">
        <f t="shared" si="41"/>
        <v>86.01</v>
      </c>
      <c r="V49" s="1216">
        <f t="shared" si="41"/>
        <v>90.02</v>
      </c>
      <c r="W49" s="1216">
        <f t="shared" si="41"/>
        <v>80.03</v>
      </c>
      <c r="X49" s="1216">
        <f t="shared" si="41"/>
        <v>80.040000000000006</v>
      </c>
      <c r="Y49" s="1216">
        <f t="shared" si="41"/>
        <v>80.05</v>
      </c>
      <c r="Z49" s="1216" t="str">
        <f t="shared" si="41"/>
        <v/>
      </c>
      <c r="AA49" s="1216" t="str">
        <f t="shared" si="41"/>
        <v/>
      </c>
      <c r="AB49" s="1217" t="str">
        <f t="shared" si="41"/>
        <v/>
      </c>
      <c r="AC49" s="1216" t="str">
        <f t="shared" si="41"/>
        <v/>
      </c>
      <c r="AD49" s="1218" t="str">
        <f t="shared" si="41"/>
        <v/>
      </c>
      <c r="AE49" s="1219">
        <f t="shared" si="27"/>
        <v>90.02</v>
      </c>
      <c r="AF49" s="282">
        <f t="shared" si="28"/>
        <v>80.03</v>
      </c>
      <c r="AG49" s="282" t="str">
        <f t="shared" si="29"/>
        <v>baik</v>
      </c>
      <c r="AH49" s="282" t="str">
        <f t="shared" si="29"/>
        <v>cukup</v>
      </c>
      <c r="AI49" s="282">
        <f t="shared" si="30"/>
        <v>2</v>
      </c>
      <c r="AJ49" s="283">
        <f t="shared" si="31"/>
        <v>3</v>
      </c>
      <c r="AK49" s="284" t="str">
        <f t="shared" si="32"/>
        <v>Memiliki kemampuan baik dalam Mengidentifikasi variasi gerak ritmik, cukup kemampuan dalam Menganalisis aktifitas renang gaya bebas</v>
      </c>
      <c r="AL49" s="276">
        <v>88</v>
      </c>
      <c r="AM49" s="277">
        <v>80</v>
      </c>
      <c r="AN49" s="277">
        <v>80</v>
      </c>
      <c r="AO49" s="277">
        <v>80</v>
      </c>
      <c r="AP49" s="277">
        <v>85</v>
      </c>
      <c r="AQ49" s="277"/>
      <c r="AR49" s="277"/>
      <c r="AS49" s="280"/>
      <c r="AT49" s="277"/>
      <c r="AU49" s="278"/>
      <c r="AV49" s="285">
        <f t="shared" si="33"/>
        <v>83</v>
      </c>
      <c r="AW49" s="296" t="str">
        <f t="shared" si="34"/>
        <v>C</v>
      </c>
      <c r="AX49" s="1220">
        <f t="shared" si="42"/>
        <v>88.01</v>
      </c>
      <c r="AY49" s="1221">
        <f t="shared" si="42"/>
        <v>80.02</v>
      </c>
      <c r="AZ49" s="1221">
        <f t="shared" si="42"/>
        <v>80.03</v>
      </c>
      <c r="BA49" s="1221">
        <f t="shared" si="42"/>
        <v>80.040000000000006</v>
      </c>
      <c r="BB49" s="1221">
        <f t="shared" si="42"/>
        <v>85.05</v>
      </c>
      <c r="BC49" s="1221" t="str">
        <f t="shared" si="42"/>
        <v/>
      </c>
      <c r="BD49" s="1221" t="str">
        <f t="shared" si="42"/>
        <v/>
      </c>
      <c r="BE49" s="1222" t="str">
        <f t="shared" si="42"/>
        <v/>
      </c>
      <c r="BF49" s="1221" t="str">
        <f t="shared" si="42"/>
        <v/>
      </c>
      <c r="BG49" s="1223" t="str">
        <f t="shared" si="42"/>
        <v/>
      </c>
      <c r="BH49" s="286">
        <f t="shared" si="35"/>
        <v>88.01</v>
      </c>
      <c r="BI49" s="286">
        <f t="shared" si="36"/>
        <v>80.02</v>
      </c>
      <c r="BJ49" s="287" t="str">
        <f t="shared" si="37"/>
        <v>baik</v>
      </c>
      <c r="BK49" s="287" t="str">
        <f t="shared" si="37"/>
        <v>cukup</v>
      </c>
      <c r="BL49" s="286">
        <f t="shared" si="38"/>
        <v>1</v>
      </c>
      <c r="BM49" s="288">
        <f t="shared" si="39"/>
        <v>2</v>
      </c>
      <c r="BN49" s="289" t="str">
        <f t="shared" si="40"/>
        <v>Memiliki keterampilan baik dalam Mempraktikan gerak senam lantai, cukup keterampilan dalam Memeragakan gerak ritmik</v>
      </c>
      <c r="BO49" s="67"/>
    </row>
    <row r="50" spans="1:67" ht="33" customHeight="1">
      <c r="A50" s="67"/>
      <c r="B50" s="272">
        <f t="shared" si="44"/>
        <v>37</v>
      </c>
      <c r="C50" s="273">
        <f>IF(Data!F41="","",Data!F41)</f>
        <v>0</v>
      </c>
      <c r="D50" s="274" t="str">
        <f>IF(Data!H41="","",Data!H41)</f>
        <v>Yuninda Pono</v>
      </c>
      <c r="E50" s="275" t="str">
        <f>IF(Data!I41="","",Data!I41)</f>
        <v>P</v>
      </c>
      <c r="F50" s="276">
        <v>87</v>
      </c>
      <c r="G50" s="277">
        <v>90</v>
      </c>
      <c r="H50" s="277">
        <v>88</v>
      </c>
      <c r="I50" s="277">
        <v>80</v>
      </c>
      <c r="J50" s="277">
        <v>89</v>
      </c>
      <c r="K50" s="277"/>
      <c r="L50" s="277"/>
      <c r="M50" s="280"/>
      <c r="N50" s="277"/>
      <c r="O50" s="278"/>
      <c r="P50" s="279">
        <f t="shared" si="24"/>
        <v>87</v>
      </c>
      <c r="Q50" s="277">
        <v>88</v>
      </c>
      <c r="R50" s="280">
        <v>86</v>
      </c>
      <c r="S50" s="281">
        <f t="shared" si="25"/>
        <v>87</v>
      </c>
      <c r="T50" s="295" t="str">
        <f t="shared" si="26"/>
        <v>B</v>
      </c>
      <c r="U50" s="1215">
        <f t="shared" si="41"/>
        <v>87.01</v>
      </c>
      <c r="V50" s="1216">
        <f t="shared" si="41"/>
        <v>90.02</v>
      </c>
      <c r="W50" s="1216">
        <f t="shared" si="41"/>
        <v>88.03</v>
      </c>
      <c r="X50" s="1216">
        <f t="shared" si="41"/>
        <v>80.040000000000006</v>
      </c>
      <c r="Y50" s="1216">
        <f t="shared" si="41"/>
        <v>89.05</v>
      </c>
      <c r="Z50" s="1216" t="str">
        <f t="shared" si="41"/>
        <v/>
      </c>
      <c r="AA50" s="1216" t="str">
        <f t="shared" si="41"/>
        <v/>
      </c>
      <c r="AB50" s="1217" t="str">
        <f t="shared" si="41"/>
        <v/>
      </c>
      <c r="AC50" s="1216" t="str">
        <f t="shared" si="41"/>
        <v/>
      </c>
      <c r="AD50" s="1218" t="str">
        <f t="shared" si="41"/>
        <v/>
      </c>
      <c r="AE50" s="1219">
        <f t="shared" si="27"/>
        <v>90.02</v>
      </c>
      <c r="AF50" s="282">
        <f t="shared" si="28"/>
        <v>80.040000000000006</v>
      </c>
      <c r="AG50" s="282" t="str">
        <f t="shared" si="29"/>
        <v>baik</v>
      </c>
      <c r="AH50" s="282" t="str">
        <f t="shared" si="29"/>
        <v>cukup</v>
      </c>
      <c r="AI50" s="282">
        <f t="shared" si="30"/>
        <v>2</v>
      </c>
      <c r="AJ50" s="283">
        <f t="shared" si="31"/>
        <v>4</v>
      </c>
      <c r="AK50" s="284" t="str">
        <f t="shared" si="32"/>
        <v>Memiliki kemampuan baik dalam Mengidentifikasi variasi gerak ritmik, cukup kemampuan dalam Mengidentifikasi konsep pergaulan sehat</v>
      </c>
      <c r="AL50" s="276">
        <v>80</v>
      </c>
      <c r="AM50" s="277">
        <v>89</v>
      </c>
      <c r="AN50" s="277">
        <v>95</v>
      </c>
      <c r="AO50" s="277">
        <v>90</v>
      </c>
      <c r="AP50" s="277">
        <v>89</v>
      </c>
      <c r="AQ50" s="277"/>
      <c r="AR50" s="277"/>
      <c r="AS50" s="280"/>
      <c r="AT50" s="277"/>
      <c r="AU50" s="278"/>
      <c r="AV50" s="285">
        <f t="shared" si="33"/>
        <v>89</v>
      </c>
      <c r="AW50" s="296" t="str">
        <f t="shared" si="34"/>
        <v>B</v>
      </c>
      <c r="AX50" s="1220">
        <f t="shared" si="42"/>
        <v>80.010000000000005</v>
      </c>
      <c r="AY50" s="1221">
        <f t="shared" si="42"/>
        <v>89.02</v>
      </c>
      <c r="AZ50" s="1221">
        <f t="shared" si="42"/>
        <v>95.03</v>
      </c>
      <c r="BA50" s="1221">
        <f t="shared" si="42"/>
        <v>90.04</v>
      </c>
      <c r="BB50" s="1221">
        <f t="shared" si="42"/>
        <v>89.05</v>
      </c>
      <c r="BC50" s="1221" t="str">
        <f t="shared" si="42"/>
        <v/>
      </c>
      <c r="BD50" s="1221" t="str">
        <f t="shared" si="42"/>
        <v/>
      </c>
      <c r="BE50" s="1222" t="str">
        <f t="shared" si="42"/>
        <v/>
      </c>
      <c r="BF50" s="1221" t="str">
        <f t="shared" si="42"/>
        <v/>
      </c>
      <c r="BG50" s="1223" t="str">
        <f t="shared" si="42"/>
        <v/>
      </c>
      <c r="BH50" s="286">
        <f t="shared" si="35"/>
        <v>95.03</v>
      </c>
      <c r="BI50" s="286">
        <f t="shared" si="36"/>
        <v>80.010000000000005</v>
      </c>
      <c r="BJ50" s="287" t="str">
        <f t="shared" si="37"/>
        <v>sangat baik</v>
      </c>
      <c r="BK50" s="287" t="str">
        <f t="shared" si="37"/>
        <v>cukup</v>
      </c>
      <c r="BL50" s="286">
        <f t="shared" si="38"/>
        <v>3</v>
      </c>
      <c r="BM50" s="288">
        <f t="shared" si="39"/>
        <v>1</v>
      </c>
      <c r="BN50" s="289" t="str">
        <f t="shared" si="40"/>
        <v>Memiliki keterampilan sangat baik dalam Memeragakan renang gaya bebas, cukup keterampilan dalam Mempraktikan gerak senam lantai</v>
      </c>
      <c r="BO50" s="67"/>
    </row>
    <row r="51" spans="1:67" ht="33" customHeight="1">
      <c r="A51" s="67"/>
      <c r="B51" s="272" t="str">
        <f t="shared" si="44"/>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44"/>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44"/>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44"/>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44"/>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5">IF(K55="","",K55+Z$13)</f>
        <v/>
      </c>
      <c r="AA55" s="1216" t="str">
        <f t="shared" si="45"/>
        <v/>
      </c>
      <c r="AB55" s="1217" t="str">
        <f t="shared" si="45"/>
        <v/>
      </c>
      <c r="AC55" s="1216" t="str">
        <f t="shared" si="45"/>
        <v/>
      </c>
      <c r="AD55" s="1218" t="str">
        <f t="shared" si="45"/>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6">IF(AQ55="","",AQ55+BC$12)</f>
        <v/>
      </c>
      <c r="BD55" s="1221" t="str">
        <f t="shared" si="46"/>
        <v/>
      </c>
      <c r="BE55" s="1222" t="str">
        <f t="shared" si="46"/>
        <v/>
      </c>
      <c r="BF55" s="1221" t="str">
        <f t="shared" si="46"/>
        <v/>
      </c>
      <c r="BG55" s="1223" t="str">
        <f t="shared" si="46"/>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44"/>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7">IF(F56="","",F56+U$13)</f>
        <v/>
      </c>
      <c r="V56" s="1216" t="str">
        <f t="shared" si="47"/>
        <v/>
      </c>
      <c r="W56" s="1216" t="str">
        <f t="shared" si="47"/>
        <v/>
      </c>
      <c r="X56" s="1216" t="str">
        <f t="shared" si="47"/>
        <v/>
      </c>
      <c r="Y56" s="1216" t="str">
        <f t="shared" si="47"/>
        <v/>
      </c>
      <c r="Z56" s="1216" t="str">
        <f t="shared" si="45"/>
        <v/>
      </c>
      <c r="AA56" s="1216" t="str">
        <f t="shared" si="45"/>
        <v/>
      </c>
      <c r="AB56" s="1217" t="str">
        <f t="shared" si="45"/>
        <v/>
      </c>
      <c r="AC56" s="1216" t="str">
        <f t="shared" si="45"/>
        <v/>
      </c>
      <c r="AD56" s="1218" t="str">
        <f t="shared" si="45"/>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8">IF(AL56="","",AL56+AX$12)</f>
        <v/>
      </c>
      <c r="AY56" s="1221" t="str">
        <f t="shared" si="48"/>
        <v/>
      </c>
      <c r="AZ56" s="1221" t="str">
        <f t="shared" si="48"/>
        <v/>
      </c>
      <c r="BA56" s="1221" t="str">
        <f t="shared" si="48"/>
        <v/>
      </c>
      <c r="BB56" s="1221" t="str">
        <f t="shared" si="48"/>
        <v/>
      </c>
      <c r="BC56" s="1221" t="str">
        <f t="shared" si="46"/>
        <v/>
      </c>
      <c r="BD56" s="1221" t="str">
        <f t="shared" si="46"/>
        <v/>
      </c>
      <c r="BE56" s="1222" t="str">
        <f t="shared" si="46"/>
        <v/>
      </c>
      <c r="BF56" s="1221" t="str">
        <f t="shared" si="46"/>
        <v/>
      </c>
      <c r="BG56" s="1223" t="str">
        <f t="shared" si="46"/>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44"/>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7"/>
        <v/>
      </c>
      <c r="V57" s="1216" t="str">
        <f t="shared" si="47"/>
        <v/>
      </c>
      <c r="W57" s="1216" t="str">
        <f t="shared" si="47"/>
        <v/>
      </c>
      <c r="X57" s="1216" t="str">
        <f t="shared" si="47"/>
        <v/>
      </c>
      <c r="Y57" s="1216" t="str">
        <f t="shared" si="47"/>
        <v/>
      </c>
      <c r="Z57" s="1216" t="str">
        <f t="shared" si="45"/>
        <v/>
      </c>
      <c r="AA57" s="1216" t="str">
        <f t="shared" si="45"/>
        <v/>
      </c>
      <c r="AB57" s="1217" t="str">
        <f t="shared" si="45"/>
        <v/>
      </c>
      <c r="AC57" s="1216" t="str">
        <f t="shared" si="45"/>
        <v/>
      </c>
      <c r="AD57" s="1218" t="str">
        <f t="shared" si="45"/>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8"/>
        <v/>
      </c>
      <c r="AY57" s="1221" t="str">
        <f t="shared" si="48"/>
        <v/>
      </c>
      <c r="AZ57" s="1221" t="str">
        <f t="shared" si="48"/>
        <v/>
      </c>
      <c r="BA57" s="1221" t="str">
        <f t="shared" si="48"/>
        <v/>
      </c>
      <c r="BB57" s="1221" t="str">
        <f t="shared" si="48"/>
        <v/>
      </c>
      <c r="BC57" s="1221" t="str">
        <f t="shared" si="46"/>
        <v/>
      </c>
      <c r="BD57" s="1221" t="str">
        <f t="shared" si="46"/>
        <v/>
      </c>
      <c r="BE57" s="1222" t="str">
        <f t="shared" si="46"/>
        <v/>
      </c>
      <c r="BF57" s="1221" t="str">
        <f t="shared" si="46"/>
        <v/>
      </c>
      <c r="BG57" s="1223" t="str">
        <f t="shared" si="46"/>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44"/>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7"/>
        <v/>
      </c>
      <c r="V58" s="1216" t="str">
        <f t="shared" si="47"/>
        <v/>
      </c>
      <c r="W58" s="1216" t="str">
        <f t="shared" si="47"/>
        <v/>
      </c>
      <c r="X58" s="1216" t="str">
        <f t="shared" si="47"/>
        <v/>
      </c>
      <c r="Y58" s="1216" t="str">
        <f t="shared" si="47"/>
        <v/>
      </c>
      <c r="Z58" s="1216" t="str">
        <f t="shared" si="45"/>
        <v/>
      </c>
      <c r="AA58" s="1216" t="str">
        <f t="shared" si="45"/>
        <v/>
      </c>
      <c r="AB58" s="1217" t="str">
        <f t="shared" si="45"/>
        <v/>
      </c>
      <c r="AC58" s="1216" t="str">
        <f t="shared" si="45"/>
        <v/>
      </c>
      <c r="AD58" s="1218" t="str">
        <f t="shared" si="45"/>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8"/>
        <v/>
      </c>
      <c r="AY58" s="1221" t="str">
        <f t="shared" si="48"/>
        <v/>
      </c>
      <c r="AZ58" s="1221" t="str">
        <f t="shared" si="48"/>
        <v/>
      </c>
      <c r="BA58" s="1221" t="str">
        <f t="shared" si="48"/>
        <v/>
      </c>
      <c r="BB58" s="1221" t="str">
        <f t="shared" si="48"/>
        <v/>
      </c>
      <c r="BC58" s="1221" t="str">
        <f t="shared" si="46"/>
        <v/>
      </c>
      <c r="BD58" s="1221" t="str">
        <f t="shared" si="46"/>
        <v/>
      </c>
      <c r="BE58" s="1222" t="str">
        <f t="shared" si="46"/>
        <v/>
      </c>
      <c r="BF58" s="1221" t="str">
        <f t="shared" si="46"/>
        <v/>
      </c>
      <c r="BG58" s="1223" t="str">
        <f t="shared" si="46"/>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44"/>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7"/>
        <v/>
      </c>
      <c r="V59" s="1216" t="str">
        <f t="shared" si="47"/>
        <v/>
      </c>
      <c r="W59" s="1216" t="str">
        <f t="shared" si="47"/>
        <v/>
      </c>
      <c r="X59" s="1216" t="str">
        <f t="shared" si="47"/>
        <v/>
      </c>
      <c r="Y59" s="1216" t="str">
        <f t="shared" si="47"/>
        <v/>
      </c>
      <c r="Z59" s="1216" t="str">
        <f t="shared" si="45"/>
        <v/>
      </c>
      <c r="AA59" s="1216" t="str">
        <f t="shared" si="45"/>
        <v/>
      </c>
      <c r="AB59" s="1217" t="str">
        <f t="shared" si="45"/>
        <v/>
      </c>
      <c r="AC59" s="1216" t="str">
        <f t="shared" si="45"/>
        <v/>
      </c>
      <c r="AD59" s="1218" t="str">
        <f t="shared" si="45"/>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8"/>
        <v/>
      </c>
      <c r="AY59" s="1221" t="str">
        <f t="shared" si="48"/>
        <v/>
      </c>
      <c r="AZ59" s="1221" t="str">
        <f t="shared" si="48"/>
        <v/>
      </c>
      <c r="BA59" s="1221" t="str">
        <f t="shared" si="48"/>
        <v/>
      </c>
      <c r="BB59" s="1221" t="str">
        <f t="shared" si="48"/>
        <v/>
      </c>
      <c r="BC59" s="1221" t="str">
        <f t="shared" si="46"/>
        <v/>
      </c>
      <c r="BD59" s="1221" t="str">
        <f t="shared" si="46"/>
        <v/>
      </c>
      <c r="BE59" s="1222" t="str">
        <f t="shared" si="46"/>
        <v/>
      </c>
      <c r="BF59" s="1221" t="str">
        <f t="shared" si="46"/>
        <v/>
      </c>
      <c r="BG59" s="1223" t="str">
        <f t="shared" si="46"/>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44"/>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7"/>
        <v/>
      </c>
      <c r="V60" s="1216" t="str">
        <f t="shared" si="47"/>
        <v/>
      </c>
      <c r="W60" s="1216" t="str">
        <f t="shared" si="47"/>
        <v/>
      </c>
      <c r="X60" s="1216" t="str">
        <f t="shared" si="47"/>
        <v/>
      </c>
      <c r="Y60" s="1216" t="str">
        <f t="shared" si="47"/>
        <v/>
      </c>
      <c r="Z60" s="1216" t="str">
        <f t="shared" si="45"/>
        <v/>
      </c>
      <c r="AA60" s="1216" t="str">
        <f t="shared" si="45"/>
        <v/>
      </c>
      <c r="AB60" s="1217" t="str">
        <f t="shared" si="45"/>
        <v/>
      </c>
      <c r="AC60" s="1216" t="str">
        <f t="shared" si="45"/>
        <v/>
      </c>
      <c r="AD60" s="1218" t="str">
        <f t="shared" si="45"/>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8"/>
        <v/>
      </c>
      <c r="AY60" s="1221" t="str">
        <f t="shared" si="48"/>
        <v/>
      </c>
      <c r="AZ60" s="1221" t="str">
        <f t="shared" si="48"/>
        <v/>
      </c>
      <c r="BA60" s="1221" t="str">
        <f t="shared" si="48"/>
        <v/>
      </c>
      <c r="BB60" s="1221" t="str">
        <f t="shared" si="48"/>
        <v/>
      </c>
      <c r="BC60" s="1221" t="str">
        <f t="shared" si="46"/>
        <v/>
      </c>
      <c r="BD60" s="1221" t="str">
        <f t="shared" si="46"/>
        <v/>
      </c>
      <c r="BE60" s="1222" t="str">
        <f t="shared" si="46"/>
        <v/>
      </c>
      <c r="BF60" s="1221" t="str">
        <f t="shared" si="46"/>
        <v/>
      </c>
      <c r="BG60" s="1223" t="str">
        <f t="shared" si="46"/>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44"/>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7"/>
        <v/>
      </c>
      <c r="V61" s="1216" t="str">
        <f t="shared" si="47"/>
        <v/>
      </c>
      <c r="W61" s="1216" t="str">
        <f t="shared" si="47"/>
        <v/>
      </c>
      <c r="X61" s="1216" t="str">
        <f t="shared" si="47"/>
        <v/>
      </c>
      <c r="Y61" s="1216" t="str">
        <f t="shared" si="47"/>
        <v/>
      </c>
      <c r="Z61" s="1216" t="str">
        <f t="shared" si="45"/>
        <v/>
      </c>
      <c r="AA61" s="1216" t="str">
        <f t="shared" si="45"/>
        <v/>
      </c>
      <c r="AB61" s="1217" t="str">
        <f t="shared" si="45"/>
        <v/>
      </c>
      <c r="AC61" s="1216" t="str">
        <f t="shared" si="45"/>
        <v/>
      </c>
      <c r="AD61" s="1218" t="str">
        <f t="shared" si="45"/>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8"/>
        <v/>
      </c>
      <c r="AY61" s="1221" t="str">
        <f t="shared" si="48"/>
        <v/>
      </c>
      <c r="AZ61" s="1221" t="str">
        <f t="shared" si="48"/>
        <v/>
      </c>
      <c r="BA61" s="1221" t="str">
        <f t="shared" si="48"/>
        <v/>
      </c>
      <c r="BB61" s="1221" t="str">
        <f t="shared" si="48"/>
        <v/>
      </c>
      <c r="BC61" s="1221" t="str">
        <f t="shared" si="46"/>
        <v/>
      </c>
      <c r="BD61" s="1221" t="str">
        <f t="shared" si="46"/>
        <v/>
      </c>
      <c r="BE61" s="1222" t="str">
        <f t="shared" si="46"/>
        <v/>
      </c>
      <c r="BF61" s="1221" t="str">
        <f t="shared" si="46"/>
        <v/>
      </c>
      <c r="BG61" s="1223" t="str">
        <f t="shared" si="46"/>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44"/>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7"/>
        <v/>
      </c>
      <c r="V62" s="1216" t="str">
        <f t="shared" si="47"/>
        <v/>
      </c>
      <c r="W62" s="1216" t="str">
        <f t="shared" si="47"/>
        <v/>
      </c>
      <c r="X62" s="1216" t="str">
        <f t="shared" si="47"/>
        <v/>
      </c>
      <c r="Y62" s="1216" t="str">
        <f t="shared" si="47"/>
        <v/>
      </c>
      <c r="Z62" s="1216" t="str">
        <f t="shared" si="45"/>
        <v/>
      </c>
      <c r="AA62" s="1216" t="str">
        <f t="shared" si="45"/>
        <v/>
      </c>
      <c r="AB62" s="1217" t="str">
        <f t="shared" si="45"/>
        <v/>
      </c>
      <c r="AC62" s="1216" t="str">
        <f t="shared" si="45"/>
        <v/>
      </c>
      <c r="AD62" s="1218" t="str">
        <f t="shared" si="45"/>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8"/>
        <v/>
      </c>
      <c r="AY62" s="1221" t="str">
        <f t="shared" si="48"/>
        <v/>
      </c>
      <c r="AZ62" s="1221" t="str">
        <f t="shared" si="48"/>
        <v/>
      </c>
      <c r="BA62" s="1221" t="str">
        <f t="shared" si="48"/>
        <v/>
      </c>
      <c r="BB62" s="1221" t="str">
        <f t="shared" si="48"/>
        <v/>
      </c>
      <c r="BC62" s="1221" t="str">
        <f t="shared" si="46"/>
        <v/>
      </c>
      <c r="BD62" s="1221" t="str">
        <f t="shared" si="46"/>
        <v/>
      </c>
      <c r="BE62" s="1222" t="str">
        <f t="shared" si="46"/>
        <v/>
      </c>
      <c r="BF62" s="1221" t="str">
        <f t="shared" si="46"/>
        <v/>
      </c>
      <c r="BG62" s="1223" t="str">
        <f t="shared" si="46"/>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44"/>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7"/>
        <v/>
      </c>
      <c r="V63" s="1216" t="str">
        <f t="shared" si="47"/>
        <v/>
      </c>
      <c r="W63" s="1216" t="str">
        <f t="shared" si="47"/>
        <v/>
      </c>
      <c r="X63" s="1216" t="str">
        <f t="shared" si="47"/>
        <v/>
      </c>
      <c r="Y63" s="1216" t="str">
        <f t="shared" si="47"/>
        <v/>
      </c>
      <c r="Z63" s="1216" t="str">
        <f t="shared" si="45"/>
        <v/>
      </c>
      <c r="AA63" s="1216" t="str">
        <f t="shared" si="45"/>
        <v/>
      </c>
      <c r="AB63" s="1217" t="str">
        <f t="shared" si="45"/>
        <v/>
      </c>
      <c r="AC63" s="1216" t="str">
        <f t="shared" si="45"/>
        <v/>
      </c>
      <c r="AD63" s="1218" t="str">
        <f t="shared" si="45"/>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8"/>
        <v/>
      </c>
      <c r="AY63" s="1221" t="str">
        <f t="shared" si="48"/>
        <v/>
      </c>
      <c r="AZ63" s="1221" t="str">
        <f t="shared" si="48"/>
        <v/>
      </c>
      <c r="BA63" s="1221" t="str">
        <f t="shared" si="48"/>
        <v/>
      </c>
      <c r="BB63" s="1221" t="str">
        <f t="shared" si="48"/>
        <v/>
      </c>
      <c r="BC63" s="1221" t="str">
        <f t="shared" si="46"/>
        <v/>
      </c>
      <c r="BD63" s="1221" t="str">
        <f t="shared" si="46"/>
        <v/>
      </c>
      <c r="BE63" s="1222" t="str">
        <f t="shared" si="46"/>
        <v/>
      </c>
      <c r="BF63" s="1221" t="str">
        <f t="shared" si="46"/>
        <v/>
      </c>
      <c r="BG63" s="1223" t="str">
        <f t="shared" si="46"/>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ht="12">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9">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9"/>
        <v>85</v>
      </c>
      <c r="AM69" s="349" t="s">
        <v>5</v>
      </c>
      <c r="AN69" s="347">
        <f t="shared" ref="AN69" si="50">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Data2!G11</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51">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2">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3">F76</f>
        <v>85</v>
      </c>
      <c r="AM76" s="7" t="s">
        <v>5</v>
      </c>
      <c r="AN76" s="9">
        <f t="shared" si="53"/>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3"/>
        <v>76</v>
      </c>
      <c r="AM77" s="7" t="s">
        <v>5</v>
      </c>
      <c r="AN77" s="9">
        <f t="shared" si="53"/>
        <v>84.5</v>
      </c>
      <c r="AO77" s="1357" t="str">
        <f t="shared" ref="AO77:AO78" si="54">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3"/>
        <v>0</v>
      </c>
      <c r="AM78" s="7" t="s">
        <v>5</v>
      </c>
      <c r="AN78" s="9">
        <f t="shared" si="53"/>
        <v>75.5</v>
      </c>
      <c r="AO78" s="1357" t="str">
        <f t="shared" si="54"/>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75" hidden="1" customHeight="1">
      <c r="C84" s="2"/>
      <c r="AL84" s="10"/>
      <c r="AM84" s="8"/>
      <c r="AN84" s="10"/>
      <c r="AO84" s="108"/>
      <c r="AP84" s="108"/>
      <c r="AQ84" s="108"/>
      <c r="AR84" s="1159"/>
      <c r="AS84" s="1159"/>
      <c r="AT84" s="108"/>
      <c r="AU84" s="108"/>
      <c r="AV84" s="111"/>
    </row>
    <row r="85" spans="3:48" ht="12.75" hidden="1" customHeight="1">
      <c r="C85" s="2"/>
      <c r="AL85" s="10"/>
      <c r="AM85" s="8"/>
      <c r="AN85" s="10"/>
      <c r="AO85" s="108"/>
      <c r="AP85" s="108"/>
      <c r="AQ85" s="108"/>
      <c r="AR85" s="1159"/>
      <c r="AS85" s="1159"/>
      <c r="AT85" s="108"/>
      <c r="AU85" s="108"/>
      <c r="AV85" s="111"/>
    </row>
    <row r="86" spans="3:48" ht="12" hidden="1" customHeight="1"/>
    <row r="87" spans="3:48" ht="12" hidden="1" customHeight="1"/>
    <row r="88" spans="3:48" ht="12" hidden="1" customHeight="1"/>
    <row r="89" spans="3:48" ht="12" hidden="1" customHeight="1"/>
    <row r="90" spans="3:48" ht="12" hidden="1" customHeight="1"/>
    <row r="91" spans="3:48" ht="12" hidden="1" customHeight="1"/>
    <row r="92" spans="3:48" ht="12" hidden="1" customHeight="1"/>
    <row r="93" spans="3:48" ht="0" hidden="1" customHeight="1"/>
    <row r="94" spans="3:48" ht="0" hidden="1" customHeight="1"/>
    <row r="95" spans="3:48" ht="0" hidden="1" customHeight="1"/>
    <row r="96" spans="3:48" ht="0" hidden="1" customHeight="1"/>
    <row r="97" ht="0" hidden="1" customHeight="1"/>
  </sheetData>
  <mergeCells count="70">
    <mergeCell ref="D1:E2"/>
    <mergeCell ref="B3:C4"/>
    <mergeCell ref="D3:E6"/>
    <mergeCell ref="B6:C6"/>
    <mergeCell ref="B7:C7"/>
    <mergeCell ref="D7:E9"/>
    <mergeCell ref="B8:C8"/>
    <mergeCell ref="B9:C9"/>
    <mergeCell ref="B1:C2"/>
    <mergeCell ref="F3:F6"/>
    <mergeCell ref="G3:R6"/>
    <mergeCell ref="AL4:AL5"/>
    <mergeCell ref="AM4:AU5"/>
    <mergeCell ref="AL6:AL7"/>
    <mergeCell ref="AM6:AU7"/>
    <mergeCell ref="F7:F10"/>
    <mergeCell ref="G7:R10"/>
    <mergeCell ref="AL8:AL11"/>
    <mergeCell ref="AM8:AU11"/>
    <mergeCell ref="G11:R11"/>
    <mergeCell ref="G1:R1"/>
    <mergeCell ref="AM1:AU1"/>
    <mergeCell ref="G2:R2"/>
    <mergeCell ref="AL2:AL3"/>
    <mergeCell ref="AM2:AU3"/>
    <mergeCell ref="AW12:AW13"/>
    <mergeCell ref="BN12:BN13"/>
    <mergeCell ref="BJ13:BK13"/>
    <mergeCell ref="BL13:BM13"/>
    <mergeCell ref="AV12:AV13"/>
    <mergeCell ref="AG13:AH13"/>
    <mergeCell ref="AI13:AJ13"/>
    <mergeCell ref="B12:B13"/>
    <mergeCell ref="C12:C13"/>
    <mergeCell ref="D12:D13"/>
    <mergeCell ref="E12:E13"/>
    <mergeCell ref="F12:O12"/>
    <mergeCell ref="S12:S13"/>
    <mergeCell ref="F74:H74"/>
    <mergeCell ref="I74:Q74"/>
    <mergeCell ref="AL74:AN74"/>
    <mergeCell ref="AO74:AV74"/>
    <mergeCell ref="B10:C11"/>
    <mergeCell ref="D10:E11"/>
    <mergeCell ref="F65:Q65"/>
    <mergeCell ref="AL65:AV65"/>
    <mergeCell ref="F67:H67"/>
    <mergeCell ref="I67:Q67"/>
    <mergeCell ref="AL67:AN67"/>
    <mergeCell ref="AO67:AV67"/>
    <mergeCell ref="F66:Q66"/>
    <mergeCell ref="AL66:AV66"/>
    <mergeCell ref="T12:T13"/>
    <mergeCell ref="AK12:AK13"/>
    <mergeCell ref="AO82:AV82"/>
    <mergeCell ref="AO83:AV83"/>
    <mergeCell ref="I77:P77"/>
    <mergeCell ref="I78:P78"/>
    <mergeCell ref="I68:Q68"/>
    <mergeCell ref="AO68:AV68"/>
    <mergeCell ref="I69:Q69"/>
    <mergeCell ref="AO69:AV69"/>
    <mergeCell ref="I70:Q70"/>
    <mergeCell ref="AO70:AV70"/>
    <mergeCell ref="I71:Q71"/>
    <mergeCell ref="AO71:AV71"/>
    <mergeCell ref="I75:P75"/>
    <mergeCell ref="I76:P76"/>
    <mergeCell ref="F73:Q73"/>
    <mergeCell ref="AL73:AV73"/>
  </mergeCells>
  <conditionalFormatting sqref="B14:E63">
    <cfRule type="expression" dxfId="4297" priority="371">
      <formula>AND($B14&lt;&gt;"",$B15="")</formula>
    </cfRule>
    <cfRule type="expression" dxfId="4296" priority="372">
      <formula>$B14=""</formula>
    </cfRule>
  </conditionalFormatting>
  <conditionalFormatting sqref="B56:E56">
    <cfRule type="expression" dxfId="4295" priority="738">
      <formula>AND($B56&lt;&gt;"",$B63="")</formula>
    </cfRule>
    <cfRule type="expression" dxfId="4294" priority="739">
      <formula>$B56=""</formula>
    </cfRule>
  </conditionalFormatting>
  <conditionalFormatting sqref="B50:E50">
    <cfRule type="expression" dxfId="4293" priority="856">
      <formula>AND($B50&lt;&gt;"",$B63="")</formula>
    </cfRule>
    <cfRule type="expression" dxfId="4292" priority="857">
      <formula>$B50=""</formula>
    </cfRule>
  </conditionalFormatting>
  <conditionalFormatting sqref="B43:E44">
    <cfRule type="expression" dxfId="4291" priority="982">
      <formula>AND($B43&lt;&gt;"",$B62="")</formula>
    </cfRule>
    <cfRule type="expression" dxfId="4290" priority="983">
      <formula>$B43=""</formula>
    </cfRule>
  </conditionalFormatting>
  <conditionalFormatting sqref="B63:E63">
    <cfRule type="expression" dxfId="4289" priority="1394">
      <formula>AND($B63&lt;&gt;"",#REF!="")</formula>
    </cfRule>
    <cfRule type="expression" dxfId="4288" priority="1395">
      <formula>$B63=""</formula>
    </cfRule>
  </conditionalFormatting>
  <conditionalFormatting sqref="B61:E61">
    <cfRule type="expression" dxfId="4287" priority="1448">
      <formula>AND($B61&lt;&gt;"",$B64="")</formula>
    </cfRule>
    <cfRule type="expression" dxfId="4286" priority="1449">
      <formula>$B61=""</formula>
    </cfRule>
  </conditionalFormatting>
  <conditionalFormatting sqref="B57:E60">
    <cfRule type="expression" dxfId="4285" priority="1450">
      <formula>AND($B57&lt;&gt;"",#REF!="")</formula>
    </cfRule>
    <cfRule type="expression" dxfId="4284" priority="1451">
      <formula>$B57=""</formula>
    </cfRule>
  </conditionalFormatting>
  <conditionalFormatting sqref="B55:E55">
    <cfRule type="expression" dxfId="4283" priority="1454">
      <formula>AND($B55&lt;&gt;"",$B64="")</formula>
    </cfRule>
    <cfRule type="expression" dxfId="4282" priority="1455">
      <formula>$B55=""</formula>
    </cfRule>
  </conditionalFormatting>
  <conditionalFormatting sqref="B51:E54">
    <cfRule type="expression" dxfId="4281" priority="1456">
      <formula>AND($B51&lt;&gt;"",#REF!="")</formula>
    </cfRule>
    <cfRule type="expression" dxfId="4280" priority="1457">
      <formula>$B51=""</formula>
    </cfRule>
  </conditionalFormatting>
  <conditionalFormatting sqref="B49:E49">
    <cfRule type="expression" dxfId="4279" priority="1460">
      <formula>AND($B49&lt;&gt;"",$B64="")</formula>
    </cfRule>
    <cfRule type="expression" dxfId="4278" priority="1461">
      <formula>$B49=""</formula>
    </cfRule>
  </conditionalFormatting>
  <conditionalFormatting sqref="B45:E63">
    <cfRule type="expression" dxfId="4277" priority="1462">
      <formula>AND($B45&lt;&gt;"",#REF!="")</formula>
    </cfRule>
    <cfRule type="expression" dxfId="4276" priority="1463">
      <formula>$B45=""</formula>
    </cfRule>
  </conditionalFormatting>
  <conditionalFormatting sqref="R70 F66:Q71">
    <cfRule type="expression" dxfId="4275" priority="1466">
      <formula>$F$65="SAMA DENGAN DATA"</formula>
    </cfRule>
  </conditionalFormatting>
  <conditionalFormatting sqref="F66:Q71">
    <cfRule type="expression" dxfId="4274" priority="1468">
      <formula>$F$65="kkm tunggal"</formula>
    </cfRule>
  </conditionalFormatting>
  <conditionalFormatting sqref="AW70:BG70 AL66:AV71">
    <cfRule type="expression" dxfId="4273" priority="1469">
      <formula>$AL$65="SAMA DENGAN DATA"</formula>
    </cfRule>
  </conditionalFormatting>
  <conditionalFormatting sqref="AL66:AV71">
    <cfRule type="expression" dxfId="4272" priority="1471">
      <formula>$AL$65="KKM TUNGGAL"</formula>
    </cfRule>
  </conditionalFormatting>
  <conditionalFormatting sqref="B61:E63">
    <cfRule type="expression" dxfId="4271" priority="2792">
      <formula>AND($B61&lt;&gt;"",$B65="")</formula>
    </cfRule>
    <cfRule type="expression" dxfId="4270" priority="2793">
      <formula>$B61=""</formula>
    </cfRule>
  </conditionalFormatting>
  <conditionalFormatting sqref="B50:E60">
    <cfRule type="expression" dxfId="4269" priority="2794">
      <formula>AND($B50&lt;&gt;"",#REF!="")</formula>
    </cfRule>
    <cfRule type="expression" dxfId="4268" priority="2795">
      <formula>$B50=""</formula>
    </cfRule>
  </conditionalFormatting>
  <conditionalFormatting sqref="U14:AB63 P51:S63 AV14:BE63 AE14:AK63 BH14:BN63 P14:P50 S14:S50">
    <cfRule type="expression" dxfId="4267" priority="186">
      <formula>AND($B14&lt;&gt;"",$B15="")</formula>
    </cfRule>
    <cfRule type="expression" dxfId="4266" priority="187">
      <formula>$B14=""</formula>
    </cfRule>
  </conditionalFormatting>
  <conditionalFormatting sqref="T14:T63">
    <cfRule type="expression" dxfId="4265" priority="184">
      <formula>AND($B14&lt;&gt;"",$B15="")</formula>
    </cfRule>
    <cfRule type="expression" dxfId="4264" priority="185">
      <formula>$B14=""</formula>
    </cfRule>
  </conditionalFormatting>
  <conditionalFormatting sqref="AV14">
    <cfRule type="expression" dxfId="4263" priority="182">
      <formula>AND($B14&lt;&gt;"",$B15="")</formula>
    </cfRule>
    <cfRule type="expression" dxfId="4262" priority="183">
      <formula>$B14=""</formula>
    </cfRule>
  </conditionalFormatting>
  <conditionalFormatting sqref="P56:S56 U56:AB56 BH56:BN56 AE56:AK56 AV56:BE56">
    <cfRule type="expression" dxfId="4261" priority="188">
      <formula>AND($B56&lt;&gt;"",$B63="")</formula>
    </cfRule>
    <cfRule type="expression" dxfId="4260" priority="189">
      <formula>$B56=""</formula>
    </cfRule>
  </conditionalFormatting>
  <conditionalFormatting sqref="P50 U50:AB50 BH50:BN50 AE50:AK50 AV50:BE50 S50">
    <cfRule type="expression" dxfId="4259" priority="190">
      <formula>AND($B50&lt;&gt;"",$B63="")</formula>
    </cfRule>
    <cfRule type="expression" dxfId="4258" priority="191">
      <formula>$B50=""</formula>
    </cfRule>
  </conditionalFormatting>
  <conditionalFormatting sqref="P43:P44 U43:AB44 BH43:BN44 AE43:AK44 AV43:BE44 S43:S44">
    <cfRule type="expression" dxfId="4257" priority="192">
      <formula>AND($B43&lt;&gt;"",$B62="")</formula>
    </cfRule>
    <cfRule type="expression" dxfId="4256" priority="193">
      <formula>$B43=""</formula>
    </cfRule>
  </conditionalFormatting>
  <conditionalFormatting sqref="P63:S63 U63:AB63 BH63:BN63 AE63:AK63 AV63:BE63">
    <cfRule type="expression" dxfId="4255" priority="194">
      <formula>AND($B63&lt;&gt;"",#REF!="")</formula>
    </cfRule>
    <cfRule type="expression" dxfId="4254" priority="195">
      <formula>$B63=""</formula>
    </cfRule>
  </conditionalFormatting>
  <conditionalFormatting sqref="P61:S61 U61:AB61 BH61:BN61 AE61:AK61 AV61:BE61">
    <cfRule type="expression" dxfId="4253" priority="196">
      <formula>AND($B61&lt;&gt;"",$B64="")</formula>
    </cfRule>
    <cfRule type="expression" dxfId="4252" priority="197">
      <formula>$B61=""</formula>
    </cfRule>
  </conditionalFormatting>
  <conditionalFormatting sqref="P57:S60 U57:AB60 BH57:BN60 AE57:AK60 AV57:BE60">
    <cfRule type="expression" dxfId="4251" priority="198">
      <formula>AND($B57&lt;&gt;"",#REF!="")</formula>
    </cfRule>
    <cfRule type="expression" dxfId="4250" priority="199">
      <formula>$B57=""</formula>
    </cfRule>
  </conditionalFormatting>
  <conditionalFormatting sqref="P55:S55 U55:AB55 BH55:BN55 AE55:AK55 AV55:BE55">
    <cfRule type="expression" dxfId="4249" priority="200">
      <formula>AND($B55&lt;&gt;"",$B64="")</formula>
    </cfRule>
    <cfRule type="expression" dxfId="4248" priority="201">
      <formula>$B55=""</formula>
    </cfRule>
  </conditionalFormatting>
  <conditionalFormatting sqref="P51:S54 U51:AB54 BH51:BN54 AE51:AK54 AV51:BE54">
    <cfRule type="expression" dxfId="4247" priority="202">
      <formula>AND($B51&lt;&gt;"",#REF!="")</formula>
    </cfRule>
    <cfRule type="expression" dxfId="4246" priority="203">
      <formula>$B51=""</formula>
    </cfRule>
  </conditionalFormatting>
  <conditionalFormatting sqref="K49:P49 U49:AK49 S49 AQ49:BN49">
    <cfRule type="expression" dxfId="4245" priority="204">
      <formula>AND($B49&lt;&gt;"",$B64="")</formula>
    </cfRule>
    <cfRule type="expression" dxfId="4244" priority="205">
      <formula>$B49=""</formula>
    </cfRule>
  </conditionalFormatting>
  <conditionalFormatting sqref="P51:S63 U45:AB63 BH45:BN63 AE45:AK63 AV45:BE63 P45:P50 S45:S50">
    <cfRule type="expression" dxfId="4243" priority="206">
      <formula>AND($B45&lt;&gt;"",#REF!="")</formula>
    </cfRule>
    <cfRule type="expression" dxfId="4242" priority="207">
      <formula>$B45=""</formula>
    </cfRule>
  </conditionalFormatting>
  <conditionalFormatting sqref="T16:T63">
    <cfRule type="expression" dxfId="4241" priority="180">
      <formula>AND($B16&lt;&gt;"",$B17="")</formula>
    </cfRule>
    <cfRule type="expression" dxfId="4240" priority="181">
      <formula>$B16=""</formula>
    </cfRule>
  </conditionalFormatting>
  <conditionalFormatting sqref="U13:AB13 AX12:BG12">
    <cfRule type="expression" dxfId="4239" priority="179">
      <formula>COUNTA(U$14:U$63)&gt;0</formula>
    </cfRule>
  </conditionalFormatting>
  <conditionalFormatting sqref="F51:M63 K14:M50">
    <cfRule type="expression" dxfId="4238" priority="158">
      <formula>AND($B14&lt;&gt;"",$B15="")</formula>
    </cfRule>
    <cfRule type="expression" dxfId="4237" priority="159">
      <formula>$B14=""</formula>
    </cfRule>
  </conditionalFormatting>
  <conditionalFormatting sqref="F56:M56">
    <cfRule type="expression" dxfId="4236" priority="160">
      <formula>AND($B56&lt;&gt;"",$B63="")</formula>
    </cfRule>
    <cfRule type="expression" dxfId="4235" priority="161">
      <formula>$B56=""</formula>
    </cfRule>
  </conditionalFormatting>
  <conditionalFormatting sqref="K50:M50">
    <cfRule type="expression" dxfId="4234" priority="162">
      <formula>AND($B50&lt;&gt;"",$B63="")</formula>
    </cfRule>
    <cfRule type="expression" dxfId="4233" priority="163">
      <formula>$B50=""</formula>
    </cfRule>
  </conditionalFormatting>
  <conditionalFormatting sqref="K43:M44">
    <cfRule type="expression" dxfId="4232" priority="164">
      <formula>AND($B43&lt;&gt;"",$B62="")</formula>
    </cfRule>
    <cfRule type="expression" dxfId="4231" priority="165">
      <formula>$B43=""</formula>
    </cfRule>
  </conditionalFormatting>
  <conditionalFormatting sqref="F63:M63">
    <cfRule type="expression" dxfId="4230" priority="166">
      <formula>AND($B63&lt;&gt;"",#REF!="")</formula>
    </cfRule>
    <cfRule type="expression" dxfId="4229" priority="167">
      <formula>$B63=""</formula>
    </cfRule>
  </conditionalFormatting>
  <conditionalFormatting sqref="F61:M61">
    <cfRule type="expression" dxfId="4228" priority="168">
      <formula>AND($B61&lt;&gt;"",$B64="")</formula>
    </cfRule>
    <cfRule type="expression" dxfId="4227" priority="169">
      <formula>$B61=""</formula>
    </cfRule>
  </conditionalFormatting>
  <conditionalFormatting sqref="F57:M60">
    <cfRule type="expression" dxfId="4226" priority="170">
      <formula>AND($B57&lt;&gt;"",#REF!="")</formula>
    </cfRule>
    <cfRule type="expression" dxfId="4225" priority="171">
      <formula>$B57=""</formula>
    </cfRule>
  </conditionalFormatting>
  <conditionalFormatting sqref="F55:M55">
    <cfRule type="expression" dxfId="4224" priority="172">
      <formula>AND($B55&lt;&gt;"",$B64="")</formula>
    </cfRule>
    <cfRule type="expression" dxfId="4223" priority="173">
      <formula>$B55=""</formula>
    </cfRule>
  </conditionalFormatting>
  <conditionalFormatting sqref="F51:M54">
    <cfRule type="expression" dxfId="4222" priority="174">
      <formula>AND($B51&lt;&gt;"",#REF!="")</formula>
    </cfRule>
    <cfRule type="expression" dxfId="4221" priority="175">
      <formula>$B51=""</formula>
    </cfRule>
  </conditionalFormatting>
  <conditionalFormatting sqref="F51:M63 K45:M50">
    <cfRule type="expression" dxfId="4220" priority="176">
      <formula>AND($B45&lt;&gt;"",#REF!="")</formula>
    </cfRule>
    <cfRule type="expression" dxfId="4219" priority="177">
      <formula>$B45=""</formula>
    </cfRule>
  </conditionalFormatting>
  <conditionalFormatting sqref="F13:M13">
    <cfRule type="expression" dxfId="4218" priority="157">
      <formula>COUNTA(F$14:F$63)&gt;0</formula>
    </cfRule>
  </conditionalFormatting>
  <conditionalFormatting sqref="F51:M63 K14:M50">
    <cfRule type="expression" dxfId="4217" priority="178">
      <formula>COUNTIF($U14:$AB14,F14)&gt;1</formula>
    </cfRule>
  </conditionalFormatting>
  <conditionalFormatting sqref="AC14:AD63">
    <cfRule type="expression" dxfId="4216" priority="137">
      <formula>AND($B14&lt;&gt;"",$B15="")</formula>
    </cfRule>
    <cfRule type="expression" dxfId="4215" priority="138">
      <formula>$B14=""</formula>
    </cfRule>
  </conditionalFormatting>
  <conditionalFormatting sqref="AC56:AD56">
    <cfRule type="expression" dxfId="4214" priority="139">
      <formula>AND($B56&lt;&gt;"",$B63="")</formula>
    </cfRule>
    <cfRule type="expression" dxfId="4213" priority="140">
      <formula>$B56=""</formula>
    </cfRule>
  </conditionalFormatting>
  <conditionalFormatting sqref="AC50:AD50">
    <cfRule type="expression" dxfId="4212" priority="141">
      <formula>AND($B50&lt;&gt;"",$B63="")</formula>
    </cfRule>
    <cfRule type="expression" dxfId="4211" priority="142">
      <formula>$B50=""</formula>
    </cfRule>
  </conditionalFormatting>
  <conditionalFormatting sqref="AC43:AD44">
    <cfRule type="expression" dxfId="4210" priority="143">
      <formula>AND($B43&lt;&gt;"",$B62="")</formula>
    </cfRule>
    <cfRule type="expression" dxfId="4209" priority="144">
      <formula>$B43=""</formula>
    </cfRule>
  </conditionalFormatting>
  <conditionalFormatting sqref="AC63:AD63">
    <cfRule type="expression" dxfId="4208" priority="145">
      <formula>AND($B63&lt;&gt;"",#REF!="")</formula>
    </cfRule>
    <cfRule type="expression" dxfId="4207" priority="146">
      <formula>$B63=""</formula>
    </cfRule>
  </conditionalFormatting>
  <conditionalFormatting sqref="AC61:AD61">
    <cfRule type="expression" dxfId="4206" priority="147">
      <formula>AND($B61&lt;&gt;"",$B64="")</formula>
    </cfRule>
    <cfRule type="expression" dxfId="4205" priority="148">
      <formula>$B61=""</formula>
    </cfRule>
  </conditionalFormatting>
  <conditionalFormatting sqref="AC57:AD60">
    <cfRule type="expression" dxfId="4204" priority="149">
      <formula>AND($B57&lt;&gt;"",#REF!="")</formula>
    </cfRule>
    <cfRule type="expression" dxfId="4203" priority="150">
      <formula>$B57=""</formula>
    </cfRule>
  </conditionalFormatting>
  <conditionalFormatting sqref="AC55:AD55">
    <cfRule type="expression" dxfId="4202" priority="151">
      <formula>AND($B55&lt;&gt;"",$B64="")</formula>
    </cfRule>
    <cfRule type="expression" dxfId="4201" priority="152">
      <formula>$B55=""</formula>
    </cfRule>
  </conditionalFormatting>
  <conditionalFormatting sqref="AC51:AD54">
    <cfRule type="expression" dxfId="4200" priority="153">
      <formula>AND($B51&lt;&gt;"",#REF!="")</formula>
    </cfRule>
    <cfRule type="expression" dxfId="4199" priority="154">
      <formula>$B51=""</formula>
    </cfRule>
  </conditionalFormatting>
  <conditionalFormatting sqref="AC45:AD63">
    <cfRule type="expression" dxfId="4198" priority="155">
      <formula>AND($B45&lt;&gt;"",#REF!="")</formula>
    </cfRule>
    <cfRule type="expression" dxfId="4197" priority="156">
      <formula>$B45=""</formula>
    </cfRule>
  </conditionalFormatting>
  <conditionalFormatting sqref="AC13:AD13">
    <cfRule type="expression" dxfId="4196" priority="136">
      <formula>COUNTA(AC$14:AC$63)&gt;0</formula>
    </cfRule>
  </conditionalFormatting>
  <conditionalFormatting sqref="N14:O63">
    <cfRule type="expression" dxfId="4195" priority="115">
      <formula>AND($B14&lt;&gt;"",$B15="")</formula>
    </cfRule>
    <cfRule type="expression" dxfId="4194" priority="116">
      <formula>$B14=""</formula>
    </cfRule>
  </conditionalFormatting>
  <conditionalFormatting sqref="N56:O56">
    <cfRule type="expression" dxfId="4193" priority="117">
      <formula>AND($B56&lt;&gt;"",$B63="")</formula>
    </cfRule>
    <cfRule type="expression" dxfId="4192" priority="118">
      <formula>$B56=""</formula>
    </cfRule>
  </conditionalFormatting>
  <conditionalFormatting sqref="N50:O50">
    <cfRule type="expression" dxfId="4191" priority="119">
      <formula>AND($B50&lt;&gt;"",$B63="")</formula>
    </cfRule>
    <cfRule type="expression" dxfId="4190" priority="120">
      <formula>$B50=""</formula>
    </cfRule>
  </conditionalFormatting>
  <conditionalFormatting sqref="N43:O44">
    <cfRule type="expression" dxfId="4189" priority="121">
      <formula>AND($B43&lt;&gt;"",$B62="")</formula>
    </cfRule>
    <cfRule type="expression" dxfId="4188" priority="122">
      <formula>$B43=""</formula>
    </cfRule>
  </conditionalFormatting>
  <conditionalFormatting sqref="N63:O63">
    <cfRule type="expression" dxfId="4187" priority="123">
      <formula>AND($B63&lt;&gt;"",#REF!="")</formula>
    </cfRule>
    <cfRule type="expression" dxfId="4186" priority="124">
      <formula>$B63=""</formula>
    </cfRule>
  </conditionalFormatting>
  <conditionalFormatting sqref="N61:O61">
    <cfRule type="expression" dxfId="4185" priority="125">
      <formula>AND($B61&lt;&gt;"",$B64="")</formula>
    </cfRule>
    <cfRule type="expression" dxfId="4184" priority="126">
      <formula>$B61=""</formula>
    </cfRule>
  </conditionalFormatting>
  <conditionalFormatting sqref="N57:O60">
    <cfRule type="expression" dxfId="4183" priority="127">
      <formula>AND($B57&lt;&gt;"",#REF!="")</formula>
    </cfRule>
    <cfRule type="expression" dxfId="4182" priority="128">
      <formula>$B57=""</formula>
    </cfRule>
  </conditionalFormatting>
  <conditionalFormatting sqref="N55:O55">
    <cfRule type="expression" dxfId="4181" priority="129">
      <formula>AND($B55&lt;&gt;"",$B64="")</formula>
    </cfRule>
    <cfRule type="expression" dxfId="4180" priority="130">
      <formula>$B55=""</formula>
    </cfRule>
  </conditionalFormatting>
  <conditionalFormatting sqref="N51:O54">
    <cfRule type="expression" dxfId="4179" priority="131">
      <formula>AND($B51&lt;&gt;"",#REF!="")</formula>
    </cfRule>
    <cfRule type="expression" dxfId="4178" priority="132">
      <formula>$B51=""</formula>
    </cfRule>
  </conditionalFormatting>
  <conditionalFormatting sqref="N45:O63">
    <cfRule type="expression" dxfId="4177" priority="133">
      <formula>AND($B45&lt;&gt;"",#REF!="")</formula>
    </cfRule>
    <cfRule type="expression" dxfId="4176" priority="134">
      <formula>$B45=""</formula>
    </cfRule>
  </conditionalFormatting>
  <conditionalFormatting sqref="N13:O13">
    <cfRule type="expression" dxfId="4175" priority="114">
      <formula>COUNTA(N$14:N$63)&gt;0</formula>
    </cfRule>
  </conditionalFormatting>
  <conditionalFormatting sqref="N14:O63">
    <cfRule type="expression" dxfId="4174" priority="135">
      <formula>COUNTIF($U14:$AB14,N14)&gt;1</formula>
    </cfRule>
  </conditionalFormatting>
  <conditionalFormatting sqref="BF14:BG63">
    <cfRule type="expression" dxfId="4173" priority="94">
      <formula>AND($B14&lt;&gt;"",$B15="")</formula>
    </cfRule>
    <cfRule type="expression" dxfId="4172" priority="95">
      <formula>$B14=""</formula>
    </cfRule>
  </conditionalFormatting>
  <conditionalFormatting sqref="BF56:BG56">
    <cfRule type="expression" dxfId="4171" priority="96">
      <formula>AND($B56&lt;&gt;"",$B63="")</formula>
    </cfRule>
    <cfRule type="expression" dxfId="4170" priority="97">
      <formula>$B56=""</formula>
    </cfRule>
  </conditionalFormatting>
  <conditionalFormatting sqref="BF50:BG50">
    <cfRule type="expression" dxfId="4169" priority="98">
      <formula>AND($B50&lt;&gt;"",$B63="")</formula>
    </cfRule>
    <cfRule type="expression" dxfId="4168" priority="99">
      <formula>$B50=""</formula>
    </cfRule>
  </conditionalFormatting>
  <conditionalFormatting sqref="BF43:BG44">
    <cfRule type="expression" dxfId="4167" priority="100">
      <formula>AND($B43&lt;&gt;"",$B62="")</formula>
    </cfRule>
    <cfRule type="expression" dxfId="4166" priority="101">
      <formula>$B43=""</formula>
    </cfRule>
  </conditionalFormatting>
  <conditionalFormatting sqref="BF63:BG63">
    <cfRule type="expression" dxfId="4165" priority="102">
      <formula>AND($B63&lt;&gt;"",#REF!="")</formula>
    </cfRule>
    <cfRule type="expression" dxfId="4164" priority="103">
      <formula>$B63=""</formula>
    </cfRule>
  </conditionalFormatting>
  <conditionalFormatting sqref="BF61:BG61">
    <cfRule type="expression" dxfId="4163" priority="104">
      <formula>AND($B61&lt;&gt;"",$B64="")</formula>
    </cfRule>
    <cfRule type="expression" dxfId="4162" priority="105">
      <formula>$B61=""</formula>
    </cfRule>
  </conditionalFormatting>
  <conditionalFormatting sqref="BF57:BG60">
    <cfRule type="expression" dxfId="4161" priority="106">
      <formula>AND($B57&lt;&gt;"",#REF!="")</formula>
    </cfRule>
    <cfRule type="expression" dxfId="4160" priority="107">
      <formula>$B57=""</formula>
    </cfRule>
  </conditionalFormatting>
  <conditionalFormatting sqref="BF55:BG55">
    <cfRule type="expression" dxfId="4159" priority="108">
      <formula>AND($B55&lt;&gt;"",$B64="")</formula>
    </cfRule>
    <cfRule type="expression" dxfId="4158" priority="109">
      <formula>$B55=""</formula>
    </cfRule>
  </conditionalFormatting>
  <conditionalFormatting sqref="BF51:BG54">
    <cfRule type="expression" dxfId="4157" priority="110">
      <formula>AND($B51&lt;&gt;"",#REF!="")</formula>
    </cfRule>
    <cfRule type="expression" dxfId="4156" priority="111">
      <formula>$B51=""</formula>
    </cfRule>
  </conditionalFormatting>
  <conditionalFormatting sqref="BF45:BG63">
    <cfRule type="expression" dxfId="4155" priority="112">
      <formula>AND($B45&lt;&gt;"",#REF!="")</formula>
    </cfRule>
    <cfRule type="expression" dxfId="4154" priority="113">
      <formula>$B45=""</formula>
    </cfRule>
  </conditionalFormatting>
  <conditionalFormatting sqref="AL51:AS63 AQ14:AS50">
    <cfRule type="expression" dxfId="4153" priority="73">
      <formula>AND($B14&lt;&gt;"",$B15="")</formula>
    </cfRule>
    <cfRule type="expression" dxfId="4152" priority="74">
      <formula>$B14=""</formula>
    </cfRule>
  </conditionalFormatting>
  <conditionalFormatting sqref="AL56:AS56">
    <cfRule type="expression" dxfId="4151" priority="75">
      <formula>AND($B56&lt;&gt;"",$B63="")</formula>
    </cfRule>
    <cfRule type="expression" dxfId="4150" priority="76">
      <formula>$B56=""</formula>
    </cfRule>
  </conditionalFormatting>
  <conditionalFormatting sqref="AQ50:AS50">
    <cfRule type="expression" dxfId="4149" priority="77">
      <formula>AND($B50&lt;&gt;"",$B63="")</formula>
    </cfRule>
    <cfRule type="expression" dxfId="4148" priority="78">
      <formula>$B50=""</formula>
    </cfRule>
  </conditionalFormatting>
  <conditionalFormatting sqref="AQ43:AS44">
    <cfRule type="expression" dxfId="4147" priority="79">
      <formula>AND($B43&lt;&gt;"",$B62="")</formula>
    </cfRule>
    <cfRule type="expression" dxfId="4146" priority="80">
      <formula>$B43=""</formula>
    </cfRule>
  </conditionalFormatting>
  <conditionalFormatting sqref="AL63:AS63">
    <cfRule type="expression" dxfId="4145" priority="81">
      <formula>AND($B63&lt;&gt;"",#REF!="")</formula>
    </cfRule>
    <cfRule type="expression" dxfId="4144" priority="82">
      <formula>$B63=""</formula>
    </cfRule>
  </conditionalFormatting>
  <conditionalFormatting sqref="AL61:AS61">
    <cfRule type="expression" dxfId="4143" priority="83">
      <formula>AND($B61&lt;&gt;"",$B64="")</formula>
    </cfRule>
    <cfRule type="expression" dxfId="4142" priority="84">
      <formula>$B61=""</formula>
    </cfRule>
  </conditionalFormatting>
  <conditionalFormatting sqref="AL57:AS60">
    <cfRule type="expression" dxfId="4141" priority="85">
      <formula>AND($B57&lt;&gt;"",#REF!="")</formula>
    </cfRule>
    <cfRule type="expression" dxfId="4140" priority="86">
      <formula>$B57=""</formula>
    </cfRule>
  </conditionalFormatting>
  <conditionalFormatting sqref="AL55:AS55">
    <cfRule type="expression" dxfId="4139" priority="87">
      <formula>AND($B55&lt;&gt;"",$B64="")</formula>
    </cfRule>
    <cfRule type="expression" dxfId="4138" priority="88">
      <formula>$B55=""</formula>
    </cfRule>
  </conditionalFormatting>
  <conditionalFormatting sqref="AL51:AS54">
    <cfRule type="expression" dxfId="4137" priority="89">
      <formula>AND($B51&lt;&gt;"",#REF!="")</formula>
    </cfRule>
    <cfRule type="expression" dxfId="4136" priority="90">
      <formula>$B51=""</formula>
    </cfRule>
  </conditionalFormatting>
  <conditionalFormatting sqref="AL51:AS63 AQ45:AS50">
    <cfRule type="expression" dxfId="4135" priority="91">
      <formula>AND($B45&lt;&gt;"",#REF!="")</formula>
    </cfRule>
    <cfRule type="expression" dxfId="4134" priority="92">
      <formula>$B45=""</formula>
    </cfRule>
  </conditionalFormatting>
  <conditionalFormatting sqref="AL12:AU12">
    <cfRule type="expression" dxfId="4133" priority="72">
      <formula>COUNTA(AL$14:AL$63)&gt;0</formula>
    </cfRule>
  </conditionalFormatting>
  <conditionalFormatting sqref="AT14:AU63">
    <cfRule type="expression" dxfId="4132" priority="52">
      <formula>AND($B14&lt;&gt;"",$B15="")</formula>
    </cfRule>
    <cfRule type="expression" dxfId="4131" priority="53">
      <formula>$B14=""</formula>
    </cfRule>
  </conditionalFormatting>
  <conditionalFormatting sqref="AT56:AU56">
    <cfRule type="expression" dxfId="4130" priority="54">
      <formula>AND($B56&lt;&gt;"",$B63="")</formula>
    </cfRule>
    <cfRule type="expression" dxfId="4129" priority="55">
      <formula>$B56=""</formula>
    </cfRule>
  </conditionalFormatting>
  <conditionalFormatting sqref="AT50:AU50">
    <cfRule type="expression" dxfId="4128" priority="56">
      <formula>AND($B50&lt;&gt;"",$B63="")</formula>
    </cfRule>
    <cfRule type="expression" dxfId="4127" priority="57">
      <formula>$B50=""</formula>
    </cfRule>
  </conditionalFormatting>
  <conditionalFormatting sqref="AT43:AU44">
    <cfRule type="expression" dxfId="4126" priority="58">
      <formula>AND($B43&lt;&gt;"",$B62="")</formula>
    </cfRule>
    <cfRule type="expression" dxfId="4125" priority="59">
      <formula>$B43=""</formula>
    </cfRule>
  </conditionalFormatting>
  <conditionalFormatting sqref="AT63:AU63">
    <cfRule type="expression" dxfId="4124" priority="60">
      <formula>AND($B63&lt;&gt;"",#REF!="")</formula>
    </cfRule>
    <cfRule type="expression" dxfId="4123" priority="61">
      <formula>$B63=""</formula>
    </cfRule>
  </conditionalFormatting>
  <conditionalFormatting sqref="AT61:AU61">
    <cfRule type="expression" dxfId="4122" priority="62">
      <formula>AND($B61&lt;&gt;"",$B64="")</formula>
    </cfRule>
    <cfRule type="expression" dxfId="4121" priority="63">
      <formula>$B61=""</formula>
    </cfRule>
  </conditionalFormatting>
  <conditionalFormatting sqref="AT57:AU60">
    <cfRule type="expression" dxfId="4120" priority="64">
      <formula>AND($B57&lt;&gt;"",#REF!="")</formula>
    </cfRule>
    <cfRule type="expression" dxfId="4119" priority="65">
      <formula>$B57=""</formula>
    </cfRule>
  </conditionalFormatting>
  <conditionalFormatting sqref="AT55:AU55">
    <cfRule type="expression" dxfId="4118" priority="66">
      <formula>AND($B55&lt;&gt;"",$B64="")</formula>
    </cfRule>
    <cfRule type="expression" dxfId="4117" priority="67">
      <formula>$B55=""</formula>
    </cfRule>
  </conditionalFormatting>
  <conditionalFormatting sqref="AT51:AU54">
    <cfRule type="expression" dxfId="4116" priority="68">
      <formula>AND($B51&lt;&gt;"",#REF!="")</formula>
    </cfRule>
    <cfRule type="expression" dxfId="4115" priority="69">
      <formula>$B51=""</formula>
    </cfRule>
  </conditionalFormatting>
  <conditionalFormatting sqref="AT45:AU63">
    <cfRule type="expression" dxfId="4114" priority="70">
      <formula>AND($B45&lt;&gt;"",#REF!="")</formula>
    </cfRule>
    <cfRule type="expression" dxfId="4113" priority="71">
      <formula>$B45=""</formula>
    </cfRule>
  </conditionalFormatting>
  <conditionalFormatting sqref="AL51:AU63 AQ14:AU50">
    <cfRule type="expression" dxfId="4112" priority="93">
      <formula>COUNTIF($AX14:$BE14,AL14)&gt;1</formula>
    </cfRule>
  </conditionalFormatting>
  <conditionalFormatting sqref="F61:S63 U61:BN63">
    <cfRule type="expression" dxfId="4111" priority="208">
      <formula>AND($B61&lt;&gt;"",$B65="")</formula>
    </cfRule>
    <cfRule type="expression" dxfId="4110" priority="209">
      <formula>$B61=""</formula>
    </cfRule>
  </conditionalFormatting>
  <conditionalFormatting sqref="F51:S60 U51:BN60 K50:P50 S50 U50:AK50 AQ50:BN50">
    <cfRule type="expression" dxfId="4109" priority="210">
      <formula>AND($B50&lt;&gt;"",#REF!="")</formula>
    </cfRule>
    <cfRule type="expression" dxfId="4108" priority="211">
      <formula>$B50=""</formula>
    </cfRule>
  </conditionalFormatting>
  <conditionalFormatting sqref="T2">
    <cfRule type="expression" dxfId="4107" priority="51">
      <formula>COUNTA(F$14:F$63)&gt;0</formula>
    </cfRule>
  </conditionalFormatting>
  <conditionalFormatting sqref="T3">
    <cfRule type="expression" dxfId="4106" priority="212">
      <formula>COUNTA(G$14:G$63)&gt;0</formula>
    </cfRule>
  </conditionalFormatting>
  <conditionalFormatting sqref="T4">
    <cfRule type="expression" dxfId="4105" priority="213">
      <formula>COUNTA(H$14:H$63)&gt;0</formula>
    </cfRule>
  </conditionalFormatting>
  <conditionalFormatting sqref="T5">
    <cfRule type="expression" dxfId="4104" priority="214">
      <formula>COUNTA(I$14:I$63)&gt;0</formula>
    </cfRule>
  </conditionalFormatting>
  <conditionalFormatting sqref="T7">
    <cfRule type="expression" dxfId="4103" priority="50">
      <formula>COUNTA(K$14:K$63)&gt;0</formula>
    </cfRule>
  </conditionalFormatting>
  <conditionalFormatting sqref="T11">
    <cfRule type="expression" dxfId="4102" priority="215">
      <formula>COUNTA(O$14:O$63)&gt;0</formula>
    </cfRule>
  </conditionalFormatting>
  <conditionalFormatting sqref="T10">
    <cfRule type="expression" dxfId="4101" priority="216">
      <formula>COUNTA(N$14:N$63)&gt;0</formula>
    </cfRule>
  </conditionalFormatting>
  <conditionalFormatting sqref="T9">
    <cfRule type="expression" dxfId="4100" priority="217">
      <formula>COUNTA(M$14:M$63)&gt;0</formula>
    </cfRule>
  </conditionalFormatting>
  <conditionalFormatting sqref="T8">
    <cfRule type="expression" dxfId="4099" priority="218">
      <formula>COUNTA(L$14:L$63)&gt;0</formula>
    </cfRule>
  </conditionalFormatting>
  <conditionalFormatting sqref="T6">
    <cfRule type="expression" dxfId="4098" priority="49">
      <formula>COUNTA(J$14:J$63)&gt;0</formula>
    </cfRule>
  </conditionalFormatting>
  <conditionalFormatting sqref="AW2">
    <cfRule type="expression" dxfId="4097" priority="48">
      <formula>COUNTA(AL$14:AL$63)&gt;0</formula>
    </cfRule>
  </conditionalFormatting>
  <conditionalFormatting sqref="AW3">
    <cfRule type="expression" dxfId="4096" priority="47">
      <formula>COUNTA(AM$14:AM$63)&gt;0</formula>
    </cfRule>
  </conditionalFormatting>
  <conditionalFormatting sqref="AW4">
    <cfRule type="expression" dxfId="4095" priority="46">
      <formula>COUNTA(AN$14:AN$63)&gt;0</formula>
    </cfRule>
  </conditionalFormatting>
  <conditionalFormatting sqref="AW5">
    <cfRule type="expression" dxfId="4094" priority="45">
      <formula>COUNTA(AO$14:AO$63)&gt;0</formula>
    </cfRule>
  </conditionalFormatting>
  <conditionalFormatting sqref="AW6">
    <cfRule type="expression" dxfId="4093" priority="44">
      <formula>COUNTA(AP$14:AP$63)&gt;0</formula>
    </cfRule>
  </conditionalFormatting>
  <conditionalFormatting sqref="AW7">
    <cfRule type="expression" dxfId="4092" priority="43">
      <formula>COUNTA(AQ$14:AQ$63)&gt;0</formula>
    </cfRule>
  </conditionalFormatting>
  <conditionalFormatting sqref="AW8">
    <cfRule type="expression" dxfId="4091" priority="42">
      <formula>COUNTA(AR$14:AR$63)&gt;0</formula>
    </cfRule>
  </conditionalFormatting>
  <conditionalFormatting sqref="AW9">
    <cfRule type="expression" dxfId="4090" priority="41">
      <formula>COUNTA(AS$14:AS$63)&gt;0</formula>
    </cfRule>
  </conditionalFormatting>
  <conditionalFormatting sqref="AW10">
    <cfRule type="expression" dxfId="4089" priority="40">
      <formula>COUNTA(AT$14:AT$63)&gt;0</formula>
    </cfRule>
  </conditionalFormatting>
  <conditionalFormatting sqref="AW11">
    <cfRule type="expression" dxfId="4088" priority="39">
      <formula>COUNTA(AU$14:AU$63)&gt;0</formula>
    </cfRule>
  </conditionalFormatting>
  <conditionalFormatting sqref="F49:J49">
    <cfRule type="expression" dxfId="4087" priority="35">
      <formula>AND($B49&lt;&gt;"",$B64="")</formula>
    </cfRule>
    <cfRule type="expression" dxfId="4086" priority="36">
      <formula>$B49=""</formula>
    </cfRule>
  </conditionalFormatting>
  <conditionalFormatting sqref="F14:J50">
    <cfRule type="expression" dxfId="4085" priority="26">
      <formula>AND($B14&lt;&gt;"",$B15="")</formula>
    </cfRule>
    <cfRule type="expression" dxfId="4084" priority="27">
      <formula>$B14=""</formula>
    </cfRule>
  </conditionalFormatting>
  <conditionalFormatting sqref="F50:J50">
    <cfRule type="expression" dxfId="4083" priority="28">
      <formula>AND($B50&lt;&gt;"",$B63="")</formula>
    </cfRule>
    <cfRule type="expression" dxfId="4082" priority="29">
      <formula>$B50=""</formula>
    </cfRule>
  </conditionalFormatting>
  <conditionalFormatting sqref="F43:J44">
    <cfRule type="expression" dxfId="4081" priority="30">
      <formula>AND($B43&lt;&gt;"",$B62="")</formula>
    </cfRule>
    <cfRule type="expression" dxfId="4080" priority="31">
      <formula>$B43=""</formula>
    </cfRule>
  </conditionalFormatting>
  <conditionalFormatting sqref="F45:J50">
    <cfRule type="expression" dxfId="4079" priority="32">
      <formula>AND($B45&lt;&gt;"",#REF!="")</formula>
    </cfRule>
    <cfRule type="expression" dxfId="4078" priority="33">
      <formula>$B45=""</formula>
    </cfRule>
  </conditionalFormatting>
  <conditionalFormatting sqref="F14:J50">
    <cfRule type="expression" dxfId="4077" priority="34">
      <formula>COUNTIF($U14:$AB14,F14)&gt;1</formula>
    </cfRule>
  </conditionalFormatting>
  <conditionalFormatting sqref="F50:J50">
    <cfRule type="expression" dxfId="4076" priority="37">
      <formula>AND($B50&lt;&gt;"",#REF!="")</formula>
    </cfRule>
    <cfRule type="expression" dxfId="4075" priority="38">
      <formula>$B50=""</formula>
    </cfRule>
  </conditionalFormatting>
  <conditionalFormatting sqref="Q14:R50">
    <cfRule type="expression" dxfId="4074" priority="14">
      <formula>AND($B14&lt;&gt;"",$B15="")</formula>
    </cfRule>
    <cfRule type="expression" dxfId="4073" priority="15">
      <formula>$B14=""</formula>
    </cfRule>
  </conditionalFormatting>
  <conditionalFormatting sqref="Q50:R50">
    <cfRule type="expression" dxfId="4072" priority="16">
      <formula>AND($B50&lt;&gt;"",$B63="")</formula>
    </cfRule>
    <cfRule type="expression" dxfId="4071" priority="17">
      <formula>$B50=""</formula>
    </cfRule>
  </conditionalFormatting>
  <conditionalFormatting sqref="Q43:R44">
    <cfRule type="expression" dxfId="4070" priority="18">
      <formula>AND($B43&lt;&gt;"",$B62="")</formula>
    </cfRule>
    <cfRule type="expression" dxfId="4069" priority="19">
      <formula>$B43=""</formula>
    </cfRule>
  </conditionalFormatting>
  <conditionalFormatting sqref="Q49:R49">
    <cfRule type="expression" dxfId="4068" priority="20">
      <formula>AND($B49&lt;&gt;"",$B64="")</formula>
    </cfRule>
    <cfRule type="expression" dxfId="4067" priority="21">
      <formula>$B49=""</formula>
    </cfRule>
  </conditionalFormatting>
  <conditionalFormatting sqref="Q45:R50">
    <cfRule type="expression" dxfId="4066" priority="22">
      <formula>AND($B45&lt;&gt;"",#REF!="")</formula>
    </cfRule>
    <cfRule type="expression" dxfId="4065" priority="23">
      <formula>$B45=""</formula>
    </cfRule>
  </conditionalFormatting>
  <conditionalFormatting sqref="Q50:R50">
    <cfRule type="expression" dxfId="4064" priority="24">
      <formula>AND($B50&lt;&gt;"",#REF!="")</formula>
    </cfRule>
    <cfRule type="expression" dxfId="4063" priority="25">
      <formula>$B50=""</formula>
    </cfRule>
  </conditionalFormatting>
  <conditionalFormatting sqref="AL49:AP49">
    <cfRule type="expression" dxfId="4062" priority="10">
      <formula>AND($B49&lt;&gt;"",$B64="")</formula>
    </cfRule>
    <cfRule type="expression" dxfId="4061" priority="11">
      <formula>$B49=""</formula>
    </cfRule>
  </conditionalFormatting>
  <conditionalFormatting sqref="AL14:AP50">
    <cfRule type="expression" dxfId="4060" priority="1">
      <formula>AND($B14&lt;&gt;"",$B15="")</formula>
    </cfRule>
    <cfRule type="expression" dxfId="4059" priority="2">
      <formula>$B14=""</formula>
    </cfRule>
  </conditionalFormatting>
  <conditionalFormatting sqref="AL50:AP50">
    <cfRule type="expression" dxfId="4058" priority="3">
      <formula>AND($B50&lt;&gt;"",$B63="")</formula>
    </cfRule>
    <cfRule type="expression" dxfId="4057" priority="4">
      <formula>$B50=""</formula>
    </cfRule>
  </conditionalFormatting>
  <conditionalFormatting sqref="AL43:AP44">
    <cfRule type="expression" dxfId="4056" priority="5">
      <formula>AND($B43&lt;&gt;"",$B62="")</formula>
    </cfRule>
    <cfRule type="expression" dxfId="4055" priority="6">
      <formula>$B43=""</formula>
    </cfRule>
  </conditionalFormatting>
  <conditionalFormatting sqref="AL45:AP50">
    <cfRule type="expression" dxfId="4054" priority="7">
      <formula>AND($B45&lt;&gt;"",#REF!="")</formula>
    </cfRule>
    <cfRule type="expression" dxfId="4053" priority="8">
      <formula>$B45=""</formula>
    </cfRule>
  </conditionalFormatting>
  <conditionalFormatting sqref="AL14:AP50">
    <cfRule type="expression" dxfId="4052" priority="9">
      <formula>COUNTIF($AX14:$BE14,AL14)&gt;1</formula>
    </cfRule>
  </conditionalFormatting>
  <conditionalFormatting sqref="AL50:AP50">
    <cfRule type="expression" dxfId="4051" priority="12">
      <formula>AND($B50&lt;&gt;"",#REF!="")</formula>
    </cfRule>
    <cfRule type="expression" dxfId="4050" priority="13">
      <formula>$B50=""</formula>
    </cfRule>
  </conditionalFormatting>
  <dataValidations count="6">
    <dataValidation allowBlank="1" showInputMessage="1" showErrorMessage="1" prompt="KKM" sqref="H69:H70"/>
    <dataValidation type="whole" allowBlank="1" showInputMessage="1" showErrorMessage="1" errorTitle="Petunjuk" error="Nilai 0-100" sqref="F14:O63 Q14:R63 AL14:AU63">
      <formula1>0</formula1>
      <formula2>100</formula2>
    </dataValidation>
    <dataValidation allowBlank="1" showInputMessage="1" showErrorMessage="1" prompt="Rata-rata Harian" sqref="P12 AV12"/>
    <dataValidation allowBlank="1" showInputMessage="1" showErrorMessage="1" promptTitle="Tulis Bobot Nilai" prompt="Berupa Nilai Praktik, Portofolio atau Proyek._x000a_Bobot Praktik disarankan lebih tinggi" sqref="AL13:AU13 AX13:BG13"/>
    <dataValidation allowBlank="1" showInputMessage="1" showErrorMessage="1" prompt="Bobot Nilai" sqref="P13:R13 BH11 AE12:AF12"/>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0866141732283472" right="0.43307086614173229" top="0.27559055118110237" bottom="0.31496062992125984" header="0.31496062992125984" footer="0.23622047244094491"/>
  <pageSetup paperSize="9" orientation="landscape" blackAndWhite="1"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00FF"/>
  </sheetPr>
  <dimension ref="A1:DG97"/>
  <sheetViews>
    <sheetView showGridLines="0" showRowColHeaders="0" workbookViewId="0">
      <pane xSplit="5" ySplit="13" topLeftCell="F14" activePane="bottomRight" state="frozen"/>
      <selection activeCell="AW5" sqref="AW5:BN7"/>
      <selection pane="topRight" activeCell="AW5" sqref="AW5:BN7"/>
      <selection pane="bottomLeft" activeCell="AW5" sqref="AW5:BN7"/>
      <selection pane="bottomRight" activeCell="BN7" sqref="BN7"/>
    </sheetView>
  </sheetViews>
  <sheetFormatPr defaultColWidth="0" defaultRowHeight="0" customHeight="1"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t="str">
        <f>Data2!C12</f>
        <v>Prakarya dan Kewirausahaan</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82" t="s">
        <v>1649</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86" t="s">
        <v>1652</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1135</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1653</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1650</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1654</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t="s">
        <v>1651</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1655</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1136</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1263</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1137</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1264</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1138</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1265</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1139</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1266</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1140</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1267</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1141</v>
      </c>
      <c r="AL11" s="1800"/>
      <c r="AM11" s="1803"/>
      <c r="AN11" s="1803"/>
      <c r="AO11" s="1803"/>
      <c r="AP11" s="1803"/>
      <c r="AQ11" s="1803"/>
      <c r="AR11" s="1803"/>
      <c r="AS11" s="1803"/>
      <c r="AT11" s="1803"/>
      <c r="AU11" s="1804"/>
      <c r="AV11" s="1196">
        <v>10</v>
      </c>
      <c r="AW11" s="1197" t="s">
        <v>929</v>
      </c>
      <c r="AX11" s="1198">
        <f t="shared" ref="AX11:BG11" si="1">IF(COUNT(AX14:AX63)&gt;0,AX13,"")</f>
        <v>1</v>
      </c>
      <c r="AY11" s="1198">
        <f t="shared" si="1"/>
        <v>1</v>
      </c>
      <c r="AZ11" s="1198">
        <f t="shared" si="1"/>
        <v>1</v>
      </c>
      <c r="BA11" s="1198" t="str">
        <f t="shared" si="1"/>
        <v/>
      </c>
      <c r="BB11" s="1198" t="str">
        <f t="shared" si="1"/>
        <v/>
      </c>
      <c r="BC11" s="1198" t="str">
        <f t="shared" si="1"/>
        <v/>
      </c>
      <c r="BD11" s="1198" t="str">
        <f t="shared" si="1"/>
        <v/>
      </c>
      <c r="BE11" s="1198" t="str">
        <f t="shared" si="1"/>
        <v/>
      </c>
      <c r="BF11" s="1198" t="str">
        <f t="shared" si="1"/>
        <v/>
      </c>
      <c r="BG11" s="1198" t="str">
        <f t="shared" si="1"/>
        <v/>
      </c>
      <c r="BH11" s="1198">
        <f>SUM(AX11:BG11)</f>
        <v>3</v>
      </c>
      <c r="BI11" s="1199"/>
      <c r="BJ11" s="1199"/>
      <c r="BK11" s="1199"/>
      <c r="BL11" s="1199"/>
      <c r="BM11" s="1199"/>
      <c r="BN11" s="1186" t="s">
        <v>1268</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f t="shared" ref="U12:AD12" si="2">IF(COUNT(U14:U63)&gt;0,1,"")</f>
        <v>1</v>
      </c>
      <c r="V12" s="1201">
        <f t="shared" si="2"/>
        <v>1</v>
      </c>
      <c r="W12" s="1201">
        <f t="shared" si="2"/>
        <v>1</v>
      </c>
      <c r="X12" s="1201">
        <f t="shared" si="2"/>
        <v>1</v>
      </c>
      <c r="Y12" s="1201" t="str">
        <f t="shared" si="2"/>
        <v/>
      </c>
      <c r="Z12" s="1201" t="str">
        <f t="shared" si="2"/>
        <v/>
      </c>
      <c r="AA12" s="1201" t="str">
        <f t="shared" si="2"/>
        <v/>
      </c>
      <c r="AB12" s="1201" t="str">
        <f t="shared" si="2"/>
        <v/>
      </c>
      <c r="AC12" s="1201" t="str">
        <f t="shared" si="2"/>
        <v/>
      </c>
      <c r="AD12" s="1201" t="str">
        <f t="shared" si="2"/>
        <v/>
      </c>
      <c r="AE12" s="1202">
        <f>SUM(U12:AD12)</f>
        <v>4</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v>90</v>
      </c>
      <c r="G14" s="277">
        <v>85</v>
      </c>
      <c r="H14" s="277">
        <v>80</v>
      </c>
      <c r="I14" s="277">
        <v>100</v>
      </c>
      <c r="J14" s="277"/>
      <c r="K14" s="277"/>
      <c r="L14" s="277"/>
      <c r="M14" s="280"/>
      <c r="N14" s="277"/>
      <c r="O14" s="278"/>
      <c r="P14" s="279">
        <f t="shared" ref="P14" si="4">IF(COUNT(U14:AD14)&lt;2,"",ROUND(SUM(U14:AD14)/$AE$12,0))</f>
        <v>89</v>
      </c>
      <c r="Q14" s="1480">
        <v>80</v>
      </c>
      <c r="R14" s="1481">
        <v>88</v>
      </c>
      <c r="S14" s="281">
        <f t="shared" ref="S14" si="5">IFERROR(ROUND(((P14*$P$13)+(Q14*$Q$13)+(R14*$R$13))/$AF$12,0),"")</f>
        <v>87</v>
      </c>
      <c r="T14" s="295" t="str">
        <f t="shared" ref="T14" si="6">IF(S14="","",IF(S14&gt;$H$76,$Q$75,IF(S14&gt;$H$77,$Q$76,IF(S14&gt;$H$78,$Q$77,$Q$78))))</f>
        <v>B</v>
      </c>
      <c r="U14" s="1215">
        <f t="shared" ref="U14:AD29" si="7">IF(F14="","",F14+U$13)</f>
        <v>90.01</v>
      </c>
      <c r="V14" s="1216">
        <f t="shared" si="7"/>
        <v>85.02</v>
      </c>
      <c r="W14" s="1216">
        <f t="shared" si="7"/>
        <v>80.03</v>
      </c>
      <c r="X14" s="1216">
        <f t="shared" si="7"/>
        <v>100.04</v>
      </c>
      <c r="Y14" s="1216" t="str">
        <f t="shared" si="7"/>
        <v/>
      </c>
      <c r="Z14" s="1216" t="str">
        <f t="shared" si="7"/>
        <v/>
      </c>
      <c r="AA14" s="1216" t="str">
        <f t="shared" si="7"/>
        <v/>
      </c>
      <c r="AB14" s="1217" t="str">
        <f t="shared" si="7"/>
        <v/>
      </c>
      <c r="AC14" s="1216" t="str">
        <f t="shared" si="7"/>
        <v/>
      </c>
      <c r="AD14" s="1218" t="str">
        <f t="shared" si="7"/>
        <v/>
      </c>
      <c r="AE14" s="1219">
        <f t="shared" ref="AE14" si="8">MAX(U14:AD14)</f>
        <v>100.04</v>
      </c>
      <c r="AF14" s="282">
        <f t="shared" ref="AF14" si="9">MIN(U14:AD14)</f>
        <v>80.03</v>
      </c>
      <c r="AG14" s="282" t="str">
        <f t="shared" ref="AG14:AH29" si="10">IF(AE14&gt;$H$76,$I$75,IF(AE14&gt;$H$77,$I$76,IF(AE14&gt;$H$78,$I$77,$I$78)))</f>
        <v>sangat baik</v>
      </c>
      <c r="AH14" s="282" t="str">
        <f t="shared" si="10"/>
        <v>cukup</v>
      </c>
      <c r="AI14" s="282">
        <f t="shared" ref="AI14" si="11">IFERROR(MATCH(AE14,U14:AD14,0),"")</f>
        <v>4</v>
      </c>
      <c r="AJ14" s="283">
        <f t="shared" ref="AJ14" si="12">IFERROR(MATCH(AF14,U14:AD14,0),"")</f>
        <v>3</v>
      </c>
      <c r="AK14" s="284" t="str">
        <f t="shared" ref="AK14" si="13">IF(S14="","",IFERROR("Memiliki kemampuan "&amp;IF(AG14=AH14,AG14&amp;" dalam "&amp;VLOOKUP(AI14,$S$2:$AK$11,19)&amp;" dan "&amp;VLOOKUP(AJ14,$S$2:$AK$11,19),AG14&amp;" dalam "&amp;VLOOKUP(AI14,$S$2:$AK$11,19)&amp;", "&amp;AH14&amp;" kemampuan dalam "&amp;VLOOKUP(AJ14,$S$2:$AK$11,19)),""))</f>
        <v>Memiliki kemampuan sangat baik dalam memahami strategi pemasaran produk kerajina dengan inspirasi, cukup kemampuan dalam memahami perhitungan biaya produksi berdasarkan daya dukung</v>
      </c>
      <c r="AL14" s="276">
        <v>80</v>
      </c>
      <c r="AM14" s="277">
        <v>80</v>
      </c>
      <c r="AN14" s="277">
        <v>80</v>
      </c>
      <c r="AO14" s="277"/>
      <c r="AP14" s="277"/>
      <c r="AQ14" s="277"/>
      <c r="AR14" s="277"/>
      <c r="AS14" s="280"/>
      <c r="AT14" s="277"/>
      <c r="AU14" s="278"/>
      <c r="AV14" s="285">
        <f t="shared" ref="AV14" si="14">IF(COUNT(AL14:AU14)&lt;2,"",ROUND(((AL14*$AX$13)+(AM14*$AY$13)+(AN14*$AZ$13)+(AO14*$BA$13)+(AP14*$BB$13)+(AQ14*$BC$13)+(AR14*$BD$13)+(AS14*$BE$13)+(AT14*$BF$13)+(AU14*$BG$13))/$BH$11,0))</f>
        <v>80</v>
      </c>
      <c r="AW14" s="296" t="str">
        <f t="shared" ref="AW14" si="15">IF(AV14="","",IF(AV14&gt;$AN$76,$AV$75,IF(AV14&gt;$AN$77,$AV$76,IF(AV14&gt;$AN$78,$AV$77,$AV$78))))</f>
        <v>C</v>
      </c>
      <c r="AX14" s="1220">
        <f t="shared" ref="AX14:BG29" si="16">IF(AL14="","",AL14+AX$12)</f>
        <v>80.010000000000005</v>
      </c>
      <c r="AY14" s="1221">
        <f t="shared" si="16"/>
        <v>80.02</v>
      </c>
      <c r="AZ14" s="1221">
        <f t="shared" si="16"/>
        <v>80.03</v>
      </c>
      <c r="BA14" s="1221" t="str">
        <f t="shared" si="16"/>
        <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80.03</v>
      </c>
      <c r="BI14" s="286">
        <f t="shared" ref="BI14" si="18">MIN(AX14:BG14)</f>
        <v>80.010000000000005</v>
      </c>
      <c r="BJ14" s="287" t="str">
        <f t="shared" ref="BJ14:BK14" si="19">IF(BH14&gt;$H$76,$AO$75,IF(BH14&gt;$H$77,$AO$76,IF(BH14&gt;$H$78,$AO$77,$AO$78)))</f>
        <v>cukup</v>
      </c>
      <c r="BK14" s="287" t="str">
        <f t="shared" si="19"/>
        <v>cukup</v>
      </c>
      <c r="BL14" s="286">
        <f t="shared" ref="BL14" si="20">MATCH(BH14,AX14:BG14,0)</f>
        <v>3</v>
      </c>
      <c r="BM14" s="288">
        <f t="shared" ref="BM14" si="21">MATCH(BI14,AX14:BG14,0)</f>
        <v>1</v>
      </c>
      <c r="BN14" s="289" t="str">
        <f t="shared" ref="BN14" si="22">IF(AV14="","",IFERROR("Memiliki keterampilan "&amp;IF(BJ14=BK14,BJ14&amp;" dalam "&amp;VLOOKUP(BL14,$AV$2:$BN$11,19)&amp;" dan "&amp;VLOOKUP(BM14,$AV$2:$BN$11,19),BJ14&amp;" dalam "&amp;VLOOKUP(BL14,$AV$2:$BN$11,19)&amp;", "&amp;BK14&amp;" keterampilan dalam "&amp;VLOOKUP(BM14,$AV$2:$BN$11,19)),""))</f>
        <v>Memiliki keterampilan cukup dalam menghitung biaya produksi (harga pokok produksi )kerajinan dan menyusun perencanaan usaha kerajinan dengan inspirasi artefak</v>
      </c>
      <c r="BO14" s="67"/>
    </row>
    <row r="15" spans="1:67" ht="33" customHeight="1">
      <c r="A15" s="67"/>
      <c r="B15" s="272">
        <f>IF(D15="","",B14+1)</f>
        <v>2</v>
      </c>
      <c r="C15" s="273">
        <f>IF(Data!F6="","",Data!F6)</f>
        <v>0</v>
      </c>
      <c r="D15" s="274" t="str">
        <f>IF(Data!H6="","",Data!H6)</f>
        <v>Aprianus Bira</v>
      </c>
      <c r="E15" s="275" t="str">
        <f>IF(Data!I6="","",Data!I6)</f>
        <v>L</v>
      </c>
      <c r="F15" s="276">
        <v>90</v>
      </c>
      <c r="G15" s="277">
        <v>85</v>
      </c>
      <c r="H15" s="277">
        <v>80</v>
      </c>
      <c r="I15" s="277">
        <v>80</v>
      </c>
      <c r="J15" s="277"/>
      <c r="K15" s="277"/>
      <c r="L15" s="277"/>
      <c r="M15" s="280"/>
      <c r="N15" s="277"/>
      <c r="O15" s="278"/>
      <c r="P15" s="279">
        <f>IF(COUNT(U15:AD15)&lt;2,"",ROUND(SUM(U15:AD15)/$AE$12,0))</f>
        <v>84</v>
      </c>
      <c r="Q15" s="277">
        <v>80</v>
      </c>
      <c r="R15" s="280">
        <v>80</v>
      </c>
      <c r="S15" s="281">
        <f>IFERROR(ROUND(((P15*$P$13)+(Q15*$Q$13)+(R15*$R$13))/$AF$12,0),"")</f>
        <v>82</v>
      </c>
      <c r="T15" s="295" t="str">
        <f>IF(S15="","",IF(S15&gt;$H$76,$Q$75,IF(S15&gt;$H$77,$Q$76,IF(S15&gt;$H$78,$Q$77,$Q$78))))</f>
        <v>C</v>
      </c>
      <c r="U15" s="1215">
        <f t="shared" si="7"/>
        <v>90.01</v>
      </c>
      <c r="V15" s="1216">
        <f t="shared" si="7"/>
        <v>85.02</v>
      </c>
      <c r="W15" s="1216">
        <f t="shared" si="7"/>
        <v>80.03</v>
      </c>
      <c r="X15" s="1216">
        <f t="shared" si="7"/>
        <v>80.040000000000006</v>
      </c>
      <c r="Y15" s="1216" t="str">
        <f t="shared" si="7"/>
        <v/>
      </c>
      <c r="Z15" s="1216" t="str">
        <f t="shared" si="7"/>
        <v/>
      </c>
      <c r="AA15" s="1216" t="str">
        <f t="shared" si="7"/>
        <v/>
      </c>
      <c r="AB15" s="1217" t="str">
        <f t="shared" si="7"/>
        <v/>
      </c>
      <c r="AC15" s="1216" t="str">
        <f t="shared" si="7"/>
        <v/>
      </c>
      <c r="AD15" s="1218" t="str">
        <f t="shared" si="7"/>
        <v/>
      </c>
      <c r="AE15" s="1219">
        <f>MAX(U15:AD15)</f>
        <v>90.01</v>
      </c>
      <c r="AF15" s="282">
        <f>MIN(U15:AD15)</f>
        <v>80.03</v>
      </c>
      <c r="AG15" s="282" t="str">
        <f>IF(AE15&gt;$H$76,$I$75,IF(AE15&gt;$H$77,$I$76,IF(AE15&gt;$H$78,$I$77,$I$78)))</f>
        <v>baik</v>
      </c>
      <c r="AH15" s="282" t="str">
        <f t="shared" si="10"/>
        <v>cukup</v>
      </c>
      <c r="AI15" s="282">
        <f>IFERROR(MATCH(AE15,U15:AD15,0),"")</f>
        <v>1</v>
      </c>
      <c r="AJ15" s="283">
        <f>IFERROR(MATCH(AF15,U15:AD15,0),"")</f>
        <v>3</v>
      </c>
      <c r="AK15" s="284" t="str">
        <f>IF(S15="","",IFERROR("Memiliki kemampuan "&amp;IF(AG15=AH15,AG15&amp;" dalam "&amp;VLOOKUP(AI15,$S$2:$AK$11,19)&amp;" dan "&amp;VLOOKUP(AJ15,$S$2:$AK$11,19),AG15&amp;" dalam "&amp;VLOOKUP(AI15,$S$2:$AK$11,19)&amp;", "&amp;AH15&amp;" kemampuan dalam "&amp;VLOOKUP(AJ15,$S$2:$AK$11,19)),""))</f>
        <v>Memiliki kemampuan baik dalam memahami perencanaan usaha kerajinan dengan inspirasi artefak, cukup kemampuan dalam memahami perhitungan biaya produksi berdasarkan daya dukung</v>
      </c>
      <c r="AL15" s="276">
        <v>80</v>
      </c>
      <c r="AM15" s="277">
        <v>80</v>
      </c>
      <c r="AN15" s="277">
        <v>80</v>
      </c>
      <c r="AO15" s="277"/>
      <c r="AP15" s="277"/>
      <c r="AQ15" s="277"/>
      <c r="AR15" s="277"/>
      <c r="AS15" s="280"/>
      <c r="AT15" s="277"/>
      <c r="AU15" s="278"/>
      <c r="AV15" s="285">
        <f>IF(COUNT(AL15:AU15)&lt;2,"",ROUND(((AL15*$AX$13)+(AM15*$AY$13)+(AN15*$AZ$13)+(AO15*$BA$13)+(AP15*$BB$13)+(AQ15*$BC$13)+(AR15*$BD$13)+(AS15*$BE$13)+(AT15*$BF$13)+(AU15*$BG$13))/$BH$11,0))</f>
        <v>80</v>
      </c>
      <c r="AW15" s="296" t="str">
        <f>IF(AV15="","",IF(AV15&gt;$AN$76,$AV$75,IF(AV15&gt;$AN$77,$AV$76,IF(AV15&gt;$AN$78,$AV$77,$AV$78))))</f>
        <v>C</v>
      </c>
      <c r="AX15" s="1220">
        <f t="shared" si="16"/>
        <v>80.010000000000005</v>
      </c>
      <c r="AY15" s="1221">
        <f t="shared" si="16"/>
        <v>80.02</v>
      </c>
      <c r="AZ15" s="1221">
        <f>IF(AN15="","",AN15+AZ$12)</f>
        <v>80.03</v>
      </c>
      <c r="BA15" s="1221" t="str">
        <f t="shared" si="16"/>
        <v/>
      </c>
      <c r="BB15" s="1221" t="str">
        <f t="shared" si="16"/>
        <v/>
      </c>
      <c r="BC15" s="1221" t="str">
        <f t="shared" si="16"/>
        <v/>
      </c>
      <c r="BD15" s="1221" t="str">
        <f t="shared" si="16"/>
        <v/>
      </c>
      <c r="BE15" s="1222" t="str">
        <f t="shared" si="16"/>
        <v/>
      </c>
      <c r="BF15" s="1221" t="str">
        <f t="shared" si="16"/>
        <v/>
      </c>
      <c r="BG15" s="1223" t="str">
        <f t="shared" si="16"/>
        <v/>
      </c>
      <c r="BH15" s="286">
        <f>MAX(AX15:BG15)</f>
        <v>80.03</v>
      </c>
      <c r="BI15" s="286">
        <f>MIN(AX15:BG15)</f>
        <v>80.010000000000005</v>
      </c>
      <c r="BJ15" s="287" t="str">
        <f>IF(BH15&gt;$H$76,$AO$75,IF(BH15&gt;$H$77,$AO$76,IF(BH15&gt;$H$78,$AO$77,$AO$78)))</f>
        <v>cukup</v>
      </c>
      <c r="BK15" s="287" t="str">
        <f>IF(BI15&gt;$H$76,$AO$75,IF(BI15&gt;$H$77,$AO$76,IF(BI15&gt;$H$78,$AO$77,$AO$78)))</f>
        <v>cukup</v>
      </c>
      <c r="BL15" s="286">
        <f>MATCH(BH15,AX15:BG15,0)</f>
        <v>3</v>
      </c>
      <c r="BM15" s="288">
        <f>MATCH(BI15,AX15:BG15,0)</f>
        <v>1</v>
      </c>
      <c r="BN15" s="289" t="str">
        <f>IF(AV15="","",IFERROR("Memiliki keterampilan "&amp;IF(BJ15=BK15,BJ15&amp;" dalam "&amp;VLOOKUP(BL15,$AV$2:$BN$11,19)&amp;" dan "&amp;VLOOKUP(BM15,$AV$2:$BN$11,19),BJ15&amp;" dalam "&amp;VLOOKUP(BL15,$AV$2:$BN$11,19)&amp;", "&amp;BK15&amp;" keterampilan dalam "&amp;VLOOKUP(BM15,$AV$2:$BN$11,19)),""))</f>
        <v>Memiliki keterampilan cukup dalam menghitung biaya produksi (harga pokok produksi )kerajinan dan menyusun perencanaan usaha kerajinan dengan inspirasi artefak</v>
      </c>
      <c r="BO15" s="67"/>
    </row>
    <row r="16" spans="1:67" ht="33" customHeight="1">
      <c r="A16" s="67"/>
      <c r="B16" s="272">
        <f t="shared" ref="B16:B37" si="23">IF(D16="","",B15+1)</f>
        <v>3</v>
      </c>
      <c r="C16" s="273">
        <f>IF(Data!F7="","",Data!F7)</f>
        <v>0</v>
      </c>
      <c r="D16" s="274" t="str">
        <f>IF(Data!H7="","",Data!H7)</f>
        <v>Asri Aldina Baksuni</v>
      </c>
      <c r="E16" s="275" t="str">
        <f>IF(Data!I7="","",Data!I7)</f>
        <v>P</v>
      </c>
      <c r="F16" s="276">
        <v>90</v>
      </c>
      <c r="G16" s="277">
        <v>100</v>
      </c>
      <c r="H16" s="277">
        <v>80</v>
      </c>
      <c r="I16" s="277">
        <v>95</v>
      </c>
      <c r="J16" s="277"/>
      <c r="K16" s="277"/>
      <c r="L16" s="277"/>
      <c r="M16" s="280"/>
      <c r="N16" s="277"/>
      <c r="O16" s="278"/>
      <c r="P16" s="279">
        <f t="shared" ref="P16:P63" si="24">IF(COUNT(U16:AD16)&lt;2,"",ROUND(SUM(U16:AD16)/$AE$12,0))</f>
        <v>91</v>
      </c>
      <c r="Q16" s="277">
        <v>90</v>
      </c>
      <c r="R16" s="280">
        <v>88</v>
      </c>
      <c r="S16" s="281">
        <f t="shared" ref="S16:S63" si="25">IFERROR(ROUND(((P16*$P$13)+(Q16*$Q$13)+(R16*$R$13))/$AF$12,0),"")</f>
        <v>90</v>
      </c>
      <c r="T16" s="295" t="str">
        <f t="shared" ref="T16:T63" si="26">IF(S16="","",IF(S16&gt;$H$76,$Q$75,IF(S16&gt;$H$77,$Q$76,IF(S16&gt;$H$78,$Q$77,$Q$78))))</f>
        <v>B</v>
      </c>
      <c r="U16" s="1215">
        <f t="shared" si="7"/>
        <v>90.01</v>
      </c>
      <c r="V16" s="1216">
        <f t="shared" si="7"/>
        <v>100.02</v>
      </c>
      <c r="W16" s="1216">
        <f t="shared" si="7"/>
        <v>80.03</v>
      </c>
      <c r="X16" s="1216">
        <f t="shared" si="7"/>
        <v>95.04</v>
      </c>
      <c r="Y16" s="1216" t="str">
        <f t="shared" si="7"/>
        <v/>
      </c>
      <c r="Z16" s="1216" t="str">
        <f t="shared" si="7"/>
        <v/>
      </c>
      <c r="AA16" s="1216" t="str">
        <f t="shared" si="7"/>
        <v/>
      </c>
      <c r="AB16" s="1217" t="str">
        <f t="shared" si="7"/>
        <v/>
      </c>
      <c r="AC16" s="1216" t="str">
        <f t="shared" si="7"/>
        <v/>
      </c>
      <c r="AD16" s="1218" t="str">
        <f t="shared" si="7"/>
        <v/>
      </c>
      <c r="AE16" s="1219">
        <f t="shared" ref="AE16:AE63" si="27">MAX(U16:AD16)</f>
        <v>100.02</v>
      </c>
      <c r="AF16" s="282">
        <f t="shared" ref="AF16:AF63" si="28">MIN(U16:AD16)</f>
        <v>80.03</v>
      </c>
      <c r="AG16" s="282" t="str">
        <f t="shared" ref="AG16:AH63" si="29">IF(AE16&gt;$H$76,$I$75,IF(AE16&gt;$H$77,$I$76,IF(AE16&gt;$H$78,$I$77,$I$78)))</f>
        <v>sangat baik</v>
      </c>
      <c r="AH16" s="282" t="str">
        <f t="shared" si="10"/>
        <v>cukup</v>
      </c>
      <c r="AI16" s="282">
        <f t="shared" ref="AI16:AI63" si="30">IFERROR(MATCH(AE16,U16:AD16,0),"")</f>
        <v>2</v>
      </c>
      <c r="AJ16" s="283">
        <f t="shared" ref="AJ16:AJ63" si="31">IFERROR(MATCH(AF16,U16:AD16,0),"")</f>
        <v>3</v>
      </c>
      <c r="AK16" s="284" t="str">
        <f t="shared" ref="AK16:AK63" si="32">IF(S16="","",IFERROR("Memiliki kemampuan "&amp;IF(AG16=AH16,AG16&amp;" dalam "&amp;VLOOKUP(AI16,$S$2:$AK$11,19)&amp;" dan "&amp;VLOOKUP(AJ16,$S$2:$AK$11,19),AG16&amp;" dalam "&amp;VLOOKUP(AI16,$S$2:$AK$11,19)&amp;", "&amp;AH16&amp;" kemampuan dalam "&amp;VLOOKUP(AJ16,$S$2:$AK$11,19)),""))</f>
        <v>Memiliki kemampuan sangat baik dalam KD pengetahuan 2 Prakarya dan Kewirausahaan, cukup kemampuan dalam memahami perhitungan biaya produksi berdasarkan daya dukung</v>
      </c>
      <c r="AL16" s="276">
        <v>90</v>
      </c>
      <c r="AM16" s="277">
        <v>90</v>
      </c>
      <c r="AN16" s="277">
        <v>90</v>
      </c>
      <c r="AO16" s="277"/>
      <c r="AP16" s="277"/>
      <c r="AQ16" s="277"/>
      <c r="AR16" s="277"/>
      <c r="AS16" s="280"/>
      <c r="AT16" s="277"/>
      <c r="AU16" s="278"/>
      <c r="AV16" s="285">
        <f t="shared" ref="AV16:AV63" si="33">IF(COUNT(AL16:AU16)&lt;2,"",ROUND(((AL16*$AX$13)+(AM16*$AY$13)+(AN16*$AZ$13)+(AO16*$BA$13)+(AP16*$BB$13)+(AQ16*$BC$13)+(AR16*$BD$13)+(AS16*$BE$13)+(AT16*$BF$13)+(AU16*$BG$13))/$BH$11,0))</f>
        <v>90</v>
      </c>
      <c r="AW16" s="296" t="str">
        <f t="shared" ref="AW16:AW63" si="34">IF(AV16="","",IF(AV16&gt;$AN$76,$AV$75,IF(AV16&gt;$AN$77,$AV$76,IF(AV16&gt;$AN$78,$AV$77,$AV$78))))</f>
        <v>B</v>
      </c>
      <c r="AX16" s="1220">
        <f t="shared" si="16"/>
        <v>90.01</v>
      </c>
      <c r="AY16" s="1221">
        <f t="shared" si="16"/>
        <v>90.02</v>
      </c>
      <c r="AZ16" s="1221">
        <f t="shared" si="16"/>
        <v>90.03</v>
      </c>
      <c r="BA16" s="1221" t="str">
        <f t="shared" si="16"/>
        <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90.03</v>
      </c>
      <c r="BI16" s="286">
        <f t="shared" ref="BI16:BI63" si="36">MIN(AX16:BG16)</f>
        <v>90.01</v>
      </c>
      <c r="BJ16" s="287" t="str">
        <f t="shared" ref="BJ16:BK63" si="37">IF(BH16&gt;$H$76,$AO$75,IF(BH16&gt;$H$77,$AO$76,IF(BH16&gt;$H$78,$AO$77,$AO$78)))</f>
        <v>baik</v>
      </c>
      <c r="BK16" s="287" t="str">
        <f t="shared" si="37"/>
        <v>baik</v>
      </c>
      <c r="BL16" s="286">
        <f t="shared" ref="BL16:BL63" si="38">MATCH(BH16,AX16:BG16,0)</f>
        <v>3</v>
      </c>
      <c r="BM16" s="288">
        <f t="shared" ref="BM16:BM63" si="39">MATCH(BI16,AX16:BG16,0)</f>
        <v>1</v>
      </c>
      <c r="BN16" s="289" t="str">
        <f t="shared" ref="BN16:BN63" si="40">IF(AV16="","",IFERROR("Memiliki keterampilan "&amp;IF(BJ16=BK16,BJ16&amp;" dalam "&amp;VLOOKUP(BL16,$AV$2:$BN$11,19)&amp;" dan "&amp;VLOOKUP(BM16,$AV$2:$BN$11,19),BJ16&amp;" dalam "&amp;VLOOKUP(BL16,$AV$2:$BN$11,19)&amp;", "&amp;BK16&amp;" keterampilan dalam "&amp;VLOOKUP(BM16,$AV$2:$BN$11,19)),""))</f>
        <v>Memiliki keterampilan baik dalam menghitung biaya produksi (harga pokok produksi )kerajinan dan menyusun perencanaan usaha kerajinan dengan inspirasi artefak</v>
      </c>
      <c r="BO16" s="67"/>
    </row>
    <row r="17" spans="1:67" ht="33" customHeight="1">
      <c r="A17" s="67"/>
      <c r="B17" s="272">
        <f t="shared" si="23"/>
        <v>4</v>
      </c>
      <c r="C17" s="273">
        <f>IF(Data!F8="","",Data!F8)</f>
        <v>0</v>
      </c>
      <c r="D17" s="274" t="str">
        <f>IF(Data!H8="","",Data!H8)</f>
        <v>Asti Welmince Welkis</v>
      </c>
      <c r="E17" s="275" t="str">
        <f>IF(Data!I8="","",Data!I8)</f>
        <v>P</v>
      </c>
      <c r="F17" s="276">
        <v>90</v>
      </c>
      <c r="G17" s="277">
        <v>85</v>
      </c>
      <c r="H17" s="277">
        <v>80</v>
      </c>
      <c r="I17" s="277">
        <v>95</v>
      </c>
      <c r="J17" s="277"/>
      <c r="K17" s="277"/>
      <c r="L17" s="277"/>
      <c r="M17" s="280"/>
      <c r="N17" s="277"/>
      <c r="O17" s="278"/>
      <c r="P17" s="279">
        <f t="shared" si="24"/>
        <v>88</v>
      </c>
      <c r="Q17" s="277">
        <v>90</v>
      </c>
      <c r="R17" s="280">
        <v>84</v>
      </c>
      <c r="S17" s="281">
        <f t="shared" si="25"/>
        <v>88</v>
      </c>
      <c r="T17" s="295" t="str">
        <f t="shared" si="26"/>
        <v>B</v>
      </c>
      <c r="U17" s="1215">
        <f t="shared" si="7"/>
        <v>90.01</v>
      </c>
      <c r="V17" s="1216">
        <f t="shared" si="7"/>
        <v>85.02</v>
      </c>
      <c r="W17" s="1216">
        <f t="shared" si="7"/>
        <v>80.03</v>
      </c>
      <c r="X17" s="1216">
        <f t="shared" si="7"/>
        <v>95.04</v>
      </c>
      <c r="Y17" s="1216" t="str">
        <f t="shared" si="7"/>
        <v/>
      </c>
      <c r="Z17" s="1216" t="str">
        <f t="shared" si="7"/>
        <v/>
      </c>
      <c r="AA17" s="1216" t="str">
        <f t="shared" si="7"/>
        <v/>
      </c>
      <c r="AB17" s="1217" t="str">
        <f t="shared" si="7"/>
        <v/>
      </c>
      <c r="AC17" s="1216" t="str">
        <f t="shared" si="7"/>
        <v/>
      </c>
      <c r="AD17" s="1218" t="str">
        <f t="shared" si="7"/>
        <v/>
      </c>
      <c r="AE17" s="1219">
        <f t="shared" si="27"/>
        <v>95.04</v>
      </c>
      <c r="AF17" s="282">
        <f t="shared" si="28"/>
        <v>80.03</v>
      </c>
      <c r="AG17" s="282" t="str">
        <f t="shared" si="29"/>
        <v>sangat baik</v>
      </c>
      <c r="AH17" s="282" t="str">
        <f t="shared" si="10"/>
        <v>cukup</v>
      </c>
      <c r="AI17" s="282">
        <f t="shared" si="30"/>
        <v>4</v>
      </c>
      <c r="AJ17" s="283">
        <f t="shared" si="31"/>
        <v>3</v>
      </c>
      <c r="AK17" s="284" t="str">
        <f t="shared" si="32"/>
        <v>Memiliki kemampuan sangat baik dalam memahami strategi pemasaran produk kerajina dengan inspirasi, cukup kemampuan dalam memahami perhitungan biaya produksi berdasarkan daya dukung</v>
      </c>
      <c r="AL17" s="276">
        <v>90</v>
      </c>
      <c r="AM17" s="277">
        <v>90</v>
      </c>
      <c r="AN17" s="277">
        <v>90</v>
      </c>
      <c r="AO17" s="277"/>
      <c r="AP17" s="277"/>
      <c r="AQ17" s="277"/>
      <c r="AR17" s="277"/>
      <c r="AS17" s="280"/>
      <c r="AT17" s="277"/>
      <c r="AU17" s="278"/>
      <c r="AV17" s="285">
        <f t="shared" si="33"/>
        <v>90</v>
      </c>
      <c r="AW17" s="296" t="str">
        <f t="shared" si="34"/>
        <v>B</v>
      </c>
      <c r="AX17" s="1220">
        <f t="shared" si="16"/>
        <v>90.01</v>
      </c>
      <c r="AY17" s="1221">
        <f t="shared" si="16"/>
        <v>90.02</v>
      </c>
      <c r="AZ17" s="1221">
        <f t="shared" si="16"/>
        <v>90.03</v>
      </c>
      <c r="BA17" s="1221" t="str">
        <f t="shared" si="16"/>
        <v/>
      </c>
      <c r="BB17" s="1221" t="str">
        <f t="shared" si="16"/>
        <v/>
      </c>
      <c r="BC17" s="1221" t="str">
        <f t="shared" si="16"/>
        <v/>
      </c>
      <c r="BD17" s="1221" t="str">
        <f t="shared" si="16"/>
        <v/>
      </c>
      <c r="BE17" s="1222" t="str">
        <f t="shared" si="16"/>
        <v/>
      </c>
      <c r="BF17" s="1221" t="str">
        <f t="shared" si="16"/>
        <v/>
      </c>
      <c r="BG17" s="1223" t="str">
        <f t="shared" si="16"/>
        <v/>
      </c>
      <c r="BH17" s="286">
        <f t="shared" si="35"/>
        <v>90.03</v>
      </c>
      <c r="BI17" s="286">
        <f t="shared" si="36"/>
        <v>90.01</v>
      </c>
      <c r="BJ17" s="287" t="str">
        <f t="shared" si="37"/>
        <v>baik</v>
      </c>
      <c r="BK17" s="287" t="str">
        <f t="shared" si="37"/>
        <v>baik</v>
      </c>
      <c r="BL17" s="286">
        <f t="shared" si="38"/>
        <v>3</v>
      </c>
      <c r="BM17" s="288">
        <f t="shared" si="39"/>
        <v>1</v>
      </c>
      <c r="BN17" s="289" t="str">
        <f t="shared" si="40"/>
        <v>Memiliki keterampilan baik dalam menghitung biaya produksi (harga pokok produksi )kerajinan dan menyusun perencanaan usaha kerajinan dengan inspirasi artefak</v>
      </c>
      <c r="BO17" s="67"/>
    </row>
    <row r="18" spans="1:67" ht="33" customHeight="1">
      <c r="A18" s="67"/>
      <c r="B18" s="272">
        <f t="shared" si="23"/>
        <v>5</v>
      </c>
      <c r="C18" s="273">
        <f>IF(Data!F9="","",Data!F9)</f>
        <v>0</v>
      </c>
      <c r="D18" s="274" t="str">
        <f>IF(Data!H9="","",Data!H9)</f>
        <v>Aulya Noviyanti Mbura</v>
      </c>
      <c r="E18" s="275" t="str">
        <f>IF(Data!I9="","",Data!I9)</f>
        <v>P</v>
      </c>
      <c r="F18" s="276">
        <v>90</v>
      </c>
      <c r="G18" s="277">
        <v>80</v>
      </c>
      <c r="H18" s="277">
        <v>80</v>
      </c>
      <c r="I18" s="277">
        <v>90</v>
      </c>
      <c r="J18" s="277"/>
      <c r="K18" s="277"/>
      <c r="L18" s="277"/>
      <c r="M18" s="280"/>
      <c r="N18" s="277"/>
      <c r="O18" s="278"/>
      <c r="P18" s="279">
        <f t="shared" si="24"/>
        <v>85</v>
      </c>
      <c r="Q18" s="277">
        <v>90</v>
      </c>
      <c r="R18" s="280">
        <v>85</v>
      </c>
      <c r="S18" s="281">
        <f t="shared" si="25"/>
        <v>86</v>
      </c>
      <c r="T18" s="295" t="str">
        <f t="shared" si="26"/>
        <v>B</v>
      </c>
      <c r="U18" s="1215">
        <f t="shared" si="7"/>
        <v>90.01</v>
      </c>
      <c r="V18" s="1216">
        <f t="shared" si="7"/>
        <v>80.02</v>
      </c>
      <c r="W18" s="1216">
        <f t="shared" si="7"/>
        <v>80.03</v>
      </c>
      <c r="X18" s="1216">
        <f t="shared" si="7"/>
        <v>90.04</v>
      </c>
      <c r="Y18" s="1216" t="str">
        <f t="shared" si="7"/>
        <v/>
      </c>
      <c r="Z18" s="1216" t="str">
        <f t="shared" si="7"/>
        <v/>
      </c>
      <c r="AA18" s="1216" t="str">
        <f t="shared" si="7"/>
        <v/>
      </c>
      <c r="AB18" s="1217" t="str">
        <f t="shared" si="7"/>
        <v/>
      </c>
      <c r="AC18" s="1216" t="str">
        <f t="shared" si="7"/>
        <v/>
      </c>
      <c r="AD18" s="1218" t="str">
        <f t="shared" si="7"/>
        <v/>
      </c>
      <c r="AE18" s="1219">
        <f t="shared" si="27"/>
        <v>90.04</v>
      </c>
      <c r="AF18" s="282">
        <f t="shared" si="28"/>
        <v>80.02</v>
      </c>
      <c r="AG18" s="282" t="str">
        <f t="shared" si="29"/>
        <v>baik</v>
      </c>
      <c r="AH18" s="282" t="str">
        <f t="shared" si="10"/>
        <v>cukup</v>
      </c>
      <c r="AI18" s="282">
        <f t="shared" si="30"/>
        <v>4</v>
      </c>
      <c r="AJ18" s="283">
        <f t="shared" si="31"/>
        <v>2</v>
      </c>
      <c r="AK18" s="284" t="str">
        <f t="shared" si="32"/>
        <v>Memiliki kemampuan baik dalam memahami strategi pemasaran produk kerajina dengan inspirasi, cukup kemampuan dalam KD pengetahuan 2 Prakarya dan Kewirausahaan</v>
      </c>
      <c r="AL18" s="276">
        <v>90</v>
      </c>
      <c r="AM18" s="277">
        <v>90</v>
      </c>
      <c r="AN18" s="277">
        <v>90</v>
      </c>
      <c r="AO18" s="277"/>
      <c r="AP18" s="277"/>
      <c r="AQ18" s="277"/>
      <c r="AR18" s="277"/>
      <c r="AS18" s="280"/>
      <c r="AT18" s="277"/>
      <c r="AU18" s="278"/>
      <c r="AV18" s="285">
        <f t="shared" si="33"/>
        <v>90</v>
      </c>
      <c r="AW18" s="296" t="str">
        <f t="shared" si="34"/>
        <v>B</v>
      </c>
      <c r="AX18" s="1220">
        <f t="shared" si="16"/>
        <v>90.01</v>
      </c>
      <c r="AY18" s="1221">
        <f t="shared" si="16"/>
        <v>90.02</v>
      </c>
      <c r="AZ18" s="1221">
        <f t="shared" si="16"/>
        <v>90.03</v>
      </c>
      <c r="BA18" s="1221" t="str">
        <f t="shared" si="16"/>
        <v/>
      </c>
      <c r="BB18" s="1221" t="str">
        <f t="shared" si="16"/>
        <v/>
      </c>
      <c r="BC18" s="1221" t="str">
        <f t="shared" si="16"/>
        <v/>
      </c>
      <c r="BD18" s="1221" t="str">
        <f t="shared" si="16"/>
        <v/>
      </c>
      <c r="BE18" s="1222" t="str">
        <f t="shared" si="16"/>
        <v/>
      </c>
      <c r="BF18" s="1221" t="str">
        <f t="shared" si="16"/>
        <v/>
      </c>
      <c r="BG18" s="1223" t="str">
        <f t="shared" si="16"/>
        <v/>
      </c>
      <c r="BH18" s="286">
        <f t="shared" si="35"/>
        <v>90.03</v>
      </c>
      <c r="BI18" s="286">
        <f t="shared" si="36"/>
        <v>90.01</v>
      </c>
      <c r="BJ18" s="287" t="str">
        <f t="shared" si="37"/>
        <v>baik</v>
      </c>
      <c r="BK18" s="287" t="str">
        <f t="shared" si="37"/>
        <v>baik</v>
      </c>
      <c r="BL18" s="286">
        <f t="shared" si="38"/>
        <v>3</v>
      </c>
      <c r="BM18" s="288">
        <f t="shared" si="39"/>
        <v>1</v>
      </c>
      <c r="BN18" s="289" t="str">
        <f t="shared" si="40"/>
        <v>Memiliki keterampilan baik dalam menghitung biaya produksi (harga pokok produksi )kerajinan dan menyusun perencanaan usaha kerajinan dengan inspirasi artefak</v>
      </c>
      <c r="BO18" s="67"/>
    </row>
    <row r="19" spans="1:67" ht="33" customHeight="1">
      <c r="A19" s="67"/>
      <c r="B19" s="272">
        <f t="shared" si="23"/>
        <v>6</v>
      </c>
      <c r="C19" s="273">
        <f>IF(Data!F10="","",Data!F10)</f>
        <v>0</v>
      </c>
      <c r="D19" s="274" t="str">
        <f>IF(Data!H10="","",Data!H10)</f>
        <v>Ayu Oliberta Ranboki</v>
      </c>
      <c r="E19" s="275" t="str">
        <f>IF(Data!I10="","",Data!I10)</f>
        <v>P</v>
      </c>
      <c r="F19" s="276">
        <v>90</v>
      </c>
      <c r="G19" s="277">
        <v>85</v>
      </c>
      <c r="H19" s="277">
        <v>80</v>
      </c>
      <c r="I19" s="277">
        <v>80</v>
      </c>
      <c r="J19" s="277"/>
      <c r="K19" s="277"/>
      <c r="L19" s="277"/>
      <c r="M19" s="280"/>
      <c r="N19" s="277"/>
      <c r="O19" s="278"/>
      <c r="P19" s="279">
        <f t="shared" si="24"/>
        <v>84</v>
      </c>
      <c r="Q19" s="277">
        <v>85</v>
      </c>
      <c r="R19" s="280">
        <v>84</v>
      </c>
      <c r="S19" s="281">
        <f t="shared" si="25"/>
        <v>84</v>
      </c>
      <c r="T19" s="295" t="str">
        <f t="shared" si="26"/>
        <v>C</v>
      </c>
      <c r="U19" s="1215">
        <f t="shared" si="7"/>
        <v>90.01</v>
      </c>
      <c r="V19" s="1216">
        <f t="shared" si="7"/>
        <v>85.02</v>
      </c>
      <c r="W19" s="1216">
        <f t="shared" si="7"/>
        <v>80.03</v>
      </c>
      <c r="X19" s="1216">
        <f t="shared" si="7"/>
        <v>80.040000000000006</v>
      </c>
      <c r="Y19" s="1216" t="str">
        <f t="shared" si="7"/>
        <v/>
      </c>
      <c r="Z19" s="1216" t="str">
        <f t="shared" si="7"/>
        <v/>
      </c>
      <c r="AA19" s="1216" t="str">
        <f t="shared" si="7"/>
        <v/>
      </c>
      <c r="AB19" s="1217" t="str">
        <f t="shared" si="7"/>
        <v/>
      </c>
      <c r="AC19" s="1216" t="str">
        <f t="shared" si="7"/>
        <v/>
      </c>
      <c r="AD19" s="1218" t="str">
        <f t="shared" si="7"/>
        <v/>
      </c>
      <c r="AE19" s="1219">
        <f t="shared" si="27"/>
        <v>90.01</v>
      </c>
      <c r="AF19" s="282">
        <f t="shared" si="28"/>
        <v>80.03</v>
      </c>
      <c r="AG19" s="282" t="str">
        <f t="shared" si="29"/>
        <v>baik</v>
      </c>
      <c r="AH19" s="282" t="str">
        <f t="shared" si="10"/>
        <v>cukup</v>
      </c>
      <c r="AI19" s="282">
        <f t="shared" si="30"/>
        <v>1</v>
      </c>
      <c r="AJ19" s="283">
        <f t="shared" si="31"/>
        <v>3</v>
      </c>
      <c r="AK19" s="284" t="str">
        <f t="shared" si="32"/>
        <v>Memiliki kemampuan baik dalam memahami perencanaan usaha kerajinan dengan inspirasi artefak, cukup kemampuan dalam memahami perhitungan biaya produksi berdasarkan daya dukung</v>
      </c>
      <c r="AL19" s="276">
        <v>90</v>
      </c>
      <c r="AM19" s="277">
        <v>90</v>
      </c>
      <c r="AN19" s="277">
        <v>90</v>
      </c>
      <c r="AO19" s="277"/>
      <c r="AP19" s="277"/>
      <c r="AQ19" s="277"/>
      <c r="AR19" s="277"/>
      <c r="AS19" s="280"/>
      <c r="AT19" s="277"/>
      <c r="AU19" s="278"/>
      <c r="AV19" s="285">
        <f t="shared" si="33"/>
        <v>90</v>
      </c>
      <c r="AW19" s="296" t="str">
        <f t="shared" si="34"/>
        <v>B</v>
      </c>
      <c r="AX19" s="1220">
        <f t="shared" si="16"/>
        <v>90.01</v>
      </c>
      <c r="AY19" s="1221">
        <f t="shared" si="16"/>
        <v>90.02</v>
      </c>
      <c r="AZ19" s="1221">
        <f t="shared" si="16"/>
        <v>90.03</v>
      </c>
      <c r="BA19" s="1221" t="str">
        <f t="shared" si="16"/>
        <v/>
      </c>
      <c r="BB19" s="1221" t="str">
        <f t="shared" si="16"/>
        <v/>
      </c>
      <c r="BC19" s="1221" t="str">
        <f t="shared" si="16"/>
        <v/>
      </c>
      <c r="BD19" s="1221" t="str">
        <f t="shared" si="16"/>
        <v/>
      </c>
      <c r="BE19" s="1222" t="str">
        <f t="shared" si="16"/>
        <v/>
      </c>
      <c r="BF19" s="1221" t="str">
        <f t="shared" si="16"/>
        <v/>
      </c>
      <c r="BG19" s="1223" t="str">
        <f t="shared" si="16"/>
        <v/>
      </c>
      <c r="BH19" s="286">
        <f t="shared" si="35"/>
        <v>90.03</v>
      </c>
      <c r="BI19" s="286">
        <f t="shared" si="36"/>
        <v>90.01</v>
      </c>
      <c r="BJ19" s="287" t="str">
        <f t="shared" si="37"/>
        <v>baik</v>
      </c>
      <c r="BK19" s="287" t="str">
        <f t="shared" si="37"/>
        <v>baik</v>
      </c>
      <c r="BL19" s="286">
        <f t="shared" si="38"/>
        <v>3</v>
      </c>
      <c r="BM19" s="288">
        <f t="shared" si="39"/>
        <v>1</v>
      </c>
      <c r="BN19" s="289" t="str">
        <f t="shared" si="40"/>
        <v>Memiliki keterampilan baik dalam menghitung biaya produksi (harga pokok produksi )kerajinan dan menyusun perencanaan usaha kerajinan dengan inspirasi artefak</v>
      </c>
      <c r="BO19" s="67"/>
    </row>
    <row r="20" spans="1:67" ht="33" customHeight="1">
      <c r="A20" s="67"/>
      <c r="B20" s="272">
        <f t="shared" si="23"/>
        <v>7</v>
      </c>
      <c r="C20" s="273">
        <f>IF(Data!F11="","",Data!F11)</f>
        <v>0</v>
      </c>
      <c r="D20" s="274" t="str">
        <f>IF(Data!H11="","",Data!H11)</f>
        <v>Benediktus Faot</v>
      </c>
      <c r="E20" s="275" t="str">
        <f>IF(Data!I11="","",Data!I11)</f>
        <v>L</v>
      </c>
      <c r="F20" s="276">
        <v>95</v>
      </c>
      <c r="G20" s="277">
        <v>85</v>
      </c>
      <c r="H20" s="277">
        <v>80</v>
      </c>
      <c r="I20" s="277">
        <v>100</v>
      </c>
      <c r="J20" s="277"/>
      <c r="K20" s="277"/>
      <c r="L20" s="277"/>
      <c r="M20" s="280"/>
      <c r="N20" s="277"/>
      <c r="O20" s="278"/>
      <c r="P20" s="279">
        <f t="shared" si="24"/>
        <v>90</v>
      </c>
      <c r="Q20" s="277">
        <v>90</v>
      </c>
      <c r="R20" s="280">
        <v>84</v>
      </c>
      <c r="S20" s="281">
        <f t="shared" si="25"/>
        <v>89</v>
      </c>
      <c r="T20" s="295" t="str">
        <f t="shared" si="26"/>
        <v>B</v>
      </c>
      <c r="U20" s="1215">
        <f t="shared" si="7"/>
        <v>95.01</v>
      </c>
      <c r="V20" s="1216">
        <f t="shared" si="7"/>
        <v>85.02</v>
      </c>
      <c r="W20" s="1216">
        <f t="shared" si="7"/>
        <v>80.03</v>
      </c>
      <c r="X20" s="1216">
        <f t="shared" si="7"/>
        <v>100.04</v>
      </c>
      <c r="Y20" s="1216" t="str">
        <f t="shared" si="7"/>
        <v/>
      </c>
      <c r="Z20" s="1216" t="str">
        <f t="shared" si="7"/>
        <v/>
      </c>
      <c r="AA20" s="1216" t="str">
        <f t="shared" si="7"/>
        <v/>
      </c>
      <c r="AB20" s="1217" t="str">
        <f t="shared" si="7"/>
        <v/>
      </c>
      <c r="AC20" s="1216" t="str">
        <f t="shared" si="7"/>
        <v/>
      </c>
      <c r="AD20" s="1218" t="str">
        <f t="shared" si="7"/>
        <v/>
      </c>
      <c r="AE20" s="1219">
        <f t="shared" si="27"/>
        <v>100.04</v>
      </c>
      <c r="AF20" s="282">
        <f t="shared" si="28"/>
        <v>80.03</v>
      </c>
      <c r="AG20" s="282" t="str">
        <f t="shared" si="29"/>
        <v>sangat baik</v>
      </c>
      <c r="AH20" s="282" t="str">
        <f t="shared" si="10"/>
        <v>cukup</v>
      </c>
      <c r="AI20" s="282">
        <f t="shared" si="30"/>
        <v>4</v>
      </c>
      <c r="AJ20" s="283">
        <f t="shared" si="31"/>
        <v>3</v>
      </c>
      <c r="AK20" s="284" t="str">
        <f t="shared" si="32"/>
        <v>Memiliki kemampuan sangat baik dalam memahami strategi pemasaran produk kerajina dengan inspirasi, cukup kemampuan dalam memahami perhitungan biaya produksi berdasarkan daya dukung</v>
      </c>
      <c r="AL20" s="276">
        <v>80</v>
      </c>
      <c r="AM20" s="277">
        <v>80</v>
      </c>
      <c r="AN20" s="277">
        <v>80</v>
      </c>
      <c r="AO20" s="277"/>
      <c r="AP20" s="277"/>
      <c r="AQ20" s="277"/>
      <c r="AR20" s="277"/>
      <c r="AS20" s="280"/>
      <c r="AT20" s="277"/>
      <c r="AU20" s="278"/>
      <c r="AV20" s="285">
        <f t="shared" si="33"/>
        <v>80</v>
      </c>
      <c r="AW20" s="296" t="str">
        <f t="shared" si="34"/>
        <v>C</v>
      </c>
      <c r="AX20" s="1220">
        <f t="shared" si="16"/>
        <v>80.010000000000005</v>
      </c>
      <c r="AY20" s="1221">
        <f t="shared" si="16"/>
        <v>80.02</v>
      </c>
      <c r="AZ20" s="1221">
        <f t="shared" si="16"/>
        <v>80.03</v>
      </c>
      <c r="BA20" s="1221" t="str">
        <f t="shared" si="16"/>
        <v/>
      </c>
      <c r="BB20" s="1221" t="str">
        <f t="shared" si="16"/>
        <v/>
      </c>
      <c r="BC20" s="1221" t="str">
        <f t="shared" si="16"/>
        <v/>
      </c>
      <c r="BD20" s="1221" t="str">
        <f t="shared" si="16"/>
        <v/>
      </c>
      <c r="BE20" s="1222" t="str">
        <f t="shared" si="16"/>
        <v/>
      </c>
      <c r="BF20" s="1221" t="str">
        <f t="shared" si="16"/>
        <v/>
      </c>
      <c r="BG20" s="1223" t="str">
        <f t="shared" si="16"/>
        <v/>
      </c>
      <c r="BH20" s="286">
        <f t="shared" si="35"/>
        <v>80.03</v>
      </c>
      <c r="BI20" s="286">
        <f t="shared" si="36"/>
        <v>80.010000000000005</v>
      </c>
      <c r="BJ20" s="287" t="str">
        <f t="shared" si="37"/>
        <v>cukup</v>
      </c>
      <c r="BK20" s="287" t="str">
        <f t="shared" si="37"/>
        <v>cukup</v>
      </c>
      <c r="BL20" s="286">
        <f t="shared" si="38"/>
        <v>3</v>
      </c>
      <c r="BM20" s="288">
        <f t="shared" si="39"/>
        <v>1</v>
      </c>
      <c r="BN20" s="289" t="str">
        <f t="shared" si="40"/>
        <v>Memiliki keterampilan cukup dalam menghitung biaya produksi (harga pokok produksi )kerajinan dan menyusun perencanaan usaha kerajinan dengan inspirasi artefak</v>
      </c>
      <c r="BO20" s="67"/>
    </row>
    <row r="21" spans="1:67" ht="33" customHeight="1">
      <c r="A21" s="67"/>
      <c r="B21" s="272">
        <f t="shared" si="23"/>
        <v>8</v>
      </c>
      <c r="C21" s="273">
        <f>IF(Data!F12="","",Data!F12)</f>
        <v>0</v>
      </c>
      <c r="D21" s="274" t="str">
        <f>IF(Data!H12="","",Data!H12)</f>
        <v>Betron Imanuel Kuni</v>
      </c>
      <c r="E21" s="275" t="str">
        <f>IF(Data!I12="","",Data!I12)</f>
        <v>L</v>
      </c>
      <c r="F21" s="276">
        <v>90</v>
      </c>
      <c r="G21" s="277">
        <v>80</v>
      </c>
      <c r="H21" s="277">
        <v>80</v>
      </c>
      <c r="I21" s="277">
        <v>100</v>
      </c>
      <c r="J21" s="277"/>
      <c r="K21" s="277"/>
      <c r="L21" s="277"/>
      <c r="M21" s="280"/>
      <c r="N21" s="277"/>
      <c r="O21" s="278"/>
      <c r="P21" s="279">
        <f t="shared" si="24"/>
        <v>88</v>
      </c>
      <c r="Q21" s="277">
        <v>80</v>
      </c>
      <c r="R21" s="280">
        <v>84</v>
      </c>
      <c r="S21" s="281">
        <f t="shared" si="25"/>
        <v>85</v>
      </c>
      <c r="T21" s="295" t="str">
        <f t="shared" si="26"/>
        <v>B</v>
      </c>
      <c r="U21" s="1215">
        <f t="shared" si="7"/>
        <v>90.01</v>
      </c>
      <c r="V21" s="1216">
        <f t="shared" si="7"/>
        <v>80.02</v>
      </c>
      <c r="W21" s="1216">
        <f t="shared" si="7"/>
        <v>80.03</v>
      </c>
      <c r="X21" s="1216">
        <f t="shared" si="7"/>
        <v>100.04</v>
      </c>
      <c r="Y21" s="1216" t="str">
        <f t="shared" si="7"/>
        <v/>
      </c>
      <c r="Z21" s="1216" t="str">
        <f t="shared" si="7"/>
        <v/>
      </c>
      <c r="AA21" s="1216" t="str">
        <f t="shared" si="7"/>
        <v/>
      </c>
      <c r="AB21" s="1217" t="str">
        <f t="shared" si="7"/>
        <v/>
      </c>
      <c r="AC21" s="1216" t="str">
        <f t="shared" si="7"/>
        <v/>
      </c>
      <c r="AD21" s="1218" t="str">
        <f t="shared" si="7"/>
        <v/>
      </c>
      <c r="AE21" s="1219">
        <f t="shared" si="27"/>
        <v>100.04</v>
      </c>
      <c r="AF21" s="282">
        <f t="shared" si="28"/>
        <v>80.02</v>
      </c>
      <c r="AG21" s="282" t="str">
        <f t="shared" si="29"/>
        <v>sangat baik</v>
      </c>
      <c r="AH21" s="282" t="str">
        <f t="shared" si="10"/>
        <v>cukup</v>
      </c>
      <c r="AI21" s="282">
        <f t="shared" si="30"/>
        <v>4</v>
      </c>
      <c r="AJ21" s="283">
        <f t="shared" si="31"/>
        <v>2</v>
      </c>
      <c r="AK21" s="284" t="str">
        <f t="shared" si="32"/>
        <v>Memiliki kemampuan sangat baik dalam memahami strategi pemasaran produk kerajina dengan inspirasi, cukup kemampuan dalam KD pengetahuan 2 Prakarya dan Kewirausahaan</v>
      </c>
      <c r="AL21" s="276">
        <v>80</v>
      </c>
      <c r="AM21" s="277">
        <v>80</v>
      </c>
      <c r="AN21" s="277">
        <v>80</v>
      </c>
      <c r="AO21" s="277"/>
      <c r="AP21" s="277"/>
      <c r="AQ21" s="277"/>
      <c r="AR21" s="277"/>
      <c r="AS21" s="280"/>
      <c r="AT21" s="277"/>
      <c r="AU21" s="278"/>
      <c r="AV21" s="285">
        <f t="shared" si="33"/>
        <v>80</v>
      </c>
      <c r="AW21" s="296" t="str">
        <f t="shared" si="34"/>
        <v>C</v>
      </c>
      <c r="AX21" s="1220">
        <f t="shared" si="16"/>
        <v>80.010000000000005</v>
      </c>
      <c r="AY21" s="1221">
        <f t="shared" si="16"/>
        <v>80.02</v>
      </c>
      <c r="AZ21" s="1221">
        <f t="shared" si="16"/>
        <v>80.03</v>
      </c>
      <c r="BA21" s="1221" t="str">
        <f t="shared" si="16"/>
        <v/>
      </c>
      <c r="BB21" s="1221" t="str">
        <f t="shared" si="16"/>
        <v/>
      </c>
      <c r="BC21" s="1221" t="str">
        <f t="shared" si="16"/>
        <v/>
      </c>
      <c r="BD21" s="1221" t="str">
        <f t="shared" si="16"/>
        <v/>
      </c>
      <c r="BE21" s="1222" t="str">
        <f t="shared" si="16"/>
        <v/>
      </c>
      <c r="BF21" s="1221" t="str">
        <f t="shared" si="16"/>
        <v/>
      </c>
      <c r="BG21" s="1223" t="str">
        <f t="shared" si="16"/>
        <v/>
      </c>
      <c r="BH21" s="286">
        <f t="shared" si="35"/>
        <v>80.03</v>
      </c>
      <c r="BI21" s="286">
        <f t="shared" si="36"/>
        <v>80.010000000000005</v>
      </c>
      <c r="BJ21" s="287" t="str">
        <f t="shared" si="37"/>
        <v>cukup</v>
      </c>
      <c r="BK21" s="287" t="str">
        <f t="shared" si="37"/>
        <v>cukup</v>
      </c>
      <c r="BL21" s="286">
        <f t="shared" si="38"/>
        <v>3</v>
      </c>
      <c r="BM21" s="288">
        <f t="shared" si="39"/>
        <v>1</v>
      </c>
      <c r="BN21" s="289" t="str">
        <f t="shared" si="40"/>
        <v>Memiliki keterampilan cukup dalam menghitung biaya produksi (harga pokok produksi )kerajinan dan menyusun perencanaan usaha kerajinan dengan inspirasi artefak</v>
      </c>
      <c r="BO21" s="67"/>
    </row>
    <row r="22" spans="1:67" ht="33" customHeight="1">
      <c r="A22" s="67"/>
      <c r="B22" s="272">
        <f t="shared" si="23"/>
        <v>9</v>
      </c>
      <c r="C22" s="273">
        <f>IF(Data!F13="","",Data!F13)</f>
        <v>0</v>
      </c>
      <c r="D22" s="274" t="str">
        <f>IF(Data!H13="","",Data!H13)</f>
        <v>Demrianus Ton</v>
      </c>
      <c r="E22" s="275" t="str">
        <f>IF(Data!I13="","",Data!I13)</f>
        <v>L</v>
      </c>
      <c r="F22" s="276">
        <v>80</v>
      </c>
      <c r="G22" s="277">
        <v>79</v>
      </c>
      <c r="H22" s="277">
        <v>79</v>
      </c>
      <c r="I22" s="277">
        <v>80</v>
      </c>
      <c r="J22" s="277"/>
      <c r="K22" s="277"/>
      <c r="L22" s="277"/>
      <c r="M22" s="280"/>
      <c r="N22" s="277"/>
      <c r="O22" s="278"/>
      <c r="P22" s="279">
        <f t="shared" si="24"/>
        <v>80</v>
      </c>
      <c r="Q22" s="277">
        <v>80</v>
      </c>
      <c r="R22" s="280">
        <v>84</v>
      </c>
      <c r="S22" s="281">
        <f t="shared" si="25"/>
        <v>81</v>
      </c>
      <c r="T22" s="295" t="str">
        <f t="shared" si="26"/>
        <v>C</v>
      </c>
      <c r="U22" s="1215">
        <f t="shared" si="7"/>
        <v>80.010000000000005</v>
      </c>
      <c r="V22" s="1216">
        <f t="shared" si="7"/>
        <v>79.02</v>
      </c>
      <c r="W22" s="1216">
        <f t="shared" si="7"/>
        <v>79.03</v>
      </c>
      <c r="X22" s="1216">
        <f t="shared" si="7"/>
        <v>80.040000000000006</v>
      </c>
      <c r="Y22" s="1216" t="str">
        <f t="shared" si="7"/>
        <v/>
      </c>
      <c r="Z22" s="1216" t="str">
        <f t="shared" si="7"/>
        <v/>
      </c>
      <c r="AA22" s="1216" t="str">
        <f t="shared" si="7"/>
        <v/>
      </c>
      <c r="AB22" s="1217" t="str">
        <f t="shared" si="7"/>
        <v/>
      </c>
      <c r="AC22" s="1216" t="str">
        <f t="shared" si="7"/>
        <v/>
      </c>
      <c r="AD22" s="1218" t="str">
        <f t="shared" si="7"/>
        <v/>
      </c>
      <c r="AE22" s="1219">
        <f t="shared" si="27"/>
        <v>80.040000000000006</v>
      </c>
      <c r="AF22" s="282">
        <f t="shared" si="28"/>
        <v>79.02</v>
      </c>
      <c r="AG22" s="282" t="str">
        <f t="shared" si="29"/>
        <v>cukup</v>
      </c>
      <c r="AH22" s="282" t="str">
        <f t="shared" si="10"/>
        <v>cukup</v>
      </c>
      <c r="AI22" s="282">
        <f t="shared" si="30"/>
        <v>4</v>
      </c>
      <c r="AJ22" s="283">
        <f t="shared" si="31"/>
        <v>2</v>
      </c>
      <c r="AK22" s="284" t="str">
        <f t="shared" si="32"/>
        <v>Memiliki kemampuan cukup dalam memahami strategi pemasaran produk kerajina dengan inspirasi dan KD pengetahuan 2 Prakarya dan Kewirausahaan</v>
      </c>
      <c r="AL22" s="276">
        <v>80</v>
      </c>
      <c r="AM22" s="277">
        <v>80</v>
      </c>
      <c r="AN22" s="277">
        <v>80</v>
      </c>
      <c r="AO22" s="277"/>
      <c r="AP22" s="277"/>
      <c r="AQ22" s="277"/>
      <c r="AR22" s="277"/>
      <c r="AS22" s="280"/>
      <c r="AT22" s="277"/>
      <c r="AU22" s="278"/>
      <c r="AV22" s="285">
        <f t="shared" si="33"/>
        <v>80</v>
      </c>
      <c r="AW22" s="296" t="str">
        <f t="shared" si="34"/>
        <v>C</v>
      </c>
      <c r="AX22" s="1220">
        <f t="shared" si="16"/>
        <v>80.010000000000005</v>
      </c>
      <c r="AY22" s="1221">
        <f t="shared" si="16"/>
        <v>80.02</v>
      </c>
      <c r="AZ22" s="1221">
        <f t="shared" si="16"/>
        <v>80.03</v>
      </c>
      <c r="BA22" s="1221" t="str">
        <f t="shared" si="16"/>
        <v/>
      </c>
      <c r="BB22" s="1221" t="str">
        <f t="shared" si="16"/>
        <v/>
      </c>
      <c r="BC22" s="1221" t="str">
        <f t="shared" si="16"/>
        <v/>
      </c>
      <c r="BD22" s="1221" t="str">
        <f t="shared" si="16"/>
        <v/>
      </c>
      <c r="BE22" s="1222" t="str">
        <f t="shared" si="16"/>
        <v/>
      </c>
      <c r="BF22" s="1221" t="str">
        <f t="shared" si="16"/>
        <v/>
      </c>
      <c r="BG22" s="1223" t="str">
        <f t="shared" si="16"/>
        <v/>
      </c>
      <c r="BH22" s="286">
        <f t="shared" si="35"/>
        <v>80.03</v>
      </c>
      <c r="BI22" s="286">
        <f t="shared" si="36"/>
        <v>80.010000000000005</v>
      </c>
      <c r="BJ22" s="287" t="str">
        <f t="shared" si="37"/>
        <v>cukup</v>
      </c>
      <c r="BK22" s="287" t="str">
        <f t="shared" si="37"/>
        <v>cukup</v>
      </c>
      <c r="BL22" s="286">
        <f t="shared" si="38"/>
        <v>3</v>
      </c>
      <c r="BM22" s="288">
        <f t="shared" si="39"/>
        <v>1</v>
      </c>
      <c r="BN22" s="289" t="str">
        <f t="shared" si="40"/>
        <v>Memiliki keterampilan cukup dalam menghitung biaya produksi (harga pokok produksi )kerajinan dan menyusun perencanaan usaha kerajinan dengan inspirasi artefak</v>
      </c>
      <c r="BO22" s="67"/>
    </row>
    <row r="23" spans="1:67" ht="33" customHeight="1">
      <c r="A23" s="67"/>
      <c r="B23" s="272">
        <f t="shared" si="23"/>
        <v>10</v>
      </c>
      <c r="C23" s="273">
        <f>IF(Data!F14="","",Data!F14)</f>
        <v>0</v>
      </c>
      <c r="D23" s="274" t="str">
        <f>IF(Data!H14="","",Data!H14)</f>
        <v>Desti Manggoa</v>
      </c>
      <c r="E23" s="275" t="str">
        <f>IF(Data!I14="","",Data!I14)</f>
        <v>P</v>
      </c>
      <c r="F23" s="276">
        <v>90</v>
      </c>
      <c r="G23" s="277">
        <v>80</v>
      </c>
      <c r="H23" s="277">
        <v>80</v>
      </c>
      <c r="I23" s="277">
        <v>100</v>
      </c>
      <c r="J23" s="277"/>
      <c r="K23" s="277"/>
      <c r="L23" s="277"/>
      <c r="M23" s="280"/>
      <c r="N23" s="277"/>
      <c r="O23" s="278"/>
      <c r="P23" s="279">
        <f t="shared" si="24"/>
        <v>88</v>
      </c>
      <c r="Q23" s="277">
        <v>80</v>
      </c>
      <c r="R23" s="280">
        <v>84</v>
      </c>
      <c r="S23" s="281">
        <f t="shared" si="25"/>
        <v>85</v>
      </c>
      <c r="T23" s="295" t="str">
        <f t="shared" si="26"/>
        <v>B</v>
      </c>
      <c r="U23" s="1215">
        <f t="shared" si="7"/>
        <v>90.01</v>
      </c>
      <c r="V23" s="1216">
        <f t="shared" si="7"/>
        <v>80.02</v>
      </c>
      <c r="W23" s="1216">
        <f t="shared" si="7"/>
        <v>80.03</v>
      </c>
      <c r="X23" s="1216">
        <f t="shared" si="7"/>
        <v>100.04</v>
      </c>
      <c r="Y23" s="1216" t="str">
        <f t="shared" si="7"/>
        <v/>
      </c>
      <c r="Z23" s="1216" t="str">
        <f t="shared" si="7"/>
        <v/>
      </c>
      <c r="AA23" s="1216" t="str">
        <f t="shared" si="7"/>
        <v/>
      </c>
      <c r="AB23" s="1217" t="str">
        <f t="shared" si="7"/>
        <v/>
      </c>
      <c r="AC23" s="1216" t="str">
        <f t="shared" si="7"/>
        <v/>
      </c>
      <c r="AD23" s="1218" t="str">
        <f t="shared" si="7"/>
        <v/>
      </c>
      <c r="AE23" s="1219">
        <f t="shared" si="27"/>
        <v>100.04</v>
      </c>
      <c r="AF23" s="282">
        <f t="shared" si="28"/>
        <v>80.02</v>
      </c>
      <c r="AG23" s="282" t="str">
        <f t="shared" si="29"/>
        <v>sangat baik</v>
      </c>
      <c r="AH23" s="282" t="str">
        <f t="shared" si="10"/>
        <v>cukup</v>
      </c>
      <c r="AI23" s="282">
        <f t="shared" si="30"/>
        <v>4</v>
      </c>
      <c r="AJ23" s="283">
        <f t="shared" si="31"/>
        <v>2</v>
      </c>
      <c r="AK23" s="284" t="str">
        <f t="shared" si="32"/>
        <v>Memiliki kemampuan sangat baik dalam memahami strategi pemasaran produk kerajina dengan inspirasi, cukup kemampuan dalam KD pengetahuan 2 Prakarya dan Kewirausahaan</v>
      </c>
      <c r="AL23" s="276">
        <v>80</v>
      </c>
      <c r="AM23" s="277">
        <v>80</v>
      </c>
      <c r="AN23" s="277">
        <v>80</v>
      </c>
      <c r="AO23" s="277"/>
      <c r="AP23" s="277"/>
      <c r="AQ23" s="277"/>
      <c r="AR23" s="277"/>
      <c r="AS23" s="280"/>
      <c r="AT23" s="277"/>
      <c r="AU23" s="278"/>
      <c r="AV23" s="285">
        <f t="shared" si="33"/>
        <v>80</v>
      </c>
      <c r="AW23" s="296" t="str">
        <f t="shared" si="34"/>
        <v>C</v>
      </c>
      <c r="AX23" s="1220">
        <f t="shared" si="16"/>
        <v>80.010000000000005</v>
      </c>
      <c r="AY23" s="1221">
        <f t="shared" si="16"/>
        <v>80.02</v>
      </c>
      <c r="AZ23" s="1221">
        <f t="shared" si="16"/>
        <v>80.03</v>
      </c>
      <c r="BA23" s="1221" t="str">
        <f t="shared" si="16"/>
        <v/>
      </c>
      <c r="BB23" s="1221" t="str">
        <f t="shared" si="16"/>
        <v/>
      </c>
      <c r="BC23" s="1221" t="str">
        <f t="shared" si="16"/>
        <v/>
      </c>
      <c r="BD23" s="1221" t="str">
        <f t="shared" si="16"/>
        <v/>
      </c>
      <c r="BE23" s="1222" t="str">
        <f t="shared" si="16"/>
        <v/>
      </c>
      <c r="BF23" s="1221" t="str">
        <f t="shared" si="16"/>
        <v/>
      </c>
      <c r="BG23" s="1223" t="str">
        <f t="shared" si="16"/>
        <v/>
      </c>
      <c r="BH23" s="286">
        <f t="shared" si="35"/>
        <v>80.03</v>
      </c>
      <c r="BI23" s="286">
        <f t="shared" si="36"/>
        <v>80.010000000000005</v>
      </c>
      <c r="BJ23" s="287" t="str">
        <f t="shared" si="37"/>
        <v>cukup</v>
      </c>
      <c r="BK23" s="287" t="str">
        <f t="shared" si="37"/>
        <v>cukup</v>
      </c>
      <c r="BL23" s="286">
        <f t="shared" si="38"/>
        <v>3</v>
      </c>
      <c r="BM23" s="288">
        <f t="shared" si="39"/>
        <v>1</v>
      </c>
      <c r="BN23" s="289" t="str">
        <f t="shared" si="40"/>
        <v>Memiliki keterampilan cukup dalam menghitung biaya produksi (harga pokok produksi )kerajinan dan menyusun perencanaan usaha kerajinan dengan inspirasi artefak</v>
      </c>
      <c r="BO23" s="67"/>
    </row>
    <row r="24" spans="1:67" ht="33" customHeight="1">
      <c r="A24" s="67"/>
      <c r="B24" s="272">
        <f t="shared" si="23"/>
        <v>11</v>
      </c>
      <c r="C24" s="273">
        <f>IF(Data!F15="","",Data!F15)</f>
        <v>0</v>
      </c>
      <c r="D24" s="274" t="str">
        <f>IF(Data!H15="","",Data!H15)</f>
        <v>Dorkas Meliana Talita Kesnay</v>
      </c>
      <c r="E24" s="275" t="str">
        <f>IF(Data!I15="","",Data!I15)</f>
        <v>P</v>
      </c>
      <c r="F24" s="276">
        <v>90</v>
      </c>
      <c r="G24" s="277">
        <v>85</v>
      </c>
      <c r="H24" s="277">
        <v>80</v>
      </c>
      <c r="I24" s="277">
        <v>85</v>
      </c>
      <c r="J24" s="277"/>
      <c r="K24" s="277"/>
      <c r="L24" s="277"/>
      <c r="M24" s="280"/>
      <c r="N24" s="277"/>
      <c r="O24" s="278"/>
      <c r="P24" s="279">
        <f t="shared" si="24"/>
        <v>85</v>
      </c>
      <c r="Q24" s="277">
        <v>85</v>
      </c>
      <c r="R24" s="280">
        <v>86</v>
      </c>
      <c r="S24" s="281">
        <f t="shared" si="25"/>
        <v>85</v>
      </c>
      <c r="T24" s="295" t="str">
        <f t="shared" si="26"/>
        <v>B</v>
      </c>
      <c r="U24" s="1215">
        <f t="shared" si="7"/>
        <v>90.01</v>
      </c>
      <c r="V24" s="1216">
        <f t="shared" si="7"/>
        <v>85.02</v>
      </c>
      <c r="W24" s="1216">
        <f t="shared" si="7"/>
        <v>80.03</v>
      </c>
      <c r="X24" s="1216">
        <f t="shared" si="7"/>
        <v>85.04</v>
      </c>
      <c r="Y24" s="1216" t="str">
        <f t="shared" si="7"/>
        <v/>
      </c>
      <c r="Z24" s="1216" t="str">
        <f t="shared" si="7"/>
        <v/>
      </c>
      <c r="AA24" s="1216" t="str">
        <f t="shared" si="7"/>
        <v/>
      </c>
      <c r="AB24" s="1217" t="str">
        <f t="shared" si="7"/>
        <v/>
      </c>
      <c r="AC24" s="1216" t="str">
        <f t="shared" si="7"/>
        <v/>
      </c>
      <c r="AD24" s="1218" t="str">
        <f t="shared" si="7"/>
        <v/>
      </c>
      <c r="AE24" s="1219">
        <f t="shared" si="27"/>
        <v>90.01</v>
      </c>
      <c r="AF24" s="282">
        <f t="shared" si="28"/>
        <v>80.03</v>
      </c>
      <c r="AG24" s="282" t="str">
        <f t="shared" si="29"/>
        <v>baik</v>
      </c>
      <c r="AH24" s="282" t="str">
        <f t="shared" si="10"/>
        <v>cukup</v>
      </c>
      <c r="AI24" s="282">
        <f t="shared" si="30"/>
        <v>1</v>
      </c>
      <c r="AJ24" s="283">
        <f t="shared" si="31"/>
        <v>3</v>
      </c>
      <c r="AK24" s="284" t="str">
        <f t="shared" si="32"/>
        <v>Memiliki kemampuan baik dalam memahami perencanaan usaha kerajinan dengan inspirasi artefak, cukup kemampuan dalam memahami perhitungan biaya produksi berdasarkan daya dukung</v>
      </c>
      <c r="AL24" s="276">
        <v>80</v>
      </c>
      <c r="AM24" s="277">
        <v>80</v>
      </c>
      <c r="AN24" s="277">
        <v>80</v>
      </c>
      <c r="AO24" s="277"/>
      <c r="AP24" s="277"/>
      <c r="AQ24" s="277"/>
      <c r="AR24" s="277"/>
      <c r="AS24" s="280"/>
      <c r="AT24" s="277"/>
      <c r="AU24" s="278"/>
      <c r="AV24" s="285">
        <f t="shared" si="33"/>
        <v>80</v>
      </c>
      <c r="AW24" s="296" t="str">
        <f t="shared" si="34"/>
        <v>C</v>
      </c>
      <c r="AX24" s="1220">
        <f t="shared" si="16"/>
        <v>80.010000000000005</v>
      </c>
      <c r="AY24" s="1221">
        <f t="shared" si="16"/>
        <v>80.02</v>
      </c>
      <c r="AZ24" s="1221">
        <f t="shared" si="16"/>
        <v>80.03</v>
      </c>
      <c r="BA24" s="1221" t="str">
        <f t="shared" si="16"/>
        <v/>
      </c>
      <c r="BB24" s="1221" t="str">
        <f t="shared" si="16"/>
        <v/>
      </c>
      <c r="BC24" s="1221" t="str">
        <f t="shared" si="16"/>
        <v/>
      </c>
      <c r="BD24" s="1221" t="str">
        <f t="shared" si="16"/>
        <v/>
      </c>
      <c r="BE24" s="1222" t="str">
        <f t="shared" si="16"/>
        <v/>
      </c>
      <c r="BF24" s="1221" t="str">
        <f t="shared" si="16"/>
        <v/>
      </c>
      <c r="BG24" s="1223" t="str">
        <f t="shared" si="16"/>
        <v/>
      </c>
      <c r="BH24" s="286">
        <f t="shared" si="35"/>
        <v>80.03</v>
      </c>
      <c r="BI24" s="286">
        <f t="shared" si="36"/>
        <v>80.010000000000005</v>
      </c>
      <c r="BJ24" s="287" t="str">
        <f t="shared" si="37"/>
        <v>cukup</v>
      </c>
      <c r="BK24" s="287" t="str">
        <f t="shared" si="37"/>
        <v>cukup</v>
      </c>
      <c r="BL24" s="286">
        <f t="shared" si="38"/>
        <v>3</v>
      </c>
      <c r="BM24" s="288">
        <f t="shared" si="39"/>
        <v>1</v>
      </c>
      <c r="BN24" s="289" t="str">
        <f t="shared" si="40"/>
        <v>Memiliki keterampilan cukup dalam menghitung biaya produksi (harga pokok produksi )kerajinan dan menyusun perencanaan usaha kerajinan dengan inspirasi artefak</v>
      </c>
      <c r="BO24" s="67"/>
    </row>
    <row r="25" spans="1:67" ht="33" customHeight="1">
      <c r="A25" s="67"/>
      <c r="B25" s="272">
        <f t="shared" si="23"/>
        <v>12</v>
      </c>
      <c r="C25" s="273">
        <f>IF(Data!F16="","",Data!F16)</f>
        <v>0</v>
      </c>
      <c r="D25" s="274" t="str">
        <f>IF(Data!H16="","",Data!H16)</f>
        <v>Erto Seprianto Leukune</v>
      </c>
      <c r="E25" s="275" t="str">
        <f>IF(Data!I16="","",Data!I16)</f>
        <v>L</v>
      </c>
      <c r="F25" s="276">
        <v>90</v>
      </c>
      <c r="G25" s="277">
        <v>80</v>
      </c>
      <c r="H25" s="277">
        <v>80</v>
      </c>
      <c r="I25" s="277">
        <v>90</v>
      </c>
      <c r="J25" s="277"/>
      <c r="K25" s="277"/>
      <c r="L25" s="277"/>
      <c r="M25" s="280"/>
      <c r="N25" s="277"/>
      <c r="O25" s="278"/>
      <c r="P25" s="279">
        <f t="shared" si="24"/>
        <v>85</v>
      </c>
      <c r="Q25" s="277">
        <v>85</v>
      </c>
      <c r="R25" s="280">
        <v>82</v>
      </c>
      <c r="S25" s="281">
        <f t="shared" si="25"/>
        <v>84</v>
      </c>
      <c r="T25" s="295" t="str">
        <f t="shared" si="26"/>
        <v>C</v>
      </c>
      <c r="U25" s="1215">
        <f t="shared" si="7"/>
        <v>90.01</v>
      </c>
      <c r="V25" s="1216">
        <f t="shared" si="7"/>
        <v>80.02</v>
      </c>
      <c r="W25" s="1216">
        <f t="shared" si="7"/>
        <v>80.03</v>
      </c>
      <c r="X25" s="1216">
        <f t="shared" si="7"/>
        <v>90.04</v>
      </c>
      <c r="Y25" s="1216" t="str">
        <f t="shared" si="7"/>
        <v/>
      </c>
      <c r="Z25" s="1216" t="str">
        <f t="shared" si="7"/>
        <v/>
      </c>
      <c r="AA25" s="1216" t="str">
        <f t="shared" si="7"/>
        <v/>
      </c>
      <c r="AB25" s="1217" t="str">
        <f t="shared" si="7"/>
        <v/>
      </c>
      <c r="AC25" s="1216" t="str">
        <f t="shared" si="7"/>
        <v/>
      </c>
      <c r="AD25" s="1218" t="str">
        <f t="shared" si="7"/>
        <v/>
      </c>
      <c r="AE25" s="1219">
        <f t="shared" si="27"/>
        <v>90.04</v>
      </c>
      <c r="AF25" s="282">
        <f t="shared" si="28"/>
        <v>80.02</v>
      </c>
      <c r="AG25" s="282" t="str">
        <f t="shared" si="29"/>
        <v>baik</v>
      </c>
      <c r="AH25" s="282" t="str">
        <f t="shared" si="10"/>
        <v>cukup</v>
      </c>
      <c r="AI25" s="282">
        <f t="shared" si="30"/>
        <v>4</v>
      </c>
      <c r="AJ25" s="283">
        <f t="shared" si="31"/>
        <v>2</v>
      </c>
      <c r="AK25" s="284" t="str">
        <f t="shared" si="32"/>
        <v>Memiliki kemampuan baik dalam memahami strategi pemasaran produk kerajina dengan inspirasi, cukup kemampuan dalam KD pengetahuan 2 Prakarya dan Kewirausahaan</v>
      </c>
      <c r="AL25" s="276">
        <v>80</v>
      </c>
      <c r="AM25" s="277">
        <v>80</v>
      </c>
      <c r="AN25" s="277">
        <v>80</v>
      </c>
      <c r="AO25" s="277"/>
      <c r="AP25" s="277"/>
      <c r="AQ25" s="277"/>
      <c r="AR25" s="277"/>
      <c r="AS25" s="280"/>
      <c r="AT25" s="277"/>
      <c r="AU25" s="278"/>
      <c r="AV25" s="285">
        <f t="shared" si="33"/>
        <v>80</v>
      </c>
      <c r="AW25" s="296" t="str">
        <f t="shared" si="34"/>
        <v>C</v>
      </c>
      <c r="AX25" s="1220">
        <f t="shared" si="16"/>
        <v>80.010000000000005</v>
      </c>
      <c r="AY25" s="1221">
        <f t="shared" si="16"/>
        <v>80.02</v>
      </c>
      <c r="AZ25" s="1221">
        <f t="shared" si="16"/>
        <v>80.03</v>
      </c>
      <c r="BA25" s="1221" t="str">
        <f t="shared" si="16"/>
        <v/>
      </c>
      <c r="BB25" s="1221" t="str">
        <f t="shared" si="16"/>
        <v/>
      </c>
      <c r="BC25" s="1221" t="str">
        <f t="shared" si="16"/>
        <v/>
      </c>
      <c r="BD25" s="1221" t="str">
        <f t="shared" si="16"/>
        <v/>
      </c>
      <c r="BE25" s="1222" t="str">
        <f t="shared" si="16"/>
        <v/>
      </c>
      <c r="BF25" s="1221" t="str">
        <f t="shared" si="16"/>
        <v/>
      </c>
      <c r="BG25" s="1223" t="str">
        <f t="shared" si="16"/>
        <v/>
      </c>
      <c r="BH25" s="286">
        <f t="shared" si="35"/>
        <v>80.03</v>
      </c>
      <c r="BI25" s="286">
        <f t="shared" si="36"/>
        <v>80.010000000000005</v>
      </c>
      <c r="BJ25" s="287" t="str">
        <f t="shared" si="37"/>
        <v>cukup</v>
      </c>
      <c r="BK25" s="287" t="str">
        <f t="shared" si="37"/>
        <v>cukup</v>
      </c>
      <c r="BL25" s="286">
        <f t="shared" si="38"/>
        <v>3</v>
      </c>
      <c r="BM25" s="288">
        <f t="shared" si="39"/>
        <v>1</v>
      </c>
      <c r="BN25" s="289" t="str">
        <f t="shared" si="40"/>
        <v>Memiliki keterampilan cukup dalam menghitung biaya produksi (harga pokok produksi )kerajinan dan menyusun perencanaan usaha kerajinan dengan inspirasi artefak</v>
      </c>
      <c r="BO25" s="67"/>
    </row>
    <row r="26" spans="1:67" ht="33" customHeight="1">
      <c r="A26" s="67"/>
      <c r="B26" s="272">
        <f t="shared" si="23"/>
        <v>13</v>
      </c>
      <c r="C26" s="273">
        <f>IF(Data!F17="","",Data!F17)</f>
        <v>0</v>
      </c>
      <c r="D26" s="274" t="str">
        <f>IF(Data!H17="","",Data!H17)</f>
        <v>Feli Tipnoni</v>
      </c>
      <c r="E26" s="275" t="str">
        <f>IF(Data!I17="","",Data!I17)</f>
        <v>P</v>
      </c>
      <c r="F26" s="276">
        <v>90</v>
      </c>
      <c r="G26" s="277">
        <v>85</v>
      </c>
      <c r="H26" s="277">
        <v>80</v>
      </c>
      <c r="I26" s="277">
        <v>100</v>
      </c>
      <c r="J26" s="277"/>
      <c r="K26" s="277"/>
      <c r="L26" s="277"/>
      <c r="M26" s="280"/>
      <c r="N26" s="277"/>
      <c r="O26" s="278"/>
      <c r="P26" s="279">
        <f t="shared" si="24"/>
        <v>89</v>
      </c>
      <c r="Q26" s="277">
        <v>90</v>
      </c>
      <c r="R26" s="280">
        <v>84</v>
      </c>
      <c r="S26" s="281">
        <f t="shared" si="25"/>
        <v>88</v>
      </c>
      <c r="T26" s="295" t="str">
        <f t="shared" si="26"/>
        <v>B</v>
      </c>
      <c r="U26" s="1215">
        <f t="shared" si="7"/>
        <v>90.01</v>
      </c>
      <c r="V26" s="1216">
        <f t="shared" si="7"/>
        <v>85.02</v>
      </c>
      <c r="W26" s="1216">
        <f t="shared" si="7"/>
        <v>80.03</v>
      </c>
      <c r="X26" s="1216">
        <f t="shared" si="7"/>
        <v>100.04</v>
      </c>
      <c r="Y26" s="1216" t="str">
        <f t="shared" si="7"/>
        <v/>
      </c>
      <c r="Z26" s="1216" t="str">
        <f t="shared" si="7"/>
        <v/>
      </c>
      <c r="AA26" s="1216" t="str">
        <f t="shared" si="7"/>
        <v/>
      </c>
      <c r="AB26" s="1217" t="str">
        <f t="shared" si="7"/>
        <v/>
      </c>
      <c r="AC26" s="1216" t="str">
        <f t="shared" si="7"/>
        <v/>
      </c>
      <c r="AD26" s="1218" t="str">
        <f t="shared" si="7"/>
        <v/>
      </c>
      <c r="AE26" s="1219">
        <f t="shared" si="27"/>
        <v>100.04</v>
      </c>
      <c r="AF26" s="282">
        <f t="shared" si="28"/>
        <v>80.03</v>
      </c>
      <c r="AG26" s="282" t="str">
        <f t="shared" si="29"/>
        <v>sangat baik</v>
      </c>
      <c r="AH26" s="282" t="str">
        <f t="shared" si="10"/>
        <v>cukup</v>
      </c>
      <c r="AI26" s="282">
        <f t="shared" si="30"/>
        <v>4</v>
      </c>
      <c r="AJ26" s="283">
        <f t="shared" si="31"/>
        <v>3</v>
      </c>
      <c r="AK26" s="284" t="str">
        <f t="shared" si="32"/>
        <v>Memiliki kemampuan sangat baik dalam memahami strategi pemasaran produk kerajina dengan inspirasi, cukup kemampuan dalam memahami perhitungan biaya produksi berdasarkan daya dukung</v>
      </c>
      <c r="AL26" s="276">
        <v>80</v>
      </c>
      <c r="AM26" s="277">
        <v>80</v>
      </c>
      <c r="AN26" s="277">
        <v>80</v>
      </c>
      <c r="AO26" s="277"/>
      <c r="AP26" s="277"/>
      <c r="AQ26" s="277"/>
      <c r="AR26" s="277"/>
      <c r="AS26" s="280"/>
      <c r="AT26" s="277"/>
      <c r="AU26" s="278"/>
      <c r="AV26" s="285">
        <f t="shared" si="33"/>
        <v>80</v>
      </c>
      <c r="AW26" s="296" t="str">
        <f t="shared" si="34"/>
        <v>C</v>
      </c>
      <c r="AX26" s="1220">
        <f t="shared" si="16"/>
        <v>80.010000000000005</v>
      </c>
      <c r="AY26" s="1221">
        <f t="shared" si="16"/>
        <v>80.02</v>
      </c>
      <c r="AZ26" s="1221">
        <f t="shared" si="16"/>
        <v>80.03</v>
      </c>
      <c r="BA26" s="1221" t="str">
        <f t="shared" si="16"/>
        <v/>
      </c>
      <c r="BB26" s="1221" t="str">
        <f t="shared" si="16"/>
        <v/>
      </c>
      <c r="BC26" s="1221" t="str">
        <f t="shared" si="16"/>
        <v/>
      </c>
      <c r="BD26" s="1221" t="str">
        <f t="shared" si="16"/>
        <v/>
      </c>
      <c r="BE26" s="1222" t="str">
        <f t="shared" si="16"/>
        <v/>
      </c>
      <c r="BF26" s="1221" t="str">
        <f t="shared" si="16"/>
        <v/>
      </c>
      <c r="BG26" s="1223" t="str">
        <f t="shared" si="16"/>
        <v/>
      </c>
      <c r="BH26" s="286">
        <f t="shared" si="35"/>
        <v>80.03</v>
      </c>
      <c r="BI26" s="286">
        <f t="shared" si="36"/>
        <v>80.010000000000005</v>
      </c>
      <c r="BJ26" s="287" t="str">
        <f t="shared" si="37"/>
        <v>cukup</v>
      </c>
      <c r="BK26" s="287" t="str">
        <f t="shared" si="37"/>
        <v>cukup</v>
      </c>
      <c r="BL26" s="286">
        <f t="shared" si="38"/>
        <v>3</v>
      </c>
      <c r="BM26" s="288">
        <f t="shared" si="39"/>
        <v>1</v>
      </c>
      <c r="BN26" s="289" t="str">
        <f t="shared" si="40"/>
        <v>Memiliki keterampilan cukup dalam menghitung biaya produksi (harga pokok produksi )kerajinan dan menyusun perencanaan usaha kerajinan dengan inspirasi artefak</v>
      </c>
      <c r="BO26" s="67"/>
    </row>
    <row r="27" spans="1:67" ht="33" customHeight="1">
      <c r="A27" s="67"/>
      <c r="B27" s="272">
        <f t="shared" si="23"/>
        <v>14</v>
      </c>
      <c r="C27" s="273">
        <f>IF(Data!F18="","",Data!F18)</f>
        <v>0</v>
      </c>
      <c r="D27" s="274" t="str">
        <f>IF(Data!H18="","",Data!H18)</f>
        <v xml:space="preserve">Ferdinandes Sakbana </v>
      </c>
      <c r="E27" s="275" t="str">
        <f>IF(Data!I18="","",Data!I18)</f>
        <v>L</v>
      </c>
      <c r="F27" s="276">
        <v>90</v>
      </c>
      <c r="G27" s="277">
        <v>80</v>
      </c>
      <c r="H27" s="277">
        <v>80</v>
      </c>
      <c r="I27" s="277">
        <v>100</v>
      </c>
      <c r="J27" s="277"/>
      <c r="K27" s="277"/>
      <c r="L27" s="277"/>
      <c r="M27" s="280"/>
      <c r="N27" s="277"/>
      <c r="O27" s="278"/>
      <c r="P27" s="279">
        <f t="shared" si="24"/>
        <v>88</v>
      </c>
      <c r="Q27" s="277">
        <v>90</v>
      </c>
      <c r="R27" s="280">
        <v>84</v>
      </c>
      <c r="S27" s="281">
        <f t="shared" si="25"/>
        <v>88</v>
      </c>
      <c r="T27" s="295" t="str">
        <f t="shared" si="26"/>
        <v>B</v>
      </c>
      <c r="U27" s="1215">
        <f t="shared" si="7"/>
        <v>90.01</v>
      </c>
      <c r="V27" s="1216">
        <f t="shared" si="7"/>
        <v>80.02</v>
      </c>
      <c r="W27" s="1216">
        <f t="shared" si="7"/>
        <v>80.03</v>
      </c>
      <c r="X27" s="1216">
        <f t="shared" si="7"/>
        <v>100.04</v>
      </c>
      <c r="Y27" s="1216" t="str">
        <f t="shared" si="7"/>
        <v/>
      </c>
      <c r="Z27" s="1216" t="str">
        <f t="shared" si="7"/>
        <v/>
      </c>
      <c r="AA27" s="1216" t="str">
        <f t="shared" si="7"/>
        <v/>
      </c>
      <c r="AB27" s="1217" t="str">
        <f t="shared" si="7"/>
        <v/>
      </c>
      <c r="AC27" s="1216" t="str">
        <f t="shared" si="7"/>
        <v/>
      </c>
      <c r="AD27" s="1218" t="str">
        <f t="shared" si="7"/>
        <v/>
      </c>
      <c r="AE27" s="1219">
        <f t="shared" si="27"/>
        <v>100.04</v>
      </c>
      <c r="AF27" s="282">
        <f t="shared" si="28"/>
        <v>80.02</v>
      </c>
      <c r="AG27" s="282" t="str">
        <f t="shared" si="29"/>
        <v>sangat baik</v>
      </c>
      <c r="AH27" s="282" t="str">
        <f t="shared" si="10"/>
        <v>cukup</v>
      </c>
      <c r="AI27" s="282">
        <f t="shared" si="30"/>
        <v>4</v>
      </c>
      <c r="AJ27" s="283">
        <f t="shared" si="31"/>
        <v>2</v>
      </c>
      <c r="AK27" s="284" t="str">
        <f t="shared" si="32"/>
        <v>Memiliki kemampuan sangat baik dalam memahami strategi pemasaran produk kerajina dengan inspirasi, cukup kemampuan dalam KD pengetahuan 2 Prakarya dan Kewirausahaan</v>
      </c>
      <c r="AL27" s="276">
        <v>90</v>
      </c>
      <c r="AM27" s="277">
        <v>90</v>
      </c>
      <c r="AN27" s="277">
        <v>90</v>
      </c>
      <c r="AO27" s="277"/>
      <c r="AP27" s="277"/>
      <c r="AQ27" s="277"/>
      <c r="AR27" s="277"/>
      <c r="AS27" s="280"/>
      <c r="AT27" s="277"/>
      <c r="AU27" s="278"/>
      <c r="AV27" s="285">
        <f t="shared" si="33"/>
        <v>90</v>
      </c>
      <c r="AW27" s="296" t="str">
        <f t="shared" si="34"/>
        <v>B</v>
      </c>
      <c r="AX27" s="1220">
        <f t="shared" si="16"/>
        <v>90.01</v>
      </c>
      <c r="AY27" s="1221">
        <f t="shared" si="16"/>
        <v>90.02</v>
      </c>
      <c r="AZ27" s="1221">
        <f t="shared" si="16"/>
        <v>90.03</v>
      </c>
      <c r="BA27" s="1221" t="str">
        <f t="shared" si="16"/>
        <v/>
      </c>
      <c r="BB27" s="1221" t="str">
        <f t="shared" si="16"/>
        <v/>
      </c>
      <c r="BC27" s="1221" t="str">
        <f t="shared" si="16"/>
        <v/>
      </c>
      <c r="BD27" s="1221" t="str">
        <f t="shared" si="16"/>
        <v/>
      </c>
      <c r="BE27" s="1222" t="str">
        <f t="shared" si="16"/>
        <v/>
      </c>
      <c r="BF27" s="1221" t="str">
        <f t="shared" si="16"/>
        <v/>
      </c>
      <c r="BG27" s="1223" t="str">
        <f t="shared" si="16"/>
        <v/>
      </c>
      <c r="BH27" s="286">
        <f t="shared" si="35"/>
        <v>90.03</v>
      </c>
      <c r="BI27" s="286">
        <f t="shared" si="36"/>
        <v>90.01</v>
      </c>
      <c r="BJ27" s="287" t="str">
        <f t="shared" si="37"/>
        <v>baik</v>
      </c>
      <c r="BK27" s="287" t="str">
        <f t="shared" si="37"/>
        <v>baik</v>
      </c>
      <c r="BL27" s="286">
        <f t="shared" si="38"/>
        <v>3</v>
      </c>
      <c r="BM27" s="288">
        <f t="shared" si="39"/>
        <v>1</v>
      </c>
      <c r="BN27" s="289" t="str">
        <f t="shared" si="40"/>
        <v>Memiliki keterampilan baik dalam menghitung biaya produksi (harga pokok produksi )kerajinan dan menyusun perencanaan usaha kerajinan dengan inspirasi artefak</v>
      </c>
      <c r="BO27" s="67"/>
    </row>
    <row r="28" spans="1:67" ht="33" customHeight="1">
      <c r="A28" s="67"/>
      <c r="B28" s="272">
        <f t="shared" si="23"/>
        <v>15</v>
      </c>
      <c r="C28" s="273">
        <f>IF(Data!F19="","",Data!F19)</f>
        <v>0</v>
      </c>
      <c r="D28" s="274" t="str">
        <f>IF(Data!H19="","",Data!H19)</f>
        <v>Fitri Novani Nitbani</v>
      </c>
      <c r="E28" s="275" t="str">
        <f>IF(Data!I19="","",Data!I19)</f>
        <v>P</v>
      </c>
      <c r="F28" s="276">
        <v>90</v>
      </c>
      <c r="G28" s="277">
        <v>85</v>
      </c>
      <c r="H28" s="277">
        <v>80</v>
      </c>
      <c r="I28" s="277">
        <v>85</v>
      </c>
      <c r="J28" s="277"/>
      <c r="K28" s="277"/>
      <c r="L28" s="277"/>
      <c r="M28" s="280"/>
      <c r="N28" s="277"/>
      <c r="O28" s="278"/>
      <c r="P28" s="279">
        <f t="shared" si="24"/>
        <v>85</v>
      </c>
      <c r="Q28" s="277">
        <v>90</v>
      </c>
      <c r="R28" s="280">
        <v>84</v>
      </c>
      <c r="S28" s="281">
        <f t="shared" si="25"/>
        <v>86</v>
      </c>
      <c r="T28" s="295" t="str">
        <f t="shared" si="26"/>
        <v>B</v>
      </c>
      <c r="U28" s="1215">
        <f t="shared" si="7"/>
        <v>90.01</v>
      </c>
      <c r="V28" s="1216">
        <f t="shared" si="7"/>
        <v>85.02</v>
      </c>
      <c r="W28" s="1216">
        <f t="shared" si="7"/>
        <v>80.03</v>
      </c>
      <c r="X28" s="1216">
        <f t="shared" si="7"/>
        <v>85.04</v>
      </c>
      <c r="Y28" s="1216" t="str">
        <f t="shared" si="7"/>
        <v/>
      </c>
      <c r="Z28" s="1216" t="str">
        <f t="shared" si="7"/>
        <v/>
      </c>
      <c r="AA28" s="1216" t="str">
        <f t="shared" si="7"/>
        <v/>
      </c>
      <c r="AB28" s="1217" t="str">
        <f t="shared" si="7"/>
        <v/>
      </c>
      <c r="AC28" s="1216" t="str">
        <f t="shared" si="7"/>
        <v/>
      </c>
      <c r="AD28" s="1218" t="str">
        <f t="shared" si="7"/>
        <v/>
      </c>
      <c r="AE28" s="1219">
        <f t="shared" si="27"/>
        <v>90.01</v>
      </c>
      <c r="AF28" s="282">
        <f t="shared" si="28"/>
        <v>80.03</v>
      </c>
      <c r="AG28" s="282" t="str">
        <f t="shared" si="29"/>
        <v>baik</v>
      </c>
      <c r="AH28" s="282" t="str">
        <f t="shared" si="10"/>
        <v>cukup</v>
      </c>
      <c r="AI28" s="282">
        <f t="shared" si="30"/>
        <v>1</v>
      </c>
      <c r="AJ28" s="283">
        <f t="shared" si="31"/>
        <v>3</v>
      </c>
      <c r="AK28" s="284" t="str">
        <f t="shared" si="32"/>
        <v>Memiliki kemampuan baik dalam memahami perencanaan usaha kerajinan dengan inspirasi artefak, cukup kemampuan dalam memahami perhitungan biaya produksi berdasarkan daya dukung</v>
      </c>
      <c r="AL28" s="276">
        <v>90</v>
      </c>
      <c r="AM28" s="277">
        <v>90</v>
      </c>
      <c r="AN28" s="277">
        <v>90</v>
      </c>
      <c r="AO28" s="277"/>
      <c r="AP28" s="277"/>
      <c r="AQ28" s="277"/>
      <c r="AR28" s="277"/>
      <c r="AS28" s="280"/>
      <c r="AT28" s="277"/>
      <c r="AU28" s="278"/>
      <c r="AV28" s="285">
        <f t="shared" si="33"/>
        <v>90</v>
      </c>
      <c r="AW28" s="296" t="str">
        <f t="shared" si="34"/>
        <v>B</v>
      </c>
      <c r="AX28" s="1220">
        <f t="shared" si="16"/>
        <v>90.01</v>
      </c>
      <c r="AY28" s="1221">
        <f t="shared" si="16"/>
        <v>90.02</v>
      </c>
      <c r="AZ28" s="1221">
        <f t="shared" si="16"/>
        <v>90.03</v>
      </c>
      <c r="BA28" s="1221" t="str">
        <f t="shared" si="16"/>
        <v/>
      </c>
      <c r="BB28" s="1221" t="str">
        <f t="shared" si="16"/>
        <v/>
      </c>
      <c r="BC28" s="1221" t="str">
        <f t="shared" si="16"/>
        <v/>
      </c>
      <c r="BD28" s="1221" t="str">
        <f t="shared" si="16"/>
        <v/>
      </c>
      <c r="BE28" s="1222" t="str">
        <f t="shared" si="16"/>
        <v/>
      </c>
      <c r="BF28" s="1221" t="str">
        <f t="shared" si="16"/>
        <v/>
      </c>
      <c r="BG28" s="1223" t="str">
        <f t="shared" si="16"/>
        <v/>
      </c>
      <c r="BH28" s="286">
        <f t="shared" si="35"/>
        <v>90.03</v>
      </c>
      <c r="BI28" s="286">
        <f t="shared" si="36"/>
        <v>90.01</v>
      </c>
      <c r="BJ28" s="287" t="str">
        <f t="shared" si="37"/>
        <v>baik</v>
      </c>
      <c r="BK28" s="287" t="str">
        <f t="shared" si="37"/>
        <v>baik</v>
      </c>
      <c r="BL28" s="286">
        <f t="shared" si="38"/>
        <v>3</v>
      </c>
      <c r="BM28" s="288">
        <f t="shared" si="39"/>
        <v>1</v>
      </c>
      <c r="BN28" s="289" t="str">
        <f t="shared" si="40"/>
        <v>Memiliki keterampilan baik dalam menghitung biaya produksi (harga pokok produksi )kerajinan dan menyusun perencanaan usaha kerajinan dengan inspirasi artefak</v>
      </c>
      <c r="BO28" s="67"/>
    </row>
    <row r="29" spans="1:67" ht="33" customHeight="1">
      <c r="A29" s="67"/>
      <c r="B29" s="272">
        <f t="shared" si="23"/>
        <v>16</v>
      </c>
      <c r="C29" s="273">
        <f>IF(Data!F20="","",Data!F20)</f>
        <v>0</v>
      </c>
      <c r="D29" s="274" t="str">
        <f>IF(Data!H20="","",Data!H20)</f>
        <v>Helsina Benu</v>
      </c>
      <c r="E29" s="275" t="str">
        <f>IF(Data!I20="","",Data!I20)</f>
        <v>P</v>
      </c>
      <c r="F29" s="276">
        <v>90</v>
      </c>
      <c r="G29" s="277">
        <v>95</v>
      </c>
      <c r="H29" s="277">
        <v>80</v>
      </c>
      <c r="I29" s="277">
        <v>95</v>
      </c>
      <c r="J29" s="277"/>
      <c r="K29" s="277"/>
      <c r="L29" s="277"/>
      <c r="M29" s="280"/>
      <c r="N29" s="277"/>
      <c r="O29" s="278"/>
      <c r="P29" s="279">
        <f t="shared" si="24"/>
        <v>90</v>
      </c>
      <c r="Q29" s="277">
        <v>90</v>
      </c>
      <c r="R29" s="280">
        <v>86</v>
      </c>
      <c r="S29" s="281">
        <f t="shared" si="25"/>
        <v>89</v>
      </c>
      <c r="T29" s="295" t="str">
        <f t="shared" si="26"/>
        <v>B</v>
      </c>
      <c r="U29" s="1215">
        <f t="shared" si="7"/>
        <v>90.01</v>
      </c>
      <c r="V29" s="1216">
        <f t="shared" si="7"/>
        <v>95.02</v>
      </c>
      <c r="W29" s="1216">
        <f t="shared" si="7"/>
        <v>80.03</v>
      </c>
      <c r="X29" s="1216">
        <f t="shared" si="7"/>
        <v>95.04</v>
      </c>
      <c r="Y29" s="1216" t="str">
        <f t="shared" si="7"/>
        <v/>
      </c>
      <c r="Z29" s="1216" t="str">
        <f t="shared" si="7"/>
        <v/>
      </c>
      <c r="AA29" s="1216" t="str">
        <f t="shared" si="7"/>
        <v/>
      </c>
      <c r="AB29" s="1217" t="str">
        <f t="shared" si="7"/>
        <v/>
      </c>
      <c r="AC29" s="1216" t="str">
        <f t="shared" si="7"/>
        <v/>
      </c>
      <c r="AD29" s="1218" t="str">
        <f t="shared" si="7"/>
        <v/>
      </c>
      <c r="AE29" s="1219">
        <f t="shared" si="27"/>
        <v>95.04</v>
      </c>
      <c r="AF29" s="282">
        <f t="shared" si="28"/>
        <v>80.03</v>
      </c>
      <c r="AG29" s="282" t="str">
        <f t="shared" si="29"/>
        <v>sangat baik</v>
      </c>
      <c r="AH29" s="282" t="str">
        <f t="shared" si="10"/>
        <v>cukup</v>
      </c>
      <c r="AI29" s="282">
        <f t="shared" si="30"/>
        <v>4</v>
      </c>
      <c r="AJ29" s="283">
        <f t="shared" si="31"/>
        <v>3</v>
      </c>
      <c r="AK29" s="284" t="str">
        <f t="shared" si="32"/>
        <v>Memiliki kemampuan sangat baik dalam memahami strategi pemasaran produk kerajina dengan inspirasi, cukup kemampuan dalam memahami perhitungan biaya produksi berdasarkan daya dukung</v>
      </c>
      <c r="AL29" s="276">
        <v>90</v>
      </c>
      <c r="AM29" s="277">
        <v>90</v>
      </c>
      <c r="AN29" s="277">
        <v>90</v>
      </c>
      <c r="AO29" s="277"/>
      <c r="AP29" s="277"/>
      <c r="AQ29" s="277"/>
      <c r="AR29" s="277"/>
      <c r="AS29" s="280"/>
      <c r="AT29" s="277"/>
      <c r="AU29" s="278"/>
      <c r="AV29" s="285">
        <f t="shared" si="33"/>
        <v>90</v>
      </c>
      <c r="AW29" s="296" t="str">
        <f t="shared" si="34"/>
        <v>B</v>
      </c>
      <c r="AX29" s="1220">
        <f t="shared" si="16"/>
        <v>90.01</v>
      </c>
      <c r="AY29" s="1221">
        <f t="shared" si="16"/>
        <v>90.02</v>
      </c>
      <c r="AZ29" s="1221">
        <f t="shared" si="16"/>
        <v>90.03</v>
      </c>
      <c r="BA29" s="1221" t="str">
        <f t="shared" si="16"/>
        <v/>
      </c>
      <c r="BB29" s="1221" t="str">
        <f t="shared" si="16"/>
        <v/>
      </c>
      <c r="BC29" s="1221" t="str">
        <f t="shared" si="16"/>
        <v/>
      </c>
      <c r="BD29" s="1221" t="str">
        <f t="shared" si="16"/>
        <v/>
      </c>
      <c r="BE29" s="1222" t="str">
        <f t="shared" si="16"/>
        <v/>
      </c>
      <c r="BF29" s="1221" t="str">
        <f t="shared" si="16"/>
        <v/>
      </c>
      <c r="BG29" s="1223" t="str">
        <f t="shared" si="16"/>
        <v/>
      </c>
      <c r="BH29" s="286">
        <f t="shared" si="35"/>
        <v>90.03</v>
      </c>
      <c r="BI29" s="286">
        <f t="shared" si="36"/>
        <v>90.01</v>
      </c>
      <c r="BJ29" s="287" t="str">
        <f t="shared" si="37"/>
        <v>baik</v>
      </c>
      <c r="BK29" s="287" t="str">
        <f t="shared" si="37"/>
        <v>baik</v>
      </c>
      <c r="BL29" s="286">
        <f t="shared" si="38"/>
        <v>3</v>
      </c>
      <c r="BM29" s="288">
        <f t="shared" si="39"/>
        <v>1</v>
      </c>
      <c r="BN29" s="289" t="str">
        <f t="shared" si="40"/>
        <v>Memiliki keterampilan baik dalam menghitung biaya produksi (harga pokok produksi )kerajinan dan menyusun perencanaan usaha kerajinan dengan inspirasi artefak</v>
      </c>
      <c r="BO29" s="67"/>
    </row>
    <row r="30" spans="1:67" ht="33" customHeight="1">
      <c r="A30" s="67"/>
      <c r="B30" s="272">
        <f t="shared" si="23"/>
        <v>17</v>
      </c>
      <c r="C30" s="273">
        <f>IF(Data!F21="","",Data!F21)</f>
        <v>0</v>
      </c>
      <c r="D30" s="274" t="str">
        <f>IF(Data!H21="","",Data!H21)</f>
        <v xml:space="preserve">Hezron Nubatonis </v>
      </c>
      <c r="E30" s="275" t="str">
        <f>IF(Data!I21="","",Data!I21)</f>
        <v>L</v>
      </c>
      <c r="F30" s="276">
        <v>79</v>
      </c>
      <c r="G30" s="277">
        <v>79</v>
      </c>
      <c r="H30" s="277">
        <v>79</v>
      </c>
      <c r="I30" s="277">
        <v>90</v>
      </c>
      <c r="J30" s="277"/>
      <c r="K30" s="277"/>
      <c r="L30" s="277"/>
      <c r="M30" s="280"/>
      <c r="N30" s="277"/>
      <c r="O30" s="278"/>
      <c r="P30" s="279">
        <f t="shared" si="24"/>
        <v>82</v>
      </c>
      <c r="Q30" s="277">
        <v>80</v>
      </c>
      <c r="R30" s="280">
        <v>80</v>
      </c>
      <c r="S30" s="281">
        <f t="shared" si="25"/>
        <v>81</v>
      </c>
      <c r="T30" s="295" t="str">
        <f t="shared" si="26"/>
        <v>C</v>
      </c>
      <c r="U30" s="1215">
        <f t="shared" ref="U30:AD55" si="41">IF(F30="","",F30+U$13)</f>
        <v>79.010000000000005</v>
      </c>
      <c r="V30" s="1216">
        <f t="shared" si="41"/>
        <v>79.02</v>
      </c>
      <c r="W30" s="1216">
        <f t="shared" si="41"/>
        <v>79.03</v>
      </c>
      <c r="X30" s="1216">
        <f t="shared" si="41"/>
        <v>90.04</v>
      </c>
      <c r="Y30" s="1216" t="str">
        <f t="shared" si="41"/>
        <v/>
      </c>
      <c r="Z30" s="1216" t="str">
        <f t="shared" si="41"/>
        <v/>
      </c>
      <c r="AA30" s="1216" t="str">
        <f t="shared" si="41"/>
        <v/>
      </c>
      <c r="AB30" s="1217" t="str">
        <f t="shared" si="41"/>
        <v/>
      </c>
      <c r="AC30" s="1216" t="str">
        <f t="shared" si="41"/>
        <v/>
      </c>
      <c r="AD30" s="1218" t="str">
        <f t="shared" si="41"/>
        <v/>
      </c>
      <c r="AE30" s="1219">
        <f t="shared" si="27"/>
        <v>90.04</v>
      </c>
      <c r="AF30" s="282">
        <f t="shared" si="28"/>
        <v>79.010000000000005</v>
      </c>
      <c r="AG30" s="282" t="str">
        <f t="shared" si="29"/>
        <v>baik</v>
      </c>
      <c r="AH30" s="282" t="str">
        <f t="shared" si="29"/>
        <v>cukup</v>
      </c>
      <c r="AI30" s="282">
        <f t="shared" si="30"/>
        <v>4</v>
      </c>
      <c r="AJ30" s="283">
        <f t="shared" si="31"/>
        <v>1</v>
      </c>
      <c r="AK30" s="284" t="str">
        <f t="shared" si="32"/>
        <v>Memiliki kemampuan baik dalam memahami strategi pemasaran produk kerajina dengan inspirasi, cukup kemampuan dalam memahami perencanaan usaha kerajinan dengan inspirasi artefak</v>
      </c>
      <c r="AL30" s="276">
        <v>80</v>
      </c>
      <c r="AM30" s="277">
        <v>80</v>
      </c>
      <c r="AN30" s="277">
        <v>80</v>
      </c>
      <c r="AO30" s="277"/>
      <c r="AP30" s="277"/>
      <c r="AQ30" s="277"/>
      <c r="AR30" s="277"/>
      <c r="AS30" s="280"/>
      <c r="AT30" s="277"/>
      <c r="AU30" s="278"/>
      <c r="AV30" s="285">
        <f t="shared" si="33"/>
        <v>80</v>
      </c>
      <c r="AW30" s="296" t="str">
        <f t="shared" si="34"/>
        <v>C</v>
      </c>
      <c r="AX30" s="1220">
        <f t="shared" ref="AX30:BG55" si="42">IF(AL30="","",AL30+AX$12)</f>
        <v>80.010000000000005</v>
      </c>
      <c r="AY30" s="1221">
        <f t="shared" si="42"/>
        <v>80.02</v>
      </c>
      <c r="AZ30" s="1221">
        <f t="shared" si="42"/>
        <v>80.03</v>
      </c>
      <c r="BA30" s="1221" t="str">
        <f t="shared" si="42"/>
        <v/>
      </c>
      <c r="BB30" s="1221" t="str">
        <f t="shared" si="42"/>
        <v/>
      </c>
      <c r="BC30" s="1221" t="str">
        <f t="shared" si="42"/>
        <v/>
      </c>
      <c r="BD30" s="1221" t="str">
        <f t="shared" si="42"/>
        <v/>
      </c>
      <c r="BE30" s="1222" t="str">
        <f t="shared" si="42"/>
        <v/>
      </c>
      <c r="BF30" s="1221" t="str">
        <f t="shared" si="42"/>
        <v/>
      </c>
      <c r="BG30" s="1223" t="str">
        <f t="shared" si="42"/>
        <v/>
      </c>
      <c r="BH30" s="286">
        <f t="shared" si="35"/>
        <v>80.03</v>
      </c>
      <c r="BI30" s="286">
        <f t="shared" si="36"/>
        <v>80.010000000000005</v>
      </c>
      <c r="BJ30" s="287" t="str">
        <f t="shared" si="37"/>
        <v>cukup</v>
      </c>
      <c r="BK30" s="287" t="str">
        <f t="shared" si="37"/>
        <v>cukup</v>
      </c>
      <c r="BL30" s="286">
        <f t="shared" si="38"/>
        <v>3</v>
      </c>
      <c r="BM30" s="288">
        <f t="shared" si="39"/>
        <v>1</v>
      </c>
      <c r="BN30" s="289" t="str">
        <f t="shared" si="40"/>
        <v>Memiliki keterampilan cukup dalam menghitung biaya produksi (harga pokok produksi )kerajinan dan menyusun perencanaan usaha kerajinan dengan inspirasi artefak</v>
      </c>
      <c r="BO30" s="67"/>
    </row>
    <row r="31" spans="1:67" ht="33" customHeight="1">
      <c r="A31" s="67"/>
      <c r="B31" s="272">
        <f t="shared" si="23"/>
        <v>18</v>
      </c>
      <c r="C31" s="273">
        <f>IF(Data!F22="","",Data!F22)</f>
        <v>0</v>
      </c>
      <c r="D31" s="274" t="str">
        <f>IF(Data!H22="","",Data!H22)</f>
        <v>Jelita Anita Boimau</v>
      </c>
      <c r="E31" s="275" t="str">
        <f>IF(Data!I22="","",Data!I22)</f>
        <v>P</v>
      </c>
      <c r="F31" s="276">
        <v>90</v>
      </c>
      <c r="G31" s="277">
        <v>85</v>
      </c>
      <c r="H31" s="277">
        <v>80</v>
      </c>
      <c r="I31" s="277">
        <v>100</v>
      </c>
      <c r="J31" s="277"/>
      <c r="K31" s="277"/>
      <c r="L31" s="277"/>
      <c r="M31" s="280"/>
      <c r="N31" s="277"/>
      <c r="O31" s="278"/>
      <c r="P31" s="279">
        <f t="shared" si="24"/>
        <v>89</v>
      </c>
      <c r="Q31" s="277">
        <v>90</v>
      </c>
      <c r="R31" s="280">
        <v>86</v>
      </c>
      <c r="S31" s="281">
        <f t="shared" si="25"/>
        <v>89</v>
      </c>
      <c r="T31" s="295" t="str">
        <f t="shared" si="26"/>
        <v>B</v>
      </c>
      <c r="U31" s="1215">
        <f t="shared" si="41"/>
        <v>90.01</v>
      </c>
      <c r="V31" s="1216">
        <f t="shared" si="41"/>
        <v>85.02</v>
      </c>
      <c r="W31" s="1216">
        <f t="shared" si="41"/>
        <v>80.03</v>
      </c>
      <c r="X31" s="1216">
        <f t="shared" si="41"/>
        <v>100.04</v>
      </c>
      <c r="Y31" s="1216" t="str">
        <f t="shared" si="41"/>
        <v/>
      </c>
      <c r="Z31" s="1216" t="str">
        <f t="shared" si="41"/>
        <v/>
      </c>
      <c r="AA31" s="1216" t="str">
        <f t="shared" si="41"/>
        <v/>
      </c>
      <c r="AB31" s="1217" t="str">
        <f t="shared" si="41"/>
        <v/>
      </c>
      <c r="AC31" s="1216" t="str">
        <f t="shared" si="41"/>
        <v/>
      </c>
      <c r="AD31" s="1218" t="str">
        <f t="shared" si="41"/>
        <v/>
      </c>
      <c r="AE31" s="1219">
        <f t="shared" si="27"/>
        <v>100.04</v>
      </c>
      <c r="AF31" s="282">
        <f t="shared" si="28"/>
        <v>80.03</v>
      </c>
      <c r="AG31" s="282" t="str">
        <f t="shared" si="29"/>
        <v>sangat baik</v>
      </c>
      <c r="AH31" s="282" t="str">
        <f t="shared" si="29"/>
        <v>cukup</v>
      </c>
      <c r="AI31" s="282">
        <f t="shared" si="30"/>
        <v>4</v>
      </c>
      <c r="AJ31" s="283">
        <f t="shared" si="31"/>
        <v>3</v>
      </c>
      <c r="AK31" s="284" t="str">
        <f t="shared" si="32"/>
        <v>Memiliki kemampuan sangat baik dalam memahami strategi pemasaran produk kerajina dengan inspirasi, cukup kemampuan dalam memahami perhitungan biaya produksi berdasarkan daya dukung</v>
      </c>
      <c r="AL31" s="276">
        <v>80</v>
      </c>
      <c r="AM31" s="277">
        <v>80</v>
      </c>
      <c r="AN31" s="277">
        <v>80</v>
      </c>
      <c r="AO31" s="277"/>
      <c r="AP31" s="277"/>
      <c r="AQ31" s="277"/>
      <c r="AR31" s="277"/>
      <c r="AS31" s="280"/>
      <c r="AT31" s="277"/>
      <c r="AU31" s="278"/>
      <c r="AV31" s="285">
        <f t="shared" si="33"/>
        <v>80</v>
      </c>
      <c r="AW31" s="296" t="str">
        <f t="shared" si="34"/>
        <v>C</v>
      </c>
      <c r="AX31" s="1220">
        <f t="shared" si="42"/>
        <v>80.010000000000005</v>
      </c>
      <c r="AY31" s="1221">
        <f t="shared" si="42"/>
        <v>80.02</v>
      </c>
      <c r="AZ31" s="1221">
        <f t="shared" si="42"/>
        <v>80.03</v>
      </c>
      <c r="BA31" s="1221" t="str">
        <f t="shared" si="42"/>
        <v/>
      </c>
      <c r="BB31" s="1221" t="str">
        <f t="shared" si="42"/>
        <v/>
      </c>
      <c r="BC31" s="1221" t="str">
        <f t="shared" si="42"/>
        <v/>
      </c>
      <c r="BD31" s="1221" t="str">
        <f t="shared" si="42"/>
        <v/>
      </c>
      <c r="BE31" s="1222" t="str">
        <f t="shared" si="42"/>
        <v/>
      </c>
      <c r="BF31" s="1221" t="str">
        <f t="shared" si="42"/>
        <v/>
      </c>
      <c r="BG31" s="1223" t="str">
        <f t="shared" si="42"/>
        <v/>
      </c>
      <c r="BH31" s="286">
        <f t="shared" si="35"/>
        <v>80.03</v>
      </c>
      <c r="BI31" s="286">
        <f t="shared" si="36"/>
        <v>80.010000000000005</v>
      </c>
      <c r="BJ31" s="287" t="str">
        <f t="shared" si="37"/>
        <v>cukup</v>
      </c>
      <c r="BK31" s="287" t="str">
        <f t="shared" si="37"/>
        <v>cukup</v>
      </c>
      <c r="BL31" s="286">
        <f t="shared" si="38"/>
        <v>3</v>
      </c>
      <c r="BM31" s="288">
        <f t="shared" si="39"/>
        <v>1</v>
      </c>
      <c r="BN31" s="289" t="str">
        <f t="shared" si="40"/>
        <v>Memiliki keterampilan cukup dalam menghitung biaya produksi (harga pokok produksi )kerajinan dan menyusun perencanaan usaha kerajinan dengan inspirasi artefak</v>
      </c>
      <c r="BO31" s="67"/>
    </row>
    <row r="32" spans="1:67" ht="33" customHeight="1">
      <c r="A32" s="67"/>
      <c r="B32" s="272">
        <f t="shared" si="23"/>
        <v>19</v>
      </c>
      <c r="C32" s="273">
        <f>IF(Data!F23="","",Data!F23)</f>
        <v>0</v>
      </c>
      <c r="D32" s="274" t="str">
        <f>IF(Data!H23="","",Data!H23)</f>
        <v>Jidon Nubatonis</v>
      </c>
      <c r="E32" s="275" t="str">
        <f>IF(Data!I23="","",Data!I23)</f>
        <v>L</v>
      </c>
      <c r="F32" s="276">
        <v>80</v>
      </c>
      <c r="G32" s="277">
        <v>80</v>
      </c>
      <c r="H32" s="277">
        <v>80</v>
      </c>
      <c r="I32" s="277">
        <v>80</v>
      </c>
      <c r="J32" s="277"/>
      <c r="K32" s="277"/>
      <c r="L32" s="277"/>
      <c r="M32" s="280"/>
      <c r="N32" s="277"/>
      <c r="O32" s="278"/>
      <c r="P32" s="279">
        <f t="shared" si="24"/>
        <v>80</v>
      </c>
      <c r="Q32" s="277">
        <v>90</v>
      </c>
      <c r="R32" s="280">
        <v>84</v>
      </c>
      <c r="S32" s="281">
        <f t="shared" si="25"/>
        <v>84</v>
      </c>
      <c r="T32" s="295" t="str">
        <f t="shared" si="26"/>
        <v>C</v>
      </c>
      <c r="U32" s="1215">
        <f t="shared" si="41"/>
        <v>80.010000000000005</v>
      </c>
      <c r="V32" s="1216">
        <f t="shared" si="41"/>
        <v>80.02</v>
      </c>
      <c r="W32" s="1216">
        <f t="shared" si="41"/>
        <v>80.03</v>
      </c>
      <c r="X32" s="1216">
        <f t="shared" si="41"/>
        <v>80.040000000000006</v>
      </c>
      <c r="Y32" s="1216" t="str">
        <f t="shared" si="41"/>
        <v/>
      </c>
      <c r="Z32" s="1216" t="str">
        <f t="shared" si="41"/>
        <v/>
      </c>
      <c r="AA32" s="1216" t="str">
        <f t="shared" si="41"/>
        <v/>
      </c>
      <c r="AB32" s="1217" t="str">
        <f t="shared" si="41"/>
        <v/>
      </c>
      <c r="AC32" s="1216" t="str">
        <f t="shared" si="41"/>
        <v/>
      </c>
      <c r="AD32" s="1218" t="str">
        <f t="shared" si="41"/>
        <v/>
      </c>
      <c r="AE32" s="1219">
        <f t="shared" si="27"/>
        <v>80.040000000000006</v>
      </c>
      <c r="AF32" s="282">
        <f t="shared" si="28"/>
        <v>80.010000000000005</v>
      </c>
      <c r="AG32" s="282" t="str">
        <f t="shared" si="29"/>
        <v>cukup</v>
      </c>
      <c r="AH32" s="282" t="str">
        <f t="shared" si="29"/>
        <v>cukup</v>
      </c>
      <c r="AI32" s="282">
        <f t="shared" si="30"/>
        <v>4</v>
      </c>
      <c r="AJ32" s="283">
        <f t="shared" si="31"/>
        <v>1</v>
      </c>
      <c r="AK32" s="284" t="str">
        <f t="shared" si="32"/>
        <v>Memiliki kemampuan cukup dalam memahami strategi pemasaran produk kerajina dengan inspirasi dan memahami perencanaan usaha kerajinan dengan inspirasi artefak</v>
      </c>
      <c r="AL32" s="276">
        <v>90</v>
      </c>
      <c r="AM32" s="277">
        <v>90</v>
      </c>
      <c r="AN32" s="277">
        <v>90</v>
      </c>
      <c r="AO32" s="277"/>
      <c r="AP32" s="277"/>
      <c r="AQ32" s="277"/>
      <c r="AR32" s="277"/>
      <c r="AS32" s="280"/>
      <c r="AT32" s="277"/>
      <c r="AU32" s="278"/>
      <c r="AV32" s="285">
        <f t="shared" si="33"/>
        <v>90</v>
      </c>
      <c r="AW32" s="296" t="str">
        <f t="shared" si="34"/>
        <v>B</v>
      </c>
      <c r="AX32" s="1220">
        <f t="shared" si="42"/>
        <v>90.01</v>
      </c>
      <c r="AY32" s="1221">
        <f t="shared" si="42"/>
        <v>90.02</v>
      </c>
      <c r="AZ32" s="1221">
        <f t="shared" si="42"/>
        <v>90.03</v>
      </c>
      <c r="BA32" s="1221" t="str">
        <f t="shared" si="42"/>
        <v/>
      </c>
      <c r="BB32" s="1221" t="str">
        <f t="shared" si="42"/>
        <v/>
      </c>
      <c r="BC32" s="1221" t="str">
        <f t="shared" si="42"/>
        <v/>
      </c>
      <c r="BD32" s="1221" t="str">
        <f t="shared" si="42"/>
        <v/>
      </c>
      <c r="BE32" s="1222" t="str">
        <f t="shared" si="42"/>
        <v/>
      </c>
      <c r="BF32" s="1221" t="str">
        <f t="shared" si="42"/>
        <v/>
      </c>
      <c r="BG32" s="1223" t="str">
        <f t="shared" si="42"/>
        <v/>
      </c>
      <c r="BH32" s="286">
        <f t="shared" si="35"/>
        <v>90.03</v>
      </c>
      <c r="BI32" s="286">
        <f t="shared" si="36"/>
        <v>90.01</v>
      </c>
      <c r="BJ32" s="287" t="str">
        <f t="shared" si="37"/>
        <v>baik</v>
      </c>
      <c r="BK32" s="287" t="str">
        <f t="shared" si="37"/>
        <v>baik</v>
      </c>
      <c r="BL32" s="286">
        <f t="shared" si="38"/>
        <v>3</v>
      </c>
      <c r="BM32" s="288">
        <f t="shared" si="39"/>
        <v>1</v>
      </c>
      <c r="BN32" s="289" t="str">
        <f t="shared" si="40"/>
        <v>Memiliki keterampilan baik dalam menghitung biaya produksi (harga pokok produksi )kerajinan dan menyusun perencanaan usaha kerajinan dengan inspirasi artefak</v>
      </c>
      <c r="BO32" s="67"/>
    </row>
    <row r="33" spans="1:67" ht="33" customHeight="1">
      <c r="A33" s="67"/>
      <c r="B33" s="272">
        <f t="shared" si="23"/>
        <v>20</v>
      </c>
      <c r="C33" s="273">
        <f>IF(Data!F24="","",Data!F24)</f>
        <v>0</v>
      </c>
      <c r="D33" s="274" t="str">
        <f>IF(Data!H24="","",Data!H24)</f>
        <v>Jitro Andro Baran</v>
      </c>
      <c r="E33" s="275" t="str">
        <f>IF(Data!I24="","",Data!I24)</f>
        <v>L</v>
      </c>
      <c r="F33" s="276">
        <v>79</v>
      </c>
      <c r="G33" s="277">
        <v>79</v>
      </c>
      <c r="H33" s="277">
        <v>79</v>
      </c>
      <c r="I33" s="277">
        <v>80</v>
      </c>
      <c r="J33" s="277"/>
      <c r="K33" s="277"/>
      <c r="L33" s="277"/>
      <c r="M33" s="280"/>
      <c r="N33" s="277"/>
      <c r="O33" s="278"/>
      <c r="P33" s="279">
        <f t="shared" si="24"/>
        <v>79</v>
      </c>
      <c r="Q33" s="277">
        <v>80</v>
      </c>
      <c r="R33" s="280">
        <v>80</v>
      </c>
      <c r="S33" s="281">
        <f t="shared" si="25"/>
        <v>80</v>
      </c>
      <c r="T33" s="295" t="str">
        <f t="shared" si="26"/>
        <v>C</v>
      </c>
      <c r="U33" s="1215">
        <f t="shared" si="41"/>
        <v>79.010000000000005</v>
      </c>
      <c r="V33" s="1216">
        <f t="shared" si="41"/>
        <v>79.02</v>
      </c>
      <c r="W33" s="1216">
        <f t="shared" si="41"/>
        <v>79.03</v>
      </c>
      <c r="X33" s="1216">
        <f t="shared" si="41"/>
        <v>80.040000000000006</v>
      </c>
      <c r="Y33" s="1216" t="str">
        <f t="shared" si="41"/>
        <v/>
      </c>
      <c r="Z33" s="1216" t="str">
        <f t="shared" si="41"/>
        <v/>
      </c>
      <c r="AA33" s="1216" t="str">
        <f t="shared" si="41"/>
        <v/>
      </c>
      <c r="AB33" s="1217" t="str">
        <f t="shared" si="41"/>
        <v/>
      </c>
      <c r="AC33" s="1216" t="str">
        <f t="shared" si="41"/>
        <v/>
      </c>
      <c r="AD33" s="1218" t="str">
        <f t="shared" si="41"/>
        <v/>
      </c>
      <c r="AE33" s="1219">
        <f t="shared" si="27"/>
        <v>80.040000000000006</v>
      </c>
      <c r="AF33" s="282">
        <f t="shared" si="28"/>
        <v>79.010000000000005</v>
      </c>
      <c r="AG33" s="282" t="str">
        <f t="shared" si="29"/>
        <v>cukup</v>
      </c>
      <c r="AH33" s="282" t="str">
        <f t="shared" si="29"/>
        <v>cukup</v>
      </c>
      <c r="AI33" s="282">
        <f t="shared" si="30"/>
        <v>4</v>
      </c>
      <c r="AJ33" s="283">
        <f t="shared" si="31"/>
        <v>1</v>
      </c>
      <c r="AK33" s="284" t="str">
        <f t="shared" si="32"/>
        <v>Memiliki kemampuan cukup dalam memahami strategi pemasaran produk kerajina dengan inspirasi dan memahami perencanaan usaha kerajinan dengan inspirasi artefak</v>
      </c>
      <c r="AL33" s="276">
        <v>80</v>
      </c>
      <c r="AM33" s="277">
        <v>80</v>
      </c>
      <c r="AN33" s="277">
        <v>80</v>
      </c>
      <c r="AO33" s="277"/>
      <c r="AP33" s="277"/>
      <c r="AQ33" s="277"/>
      <c r="AR33" s="277"/>
      <c r="AS33" s="280"/>
      <c r="AT33" s="277"/>
      <c r="AU33" s="278"/>
      <c r="AV33" s="285">
        <f t="shared" si="33"/>
        <v>80</v>
      </c>
      <c r="AW33" s="296" t="str">
        <f t="shared" si="34"/>
        <v>C</v>
      </c>
      <c r="AX33" s="1220">
        <f t="shared" si="42"/>
        <v>80.010000000000005</v>
      </c>
      <c r="AY33" s="1221">
        <f t="shared" si="42"/>
        <v>80.02</v>
      </c>
      <c r="AZ33" s="1221">
        <f t="shared" si="42"/>
        <v>80.03</v>
      </c>
      <c r="BA33" s="1221" t="str">
        <f t="shared" si="42"/>
        <v/>
      </c>
      <c r="BB33" s="1221" t="str">
        <f t="shared" si="42"/>
        <v/>
      </c>
      <c r="BC33" s="1221" t="str">
        <f t="shared" si="42"/>
        <v/>
      </c>
      <c r="BD33" s="1221" t="str">
        <f t="shared" si="42"/>
        <v/>
      </c>
      <c r="BE33" s="1222" t="str">
        <f t="shared" si="42"/>
        <v/>
      </c>
      <c r="BF33" s="1221" t="str">
        <f t="shared" si="42"/>
        <v/>
      </c>
      <c r="BG33" s="1223" t="str">
        <f t="shared" si="42"/>
        <v/>
      </c>
      <c r="BH33" s="286">
        <f t="shared" si="35"/>
        <v>80.03</v>
      </c>
      <c r="BI33" s="286">
        <f t="shared" si="36"/>
        <v>80.010000000000005</v>
      </c>
      <c r="BJ33" s="287" t="str">
        <f t="shared" si="37"/>
        <v>cukup</v>
      </c>
      <c r="BK33" s="287" t="str">
        <f t="shared" si="37"/>
        <v>cukup</v>
      </c>
      <c r="BL33" s="286">
        <f t="shared" si="38"/>
        <v>3</v>
      </c>
      <c r="BM33" s="288">
        <f t="shared" si="39"/>
        <v>1</v>
      </c>
      <c r="BN33" s="289" t="str">
        <f t="shared" si="40"/>
        <v>Memiliki keterampilan cukup dalam menghitung biaya produksi (harga pokok produksi )kerajinan dan menyusun perencanaan usaha kerajinan dengan inspirasi artefak</v>
      </c>
      <c r="BO33" s="67"/>
    </row>
    <row r="34" spans="1:67" ht="33" customHeight="1">
      <c r="A34" s="67"/>
      <c r="B34" s="272">
        <f t="shared" si="23"/>
        <v>21</v>
      </c>
      <c r="C34" s="273">
        <f>IF(Data!F25="","",Data!F25)</f>
        <v>0</v>
      </c>
      <c r="D34" s="274" t="str">
        <f>IF(Data!H25="","",Data!H25)</f>
        <v>Juan Manuel Boys</v>
      </c>
      <c r="E34" s="275" t="str">
        <f>IF(Data!I25="","",Data!I25)</f>
        <v>L</v>
      </c>
      <c r="F34" s="276">
        <v>90</v>
      </c>
      <c r="G34" s="277">
        <v>80</v>
      </c>
      <c r="H34" s="277">
        <v>80</v>
      </c>
      <c r="I34" s="277">
        <v>90</v>
      </c>
      <c r="J34" s="277"/>
      <c r="K34" s="277"/>
      <c r="L34" s="277"/>
      <c r="M34" s="280"/>
      <c r="N34" s="277"/>
      <c r="O34" s="278"/>
      <c r="P34" s="279">
        <f t="shared" si="24"/>
        <v>85</v>
      </c>
      <c r="Q34" s="277">
        <v>100</v>
      </c>
      <c r="R34" s="280">
        <v>80</v>
      </c>
      <c r="S34" s="281">
        <f t="shared" si="25"/>
        <v>88</v>
      </c>
      <c r="T34" s="295" t="str">
        <f t="shared" si="26"/>
        <v>B</v>
      </c>
      <c r="U34" s="1215">
        <f t="shared" si="41"/>
        <v>90.01</v>
      </c>
      <c r="V34" s="1216">
        <f t="shared" si="41"/>
        <v>80.02</v>
      </c>
      <c r="W34" s="1216">
        <f t="shared" si="41"/>
        <v>80.03</v>
      </c>
      <c r="X34" s="1216">
        <f t="shared" si="41"/>
        <v>90.04</v>
      </c>
      <c r="Y34" s="1216" t="str">
        <f t="shared" si="41"/>
        <v/>
      </c>
      <c r="Z34" s="1216" t="str">
        <f t="shared" si="41"/>
        <v/>
      </c>
      <c r="AA34" s="1216" t="str">
        <f t="shared" si="41"/>
        <v/>
      </c>
      <c r="AB34" s="1217" t="str">
        <f t="shared" si="41"/>
        <v/>
      </c>
      <c r="AC34" s="1216" t="str">
        <f t="shared" si="41"/>
        <v/>
      </c>
      <c r="AD34" s="1218" t="str">
        <f t="shared" si="41"/>
        <v/>
      </c>
      <c r="AE34" s="1219">
        <f t="shared" si="27"/>
        <v>90.04</v>
      </c>
      <c r="AF34" s="282">
        <f t="shared" si="28"/>
        <v>80.02</v>
      </c>
      <c r="AG34" s="282" t="str">
        <f t="shared" si="29"/>
        <v>baik</v>
      </c>
      <c r="AH34" s="282" t="str">
        <f t="shared" si="29"/>
        <v>cukup</v>
      </c>
      <c r="AI34" s="282">
        <f t="shared" si="30"/>
        <v>4</v>
      </c>
      <c r="AJ34" s="283">
        <f t="shared" si="31"/>
        <v>2</v>
      </c>
      <c r="AK34" s="284" t="str">
        <f t="shared" si="32"/>
        <v>Memiliki kemampuan baik dalam memahami strategi pemasaran produk kerajina dengan inspirasi, cukup kemampuan dalam KD pengetahuan 2 Prakarya dan Kewirausahaan</v>
      </c>
      <c r="AL34" s="276">
        <v>80</v>
      </c>
      <c r="AM34" s="277">
        <v>80</v>
      </c>
      <c r="AN34" s="277">
        <v>80</v>
      </c>
      <c r="AO34" s="277"/>
      <c r="AP34" s="277"/>
      <c r="AQ34" s="277"/>
      <c r="AR34" s="277"/>
      <c r="AS34" s="280"/>
      <c r="AT34" s="277"/>
      <c r="AU34" s="278"/>
      <c r="AV34" s="285">
        <f t="shared" si="33"/>
        <v>80</v>
      </c>
      <c r="AW34" s="296" t="str">
        <f t="shared" si="34"/>
        <v>C</v>
      </c>
      <c r="AX34" s="1220">
        <f t="shared" si="42"/>
        <v>80.010000000000005</v>
      </c>
      <c r="AY34" s="1221">
        <f t="shared" si="42"/>
        <v>80.02</v>
      </c>
      <c r="AZ34" s="1221">
        <f t="shared" si="42"/>
        <v>80.03</v>
      </c>
      <c r="BA34" s="1221" t="str">
        <f t="shared" si="42"/>
        <v/>
      </c>
      <c r="BB34" s="1221" t="str">
        <f t="shared" si="42"/>
        <v/>
      </c>
      <c r="BC34" s="1221" t="str">
        <f t="shared" si="42"/>
        <v/>
      </c>
      <c r="BD34" s="1221" t="str">
        <f t="shared" si="42"/>
        <v/>
      </c>
      <c r="BE34" s="1222" t="str">
        <f t="shared" si="42"/>
        <v/>
      </c>
      <c r="BF34" s="1221" t="str">
        <f t="shared" si="42"/>
        <v/>
      </c>
      <c r="BG34" s="1223" t="str">
        <f t="shared" si="42"/>
        <v/>
      </c>
      <c r="BH34" s="286">
        <f t="shared" si="35"/>
        <v>80.03</v>
      </c>
      <c r="BI34" s="286">
        <f t="shared" si="36"/>
        <v>80.010000000000005</v>
      </c>
      <c r="BJ34" s="287" t="str">
        <f t="shared" si="37"/>
        <v>cukup</v>
      </c>
      <c r="BK34" s="287" t="str">
        <f t="shared" si="37"/>
        <v>cukup</v>
      </c>
      <c r="BL34" s="286">
        <f t="shared" si="38"/>
        <v>3</v>
      </c>
      <c r="BM34" s="288">
        <f t="shared" si="39"/>
        <v>1</v>
      </c>
      <c r="BN34" s="289" t="str">
        <f t="shared" si="40"/>
        <v>Memiliki keterampilan cukup dalam menghitung biaya produksi (harga pokok produksi )kerajinan dan menyusun perencanaan usaha kerajinan dengan inspirasi artefak</v>
      </c>
      <c r="BO34" s="67"/>
    </row>
    <row r="35" spans="1:67" ht="33" customHeight="1">
      <c r="A35" s="67"/>
      <c r="B35" s="272">
        <f t="shared" si="23"/>
        <v>22</v>
      </c>
      <c r="C35" s="273">
        <f>IF(Data!F26="","",Data!F26)</f>
        <v>0</v>
      </c>
      <c r="D35" s="274" t="str">
        <f>IF(Data!H26="","",Data!H26)</f>
        <v>Krisyanti Ernela Kesnay</v>
      </c>
      <c r="E35" s="275" t="str">
        <f>IF(Data!I26="","",Data!I26)</f>
        <v>P</v>
      </c>
      <c r="F35" s="276">
        <v>90</v>
      </c>
      <c r="G35" s="277">
        <v>80</v>
      </c>
      <c r="H35" s="277">
        <v>80</v>
      </c>
      <c r="I35" s="277">
        <v>90</v>
      </c>
      <c r="J35" s="277"/>
      <c r="K35" s="277"/>
      <c r="L35" s="277"/>
      <c r="M35" s="280"/>
      <c r="N35" s="277"/>
      <c r="O35" s="278"/>
      <c r="P35" s="279">
        <f t="shared" si="24"/>
        <v>85</v>
      </c>
      <c r="Q35" s="277">
        <v>90</v>
      </c>
      <c r="R35" s="280">
        <v>84</v>
      </c>
      <c r="S35" s="281">
        <f t="shared" si="25"/>
        <v>86</v>
      </c>
      <c r="T35" s="295" t="str">
        <f t="shared" si="26"/>
        <v>B</v>
      </c>
      <c r="U35" s="1215">
        <f t="shared" si="41"/>
        <v>90.01</v>
      </c>
      <c r="V35" s="1216">
        <f t="shared" si="41"/>
        <v>80.02</v>
      </c>
      <c r="W35" s="1216">
        <f t="shared" si="41"/>
        <v>80.03</v>
      </c>
      <c r="X35" s="1216">
        <f t="shared" si="41"/>
        <v>90.04</v>
      </c>
      <c r="Y35" s="1216" t="str">
        <f t="shared" si="41"/>
        <v/>
      </c>
      <c r="Z35" s="1216" t="str">
        <f t="shared" si="41"/>
        <v/>
      </c>
      <c r="AA35" s="1216" t="str">
        <f t="shared" si="41"/>
        <v/>
      </c>
      <c r="AB35" s="1217" t="str">
        <f t="shared" si="41"/>
        <v/>
      </c>
      <c r="AC35" s="1216" t="str">
        <f t="shared" si="41"/>
        <v/>
      </c>
      <c r="AD35" s="1218" t="str">
        <f t="shared" si="41"/>
        <v/>
      </c>
      <c r="AE35" s="1219">
        <f t="shared" si="27"/>
        <v>90.04</v>
      </c>
      <c r="AF35" s="282">
        <f t="shared" si="28"/>
        <v>80.02</v>
      </c>
      <c r="AG35" s="282" t="str">
        <f t="shared" si="29"/>
        <v>baik</v>
      </c>
      <c r="AH35" s="282" t="str">
        <f t="shared" si="29"/>
        <v>cukup</v>
      </c>
      <c r="AI35" s="282">
        <f t="shared" si="30"/>
        <v>4</v>
      </c>
      <c r="AJ35" s="283">
        <f t="shared" si="31"/>
        <v>2</v>
      </c>
      <c r="AK35" s="284" t="str">
        <f t="shared" si="32"/>
        <v>Memiliki kemampuan baik dalam memahami strategi pemasaran produk kerajina dengan inspirasi, cukup kemampuan dalam KD pengetahuan 2 Prakarya dan Kewirausahaan</v>
      </c>
      <c r="AL35" s="276">
        <v>80</v>
      </c>
      <c r="AM35" s="277">
        <v>80</v>
      </c>
      <c r="AN35" s="277">
        <v>80</v>
      </c>
      <c r="AO35" s="277"/>
      <c r="AP35" s="277"/>
      <c r="AQ35" s="277"/>
      <c r="AR35" s="277"/>
      <c r="AS35" s="280"/>
      <c r="AT35" s="277"/>
      <c r="AU35" s="278"/>
      <c r="AV35" s="285">
        <f t="shared" si="33"/>
        <v>80</v>
      </c>
      <c r="AW35" s="296" t="str">
        <f t="shared" si="34"/>
        <v>C</v>
      </c>
      <c r="AX35" s="1220">
        <f t="shared" si="42"/>
        <v>80.010000000000005</v>
      </c>
      <c r="AY35" s="1221">
        <f t="shared" si="42"/>
        <v>80.02</v>
      </c>
      <c r="AZ35" s="1221">
        <f t="shared" si="42"/>
        <v>80.03</v>
      </c>
      <c r="BA35" s="1221" t="str">
        <f t="shared" si="42"/>
        <v/>
      </c>
      <c r="BB35" s="1221" t="str">
        <f t="shared" si="42"/>
        <v/>
      </c>
      <c r="BC35" s="1221" t="str">
        <f t="shared" si="42"/>
        <v/>
      </c>
      <c r="BD35" s="1221" t="str">
        <f t="shared" si="42"/>
        <v/>
      </c>
      <c r="BE35" s="1222" t="str">
        <f t="shared" si="42"/>
        <v/>
      </c>
      <c r="BF35" s="1221" t="str">
        <f t="shared" si="42"/>
        <v/>
      </c>
      <c r="BG35" s="1223" t="str">
        <f t="shared" si="42"/>
        <v/>
      </c>
      <c r="BH35" s="286">
        <f t="shared" si="35"/>
        <v>80.03</v>
      </c>
      <c r="BI35" s="286">
        <f t="shared" si="36"/>
        <v>80.010000000000005</v>
      </c>
      <c r="BJ35" s="287" t="str">
        <f t="shared" si="37"/>
        <v>cukup</v>
      </c>
      <c r="BK35" s="287" t="str">
        <f t="shared" si="37"/>
        <v>cukup</v>
      </c>
      <c r="BL35" s="286">
        <f t="shared" si="38"/>
        <v>3</v>
      </c>
      <c r="BM35" s="288">
        <f t="shared" si="39"/>
        <v>1</v>
      </c>
      <c r="BN35" s="289" t="str">
        <f t="shared" si="40"/>
        <v>Memiliki keterampilan cukup dalam menghitung biaya produksi (harga pokok produksi )kerajinan dan menyusun perencanaan usaha kerajinan dengan inspirasi artefak</v>
      </c>
      <c r="BO35" s="67"/>
    </row>
    <row r="36" spans="1:67" ht="33" customHeight="1">
      <c r="A36" s="67"/>
      <c r="B36" s="272">
        <f t="shared" si="23"/>
        <v>23</v>
      </c>
      <c r="C36" s="273">
        <f>IF(Data!F27="","",Data!F27)</f>
        <v>0</v>
      </c>
      <c r="D36" s="274" t="str">
        <f>IF(Data!H27="","",Data!H27)</f>
        <v>Leni Aknesia Knoan</v>
      </c>
      <c r="E36" s="275" t="str">
        <f>IF(Data!I27="","",Data!I27)</f>
        <v>P</v>
      </c>
      <c r="F36" s="276">
        <v>90</v>
      </c>
      <c r="G36" s="277">
        <v>80</v>
      </c>
      <c r="H36" s="277">
        <v>80</v>
      </c>
      <c r="I36" s="277">
        <v>95</v>
      </c>
      <c r="J36" s="277"/>
      <c r="K36" s="277"/>
      <c r="L36" s="277"/>
      <c r="M36" s="280"/>
      <c r="N36" s="277"/>
      <c r="O36" s="278"/>
      <c r="P36" s="279">
        <f t="shared" si="24"/>
        <v>86</v>
      </c>
      <c r="Q36" s="277">
        <v>85</v>
      </c>
      <c r="R36" s="280"/>
      <c r="S36" s="281">
        <f t="shared" si="25"/>
        <v>64</v>
      </c>
      <c r="T36" s="295" t="str">
        <f t="shared" si="26"/>
        <v>D</v>
      </c>
      <c r="U36" s="1215">
        <f t="shared" si="41"/>
        <v>90.01</v>
      </c>
      <c r="V36" s="1216">
        <f t="shared" si="41"/>
        <v>80.02</v>
      </c>
      <c r="W36" s="1216">
        <f t="shared" si="41"/>
        <v>80.03</v>
      </c>
      <c r="X36" s="1216">
        <f t="shared" si="41"/>
        <v>95.04</v>
      </c>
      <c r="Y36" s="1216" t="str">
        <f t="shared" si="41"/>
        <v/>
      </c>
      <c r="Z36" s="1216" t="str">
        <f t="shared" si="41"/>
        <v/>
      </c>
      <c r="AA36" s="1216" t="str">
        <f t="shared" si="41"/>
        <v/>
      </c>
      <c r="AB36" s="1217" t="str">
        <f t="shared" si="41"/>
        <v/>
      </c>
      <c r="AC36" s="1216" t="str">
        <f t="shared" si="41"/>
        <v/>
      </c>
      <c r="AD36" s="1218" t="str">
        <f t="shared" si="41"/>
        <v/>
      </c>
      <c r="AE36" s="1219">
        <f t="shared" si="27"/>
        <v>95.04</v>
      </c>
      <c r="AF36" s="282">
        <f t="shared" si="28"/>
        <v>80.02</v>
      </c>
      <c r="AG36" s="282" t="str">
        <f t="shared" si="29"/>
        <v>sangat baik</v>
      </c>
      <c r="AH36" s="282" t="str">
        <f t="shared" si="29"/>
        <v>cukup</v>
      </c>
      <c r="AI36" s="282">
        <f t="shared" si="30"/>
        <v>4</v>
      </c>
      <c r="AJ36" s="283">
        <f t="shared" si="31"/>
        <v>2</v>
      </c>
      <c r="AK36" s="284" t="str">
        <f t="shared" si="32"/>
        <v>Memiliki kemampuan sangat baik dalam memahami strategi pemasaran produk kerajina dengan inspirasi, cukup kemampuan dalam KD pengetahuan 2 Prakarya dan Kewirausahaan</v>
      </c>
      <c r="AL36" s="276">
        <v>90</v>
      </c>
      <c r="AM36" s="277">
        <v>90</v>
      </c>
      <c r="AN36" s="277">
        <v>90</v>
      </c>
      <c r="AO36" s="277"/>
      <c r="AP36" s="277"/>
      <c r="AQ36" s="277"/>
      <c r="AR36" s="277"/>
      <c r="AS36" s="280"/>
      <c r="AT36" s="277"/>
      <c r="AU36" s="278"/>
      <c r="AV36" s="285">
        <f t="shared" si="33"/>
        <v>90</v>
      </c>
      <c r="AW36" s="296" t="str">
        <f t="shared" si="34"/>
        <v>B</v>
      </c>
      <c r="AX36" s="1220">
        <f t="shared" si="42"/>
        <v>90.01</v>
      </c>
      <c r="AY36" s="1221">
        <f t="shared" si="42"/>
        <v>90.02</v>
      </c>
      <c r="AZ36" s="1221">
        <f t="shared" si="42"/>
        <v>90.03</v>
      </c>
      <c r="BA36" s="1221" t="str">
        <f t="shared" si="42"/>
        <v/>
      </c>
      <c r="BB36" s="1221" t="str">
        <f t="shared" si="42"/>
        <v/>
      </c>
      <c r="BC36" s="1221" t="str">
        <f t="shared" si="42"/>
        <v/>
      </c>
      <c r="BD36" s="1221" t="str">
        <f t="shared" si="42"/>
        <v/>
      </c>
      <c r="BE36" s="1222" t="str">
        <f t="shared" si="42"/>
        <v/>
      </c>
      <c r="BF36" s="1221" t="str">
        <f t="shared" si="42"/>
        <v/>
      </c>
      <c r="BG36" s="1223" t="str">
        <f t="shared" si="42"/>
        <v/>
      </c>
      <c r="BH36" s="286">
        <f t="shared" si="35"/>
        <v>90.03</v>
      </c>
      <c r="BI36" s="286">
        <f t="shared" si="36"/>
        <v>90.01</v>
      </c>
      <c r="BJ36" s="287" t="str">
        <f t="shared" si="37"/>
        <v>baik</v>
      </c>
      <c r="BK36" s="287" t="str">
        <f t="shared" si="37"/>
        <v>baik</v>
      </c>
      <c r="BL36" s="286">
        <f t="shared" si="38"/>
        <v>3</v>
      </c>
      <c r="BM36" s="288">
        <f t="shared" si="39"/>
        <v>1</v>
      </c>
      <c r="BN36" s="289" t="str">
        <f t="shared" si="40"/>
        <v>Memiliki keterampilan baik dalam menghitung biaya produksi (harga pokok produksi )kerajinan dan menyusun perencanaan usaha kerajinan dengan inspirasi artefak</v>
      </c>
      <c r="BO36" s="67"/>
    </row>
    <row r="37" spans="1:67" ht="33" customHeight="1">
      <c r="A37" s="67"/>
      <c r="B37" s="272">
        <f t="shared" si="23"/>
        <v>24</v>
      </c>
      <c r="C37" s="273">
        <f>IF(Data!F28="","",Data!F28)</f>
        <v>0</v>
      </c>
      <c r="D37" s="274" t="str">
        <f>IF(Data!H28="","",Data!H28)</f>
        <v>Marlon Dioninsius Lalus</v>
      </c>
      <c r="E37" s="275" t="str">
        <f>IF(Data!I28="","",Data!I28)</f>
        <v>L</v>
      </c>
      <c r="F37" s="276">
        <v>90</v>
      </c>
      <c r="G37" s="277">
        <v>80</v>
      </c>
      <c r="H37" s="277">
        <v>80</v>
      </c>
      <c r="I37" s="277">
        <v>95</v>
      </c>
      <c r="J37" s="277"/>
      <c r="K37" s="277"/>
      <c r="L37" s="277"/>
      <c r="M37" s="280"/>
      <c r="N37" s="277"/>
      <c r="O37" s="278"/>
      <c r="P37" s="279">
        <f t="shared" si="24"/>
        <v>86</v>
      </c>
      <c r="Q37" s="277">
        <v>85</v>
      </c>
      <c r="R37" s="280">
        <v>84</v>
      </c>
      <c r="S37" s="281">
        <f t="shared" si="25"/>
        <v>85</v>
      </c>
      <c r="T37" s="295" t="str">
        <f t="shared" si="26"/>
        <v>B</v>
      </c>
      <c r="U37" s="1215">
        <f t="shared" si="41"/>
        <v>90.01</v>
      </c>
      <c r="V37" s="1216">
        <f t="shared" si="41"/>
        <v>80.02</v>
      </c>
      <c r="W37" s="1216">
        <f t="shared" si="41"/>
        <v>80.03</v>
      </c>
      <c r="X37" s="1216">
        <f t="shared" si="41"/>
        <v>95.04</v>
      </c>
      <c r="Y37" s="1216" t="str">
        <f t="shared" si="41"/>
        <v/>
      </c>
      <c r="Z37" s="1216" t="str">
        <f t="shared" si="41"/>
        <v/>
      </c>
      <c r="AA37" s="1216" t="str">
        <f t="shared" si="41"/>
        <v/>
      </c>
      <c r="AB37" s="1217" t="str">
        <f t="shared" si="41"/>
        <v/>
      </c>
      <c r="AC37" s="1216" t="str">
        <f t="shared" si="41"/>
        <v/>
      </c>
      <c r="AD37" s="1218" t="str">
        <f t="shared" si="41"/>
        <v/>
      </c>
      <c r="AE37" s="1219">
        <f t="shared" si="27"/>
        <v>95.04</v>
      </c>
      <c r="AF37" s="282">
        <f t="shared" si="28"/>
        <v>80.02</v>
      </c>
      <c r="AG37" s="282" t="str">
        <f t="shared" si="29"/>
        <v>sangat baik</v>
      </c>
      <c r="AH37" s="282" t="str">
        <f t="shared" si="29"/>
        <v>cukup</v>
      </c>
      <c r="AI37" s="282">
        <f t="shared" si="30"/>
        <v>4</v>
      </c>
      <c r="AJ37" s="283">
        <f t="shared" si="31"/>
        <v>2</v>
      </c>
      <c r="AK37" s="284" t="str">
        <f t="shared" si="32"/>
        <v>Memiliki kemampuan sangat baik dalam memahami strategi pemasaran produk kerajina dengan inspirasi, cukup kemampuan dalam KD pengetahuan 2 Prakarya dan Kewirausahaan</v>
      </c>
      <c r="AL37" s="276">
        <v>90</v>
      </c>
      <c r="AM37" s="277">
        <v>90</v>
      </c>
      <c r="AN37" s="277">
        <v>90</v>
      </c>
      <c r="AO37" s="277"/>
      <c r="AP37" s="277"/>
      <c r="AQ37" s="277"/>
      <c r="AR37" s="277"/>
      <c r="AS37" s="280"/>
      <c r="AT37" s="277"/>
      <c r="AU37" s="278"/>
      <c r="AV37" s="285">
        <f t="shared" si="33"/>
        <v>90</v>
      </c>
      <c r="AW37" s="296" t="str">
        <f t="shared" si="34"/>
        <v>B</v>
      </c>
      <c r="AX37" s="1220">
        <f t="shared" si="42"/>
        <v>90.01</v>
      </c>
      <c r="AY37" s="1221">
        <f t="shared" si="42"/>
        <v>90.02</v>
      </c>
      <c r="AZ37" s="1221">
        <f t="shared" si="42"/>
        <v>90.03</v>
      </c>
      <c r="BA37" s="1221" t="str">
        <f t="shared" si="42"/>
        <v/>
      </c>
      <c r="BB37" s="1221" t="str">
        <f t="shared" si="42"/>
        <v/>
      </c>
      <c r="BC37" s="1221" t="str">
        <f t="shared" si="42"/>
        <v/>
      </c>
      <c r="BD37" s="1221" t="str">
        <f t="shared" si="42"/>
        <v/>
      </c>
      <c r="BE37" s="1222" t="str">
        <f t="shared" si="42"/>
        <v/>
      </c>
      <c r="BF37" s="1221" t="str">
        <f t="shared" si="42"/>
        <v/>
      </c>
      <c r="BG37" s="1223" t="str">
        <f t="shared" si="42"/>
        <v/>
      </c>
      <c r="BH37" s="286">
        <f t="shared" si="35"/>
        <v>90.03</v>
      </c>
      <c r="BI37" s="286">
        <f t="shared" si="36"/>
        <v>90.01</v>
      </c>
      <c r="BJ37" s="287" t="str">
        <f t="shared" si="37"/>
        <v>baik</v>
      </c>
      <c r="BK37" s="287" t="str">
        <f t="shared" si="37"/>
        <v>baik</v>
      </c>
      <c r="BL37" s="286">
        <f t="shared" si="38"/>
        <v>3</v>
      </c>
      <c r="BM37" s="288">
        <f t="shared" si="39"/>
        <v>1</v>
      </c>
      <c r="BN37" s="289" t="str">
        <f t="shared" si="40"/>
        <v>Memiliki keterampilan baik dalam menghitung biaya produksi (harga pokok produksi )kerajinan dan menyusun perencanaan usaha kerajinan dengan inspirasi artefak</v>
      </c>
      <c r="BO37" s="67"/>
    </row>
    <row r="38" spans="1:67" ht="33" customHeight="1">
      <c r="A38" s="67"/>
      <c r="B38" s="272">
        <f t="shared" ref="B38:B46" si="43">IF(D38="","",B37+1)</f>
        <v>25</v>
      </c>
      <c r="C38" s="273">
        <f>IF(Data!F29="","",Data!F29)</f>
        <v>0</v>
      </c>
      <c r="D38" s="274" t="str">
        <f>IF(Data!H29="","",Data!H29)</f>
        <v>Maya Trifena Niobe</v>
      </c>
      <c r="E38" s="275" t="str">
        <f>IF(Data!I29="","",Data!I29)</f>
        <v>P</v>
      </c>
      <c r="F38" s="276">
        <v>90</v>
      </c>
      <c r="G38" s="277">
        <v>80</v>
      </c>
      <c r="H38" s="277">
        <v>80</v>
      </c>
      <c r="I38" s="277">
        <v>100</v>
      </c>
      <c r="J38" s="277"/>
      <c r="K38" s="277"/>
      <c r="L38" s="277"/>
      <c r="M38" s="280"/>
      <c r="N38" s="277"/>
      <c r="O38" s="278"/>
      <c r="P38" s="279">
        <f t="shared" si="24"/>
        <v>88</v>
      </c>
      <c r="Q38" s="277">
        <v>80</v>
      </c>
      <c r="R38" s="280">
        <v>82</v>
      </c>
      <c r="S38" s="281">
        <f t="shared" si="25"/>
        <v>85</v>
      </c>
      <c r="T38" s="295" t="str">
        <f t="shared" si="26"/>
        <v>B</v>
      </c>
      <c r="U38" s="1215">
        <f t="shared" si="41"/>
        <v>90.01</v>
      </c>
      <c r="V38" s="1216">
        <f t="shared" si="41"/>
        <v>80.02</v>
      </c>
      <c r="W38" s="1216">
        <f t="shared" si="41"/>
        <v>80.03</v>
      </c>
      <c r="X38" s="1216">
        <f t="shared" si="41"/>
        <v>100.04</v>
      </c>
      <c r="Y38" s="1216" t="str">
        <f t="shared" si="41"/>
        <v/>
      </c>
      <c r="Z38" s="1216" t="str">
        <f t="shared" si="41"/>
        <v/>
      </c>
      <c r="AA38" s="1216" t="str">
        <f t="shared" si="41"/>
        <v/>
      </c>
      <c r="AB38" s="1217" t="str">
        <f t="shared" si="41"/>
        <v/>
      </c>
      <c r="AC38" s="1216" t="str">
        <f t="shared" si="41"/>
        <v/>
      </c>
      <c r="AD38" s="1218" t="str">
        <f t="shared" si="41"/>
        <v/>
      </c>
      <c r="AE38" s="1219">
        <f t="shared" si="27"/>
        <v>100.04</v>
      </c>
      <c r="AF38" s="282">
        <f t="shared" si="28"/>
        <v>80.02</v>
      </c>
      <c r="AG38" s="282" t="str">
        <f t="shared" si="29"/>
        <v>sangat baik</v>
      </c>
      <c r="AH38" s="282" t="str">
        <f t="shared" si="29"/>
        <v>cukup</v>
      </c>
      <c r="AI38" s="282">
        <f t="shared" si="30"/>
        <v>4</v>
      </c>
      <c r="AJ38" s="283">
        <f t="shared" si="31"/>
        <v>2</v>
      </c>
      <c r="AK38" s="284" t="str">
        <f t="shared" si="32"/>
        <v>Memiliki kemampuan sangat baik dalam memahami strategi pemasaran produk kerajina dengan inspirasi, cukup kemampuan dalam KD pengetahuan 2 Prakarya dan Kewirausahaan</v>
      </c>
      <c r="AL38" s="276">
        <v>80</v>
      </c>
      <c r="AM38" s="277">
        <v>80</v>
      </c>
      <c r="AN38" s="277">
        <v>80</v>
      </c>
      <c r="AO38" s="277"/>
      <c r="AP38" s="277"/>
      <c r="AQ38" s="277"/>
      <c r="AR38" s="277"/>
      <c r="AS38" s="280"/>
      <c r="AT38" s="277"/>
      <c r="AU38" s="278"/>
      <c r="AV38" s="285">
        <f t="shared" si="33"/>
        <v>80</v>
      </c>
      <c r="AW38" s="296" t="str">
        <f t="shared" si="34"/>
        <v>C</v>
      </c>
      <c r="AX38" s="1220">
        <f t="shared" si="42"/>
        <v>80.010000000000005</v>
      </c>
      <c r="AY38" s="1221">
        <f t="shared" si="42"/>
        <v>80.02</v>
      </c>
      <c r="AZ38" s="1221">
        <f t="shared" si="42"/>
        <v>80.03</v>
      </c>
      <c r="BA38" s="1221" t="str">
        <f t="shared" si="42"/>
        <v/>
      </c>
      <c r="BB38" s="1221" t="str">
        <f t="shared" si="42"/>
        <v/>
      </c>
      <c r="BC38" s="1221" t="str">
        <f t="shared" si="42"/>
        <v/>
      </c>
      <c r="BD38" s="1221" t="str">
        <f t="shared" si="42"/>
        <v/>
      </c>
      <c r="BE38" s="1222" t="str">
        <f t="shared" si="42"/>
        <v/>
      </c>
      <c r="BF38" s="1221" t="str">
        <f t="shared" si="42"/>
        <v/>
      </c>
      <c r="BG38" s="1223" t="str">
        <f t="shared" si="42"/>
        <v/>
      </c>
      <c r="BH38" s="286">
        <f t="shared" si="35"/>
        <v>80.03</v>
      </c>
      <c r="BI38" s="286">
        <f t="shared" si="36"/>
        <v>80.010000000000005</v>
      </c>
      <c r="BJ38" s="287" t="str">
        <f t="shared" si="37"/>
        <v>cukup</v>
      </c>
      <c r="BK38" s="287" t="str">
        <f t="shared" si="37"/>
        <v>cukup</v>
      </c>
      <c r="BL38" s="286">
        <f t="shared" si="38"/>
        <v>3</v>
      </c>
      <c r="BM38" s="288">
        <f t="shared" si="39"/>
        <v>1</v>
      </c>
      <c r="BN38" s="289" t="str">
        <f t="shared" si="40"/>
        <v>Memiliki keterampilan cukup dalam menghitung biaya produksi (harga pokok produksi )kerajinan dan menyusun perencanaan usaha kerajinan dengan inspirasi artefak</v>
      </c>
      <c r="BO38" s="67"/>
    </row>
    <row r="39" spans="1:67" ht="33" customHeight="1">
      <c r="A39" s="67"/>
      <c r="B39" s="272">
        <f t="shared" si="43"/>
        <v>26</v>
      </c>
      <c r="C39" s="273">
        <f>IF(Data!F30="","",Data!F30)</f>
        <v>0</v>
      </c>
      <c r="D39" s="274" t="str">
        <f>IF(Data!H30="","",Data!H30)</f>
        <v>Misel Miranda Sora</v>
      </c>
      <c r="E39" s="275" t="str">
        <f>IF(Data!I30="","",Data!I30)</f>
        <v>P</v>
      </c>
      <c r="F39" s="276">
        <v>90</v>
      </c>
      <c r="G39" s="277">
        <v>100</v>
      </c>
      <c r="H39" s="277">
        <v>80</v>
      </c>
      <c r="I39" s="277">
        <v>90</v>
      </c>
      <c r="J39" s="277"/>
      <c r="K39" s="277"/>
      <c r="L39" s="277"/>
      <c r="M39" s="280"/>
      <c r="N39" s="277"/>
      <c r="O39" s="278"/>
      <c r="P39" s="279">
        <f t="shared" si="24"/>
        <v>90</v>
      </c>
      <c r="Q39" s="277">
        <v>90</v>
      </c>
      <c r="R39" s="280">
        <v>84</v>
      </c>
      <c r="S39" s="281">
        <f t="shared" si="25"/>
        <v>89</v>
      </c>
      <c r="T39" s="295" t="str">
        <f t="shared" si="26"/>
        <v>B</v>
      </c>
      <c r="U39" s="1215">
        <f t="shared" si="41"/>
        <v>90.01</v>
      </c>
      <c r="V39" s="1216">
        <f t="shared" si="41"/>
        <v>100.02</v>
      </c>
      <c r="W39" s="1216">
        <f t="shared" si="41"/>
        <v>80.03</v>
      </c>
      <c r="X39" s="1216">
        <f t="shared" si="41"/>
        <v>90.04</v>
      </c>
      <c r="Y39" s="1216" t="str">
        <f t="shared" si="41"/>
        <v/>
      </c>
      <c r="Z39" s="1216" t="str">
        <f t="shared" si="41"/>
        <v/>
      </c>
      <c r="AA39" s="1216" t="str">
        <f t="shared" si="41"/>
        <v/>
      </c>
      <c r="AB39" s="1217" t="str">
        <f t="shared" si="41"/>
        <v/>
      </c>
      <c r="AC39" s="1216" t="str">
        <f t="shared" si="41"/>
        <v/>
      </c>
      <c r="AD39" s="1218" t="str">
        <f t="shared" si="41"/>
        <v/>
      </c>
      <c r="AE39" s="1219">
        <f t="shared" si="27"/>
        <v>100.02</v>
      </c>
      <c r="AF39" s="282">
        <f t="shared" si="28"/>
        <v>80.03</v>
      </c>
      <c r="AG39" s="282" t="str">
        <f t="shared" si="29"/>
        <v>sangat baik</v>
      </c>
      <c r="AH39" s="282" t="str">
        <f t="shared" si="29"/>
        <v>cukup</v>
      </c>
      <c r="AI39" s="282">
        <f t="shared" si="30"/>
        <v>2</v>
      </c>
      <c r="AJ39" s="283">
        <f t="shared" si="31"/>
        <v>3</v>
      </c>
      <c r="AK39" s="284" t="str">
        <f t="shared" si="32"/>
        <v>Memiliki kemampuan sangat baik dalam KD pengetahuan 2 Prakarya dan Kewirausahaan, cukup kemampuan dalam memahami perhitungan biaya produksi berdasarkan daya dukung</v>
      </c>
      <c r="AL39" s="276">
        <v>80</v>
      </c>
      <c r="AM39" s="277">
        <v>80</v>
      </c>
      <c r="AN39" s="277">
        <v>80</v>
      </c>
      <c r="AO39" s="277"/>
      <c r="AP39" s="277"/>
      <c r="AQ39" s="277"/>
      <c r="AR39" s="277"/>
      <c r="AS39" s="280"/>
      <c r="AT39" s="277"/>
      <c r="AU39" s="278"/>
      <c r="AV39" s="285">
        <f t="shared" si="33"/>
        <v>80</v>
      </c>
      <c r="AW39" s="296" t="str">
        <f t="shared" si="34"/>
        <v>C</v>
      </c>
      <c r="AX39" s="1220">
        <f t="shared" si="42"/>
        <v>80.010000000000005</v>
      </c>
      <c r="AY39" s="1221">
        <f t="shared" si="42"/>
        <v>80.02</v>
      </c>
      <c r="AZ39" s="1221">
        <f t="shared" si="42"/>
        <v>80.03</v>
      </c>
      <c r="BA39" s="1221" t="str">
        <f t="shared" si="42"/>
        <v/>
      </c>
      <c r="BB39" s="1221" t="str">
        <f t="shared" si="42"/>
        <v/>
      </c>
      <c r="BC39" s="1221" t="str">
        <f t="shared" si="42"/>
        <v/>
      </c>
      <c r="BD39" s="1221" t="str">
        <f t="shared" si="42"/>
        <v/>
      </c>
      <c r="BE39" s="1222" t="str">
        <f t="shared" si="42"/>
        <v/>
      </c>
      <c r="BF39" s="1221" t="str">
        <f t="shared" si="42"/>
        <v/>
      </c>
      <c r="BG39" s="1223" t="str">
        <f t="shared" si="42"/>
        <v/>
      </c>
      <c r="BH39" s="286">
        <f t="shared" si="35"/>
        <v>80.03</v>
      </c>
      <c r="BI39" s="286">
        <f t="shared" si="36"/>
        <v>80.010000000000005</v>
      </c>
      <c r="BJ39" s="287" t="str">
        <f t="shared" si="37"/>
        <v>cukup</v>
      </c>
      <c r="BK39" s="287" t="str">
        <f t="shared" si="37"/>
        <v>cukup</v>
      </c>
      <c r="BL39" s="286">
        <f t="shared" si="38"/>
        <v>3</v>
      </c>
      <c r="BM39" s="288">
        <f t="shared" si="39"/>
        <v>1</v>
      </c>
      <c r="BN39" s="289" t="str">
        <f t="shared" si="40"/>
        <v>Memiliki keterampilan cukup dalam menghitung biaya produksi (harga pokok produksi )kerajinan dan menyusun perencanaan usaha kerajinan dengan inspirasi artefak</v>
      </c>
      <c r="BO39" s="67"/>
    </row>
    <row r="40" spans="1:67" ht="33" customHeight="1">
      <c r="A40" s="67"/>
      <c r="B40" s="272">
        <f t="shared" si="43"/>
        <v>27</v>
      </c>
      <c r="C40" s="273">
        <f>IF(Data!F31="","",Data!F31)</f>
        <v>0</v>
      </c>
      <c r="D40" s="274" t="str">
        <f>IF(Data!H31="","",Data!H31)</f>
        <v>Nofianti Tainmeta</v>
      </c>
      <c r="E40" s="275" t="str">
        <f>IF(Data!I31="","",Data!I31)</f>
        <v>P</v>
      </c>
      <c r="F40" s="276">
        <v>90</v>
      </c>
      <c r="G40" s="277">
        <v>85</v>
      </c>
      <c r="H40" s="277">
        <v>80</v>
      </c>
      <c r="I40" s="277">
        <v>95</v>
      </c>
      <c r="J40" s="277"/>
      <c r="K40" s="277"/>
      <c r="L40" s="277"/>
      <c r="M40" s="280"/>
      <c r="N40" s="277"/>
      <c r="O40" s="278"/>
      <c r="P40" s="279">
        <f t="shared" si="24"/>
        <v>88</v>
      </c>
      <c r="Q40" s="277">
        <v>90</v>
      </c>
      <c r="R40" s="280">
        <v>84</v>
      </c>
      <c r="S40" s="281">
        <f t="shared" si="25"/>
        <v>88</v>
      </c>
      <c r="T40" s="295" t="str">
        <f t="shared" si="26"/>
        <v>B</v>
      </c>
      <c r="U40" s="1215">
        <f t="shared" si="41"/>
        <v>90.01</v>
      </c>
      <c r="V40" s="1216">
        <f t="shared" si="41"/>
        <v>85.02</v>
      </c>
      <c r="W40" s="1216">
        <f t="shared" si="41"/>
        <v>80.03</v>
      </c>
      <c r="X40" s="1216">
        <f t="shared" si="41"/>
        <v>95.04</v>
      </c>
      <c r="Y40" s="1216" t="str">
        <f t="shared" si="41"/>
        <v/>
      </c>
      <c r="Z40" s="1216" t="str">
        <f t="shared" si="41"/>
        <v/>
      </c>
      <c r="AA40" s="1216" t="str">
        <f t="shared" si="41"/>
        <v/>
      </c>
      <c r="AB40" s="1217" t="str">
        <f t="shared" si="41"/>
        <v/>
      </c>
      <c r="AC40" s="1216" t="str">
        <f t="shared" si="41"/>
        <v/>
      </c>
      <c r="AD40" s="1218" t="str">
        <f t="shared" si="41"/>
        <v/>
      </c>
      <c r="AE40" s="1219">
        <f t="shared" si="27"/>
        <v>95.04</v>
      </c>
      <c r="AF40" s="282">
        <f t="shared" si="28"/>
        <v>80.03</v>
      </c>
      <c r="AG40" s="282" t="str">
        <f t="shared" si="29"/>
        <v>sangat baik</v>
      </c>
      <c r="AH40" s="282" t="str">
        <f t="shared" si="29"/>
        <v>cukup</v>
      </c>
      <c r="AI40" s="282">
        <f t="shared" si="30"/>
        <v>4</v>
      </c>
      <c r="AJ40" s="283">
        <f t="shared" si="31"/>
        <v>3</v>
      </c>
      <c r="AK40" s="284" t="str">
        <f t="shared" si="32"/>
        <v>Memiliki kemampuan sangat baik dalam memahami strategi pemasaran produk kerajina dengan inspirasi, cukup kemampuan dalam memahami perhitungan biaya produksi berdasarkan daya dukung</v>
      </c>
      <c r="AL40" s="276">
        <v>90</v>
      </c>
      <c r="AM40" s="277">
        <v>90</v>
      </c>
      <c r="AN40" s="277">
        <v>90</v>
      </c>
      <c r="AO40" s="277"/>
      <c r="AP40" s="277"/>
      <c r="AQ40" s="277"/>
      <c r="AR40" s="277"/>
      <c r="AS40" s="280"/>
      <c r="AT40" s="277"/>
      <c r="AU40" s="278"/>
      <c r="AV40" s="285">
        <f t="shared" si="33"/>
        <v>90</v>
      </c>
      <c r="AW40" s="296" t="str">
        <f t="shared" si="34"/>
        <v>B</v>
      </c>
      <c r="AX40" s="1220">
        <f t="shared" si="42"/>
        <v>90.01</v>
      </c>
      <c r="AY40" s="1221">
        <f t="shared" si="42"/>
        <v>90.02</v>
      </c>
      <c r="AZ40" s="1221">
        <f t="shared" si="42"/>
        <v>90.03</v>
      </c>
      <c r="BA40" s="1221" t="str">
        <f t="shared" si="42"/>
        <v/>
      </c>
      <c r="BB40" s="1221" t="str">
        <f t="shared" si="42"/>
        <v/>
      </c>
      <c r="BC40" s="1221" t="str">
        <f t="shared" si="42"/>
        <v/>
      </c>
      <c r="BD40" s="1221" t="str">
        <f t="shared" si="42"/>
        <v/>
      </c>
      <c r="BE40" s="1222" t="str">
        <f t="shared" si="42"/>
        <v/>
      </c>
      <c r="BF40" s="1221" t="str">
        <f t="shared" si="42"/>
        <v/>
      </c>
      <c r="BG40" s="1223" t="str">
        <f t="shared" si="42"/>
        <v/>
      </c>
      <c r="BH40" s="286">
        <f t="shared" si="35"/>
        <v>90.03</v>
      </c>
      <c r="BI40" s="286">
        <f t="shared" si="36"/>
        <v>90.01</v>
      </c>
      <c r="BJ40" s="287" t="str">
        <f t="shared" si="37"/>
        <v>baik</v>
      </c>
      <c r="BK40" s="287" t="str">
        <f t="shared" si="37"/>
        <v>baik</v>
      </c>
      <c r="BL40" s="286">
        <f t="shared" si="38"/>
        <v>3</v>
      </c>
      <c r="BM40" s="288">
        <f t="shared" si="39"/>
        <v>1</v>
      </c>
      <c r="BN40" s="289" t="str">
        <f t="shared" si="40"/>
        <v>Memiliki keterampilan baik dalam menghitung biaya produksi (harga pokok produksi )kerajinan dan menyusun perencanaan usaha kerajinan dengan inspirasi artefak</v>
      </c>
      <c r="BO40" s="67"/>
    </row>
    <row r="41" spans="1:67" ht="33" customHeight="1">
      <c r="A41" s="67"/>
      <c r="B41" s="272">
        <f t="shared" si="43"/>
        <v>28</v>
      </c>
      <c r="C41" s="273">
        <f>IF(Data!F32="","",Data!F32)</f>
        <v>0</v>
      </c>
      <c r="D41" s="274" t="str">
        <f>IF(Data!H32="","",Data!H32)</f>
        <v>Ofni Antrikus Banun</v>
      </c>
      <c r="E41" s="275" t="str">
        <f>IF(Data!I32="","",Data!I32)</f>
        <v>L</v>
      </c>
      <c r="F41" s="276">
        <v>79</v>
      </c>
      <c r="G41" s="277">
        <v>79</v>
      </c>
      <c r="H41" s="277">
        <v>79</v>
      </c>
      <c r="I41" s="277">
        <v>79</v>
      </c>
      <c r="J41" s="277"/>
      <c r="K41" s="277"/>
      <c r="L41" s="277"/>
      <c r="M41" s="280"/>
      <c r="N41" s="277"/>
      <c r="O41" s="278"/>
      <c r="P41" s="279">
        <f t="shared" si="24"/>
        <v>79</v>
      </c>
      <c r="Q41" s="277">
        <v>79</v>
      </c>
      <c r="R41" s="280">
        <v>82</v>
      </c>
      <c r="S41" s="281">
        <f t="shared" si="25"/>
        <v>80</v>
      </c>
      <c r="T41" s="295" t="str">
        <f t="shared" si="26"/>
        <v>C</v>
      </c>
      <c r="U41" s="1215">
        <f t="shared" si="41"/>
        <v>79.010000000000005</v>
      </c>
      <c r="V41" s="1216">
        <f t="shared" si="41"/>
        <v>79.02</v>
      </c>
      <c r="W41" s="1216">
        <f t="shared" si="41"/>
        <v>79.03</v>
      </c>
      <c r="X41" s="1216">
        <f t="shared" si="41"/>
        <v>79.040000000000006</v>
      </c>
      <c r="Y41" s="1216" t="str">
        <f t="shared" si="41"/>
        <v/>
      </c>
      <c r="Z41" s="1216" t="str">
        <f t="shared" si="41"/>
        <v/>
      </c>
      <c r="AA41" s="1216" t="str">
        <f t="shared" si="41"/>
        <v/>
      </c>
      <c r="AB41" s="1217" t="str">
        <f t="shared" si="41"/>
        <v/>
      </c>
      <c r="AC41" s="1216" t="str">
        <f t="shared" si="41"/>
        <v/>
      </c>
      <c r="AD41" s="1218" t="str">
        <f t="shared" si="41"/>
        <v/>
      </c>
      <c r="AE41" s="1219">
        <f t="shared" si="27"/>
        <v>79.040000000000006</v>
      </c>
      <c r="AF41" s="282">
        <f t="shared" si="28"/>
        <v>79.010000000000005</v>
      </c>
      <c r="AG41" s="282" t="str">
        <f t="shared" si="29"/>
        <v>cukup</v>
      </c>
      <c r="AH41" s="282" t="str">
        <f t="shared" si="29"/>
        <v>cukup</v>
      </c>
      <c r="AI41" s="282">
        <f t="shared" si="30"/>
        <v>4</v>
      </c>
      <c r="AJ41" s="283">
        <f t="shared" si="31"/>
        <v>1</v>
      </c>
      <c r="AK41" s="284" t="str">
        <f t="shared" si="32"/>
        <v>Memiliki kemampuan cukup dalam memahami strategi pemasaran produk kerajina dengan inspirasi dan memahami perencanaan usaha kerajinan dengan inspirasi artefak</v>
      </c>
      <c r="AL41" s="276">
        <v>80</v>
      </c>
      <c r="AM41" s="277">
        <v>80</v>
      </c>
      <c r="AN41" s="277">
        <v>80</v>
      </c>
      <c r="AO41" s="277"/>
      <c r="AP41" s="277"/>
      <c r="AQ41" s="277"/>
      <c r="AR41" s="277"/>
      <c r="AS41" s="280"/>
      <c r="AT41" s="277"/>
      <c r="AU41" s="278"/>
      <c r="AV41" s="285">
        <f t="shared" si="33"/>
        <v>80</v>
      </c>
      <c r="AW41" s="296" t="str">
        <f t="shared" si="34"/>
        <v>C</v>
      </c>
      <c r="AX41" s="1220">
        <f t="shared" si="42"/>
        <v>80.010000000000005</v>
      </c>
      <c r="AY41" s="1221">
        <f t="shared" si="42"/>
        <v>80.02</v>
      </c>
      <c r="AZ41" s="1221">
        <f t="shared" si="42"/>
        <v>80.03</v>
      </c>
      <c r="BA41" s="1221" t="str">
        <f t="shared" si="42"/>
        <v/>
      </c>
      <c r="BB41" s="1221" t="str">
        <f t="shared" si="42"/>
        <v/>
      </c>
      <c r="BC41" s="1221" t="str">
        <f t="shared" si="42"/>
        <v/>
      </c>
      <c r="BD41" s="1221" t="str">
        <f t="shared" si="42"/>
        <v/>
      </c>
      <c r="BE41" s="1222" t="str">
        <f t="shared" si="42"/>
        <v/>
      </c>
      <c r="BF41" s="1221" t="str">
        <f t="shared" si="42"/>
        <v/>
      </c>
      <c r="BG41" s="1223" t="str">
        <f t="shared" si="42"/>
        <v/>
      </c>
      <c r="BH41" s="286">
        <f t="shared" si="35"/>
        <v>80.03</v>
      </c>
      <c r="BI41" s="286">
        <f t="shared" si="36"/>
        <v>80.010000000000005</v>
      </c>
      <c r="BJ41" s="287" t="str">
        <f t="shared" si="37"/>
        <v>cukup</v>
      </c>
      <c r="BK41" s="287" t="str">
        <f t="shared" si="37"/>
        <v>cukup</v>
      </c>
      <c r="BL41" s="286">
        <f t="shared" si="38"/>
        <v>3</v>
      </c>
      <c r="BM41" s="288">
        <f t="shared" si="39"/>
        <v>1</v>
      </c>
      <c r="BN41" s="289" t="str">
        <f t="shared" si="40"/>
        <v>Memiliki keterampilan cukup dalam menghitung biaya produksi (harga pokok produksi )kerajinan dan menyusun perencanaan usaha kerajinan dengan inspirasi artefak</v>
      </c>
      <c r="BO41" s="67"/>
    </row>
    <row r="42" spans="1:67" ht="33" customHeight="1">
      <c r="A42" s="67"/>
      <c r="B42" s="272">
        <f t="shared" si="43"/>
        <v>29</v>
      </c>
      <c r="C42" s="273">
        <f>IF(Data!F33="","",Data!F33)</f>
        <v>0</v>
      </c>
      <c r="D42" s="274" t="str">
        <f>IF(Data!H33="","",Data!H33)</f>
        <v>Roiyandi Saebesi</v>
      </c>
      <c r="E42" s="275" t="str">
        <f>IF(Data!I33="","",Data!I33)</f>
        <v>L</v>
      </c>
      <c r="F42" s="276">
        <v>90</v>
      </c>
      <c r="G42" s="277">
        <v>80</v>
      </c>
      <c r="H42" s="277">
        <v>80</v>
      </c>
      <c r="I42" s="277">
        <v>80</v>
      </c>
      <c r="J42" s="277"/>
      <c r="K42" s="277"/>
      <c r="L42" s="277"/>
      <c r="M42" s="280"/>
      <c r="N42" s="277"/>
      <c r="O42" s="278"/>
      <c r="P42" s="279">
        <f t="shared" si="24"/>
        <v>83</v>
      </c>
      <c r="Q42" s="277">
        <v>90</v>
      </c>
      <c r="R42" s="280">
        <v>82</v>
      </c>
      <c r="S42" s="281">
        <f t="shared" si="25"/>
        <v>85</v>
      </c>
      <c r="T42" s="295" t="str">
        <f t="shared" si="26"/>
        <v>B</v>
      </c>
      <c r="U42" s="1215">
        <f t="shared" si="41"/>
        <v>90.01</v>
      </c>
      <c r="V42" s="1216">
        <f t="shared" si="41"/>
        <v>80.02</v>
      </c>
      <c r="W42" s="1216">
        <f t="shared" si="41"/>
        <v>80.03</v>
      </c>
      <c r="X42" s="1216">
        <f t="shared" si="41"/>
        <v>80.040000000000006</v>
      </c>
      <c r="Y42" s="1216" t="str">
        <f t="shared" si="41"/>
        <v/>
      </c>
      <c r="Z42" s="1216" t="str">
        <f t="shared" si="41"/>
        <v/>
      </c>
      <c r="AA42" s="1216" t="str">
        <f t="shared" si="41"/>
        <v/>
      </c>
      <c r="AB42" s="1217" t="str">
        <f t="shared" si="41"/>
        <v/>
      </c>
      <c r="AC42" s="1216" t="str">
        <f t="shared" si="41"/>
        <v/>
      </c>
      <c r="AD42" s="1218" t="str">
        <f t="shared" si="41"/>
        <v/>
      </c>
      <c r="AE42" s="1219">
        <f t="shared" si="27"/>
        <v>90.01</v>
      </c>
      <c r="AF42" s="282">
        <f t="shared" si="28"/>
        <v>80.02</v>
      </c>
      <c r="AG42" s="282" t="str">
        <f t="shared" si="29"/>
        <v>baik</v>
      </c>
      <c r="AH42" s="282" t="str">
        <f t="shared" si="29"/>
        <v>cukup</v>
      </c>
      <c r="AI42" s="282">
        <f t="shared" si="30"/>
        <v>1</v>
      </c>
      <c r="AJ42" s="283">
        <f t="shared" si="31"/>
        <v>2</v>
      </c>
      <c r="AK42" s="284" t="str">
        <f t="shared" si="32"/>
        <v>Memiliki kemampuan baik dalam memahami perencanaan usaha kerajinan dengan inspirasi artefak, cukup kemampuan dalam KD pengetahuan 2 Prakarya dan Kewirausahaan</v>
      </c>
      <c r="AL42" s="276">
        <v>90</v>
      </c>
      <c r="AM42" s="277">
        <v>90</v>
      </c>
      <c r="AN42" s="277">
        <v>90</v>
      </c>
      <c r="AO42" s="277"/>
      <c r="AP42" s="277"/>
      <c r="AQ42" s="277"/>
      <c r="AR42" s="277"/>
      <c r="AS42" s="280"/>
      <c r="AT42" s="277"/>
      <c r="AU42" s="278"/>
      <c r="AV42" s="285">
        <f t="shared" si="33"/>
        <v>90</v>
      </c>
      <c r="AW42" s="296" t="str">
        <f t="shared" si="34"/>
        <v>B</v>
      </c>
      <c r="AX42" s="1220">
        <f t="shared" si="42"/>
        <v>90.01</v>
      </c>
      <c r="AY42" s="1221">
        <f t="shared" si="42"/>
        <v>90.02</v>
      </c>
      <c r="AZ42" s="1221">
        <f t="shared" si="42"/>
        <v>90.03</v>
      </c>
      <c r="BA42" s="1221" t="str">
        <f t="shared" si="42"/>
        <v/>
      </c>
      <c r="BB42" s="1221" t="str">
        <f t="shared" si="42"/>
        <v/>
      </c>
      <c r="BC42" s="1221" t="str">
        <f t="shared" si="42"/>
        <v/>
      </c>
      <c r="BD42" s="1221" t="str">
        <f t="shared" si="42"/>
        <v/>
      </c>
      <c r="BE42" s="1222" t="str">
        <f t="shared" si="42"/>
        <v/>
      </c>
      <c r="BF42" s="1221" t="str">
        <f t="shared" si="42"/>
        <v/>
      </c>
      <c r="BG42" s="1223" t="str">
        <f t="shared" si="42"/>
        <v/>
      </c>
      <c r="BH42" s="286">
        <f t="shared" si="35"/>
        <v>90.03</v>
      </c>
      <c r="BI42" s="286">
        <f t="shared" si="36"/>
        <v>90.01</v>
      </c>
      <c r="BJ42" s="287" t="str">
        <f t="shared" si="37"/>
        <v>baik</v>
      </c>
      <c r="BK42" s="287" t="str">
        <f t="shared" si="37"/>
        <v>baik</v>
      </c>
      <c r="BL42" s="286">
        <f t="shared" si="38"/>
        <v>3</v>
      </c>
      <c r="BM42" s="288">
        <f t="shared" si="39"/>
        <v>1</v>
      </c>
      <c r="BN42" s="289" t="str">
        <f t="shared" si="40"/>
        <v>Memiliki keterampilan baik dalam menghitung biaya produksi (harga pokok produksi )kerajinan dan menyusun perencanaan usaha kerajinan dengan inspirasi artefak</v>
      </c>
      <c r="BO42" s="67"/>
    </row>
    <row r="43" spans="1:67" ht="33" customHeight="1">
      <c r="A43" s="67"/>
      <c r="B43" s="272">
        <f t="shared" si="43"/>
        <v>30</v>
      </c>
      <c r="C43" s="273">
        <f>IF(Data!F34="","",Data!F34)</f>
        <v>0</v>
      </c>
      <c r="D43" s="274" t="str">
        <f>IF(Data!H34="","",Data!H34)</f>
        <v>Roni Yohanis Bira</v>
      </c>
      <c r="E43" s="275" t="str">
        <f>IF(Data!I34="","",Data!I34)</f>
        <v>L</v>
      </c>
      <c r="F43" s="276">
        <v>90</v>
      </c>
      <c r="G43" s="277">
        <v>85</v>
      </c>
      <c r="H43" s="277">
        <v>80</v>
      </c>
      <c r="I43" s="277">
        <v>85</v>
      </c>
      <c r="J43" s="277"/>
      <c r="K43" s="277"/>
      <c r="L43" s="277"/>
      <c r="M43" s="280"/>
      <c r="N43" s="277"/>
      <c r="O43" s="278"/>
      <c r="P43" s="279">
        <f t="shared" si="24"/>
        <v>85</v>
      </c>
      <c r="Q43" s="277">
        <v>85</v>
      </c>
      <c r="R43" s="280">
        <v>84</v>
      </c>
      <c r="S43" s="281">
        <f t="shared" si="25"/>
        <v>85</v>
      </c>
      <c r="T43" s="295" t="str">
        <f t="shared" si="26"/>
        <v>B</v>
      </c>
      <c r="U43" s="1215">
        <f t="shared" si="41"/>
        <v>90.01</v>
      </c>
      <c r="V43" s="1216">
        <f t="shared" si="41"/>
        <v>85.02</v>
      </c>
      <c r="W43" s="1216">
        <f t="shared" si="41"/>
        <v>80.03</v>
      </c>
      <c r="X43" s="1216">
        <f t="shared" si="41"/>
        <v>85.04</v>
      </c>
      <c r="Y43" s="1216" t="str">
        <f t="shared" si="41"/>
        <v/>
      </c>
      <c r="Z43" s="1216" t="str">
        <f t="shared" si="41"/>
        <v/>
      </c>
      <c r="AA43" s="1216" t="str">
        <f t="shared" si="41"/>
        <v/>
      </c>
      <c r="AB43" s="1217" t="str">
        <f t="shared" si="41"/>
        <v/>
      </c>
      <c r="AC43" s="1216" t="str">
        <f t="shared" si="41"/>
        <v/>
      </c>
      <c r="AD43" s="1218" t="str">
        <f t="shared" si="41"/>
        <v/>
      </c>
      <c r="AE43" s="1219">
        <f t="shared" si="27"/>
        <v>90.01</v>
      </c>
      <c r="AF43" s="282">
        <f t="shared" si="28"/>
        <v>80.03</v>
      </c>
      <c r="AG43" s="282" t="str">
        <f t="shared" si="29"/>
        <v>baik</v>
      </c>
      <c r="AH43" s="282" t="str">
        <f t="shared" si="29"/>
        <v>cukup</v>
      </c>
      <c r="AI43" s="282">
        <f t="shared" si="30"/>
        <v>1</v>
      </c>
      <c r="AJ43" s="283">
        <f t="shared" si="31"/>
        <v>3</v>
      </c>
      <c r="AK43" s="284" t="str">
        <f t="shared" si="32"/>
        <v>Memiliki kemampuan baik dalam memahami perencanaan usaha kerajinan dengan inspirasi artefak, cukup kemampuan dalam memahami perhitungan biaya produksi berdasarkan daya dukung</v>
      </c>
      <c r="AL43" s="276">
        <v>90</v>
      </c>
      <c r="AM43" s="277">
        <v>90</v>
      </c>
      <c r="AN43" s="277">
        <v>90</v>
      </c>
      <c r="AO43" s="277"/>
      <c r="AP43" s="277"/>
      <c r="AQ43" s="277"/>
      <c r="AR43" s="277"/>
      <c r="AS43" s="280"/>
      <c r="AT43" s="277"/>
      <c r="AU43" s="278"/>
      <c r="AV43" s="285">
        <f t="shared" si="33"/>
        <v>90</v>
      </c>
      <c r="AW43" s="296" t="str">
        <f t="shared" si="34"/>
        <v>B</v>
      </c>
      <c r="AX43" s="1220">
        <f t="shared" si="42"/>
        <v>90.01</v>
      </c>
      <c r="AY43" s="1221">
        <f t="shared" si="42"/>
        <v>90.02</v>
      </c>
      <c r="AZ43" s="1221">
        <f t="shared" si="42"/>
        <v>90.03</v>
      </c>
      <c r="BA43" s="1221" t="str">
        <f t="shared" si="42"/>
        <v/>
      </c>
      <c r="BB43" s="1221" t="str">
        <f t="shared" si="42"/>
        <v/>
      </c>
      <c r="BC43" s="1221" t="str">
        <f t="shared" si="42"/>
        <v/>
      </c>
      <c r="BD43" s="1221" t="str">
        <f t="shared" si="42"/>
        <v/>
      </c>
      <c r="BE43" s="1222" t="str">
        <f t="shared" si="42"/>
        <v/>
      </c>
      <c r="BF43" s="1221" t="str">
        <f t="shared" si="42"/>
        <v/>
      </c>
      <c r="BG43" s="1223" t="str">
        <f t="shared" si="42"/>
        <v/>
      </c>
      <c r="BH43" s="286">
        <f t="shared" si="35"/>
        <v>90.03</v>
      </c>
      <c r="BI43" s="286">
        <f t="shared" si="36"/>
        <v>90.01</v>
      </c>
      <c r="BJ43" s="287" t="str">
        <f t="shared" si="37"/>
        <v>baik</v>
      </c>
      <c r="BK43" s="287" t="str">
        <f t="shared" si="37"/>
        <v>baik</v>
      </c>
      <c r="BL43" s="286">
        <f t="shared" si="38"/>
        <v>3</v>
      </c>
      <c r="BM43" s="288">
        <f t="shared" si="39"/>
        <v>1</v>
      </c>
      <c r="BN43" s="289" t="str">
        <f t="shared" si="40"/>
        <v>Memiliki keterampilan baik dalam menghitung biaya produksi (harga pokok produksi )kerajinan dan menyusun perencanaan usaha kerajinan dengan inspirasi artefak</v>
      </c>
      <c r="BO43" s="67"/>
    </row>
    <row r="44" spans="1:67" ht="33" customHeight="1">
      <c r="A44" s="67"/>
      <c r="B44" s="272">
        <f t="shared" si="43"/>
        <v>31</v>
      </c>
      <c r="C44" s="273">
        <f>IF(Data!F35="","",Data!F35)</f>
        <v>0</v>
      </c>
      <c r="D44" s="274" t="str">
        <f>IF(Data!H35="","",Data!H35)</f>
        <v>Sinta Norliana Funan</v>
      </c>
      <c r="E44" s="275" t="str">
        <f>IF(Data!I35="","",Data!I35)</f>
        <v>P</v>
      </c>
      <c r="F44" s="276">
        <v>80</v>
      </c>
      <c r="G44" s="277">
        <v>85</v>
      </c>
      <c r="H44" s="277">
        <v>80</v>
      </c>
      <c r="I44" s="277">
        <v>90</v>
      </c>
      <c r="J44" s="277"/>
      <c r="K44" s="277"/>
      <c r="L44" s="277"/>
      <c r="M44" s="280"/>
      <c r="N44" s="277"/>
      <c r="O44" s="278"/>
      <c r="P44" s="279">
        <f t="shared" si="24"/>
        <v>84</v>
      </c>
      <c r="Q44" s="277">
        <v>90</v>
      </c>
      <c r="R44" s="280">
        <v>84</v>
      </c>
      <c r="S44" s="281">
        <f t="shared" si="25"/>
        <v>86</v>
      </c>
      <c r="T44" s="295" t="str">
        <f t="shared" si="26"/>
        <v>B</v>
      </c>
      <c r="U44" s="1215">
        <f t="shared" si="41"/>
        <v>80.010000000000005</v>
      </c>
      <c r="V44" s="1216">
        <f t="shared" si="41"/>
        <v>85.02</v>
      </c>
      <c r="W44" s="1216">
        <f t="shared" si="41"/>
        <v>80.03</v>
      </c>
      <c r="X44" s="1216">
        <f t="shared" si="41"/>
        <v>90.04</v>
      </c>
      <c r="Y44" s="1216" t="str">
        <f t="shared" si="41"/>
        <v/>
      </c>
      <c r="Z44" s="1216" t="str">
        <f t="shared" si="41"/>
        <v/>
      </c>
      <c r="AA44" s="1216" t="str">
        <f t="shared" si="41"/>
        <v/>
      </c>
      <c r="AB44" s="1217" t="str">
        <f t="shared" si="41"/>
        <v/>
      </c>
      <c r="AC44" s="1216" t="str">
        <f t="shared" si="41"/>
        <v/>
      </c>
      <c r="AD44" s="1218" t="str">
        <f t="shared" si="41"/>
        <v/>
      </c>
      <c r="AE44" s="1219">
        <f t="shared" si="27"/>
        <v>90.04</v>
      </c>
      <c r="AF44" s="282">
        <f t="shared" si="28"/>
        <v>80.010000000000005</v>
      </c>
      <c r="AG44" s="282" t="str">
        <f t="shared" si="29"/>
        <v>baik</v>
      </c>
      <c r="AH44" s="282" t="str">
        <f t="shared" si="29"/>
        <v>cukup</v>
      </c>
      <c r="AI44" s="282">
        <f t="shared" si="30"/>
        <v>4</v>
      </c>
      <c r="AJ44" s="283">
        <f t="shared" si="31"/>
        <v>1</v>
      </c>
      <c r="AK44" s="284" t="str">
        <f t="shared" si="32"/>
        <v>Memiliki kemampuan baik dalam memahami strategi pemasaran produk kerajina dengan inspirasi, cukup kemampuan dalam memahami perencanaan usaha kerajinan dengan inspirasi artefak</v>
      </c>
      <c r="AL44" s="276">
        <v>90</v>
      </c>
      <c r="AM44" s="277">
        <v>90</v>
      </c>
      <c r="AN44" s="277">
        <v>90</v>
      </c>
      <c r="AO44" s="277"/>
      <c r="AP44" s="277"/>
      <c r="AQ44" s="277"/>
      <c r="AR44" s="277"/>
      <c r="AS44" s="280"/>
      <c r="AT44" s="277"/>
      <c r="AU44" s="278"/>
      <c r="AV44" s="285">
        <f t="shared" si="33"/>
        <v>90</v>
      </c>
      <c r="AW44" s="296" t="str">
        <f t="shared" si="34"/>
        <v>B</v>
      </c>
      <c r="AX44" s="1220">
        <f t="shared" si="42"/>
        <v>90.01</v>
      </c>
      <c r="AY44" s="1221">
        <f t="shared" si="42"/>
        <v>90.02</v>
      </c>
      <c r="AZ44" s="1221">
        <f t="shared" si="42"/>
        <v>90.03</v>
      </c>
      <c r="BA44" s="1221" t="str">
        <f t="shared" si="42"/>
        <v/>
      </c>
      <c r="BB44" s="1221" t="str">
        <f t="shared" si="42"/>
        <v/>
      </c>
      <c r="BC44" s="1221" t="str">
        <f t="shared" si="42"/>
        <v/>
      </c>
      <c r="BD44" s="1221" t="str">
        <f t="shared" si="42"/>
        <v/>
      </c>
      <c r="BE44" s="1222" t="str">
        <f t="shared" si="42"/>
        <v/>
      </c>
      <c r="BF44" s="1221" t="str">
        <f t="shared" si="42"/>
        <v/>
      </c>
      <c r="BG44" s="1223" t="str">
        <f t="shared" si="42"/>
        <v/>
      </c>
      <c r="BH44" s="286">
        <f t="shared" si="35"/>
        <v>90.03</v>
      </c>
      <c r="BI44" s="286">
        <f t="shared" si="36"/>
        <v>90.01</v>
      </c>
      <c r="BJ44" s="287" t="str">
        <f t="shared" si="37"/>
        <v>baik</v>
      </c>
      <c r="BK44" s="287" t="str">
        <f t="shared" si="37"/>
        <v>baik</v>
      </c>
      <c r="BL44" s="286">
        <f t="shared" si="38"/>
        <v>3</v>
      </c>
      <c r="BM44" s="288">
        <f t="shared" si="39"/>
        <v>1</v>
      </c>
      <c r="BN44" s="289" t="str">
        <f t="shared" si="40"/>
        <v>Memiliki keterampilan baik dalam menghitung biaya produksi (harga pokok produksi )kerajinan dan menyusun perencanaan usaha kerajinan dengan inspirasi artefak</v>
      </c>
      <c r="BO44" s="67"/>
    </row>
    <row r="45" spans="1:67" ht="33" customHeight="1">
      <c r="A45" s="67"/>
      <c r="B45" s="272">
        <f t="shared" si="43"/>
        <v>32</v>
      </c>
      <c r="C45" s="273">
        <f>IF(Data!F36="","",Data!F36)</f>
        <v>0</v>
      </c>
      <c r="D45" s="274" t="str">
        <f>IF(Data!H36="","",Data!H36)</f>
        <v>Stevi Otnial Loemnanu</v>
      </c>
      <c r="E45" s="275" t="str">
        <f>IF(Data!I36="","",Data!I36)</f>
        <v>L</v>
      </c>
      <c r="F45" s="276">
        <v>85</v>
      </c>
      <c r="G45" s="277">
        <v>85</v>
      </c>
      <c r="H45" s="277">
        <v>80</v>
      </c>
      <c r="I45" s="277">
        <v>100</v>
      </c>
      <c r="J45" s="277"/>
      <c r="K45" s="277"/>
      <c r="L45" s="277"/>
      <c r="M45" s="280"/>
      <c r="N45" s="277"/>
      <c r="O45" s="278"/>
      <c r="P45" s="279">
        <f t="shared" si="24"/>
        <v>88</v>
      </c>
      <c r="Q45" s="277">
        <v>80</v>
      </c>
      <c r="R45" s="280">
        <v>84</v>
      </c>
      <c r="S45" s="281">
        <f t="shared" si="25"/>
        <v>85</v>
      </c>
      <c r="T45" s="295" t="str">
        <f t="shared" si="26"/>
        <v>B</v>
      </c>
      <c r="U45" s="1215">
        <f t="shared" si="41"/>
        <v>85.01</v>
      </c>
      <c r="V45" s="1216">
        <f t="shared" si="41"/>
        <v>85.02</v>
      </c>
      <c r="W45" s="1216">
        <f t="shared" si="41"/>
        <v>80.03</v>
      </c>
      <c r="X45" s="1216">
        <f t="shared" si="41"/>
        <v>100.04</v>
      </c>
      <c r="Y45" s="1216" t="str">
        <f t="shared" si="41"/>
        <v/>
      </c>
      <c r="Z45" s="1216" t="str">
        <f t="shared" si="41"/>
        <v/>
      </c>
      <c r="AA45" s="1216" t="str">
        <f t="shared" si="41"/>
        <v/>
      </c>
      <c r="AB45" s="1217" t="str">
        <f t="shared" si="41"/>
        <v/>
      </c>
      <c r="AC45" s="1216" t="str">
        <f t="shared" si="41"/>
        <v/>
      </c>
      <c r="AD45" s="1218" t="str">
        <f t="shared" si="41"/>
        <v/>
      </c>
      <c r="AE45" s="1219">
        <f t="shared" si="27"/>
        <v>100.04</v>
      </c>
      <c r="AF45" s="282">
        <f t="shared" si="28"/>
        <v>80.03</v>
      </c>
      <c r="AG45" s="282" t="str">
        <f t="shared" si="29"/>
        <v>sangat baik</v>
      </c>
      <c r="AH45" s="282" t="str">
        <f t="shared" si="29"/>
        <v>cukup</v>
      </c>
      <c r="AI45" s="282">
        <f t="shared" si="30"/>
        <v>4</v>
      </c>
      <c r="AJ45" s="283">
        <f t="shared" si="31"/>
        <v>3</v>
      </c>
      <c r="AK45" s="284" t="str">
        <f t="shared" si="32"/>
        <v>Memiliki kemampuan sangat baik dalam memahami strategi pemasaran produk kerajina dengan inspirasi, cukup kemampuan dalam memahami perhitungan biaya produksi berdasarkan daya dukung</v>
      </c>
      <c r="AL45" s="276">
        <v>80</v>
      </c>
      <c r="AM45" s="277">
        <v>80</v>
      </c>
      <c r="AN45" s="277">
        <v>80</v>
      </c>
      <c r="AO45" s="277"/>
      <c r="AP45" s="277"/>
      <c r="AQ45" s="277"/>
      <c r="AR45" s="277"/>
      <c r="AS45" s="280"/>
      <c r="AT45" s="277"/>
      <c r="AU45" s="278"/>
      <c r="AV45" s="285">
        <f t="shared" si="33"/>
        <v>80</v>
      </c>
      <c r="AW45" s="296" t="str">
        <f t="shared" si="34"/>
        <v>C</v>
      </c>
      <c r="AX45" s="1220">
        <f t="shared" si="42"/>
        <v>80.010000000000005</v>
      </c>
      <c r="AY45" s="1221">
        <f t="shared" si="42"/>
        <v>80.02</v>
      </c>
      <c r="AZ45" s="1221">
        <f t="shared" si="42"/>
        <v>80.03</v>
      </c>
      <c r="BA45" s="1221" t="str">
        <f t="shared" si="42"/>
        <v/>
      </c>
      <c r="BB45" s="1221" t="str">
        <f t="shared" si="42"/>
        <v/>
      </c>
      <c r="BC45" s="1221" t="str">
        <f t="shared" si="42"/>
        <v/>
      </c>
      <c r="BD45" s="1221" t="str">
        <f t="shared" si="42"/>
        <v/>
      </c>
      <c r="BE45" s="1222" t="str">
        <f t="shared" si="42"/>
        <v/>
      </c>
      <c r="BF45" s="1221" t="str">
        <f t="shared" si="42"/>
        <v/>
      </c>
      <c r="BG45" s="1223" t="str">
        <f t="shared" si="42"/>
        <v/>
      </c>
      <c r="BH45" s="286">
        <f t="shared" si="35"/>
        <v>80.03</v>
      </c>
      <c r="BI45" s="286">
        <f t="shared" si="36"/>
        <v>80.010000000000005</v>
      </c>
      <c r="BJ45" s="287" t="str">
        <f t="shared" si="37"/>
        <v>cukup</v>
      </c>
      <c r="BK45" s="287" t="str">
        <f t="shared" si="37"/>
        <v>cukup</v>
      </c>
      <c r="BL45" s="286">
        <f t="shared" si="38"/>
        <v>3</v>
      </c>
      <c r="BM45" s="288">
        <f t="shared" si="39"/>
        <v>1</v>
      </c>
      <c r="BN45" s="289" t="str">
        <f t="shared" si="40"/>
        <v>Memiliki keterampilan cukup dalam menghitung biaya produksi (harga pokok produksi )kerajinan dan menyusun perencanaan usaha kerajinan dengan inspirasi artefak</v>
      </c>
      <c r="BO45" s="67"/>
    </row>
    <row r="46" spans="1:67" ht="33" customHeight="1">
      <c r="A46" s="67"/>
      <c r="B46" s="272">
        <f t="shared" si="43"/>
        <v>33</v>
      </c>
      <c r="C46" s="273">
        <f>IF(Data!F37="","",Data!F37)</f>
        <v>0</v>
      </c>
      <c r="D46" s="274" t="str">
        <f>IF(Data!H37="","",Data!H37)</f>
        <v>Venciani Sefrianti Sufnera</v>
      </c>
      <c r="E46" s="275" t="str">
        <f>IF(Data!I37="","",Data!I37)</f>
        <v>P</v>
      </c>
      <c r="F46" s="276">
        <v>90</v>
      </c>
      <c r="G46" s="277">
        <v>85</v>
      </c>
      <c r="H46" s="277">
        <v>80</v>
      </c>
      <c r="I46" s="277">
        <v>95</v>
      </c>
      <c r="J46" s="277"/>
      <c r="K46" s="277"/>
      <c r="L46" s="277"/>
      <c r="M46" s="280"/>
      <c r="N46" s="277"/>
      <c r="O46" s="278"/>
      <c r="P46" s="279">
        <f t="shared" si="24"/>
        <v>88</v>
      </c>
      <c r="Q46" s="277">
        <v>90</v>
      </c>
      <c r="R46" s="280">
        <v>84</v>
      </c>
      <c r="S46" s="281">
        <f t="shared" si="25"/>
        <v>88</v>
      </c>
      <c r="T46" s="295" t="str">
        <f t="shared" si="26"/>
        <v>B</v>
      </c>
      <c r="U46" s="1215">
        <f t="shared" si="41"/>
        <v>90.01</v>
      </c>
      <c r="V46" s="1216">
        <f t="shared" si="41"/>
        <v>85.02</v>
      </c>
      <c r="W46" s="1216">
        <f t="shared" si="41"/>
        <v>80.03</v>
      </c>
      <c r="X46" s="1216">
        <f t="shared" si="41"/>
        <v>95.04</v>
      </c>
      <c r="Y46" s="1216" t="str">
        <f t="shared" si="41"/>
        <v/>
      </c>
      <c r="Z46" s="1216" t="str">
        <f t="shared" si="41"/>
        <v/>
      </c>
      <c r="AA46" s="1216" t="str">
        <f t="shared" si="41"/>
        <v/>
      </c>
      <c r="AB46" s="1217" t="str">
        <f t="shared" si="41"/>
        <v/>
      </c>
      <c r="AC46" s="1216" t="str">
        <f t="shared" si="41"/>
        <v/>
      </c>
      <c r="AD46" s="1218" t="str">
        <f t="shared" si="41"/>
        <v/>
      </c>
      <c r="AE46" s="1219">
        <f t="shared" si="27"/>
        <v>95.04</v>
      </c>
      <c r="AF46" s="282">
        <f t="shared" si="28"/>
        <v>80.03</v>
      </c>
      <c r="AG46" s="282" t="str">
        <f t="shared" si="29"/>
        <v>sangat baik</v>
      </c>
      <c r="AH46" s="282" t="str">
        <f t="shared" si="29"/>
        <v>cukup</v>
      </c>
      <c r="AI46" s="282">
        <f t="shared" si="30"/>
        <v>4</v>
      </c>
      <c r="AJ46" s="283">
        <f t="shared" si="31"/>
        <v>3</v>
      </c>
      <c r="AK46" s="284" t="str">
        <f t="shared" si="32"/>
        <v>Memiliki kemampuan sangat baik dalam memahami strategi pemasaran produk kerajina dengan inspirasi, cukup kemampuan dalam memahami perhitungan biaya produksi berdasarkan daya dukung</v>
      </c>
      <c r="AL46" s="276">
        <v>90</v>
      </c>
      <c r="AM46" s="277">
        <v>90</v>
      </c>
      <c r="AN46" s="277">
        <v>90</v>
      </c>
      <c r="AO46" s="277"/>
      <c r="AP46" s="277"/>
      <c r="AQ46" s="277"/>
      <c r="AR46" s="277"/>
      <c r="AS46" s="280"/>
      <c r="AT46" s="277"/>
      <c r="AU46" s="278"/>
      <c r="AV46" s="285">
        <f t="shared" si="33"/>
        <v>90</v>
      </c>
      <c r="AW46" s="296" t="str">
        <f t="shared" si="34"/>
        <v>B</v>
      </c>
      <c r="AX46" s="1220">
        <f t="shared" si="42"/>
        <v>90.01</v>
      </c>
      <c r="AY46" s="1221">
        <f t="shared" si="42"/>
        <v>90.02</v>
      </c>
      <c r="AZ46" s="1221">
        <f t="shared" si="42"/>
        <v>90.03</v>
      </c>
      <c r="BA46" s="1221" t="str">
        <f t="shared" si="42"/>
        <v/>
      </c>
      <c r="BB46" s="1221" t="str">
        <f t="shared" si="42"/>
        <v/>
      </c>
      <c r="BC46" s="1221" t="str">
        <f t="shared" si="42"/>
        <v/>
      </c>
      <c r="BD46" s="1221" t="str">
        <f t="shared" si="42"/>
        <v/>
      </c>
      <c r="BE46" s="1222" t="str">
        <f t="shared" si="42"/>
        <v/>
      </c>
      <c r="BF46" s="1221" t="str">
        <f t="shared" si="42"/>
        <v/>
      </c>
      <c r="BG46" s="1223" t="str">
        <f t="shared" si="42"/>
        <v/>
      </c>
      <c r="BH46" s="286">
        <f t="shared" si="35"/>
        <v>90.03</v>
      </c>
      <c r="BI46" s="286">
        <f t="shared" si="36"/>
        <v>90.01</v>
      </c>
      <c r="BJ46" s="287" t="str">
        <f t="shared" si="37"/>
        <v>baik</v>
      </c>
      <c r="BK46" s="287" t="str">
        <f t="shared" si="37"/>
        <v>baik</v>
      </c>
      <c r="BL46" s="286">
        <f t="shared" si="38"/>
        <v>3</v>
      </c>
      <c r="BM46" s="288">
        <f t="shared" si="39"/>
        <v>1</v>
      </c>
      <c r="BN46" s="289" t="str">
        <f t="shared" si="40"/>
        <v>Memiliki keterampilan baik dalam menghitung biaya produksi (harga pokok produksi )kerajinan dan menyusun perencanaan usaha kerajinan dengan inspirasi artefak</v>
      </c>
      <c r="BO46" s="67"/>
    </row>
    <row r="47" spans="1:67" ht="33" customHeight="1">
      <c r="A47" s="67"/>
      <c r="B47" s="272">
        <f t="shared" ref="B47:B63" si="44">IF(D47="","",B46+1)</f>
        <v>34</v>
      </c>
      <c r="C47" s="273">
        <f>IF(Data!F38="","",Data!F38)</f>
        <v>0</v>
      </c>
      <c r="D47" s="274" t="str">
        <f>IF(Data!H38="","",Data!H38)</f>
        <v>Yangres Nitti</v>
      </c>
      <c r="E47" s="275" t="str">
        <f>IF(Data!I38="","",Data!I38)</f>
        <v>L</v>
      </c>
      <c r="F47" s="276">
        <v>90</v>
      </c>
      <c r="G47" s="277">
        <v>80</v>
      </c>
      <c r="H47" s="277">
        <v>80</v>
      </c>
      <c r="I47" s="277">
        <v>95</v>
      </c>
      <c r="J47" s="277"/>
      <c r="K47" s="277"/>
      <c r="L47" s="277"/>
      <c r="M47" s="280"/>
      <c r="N47" s="277"/>
      <c r="O47" s="278"/>
      <c r="P47" s="279">
        <f t="shared" si="24"/>
        <v>86</v>
      </c>
      <c r="Q47" s="277">
        <v>85</v>
      </c>
      <c r="R47" s="280">
        <v>84</v>
      </c>
      <c r="S47" s="281">
        <f t="shared" si="25"/>
        <v>85</v>
      </c>
      <c r="T47" s="295" t="str">
        <f t="shared" si="26"/>
        <v>B</v>
      </c>
      <c r="U47" s="1215">
        <f t="shared" si="41"/>
        <v>90.01</v>
      </c>
      <c r="V47" s="1216">
        <f t="shared" si="41"/>
        <v>80.02</v>
      </c>
      <c r="W47" s="1216">
        <f t="shared" si="41"/>
        <v>80.03</v>
      </c>
      <c r="X47" s="1216">
        <f t="shared" si="41"/>
        <v>95.04</v>
      </c>
      <c r="Y47" s="1216" t="str">
        <f t="shared" si="41"/>
        <v/>
      </c>
      <c r="Z47" s="1216" t="str">
        <f t="shared" si="41"/>
        <v/>
      </c>
      <c r="AA47" s="1216" t="str">
        <f t="shared" si="41"/>
        <v/>
      </c>
      <c r="AB47" s="1217" t="str">
        <f t="shared" si="41"/>
        <v/>
      </c>
      <c r="AC47" s="1216" t="str">
        <f t="shared" si="41"/>
        <v/>
      </c>
      <c r="AD47" s="1218" t="str">
        <f t="shared" si="41"/>
        <v/>
      </c>
      <c r="AE47" s="1219">
        <f t="shared" si="27"/>
        <v>95.04</v>
      </c>
      <c r="AF47" s="282">
        <f t="shared" si="28"/>
        <v>80.02</v>
      </c>
      <c r="AG47" s="282" t="str">
        <f t="shared" si="29"/>
        <v>sangat baik</v>
      </c>
      <c r="AH47" s="282" t="str">
        <f t="shared" si="29"/>
        <v>cukup</v>
      </c>
      <c r="AI47" s="282">
        <f t="shared" si="30"/>
        <v>4</v>
      </c>
      <c r="AJ47" s="283">
        <f t="shared" si="31"/>
        <v>2</v>
      </c>
      <c r="AK47" s="284" t="str">
        <f t="shared" si="32"/>
        <v>Memiliki kemampuan sangat baik dalam memahami strategi pemasaran produk kerajina dengan inspirasi, cukup kemampuan dalam KD pengetahuan 2 Prakarya dan Kewirausahaan</v>
      </c>
      <c r="AL47" s="276">
        <v>90</v>
      </c>
      <c r="AM47" s="277">
        <v>90</v>
      </c>
      <c r="AN47" s="277">
        <v>90</v>
      </c>
      <c r="AO47" s="277"/>
      <c r="AP47" s="277"/>
      <c r="AQ47" s="277"/>
      <c r="AR47" s="277"/>
      <c r="AS47" s="280"/>
      <c r="AT47" s="277"/>
      <c r="AU47" s="278"/>
      <c r="AV47" s="285">
        <f t="shared" si="33"/>
        <v>90</v>
      </c>
      <c r="AW47" s="296" t="str">
        <f t="shared" si="34"/>
        <v>B</v>
      </c>
      <c r="AX47" s="1220">
        <f t="shared" si="42"/>
        <v>90.01</v>
      </c>
      <c r="AY47" s="1221">
        <f t="shared" si="42"/>
        <v>90.02</v>
      </c>
      <c r="AZ47" s="1221">
        <f t="shared" si="42"/>
        <v>90.03</v>
      </c>
      <c r="BA47" s="1221" t="str">
        <f t="shared" si="42"/>
        <v/>
      </c>
      <c r="BB47" s="1221" t="str">
        <f t="shared" si="42"/>
        <v/>
      </c>
      <c r="BC47" s="1221" t="str">
        <f t="shared" si="42"/>
        <v/>
      </c>
      <c r="BD47" s="1221" t="str">
        <f t="shared" si="42"/>
        <v/>
      </c>
      <c r="BE47" s="1222" t="str">
        <f t="shared" si="42"/>
        <v/>
      </c>
      <c r="BF47" s="1221" t="str">
        <f t="shared" si="42"/>
        <v/>
      </c>
      <c r="BG47" s="1223" t="str">
        <f t="shared" si="42"/>
        <v/>
      </c>
      <c r="BH47" s="286">
        <f t="shared" si="35"/>
        <v>90.03</v>
      </c>
      <c r="BI47" s="286">
        <f t="shared" si="36"/>
        <v>90.01</v>
      </c>
      <c r="BJ47" s="287" t="str">
        <f t="shared" si="37"/>
        <v>baik</v>
      </c>
      <c r="BK47" s="287" t="str">
        <f t="shared" si="37"/>
        <v>baik</v>
      </c>
      <c r="BL47" s="286">
        <f t="shared" si="38"/>
        <v>3</v>
      </c>
      <c r="BM47" s="288">
        <f t="shared" si="39"/>
        <v>1</v>
      </c>
      <c r="BN47" s="289" t="str">
        <f t="shared" si="40"/>
        <v>Memiliki keterampilan baik dalam menghitung biaya produksi (harga pokok produksi )kerajinan dan menyusun perencanaan usaha kerajinan dengan inspirasi artefak</v>
      </c>
      <c r="BO47" s="67"/>
    </row>
    <row r="48" spans="1:67" ht="33" customHeight="1">
      <c r="A48" s="67"/>
      <c r="B48" s="272">
        <f t="shared" si="44"/>
        <v>35</v>
      </c>
      <c r="C48" s="273">
        <f>IF(Data!F39="","",Data!F39)</f>
        <v>0</v>
      </c>
      <c r="D48" s="274" t="str">
        <f>IF(Data!H39="","",Data!H39)</f>
        <v>Yefta Trianus Mau</v>
      </c>
      <c r="E48" s="275" t="str">
        <f>IF(Data!I39="","",Data!I39)</f>
        <v>L</v>
      </c>
      <c r="F48" s="276">
        <v>90</v>
      </c>
      <c r="G48" s="277">
        <v>85</v>
      </c>
      <c r="H48" s="277">
        <v>80</v>
      </c>
      <c r="I48" s="277">
        <v>95</v>
      </c>
      <c r="J48" s="277"/>
      <c r="K48" s="277"/>
      <c r="L48" s="277"/>
      <c r="M48" s="280"/>
      <c r="N48" s="277"/>
      <c r="O48" s="278"/>
      <c r="P48" s="279">
        <f t="shared" si="24"/>
        <v>88</v>
      </c>
      <c r="Q48" s="277">
        <v>85</v>
      </c>
      <c r="R48" s="280">
        <v>84</v>
      </c>
      <c r="S48" s="281">
        <f t="shared" si="25"/>
        <v>86</v>
      </c>
      <c r="T48" s="295" t="str">
        <f t="shared" si="26"/>
        <v>B</v>
      </c>
      <c r="U48" s="1215">
        <f t="shared" si="41"/>
        <v>90.01</v>
      </c>
      <c r="V48" s="1216">
        <f t="shared" si="41"/>
        <v>85.02</v>
      </c>
      <c r="W48" s="1216">
        <f t="shared" si="41"/>
        <v>80.03</v>
      </c>
      <c r="X48" s="1216">
        <f t="shared" si="41"/>
        <v>95.04</v>
      </c>
      <c r="Y48" s="1216" t="str">
        <f t="shared" si="41"/>
        <v/>
      </c>
      <c r="Z48" s="1216" t="str">
        <f t="shared" si="41"/>
        <v/>
      </c>
      <c r="AA48" s="1216" t="str">
        <f t="shared" si="41"/>
        <v/>
      </c>
      <c r="AB48" s="1217" t="str">
        <f t="shared" si="41"/>
        <v/>
      </c>
      <c r="AC48" s="1216" t="str">
        <f t="shared" si="41"/>
        <v/>
      </c>
      <c r="AD48" s="1218" t="str">
        <f t="shared" si="41"/>
        <v/>
      </c>
      <c r="AE48" s="1219">
        <f t="shared" si="27"/>
        <v>95.04</v>
      </c>
      <c r="AF48" s="282">
        <f t="shared" si="28"/>
        <v>80.03</v>
      </c>
      <c r="AG48" s="282" t="str">
        <f t="shared" si="29"/>
        <v>sangat baik</v>
      </c>
      <c r="AH48" s="282" t="str">
        <f t="shared" si="29"/>
        <v>cukup</v>
      </c>
      <c r="AI48" s="282">
        <f t="shared" si="30"/>
        <v>4</v>
      </c>
      <c r="AJ48" s="283">
        <f t="shared" si="31"/>
        <v>3</v>
      </c>
      <c r="AK48" s="284" t="str">
        <f t="shared" si="32"/>
        <v>Memiliki kemampuan sangat baik dalam memahami strategi pemasaran produk kerajina dengan inspirasi, cukup kemampuan dalam memahami perhitungan biaya produksi berdasarkan daya dukung</v>
      </c>
      <c r="AL48" s="276">
        <v>90</v>
      </c>
      <c r="AM48" s="277">
        <v>90</v>
      </c>
      <c r="AN48" s="277">
        <v>90</v>
      </c>
      <c r="AO48" s="277"/>
      <c r="AP48" s="277"/>
      <c r="AQ48" s="277"/>
      <c r="AR48" s="277"/>
      <c r="AS48" s="280"/>
      <c r="AT48" s="277"/>
      <c r="AU48" s="278"/>
      <c r="AV48" s="285">
        <f t="shared" si="33"/>
        <v>90</v>
      </c>
      <c r="AW48" s="296" t="str">
        <f t="shared" si="34"/>
        <v>B</v>
      </c>
      <c r="AX48" s="1220">
        <f t="shared" si="42"/>
        <v>90.01</v>
      </c>
      <c r="AY48" s="1221">
        <f t="shared" si="42"/>
        <v>90.02</v>
      </c>
      <c r="AZ48" s="1221">
        <f t="shared" si="42"/>
        <v>90.03</v>
      </c>
      <c r="BA48" s="1221" t="str">
        <f t="shared" si="42"/>
        <v/>
      </c>
      <c r="BB48" s="1221" t="str">
        <f t="shared" si="42"/>
        <v/>
      </c>
      <c r="BC48" s="1221" t="str">
        <f t="shared" si="42"/>
        <v/>
      </c>
      <c r="BD48" s="1221" t="str">
        <f t="shared" si="42"/>
        <v/>
      </c>
      <c r="BE48" s="1222" t="str">
        <f t="shared" si="42"/>
        <v/>
      </c>
      <c r="BF48" s="1221" t="str">
        <f t="shared" si="42"/>
        <v/>
      </c>
      <c r="BG48" s="1223" t="str">
        <f t="shared" si="42"/>
        <v/>
      </c>
      <c r="BH48" s="286">
        <f t="shared" si="35"/>
        <v>90.03</v>
      </c>
      <c r="BI48" s="286">
        <f t="shared" si="36"/>
        <v>90.01</v>
      </c>
      <c r="BJ48" s="287" t="str">
        <f t="shared" si="37"/>
        <v>baik</v>
      </c>
      <c r="BK48" s="287" t="str">
        <f t="shared" si="37"/>
        <v>baik</v>
      </c>
      <c r="BL48" s="286">
        <f t="shared" si="38"/>
        <v>3</v>
      </c>
      <c r="BM48" s="288">
        <f t="shared" si="39"/>
        <v>1</v>
      </c>
      <c r="BN48" s="289" t="str">
        <f t="shared" si="40"/>
        <v>Memiliki keterampilan baik dalam menghitung biaya produksi (harga pokok produksi )kerajinan dan menyusun perencanaan usaha kerajinan dengan inspirasi artefak</v>
      </c>
      <c r="BO48" s="67"/>
    </row>
    <row r="49" spans="1:67" ht="33" customHeight="1">
      <c r="A49" s="67"/>
      <c r="B49" s="272">
        <f t="shared" si="44"/>
        <v>36</v>
      </c>
      <c r="C49" s="273">
        <f>IF(Data!F40="","",Data!F40)</f>
        <v>0</v>
      </c>
      <c r="D49" s="274" t="str">
        <f>IF(Data!H40="","",Data!H40)</f>
        <v>Yuliana Febriyanti Nggeon</v>
      </c>
      <c r="E49" s="275" t="str">
        <f>IF(Data!I40="","",Data!I40)</f>
        <v>P</v>
      </c>
      <c r="F49" s="276">
        <v>90</v>
      </c>
      <c r="G49" s="277">
        <v>95</v>
      </c>
      <c r="H49" s="277">
        <v>80</v>
      </c>
      <c r="I49" s="277">
        <v>85</v>
      </c>
      <c r="J49" s="277"/>
      <c r="K49" s="277"/>
      <c r="L49" s="277"/>
      <c r="M49" s="280"/>
      <c r="N49" s="277"/>
      <c r="O49" s="278"/>
      <c r="P49" s="279">
        <f t="shared" si="24"/>
        <v>88</v>
      </c>
      <c r="Q49" s="277">
        <v>85</v>
      </c>
      <c r="R49" s="280">
        <v>84</v>
      </c>
      <c r="S49" s="281">
        <f t="shared" si="25"/>
        <v>86</v>
      </c>
      <c r="T49" s="295" t="str">
        <f t="shared" si="26"/>
        <v>B</v>
      </c>
      <c r="U49" s="1215">
        <f t="shared" si="41"/>
        <v>90.01</v>
      </c>
      <c r="V49" s="1216">
        <f t="shared" si="41"/>
        <v>95.02</v>
      </c>
      <c r="W49" s="1216">
        <f t="shared" si="41"/>
        <v>80.03</v>
      </c>
      <c r="X49" s="1216">
        <f t="shared" si="41"/>
        <v>85.04</v>
      </c>
      <c r="Y49" s="1216" t="str">
        <f t="shared" si="41"/>
        <v/>
      </c>
      <c r="Z49" s="1216" t="str">
        <f t="shared" si="41"/>
        <v/>
      </c>
      <c r="AA49" s="1216" t="str">
        <f t="shared" si="41"/>
        <v/>
      </c>
      <c r="AB49" s="1217" t="str">
        <f t="shared" si="41"/>
        <v/>
      </c>
      <c r="AC49" s="1216" t="str">
        <f t="shared" si="41"/>
        <v/>
      </c>
      <c r="AD49" s="1218" t="str">
        <f t="shared" si="41"/>
        <v/>
      </c>
      <c r="AE49" s="1219">
        <f t="shared" si="27"/>
        <v>95.02</v>
      </c>
      <c r="AF49" s="282">
        <f t="shared" si="28"/>
        <v>80.03</v>
      </c>
      <c r="AG49" s="282" t="str">
        <f t="shared" si="29"/>
        <v>sangat baik</v>
      </c>
      <c r="AH49" s="282" t="str">
        <f t="shared" si="29"/>
        <v>cukup</v>
      </c>
      <c r="AI49" s="282">
        <f t="shared" si="30"/>
        <v>2</v>
      </c>
      <c r="AJ49" s="283">
        <f t="shared" si="31"/>
        <v>3</v>
      </c>
      <c r="AK49" s="284" t="str">
        <f t="shared" si="32"/>
        <v>Memiliki kemampuan sangat baik dalam KD pengetahuan 2 Prakarya dan Kewirausahaan, cukup kemampuan dalam memahami perhitungan biaya produksi berdasarkan daya dukung</v>
      </c>
      <c r="AL49" s="276">
        <v>80</v>
      </c>
      <c r="AM49" s="277">
        <v>80</v>
      </c>
      <c r="AN49" s="277">
        <v>80</v>
      </c>
      <c r="AO49" s="277"/>
      <c r="AP49" s="277"/>
      <c r="AQ49" s="277"/>
      <c r="AR49" s="277"/>
      <c r="AS49" s="280"/>
      <c r="AT49" s="277"/>
      <c r="AU49" s="278"/>
      <c r="AV49" s="285">
        <f t="shared" si="33"/>
        <v>80</v>
      </c>
      <c r="AW49" s="296" t="str">
        <f t="shared" si="34"/>
        <v>C</v>
      </c>
      <c r="AX49" s="1220">
        <f t="shared" si="42"/>
        <v>80.010000000000005</v>
      </c>
      <c r="AY49" s="1221">
        <f t="shared" si="42"/>
        <v>80.02</v>
      </c>
      <c r="AZ49" s="1221">
        <f t="shared" si="42"/>
        <v>80.03</v>
      </c>
      <c r="BA49" s="1221" t="str">
        <f t="shared" si="42"/>
        <v/>
      </c>
      <c r="BB49" s="1221" t="str">
        <f t="shared" si="42"/>
        <v/>
      </c>
      <c r="BC49" s="1221" t="str">
        <f t="shared" si="42"/>
        <v/>
      </c>
      <c r="BD49" s="1221" t="str">
        <f t="shared" si="42"/>
        <v/>
      </c>
      <c r="BE49" s="1222" t="str">
        <f t="shared" si="42"/>
        <v/>
      </c>
      <c r="BF49" s="1221" t="str">
        <f t="shared" si="42"/>
        <v/>
      </c>
      <c r="BG49" s="1223" t="str">
        <f t="shared" si="42"/>
        <v/>
      </c>
      <c r="BH49" s="286">
        <f t="shared" si="35"/>
        <v>80.03</v>
      </c>
      <c r="BI49" s="286">
        <f t="shared" si="36"/>
        <v>80.010000000000005</v>
      </c>
      <c r="BJ49" s="287" t="str">
        <f t="shared" si="37"/>
        <v>cukup</v>
      </c>
      <c r="BK49" s="287" t="str">
        <f t="shared" si="37"/>
        <v>cukup</v>
      </c>
      <c r="BL49" s="286">
        <f t="shared" si="38"/>
        <v>3</v>
      </c>
      <c r="BM49" s="288">
        <f t="shared" si="39"/>
        <v>1</v>
      </c>
      <c r="BN49" s="289" t="str">
        <f t="shared" si="40"/>
        <v>Memiliki keterampilan cukup dalam menghitung biaya produksi (harga pokok produksi )kerajinan dan menyusun perencanaan usaha kerajinan dengan inspirasi artefak</v>
      </c>
      <c r="BO49" s="67"/>
    </row>
    <row r="50" spans="1:67" ht="33" customHeight="1">
      <c r="A50" s="67"/>
      <c r="B50" s="272">
        <f t="shared" si="44"/>
        <v>37</v>
      </c>
      <c r="C50" s="273">
        <f>IF(Data!F41="","",Data!F41)</f>
        <v>0</v>
      </c>
      <c r="D50" s="274" t="str">
        <f>IF(Data!H41="","",Data!H41)</f>
        <v>Yuninda Pono</v>
      </c>
      <c r="E50" s="275" t="str">
        <f>IF(Data!I41="","",Data!I41)</f>
        <v>P</v>
      </c>
      <c r="F50" s="276">
        <v>90</v>
      </c>
      <c r="G50" s="277">
        <v>85</v>
      </c>
      <c r="H50" s="277">
        <v>80</v>
      </c>
      <c r="I50" s="277">
        <v>95</v>
      </c>
      <c r="J50" s="277"/>
      <c r="K50" s="277"/>
      <c r="L50" s="277"/>
      <c r="M50" s="280"/>
      <c r="N50" s="277"/>
      <c r="O50" s="278"/>
      <c r="P50" s="279">
        <f t="shared" si="24"/>
        <v>88</v>
      </c>
      <c r="Q50" s="277">
        <v>85</v>
      </c>
      <c r="R50" s="280">
        <v>84</v>
      </c>
      <c r="S50" s="281">
        <f t="shared" si="25"/>
        <v>86</v>
      </c>
      <c r="T50" s="295" t="str">
        <f t="shared" si="26"/>
        <v>B</v>
      </c>
      <c r="U50" s="1215">
        <f t="shared" si="41"/>
        <v>90.01</v>
      </c>
      <c r="V50" s="1216">
        <f t="shared" si="41"/>
        <v>85.02</v>
      </c>
      <c r="W50" s="1216">
        <f t="shared" si="41"/>
        <v>80.03</v>
      </c>
      <c r="X50" s="1216">
        <f t="shared" si="41"/>
        <v>95.04</v>
      </c>
      <c r="Y50" s="1216" t="str">
        <f t="shared" si="41"/>
        <v/>
      </c>
      <c r="Z50" s="1216" t="str">
        <f t="shared" si="41"/>
        <v/>
      </c>
      <c r="AA50" s="1216" t="str">
        <f t="shared" si="41"/>
        <v/>
      </c>
      <c r="AB50" s="1217" t="str">
        <f t="shared" si="41"/>
        <v/>
      </c>
      <c r="AC50" s="1216" t="str">
        <f t="shared" si="41"/>
        <v/>
      </c>
      <c r="AD50" s="1218" t="str">
        <f t="shared" si="41"/>
        <v/>
      </c>
      <c r="AE50" s="1219">
        <f t="shared" si="27"/>
        <v>95.04</v>
      </c>
      <c r="AF50" s="282">
        <f t="shared" si="28"/>
        <v>80.03</v>
      </c>
      <c r="AG50" s="282" t="str">
        <f t="shared" si="29"/>
        <v>sangat baik</v>
      </c>
      <c r="AH50" s="282" t="str">
        <f t="shared" si="29"/>
        <v>cukup</v>
      </c>
      <c r="AI50" s="282">
        <f t="shared" si="30"/>
        <v>4</v>
      </c>
      <c r="AJ50" s="283">
        <f t="shared" si="31"/>
        <v>3</v>
      </c>
      <c r="AK50" s="284" t="str">
        <f t="shared" si="32"/>
        <v>Memiliki kemampuan sangat baik dalam memahami strategi pemasaran produk kerajina dengan inspirasi, cukup kemampuan dalam memahami perhitungan biaya produksi berdasarkan daya dukung</v>
      </c>
      <c r="AL50" s="276">
        <v>90</v>
      </c>
      <c r="AM50" s="277">
        <v>90</v>
      </c>
      <c r="AN50" s="277">
        <v>90</v>
      </c>
      <c r="AO50" s="277"/>
      <c r="AP50" s="277"/>
      <c r="AQ50" s="277"/>
      <c r="AR50" s="277"/>
      <c r="AS50" s="280"/>
      <c r="AT50" s="277"/>
      <c r="AU50" s="278"/>
      <c r="AV50" s="285">
        <f t="shared" si="33"/>
        <v>90</v>
      </c>
      <c r="AW50" s="296" t="str">
        <f t="shared" si="34"/>
        <v>B</v>
      </c>
      <c r="AX50" s="1220">
        <f t="shared" si="42"/>
        <v>90.01</v>
      </c>
      <c r="AY50" s="1221">
        <f t="shared" si="42"/>
        <v>90.02</v>
      </c>
      <c r="AZ50" s="1221">
        <f t="shared" si="42"/>
        <v>90.03</v>
      </c>
      <c r="BA50" s="1221" t="str">
        <f t="shared" si="42"/>
        <v/>
      </c>
      <c r="BB50" s="1221" t="str">
        <f t="shared" si="42"/>
        <v/>
      </c>
      <c r="BC50" s="1221" t="str">
        <f t="shared" si="42"/>
        <v/>
      </c>
      <c r="BD50" s="1221" t="str">
        <f t="shared" si="42"/>
        <v/>
      </c>
      <c r="BE50" s="1222" t="str">
        <f t="shared" si="42"/>
        <v/>
      </c>
      <c r="BF50" s="1221" t="str">
        <f t="shared" si="42"/>
        <v/>
      </c>
      <c r="BG50" s="1223" t="str">
        <f t="shared" si="42"/>
        <v/>
      </c>
      <c r="BH50" s="286">
        <f t="shared" si="35"/>
        <v>90.03</v>
      </c>
      <c r="BI50" s="286">
        <f t="shared" si="36"/>
        <v>90.01</v>
      </c>
      <c r="BJ50" s="287" t="str">
        <f t="shared" si="37"/>
        <v>baik</v>
      </c>
      <c r="BK50" s="287" t="str">
        <f t="shared" si="37"/>
        <v>baik</v>
      </c>
      <c r="BL50" s="286">
        <f t="shared" si="38"/>
        <v>3</v>
      </c>
      <c r="BM50" s="288">
        <f t="shared" si="39"/>
        <v>1</v>
      </c>
      <c r="BN50" s="289" t="str">
        <f t="shared" si="40"/>
        <v>Memiliki keterampilan baik dalam menghitung biaya produksi (harga pokok produksi )kerajinan dan menyusun perencanaan usaha kerajinan dengan inspirasi artefak</v>
      </c>
      <c r="BO50" s="67"/>
    </row>
    <row r="51" spans="1:67" ht="33" customHeight="1">
      <c r="A51" s="67"/>
      <c r="B51" s="272" t="str">
        <f t="shared" si="44"/>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44"/>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44"/>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44"/>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44"/>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5">IF(K55="","",K55+Z$13)</f>
        <v/>
      </c>
      <c r="AA55" s="1216" t="str">
        <f t="shared" si="45"/>
        <v/>
      </c>
      <c r="AB55" s="1217" t="str">
        <f t="shared" si="45"/>
        <v/>
      </c>
      <c r="AC55" s="1216" t="str">
        <f t="shared" si="45"/>
        <v/>
      </c>
      <c r="AD55" s="1218" t="str">
        <f t="shared" si="45"/>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6">IF(AQ55="","",AQ55+BC$12)</f>
        <v/>
      </c>
      <c r="BD55" s="1221" t="str">
        <f t="shared" si="46"/>
        <v/>
      </c>
      <c r="BE55" s="1222" t="str">
        <f t="shared" si="46"/>
        <v/>
      </c>
      <c r="BF55" s="1221" t="str">
        <f t="shared" si="46"/>
        <v/>
      </c>
      <c r="BG55" s="1223" t="str">
        <f t="shared" si="46"/>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44"/>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7">IF(F56="","",F56+U$13)</f>
        <v/>
      </c>
      <c r="V56" s="1216" t="str">
        <f t="shared" si="47"/>
        <v/>
      </c>
      <c r="W56" s="1216" t="str">
        <f t="shared" si="47"/>
        <v/>
      </c>
      <c r="X56" s="1216" t="str">
        <f t="shared" si="47"/>
        <v/>
      </c>
      <c r="Y56" s="1216" t="str">
        <f t="shared" si="47"/>
        <v/>
      </c>
      <c r="Z56" s="1216" t="str">
        <f t="shared" si="45"/>
        <v/>
      </c>
      <c r="AA56" s="1216" t="str">
        <f t="shared" si="45"/>
        <v/>
      </c>
      <c r="AB56" s="1217" t="str">
        <f t="shared" si="45"/>
        <v/>
      </c>
      <c r="AC56" s="1216" t="str">
        <f t="shared" si="45"/>
        <v/>
      </c>
      <c r="AD56" s="1218" t="str">
        <f t="shared" si="45"/>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8">IF(AL56="","",AL56+AX$12)</f>
        <v/>
      </c>
      <c r="AY56" s="1221" t="str">
        <f t="shared" si="48"/>
        <v/>
      </c>
      <c r="AZ56" s="1221" t="str">
        <f t="shared" si="48"/>
        <v/>
      </c>
      <c r="BA56" s="1221" t="str">
        <f t="shared" si="48"/>
        <v/>
      </c>
      <c r="BB56" s="1221" t="str">
        <f t="shared" si="48"/>
        <v/>
      </c>
      <c r="BC56" s="1221" t="str">
        <f t="shared" si="46"/>
        <v/>
      </c>
      <c r="BD56" s="1221" t="str">
        <f t="shared" si="46"/>
        <v/>
      </c>
      <c r="BE56" s="1222" t="str">
        <f t="shared" si="46"/>
        <v/>
      </c>
      <c r="BF56" s="1221" t="str">
        <f t="shared" si="46"/>
        <v/>
      </c>
      <c r="BG56" s="1223" t="str">
        <f t="shared" si="46"/>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44"/>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7"/>
        <v/>
      </c>
      <c r="V57" s="1216" t="str">
        <f t="shared" si="47"/>
        <v/>
      </c>
      <c r="W57" s="1216" t="str">
        <f t="shared" si="47"/>
        <v/>
      </c>
      <c r="X57" s="1216" t="str">
        <f t="shared" si="47"/>
        <v/>
      </c>
      <c r="Y57" s="1216" t="str">
        <f t="shared" si="47"/>
        <v/>
      </c>
      <c r="Z57" s="1216" t="str">
        <f t="shared" si="45"/>
        <v/>
      </c>
      <c r="AA57" s="1216" t="str">
        <f t="shared" si="45"/>
        <v/>
      </c>
      <c r="AB57" s="1217" t="str">
        <f t="shared" si="45"/>
        <v/>
      </c>
      <c r="AC57" s="1216" t="str">
        <f t="shared" si="45"/>
        <v/>
      </c>
      <c r="AD57" s="1218" t="str">
        <f t="shared" si="45"/>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8"/>
        <v/>
      </c>
      <c r="AY57" s="1221" t="str">
        <f t="shared" si="48"/>
        <v/>
      </c>
      <c r="AZ57" s="1221" t="str">
        <f t="shared" si="48"/>
        <v/>
      </c>
      <c r="BA57" s="1221" t="str">
        <f t="shared" si="48"/>
        <v/>
      </c>
      <c r="BB57" s="1221" t="str">
        <f t="shared" si="48"/>
        <v/>
      </c>
      <c r="BC57" s="1221" t="str">
        <f t="shared" si="46"/>
        <v/>
      </c>
      <c r="BD57" s="1221" t="str">
        <f t="shared" si="46"/>
        <v/>
      </c>
      <c r="BE57" s="1222" t="str">
        <f t="shared" si="46"/>
        <v/>
      </c>
      <c r="BF57" s="1221" t="str">
        <f t="shared" si="46"/>
        <v/>
      </c>
      <c r="BG57" s="1223" t="str">
        <f t="shared" si="46"/>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44"/>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7"/>
        <v/>
      </c>
      <c r="V58" s="1216" t="str">
        <f t="shared" si="47"/>
        <v/>
      </c>
      <c r="W58" s="1216" t="str">
        <f t="shared" si="47"/>
        <v/>
      </c>
      <c r="X58" s="1216" t="str">
        <f t="shared" si="47"/>
        <v/>
      </c>
      <c r="Y58" s="1216" t="str">
        <f t="shared" si="47"/>
        <v/>
      </c>
      <c r="Z58" s="1216" t="str">
        <f t="shared" si="45"/>
        <v/>
      </c>
      <c r="AA58" s="1216" t="str">
        <f t="shared" si="45"/>
        <v/>
      </c>
      <c r="AB58" s="1217" t="str">
        <f t="shared" si="45"/>
        <v/>
      </c>
      <c r="AC58" s="1216" t="str">
        <f t="shared" si="45"/>
        <v/>
      </c>
      <c r="AD58" s="1218" t="str">
        <f t="shared" si="45"/>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8"/>
        <v/>
      </c>
      <c r="AY58" s="1221" t="str">
        <f t="shared" si="48"/>
        <v/>
      </c>
      <c r="AZ58" s="1221" t="str">
        <f t="shared" si="48"/>
        <v/>
      </c>
      <c r="BA58" s="1221" t="str">
        <f t="shared" si="48"/>
        <v/>
      </c>
      <c r="BB58" s="1221" t="str">
        <f t="shared" si="48"/>
        <v/>
      </c>
      <c r="BC58" s="1221" t="str">
        <f t="shared" si="46"/>
        <v/>
      </c>
      <c r="BD58" s="1221" t="str">
        <f t="shared" si="46"/>
        <v/>
      </c>
      <c r="BE58" s="1222" t="str">
        <f t="shared" si="46"/>
        <v/>
      </c>
      <c r="BF58" s="1221" t="str">
        <f t="shared" si="46"/>
        <v/>
      </c>
      <c r="BG58" s="1223" t="str">
        <f t="shared" si="46"/>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44"/>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7"/>
        <v/>
      </c>
      <c r="V59" s="1216" t="str">
        <f t="shared" si="47"/>
        <v/>
      </c>
      <c r="W59" s="1216" t="str">
        <f t="shared" si="47"/>
        <v/>
      </c>
      <c r="X59" s="1216" t="str">
        <f t="shared" si="47"/>
        <v/>
      </c>
      <c r="Y59" s="1216" t="str">
        <f t="shared" si="47"/>
        <v/>
      </c>
      <c r="Z59" s="1216" t="str">
        <f t="shared" si="45"/>
        <v/>
      </c>
      <c r="AA59" s="1216" t="str">
        <f t="shared" si="45"/>
        <v/>
      </c>
      <c r="AB59" s="1217" t="str">
        <f t="shared" si="45"/>
        <v/>
      </c>
      <c r="AC59" s="1216" t="str">
        <f t="shared" si="45"/>
        <v/>
      </c>
      <c r="AD59" s="1218" t="str">
        <f t="shared" si="45"/>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8"/>
        <v/>
      </c>
      <c r="AY59" s="1221" t="str">
        <f t="shared" si="48"/>
        <v/>
      </c>
      <c r="AZ59" s="1221" t="str">
        <f t="shared" si="48"/>
        <v/>
      </c>
      <c r="BA59" s="1221" t="str">
        <f t="shared" si="48"/>
        <v/>
      </c>
      <c r="BB59" s="1221" t="str">
        <f t="shared" si="48"/>
        <v/>
      </c>
      <c r="BC59" s="1221" t="str">
        <f t="shared" si="46"/>
        <v/>
      </c>
      <c r="BD59" s="1221" t="str">
        <f t="shared" si="46"/>
        <v/>
      </c>
      <c r="BE59" s="1222" t="str">
        <f t="shared" si="46"/>
        <v/>
      </c>
      <c r="BF59" s="1221" t="str">
        <f t="shared" si="46"/>
        <v/>
      </c>
      <c r="BG59" s="1223" t="str">
        <f t="shared" si="46"/>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44"/>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7"/>
        <v/>
      </c>
      <c r="V60" s="1216" t="str">
        <f t="shared" si="47"/>
        <v/>
      </c>
      <c r="W60" s="1216" t="str">
        <f t="shared" si="47"/>
        <v/>
      </c>
      <c r="X60" s="1216" t="str">
        <f t="shared" si="47"/>
        <v/>
      </c>
      <c r="Y60" s="1216" t="str">
        <f t="shared" si="47"/>
        <v/>
      </c>
      <c r="Z60" s="1216" t="str">
        <f t="shared" si="45"/>
        <v/>
      </c>
      <c r="AA60" s="1216" t="str">
        <f t="shared" si="45"/>
        <v/>
      </c>
      <c r="AB60" s="1217" t="str">
        <f t="shared" si="45"/>
        <v/>
      </c>
      <c r="AC60" s="1216" t="str">
        <f t="shared" si="45"/>
        <v/>
      </c>
      <c r="AD60" s="1218" t="str">
        <f t="shared" si="45"/>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8"/>
        <v/>
      </c>
      <c r="AY60" s="1221" t="str">
        <f t="shared" si="48"/>
        <v/>
      </c>
      <c r="AZ60" s="1221" t="str">
        <f t="shared" si="48"/>
        <v/>
      </c>
      <c r="BA60" s="1221" t="str">
        <f t="shared" si="48"/>
        <v/>
      </c>
      <c r="BB60" s="1221" t="str">
        <f t="shared" si="48"/>
        <v/>
      </c>
      <c r="BC60" s="1221" t="str">
        <f t="shared" si="46"/>
        <v/>
      </c>
      <c r="BD60" s="1221" t="str">
        <f t="shared" si="46"/>
        <v/>
      </c>
      <c r="BE60" s="1222" t="str">
        <f t="shared" si="46"/>
        <v/>
      </c>
      <c r="BF60" s="1221" t="str">
        <f t="shared" si="46"/>
        <v/>
      </c>
      <c r="BG60" s="1223" t="str">
        <f t="shared" si="46"/>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44"/>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7"/>
        <v/>
      </c>
      <c r="V61" s="1216" t="str">
        <f t="shared" si="47"/>
        <v/>
      </c>
      <c r="W61" s="1216" t="str">
        <f t="shared" si="47"/>
        <v/>
      </c>
      <c r="X61" s="1216" t="str">
        <f t="shared" si="47"/>
        <v/>
      </c>
      <c r="Y61" s="1216" t="str">
        <f t="shared" si="47"/>
        <v/>
      </c>
      <c r="Z61" s="1216" t="str">
        <f t="shared" si="45"/>
        <v/>
      </c>
      <c r="AA61" s="1216" t="str">
        <f t="shared" si="45"/>
        <v/>
      </c>
      <c r="AB61" s="1217" t="str">
        <f t="shared" si="45"/>
        <v/>
      </c>
      <c r="AC61" s="1216" t="str">
        <f t="shared" si="45"/>
        <v/>
      </c>
      <c r="AD61" s="1218" t="str">
        <f t="shared" si="45"/>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8"/>
        <v/>
      </c>
      <c r="AY61" s="1221" t="str">
        <f t="shared" si="48"/>
        <v/>
      </c>
      <c r="AZ61" s="1221" t="str">
        <f t="shared" si="48"/>
        <v/>
      </c>
      <c r="BA61" s="1221" t="str">
        <f t="shared" si="48"/>
        <v/>
      </c>
      <c r="BB61" s="1221" t="str">
        <f t="shared" si="48"/>
        <v/>
      </c>
      <c r="BC61" s="1221" t="str">
        <f t="shared" si="46"/>
        <v/>
      </c>
      <c r="BD61" s="1221" t="str">
        <f t="shared" si="46"/>
        <v/>
      </c>
      <c r="BE61" s="1222" t="str">
        <f t="shared" si="46"/>
        <v/>
      </c>
      <c r="BF61" s="1221" t="str">
        <f t="shared" si="46"/>
        <v/>
      </c>
      <c r="BG61" s="1223" t="str">
        <f t="shared" si="46"/>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44"/>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7"/>
        <v/>
      </c>
      <c r="V62" s="1216" t="str">
        <f t="shared" si="47"/>
        <v/>
      </c>
      <c r="W62" s="1216" t="str">
        <f t="shared" si="47"/>
        <v/>
      </c>
      <c r="X62" s="1216" t="str">
        <f t="shared" si="47"/>
        <v/>
      </c>
      <c r="Y62" s="1216" t="str">
        <f t="shared" si="47"/>
        <v/>
      </c>
      <c r="Z62" s="1216" t="str">
        <f t="shared" si="45"/>
        <v/>
      </c>
      <c r="AA62" s="1216" t="str">
        <f t="shared" si="45"/>
        <v/>
      </c>
      <c r="AB62" s="1217" t="str">
        <f t="shared" si="45"/>
        <v/>
      </c>
      <c r="AC62" s="1216" t="str">
        <f t="shared" si="45"/>
        <v/>
      </c>
      <c r="AD62" s="1218" t="str">
        <f t="shared" si="45"/>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8"/>
        <v/>
      </c>
      <c r="AY62" s="1221" t="str">
        <f t="shared" si="48"/>
        <v/>
      </c>
      <c r="AZ62" s="1221" t="str">
        <f t="shared" si="48"/>
        <v/>
      </c>
      <c r="BA62" s="1221" t="str">
        <f t="shared" si="48"/>
        <v/>
      </c>
      <c r="BB62" s="1221" t="str">
        <f t="shared" si="48"/>
        <v/>
      </c>
      <c r="BC62" s="1221" t="str">
        <f t="shared" si="46"/>
        <v/>
      </c>
      <c r="BD62" s="1221" t="str">
        <f t="shared" si="46"/>
        <v/>
      </c>
      <c r="BE62" s="1222" t="str">
        <f t="shared" si="46"/>
        <v/>
      </c>
      <c r="BF62" s="1221" t="str">
        <f t="shared" si="46"/>
        <v/>
      </c>
      <c r="BG62" s="1223" t="str">
        <f t="shared" si="46"/>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44"/>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7"/>
        <v/>
      </c>
      <c r="V63" s="1216" t="str">
        <f t="shared" si="47"/>
        <v/>
      </c>
      <c r="W63" s="1216" t="str">
        <f t="shared" si="47"/>
        <v/>
      </c>
      <c r="X63" s="1216" t="str">
        <f t="shared" si="47"/>
        <v/>
      </c>
      <c r="Y63" s="1216" t="str">
        <f t="shared" si="47"/>
        <v/>
      </c>
      <c r="Z63" s="1216" t="str">
        <f t="shared" si="45"/>
        <v/>
      </c>
      <c r="AA63" s="1216" t="str">
        <f t="shared" si="45"/>
        <v/>
      </c>
      <c r="AB63" s="1217" t="str">
        <f t="shared" si="45"/>
        <v/>
      </c>
      <c r="AC63" s="1216" t="str">
        <f t="shared" si="45"/>
        <v/>
      </c>
      <c r="AD63" s="1218" t="str">
        <f t="shared" si="45"/>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8"/>
        <v/>
      </c>
      <c r="AY63" s="1221" t="str">
        <f t="shared" si="48"/>
        <v/>
      </c>
      <c r="AZ63" s="1221" t="str">
        <f t="shared" si="48"/>
        <v/>
      </c>
      <c r="BA63" s="1221" t="str">
        <f t="shared" si="48"/>
        <v/>
      </c>
      <c r="BB63" s="1221" t="str">
        <f t="shared" si="48"/>
        <v/>
      </c>
      <c r="BC63" s="1221" t="str">
        <f t="shared" si="46"/>
        <v/>
      </c>
      <c r="BD63" s="1221" t="str">
        <f t="shared" si="46"/>
        <v/>
      </c>
      <c r="BE63" s="1222" t="str">
        <f t="shared" si="46"/>
        <v/>
      </c>
      <c r="BF63" s="1221" t="str">
        <f t="shared" si="46"/>
        <v/>
      </c>
      <c r="BG63" s="1223" t="str">
        <f t="shared" si="46"/>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ht="12">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9">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9"/>
        <v>85</v>
      </c>
      <c r="AM69" s="349" t="s">
        <v>5</v>
      </c>
      <c r="AN69" s="347">
        <f t="shared" ref="AN69" si="50">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Data2!G12</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51">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2">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3">F76</f>
        <v>85</v>
      </c>
      <c r="AM76" s="7" t="s">
        <v>5</v>
      </c>
      <c r="AN76" s="9">
        <f t="shared" si="53"/>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3"/>
        <v>76</v>
      </c>
      <c r="AM77" s="7" t="s">
        <v>5</v>
      </c>
      <c r="AN77" s="9">
        <f t="shared" si="53"/>
        <v>84.5</v>
      </c>
      <c r="AO77" s="1357" t="str">
        <f t="shared" ref="AO77:AO78" si="54">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3"/>
        <v>0</v>
      </c>
      <c r="AM78" s="7" t="s">
        <v>5</v>
      </c>
      <c r="AN78" s="9">
        <f t="shared" si="53"/>
        <v>75.5</v>
      </c>
      <c r="AO78" s="1357" t="str">
        <f t="shared" si="54"/>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75" hidden="1" customHeight="1">
      <c r="C84" s="2"/>
      <c r="AL84" s="10"/>
      <c r="AM84" s="8"/>
      <c r="AN84" s="10"/>
      <c r="AO84" s="108"/>
      <c r="AP84" s="108"/>
      <c r="AQ84" s="108"/>
      <c r="AR84" s="1159"/>
      <c r="AS84" s="1159"/>
      <c r="AT84" s="108"/>
      <c r="AU84" s="108"/>
      <c r="AV84" s="111"/>
    </row>
    <row r="85" spans="3:48" ht="12.75" hidden="1" customHeight="1">
      <c r="C85" s="2"/>
      <c r="AL85" s="10"/>
      <c r="AM85" s="8"/>
      <c r="AN85" s="10"/>
      <c r="AO85" s="108"/>
      <c r="AP85" s="108"/>
      <c r="AQ85" s="108"/>
      <c r="AR85" s="1159"/>
      <c r="AS85" s="1159"/>
      <c r="AT85" s="108"/>
      <c r="AU85" s="108"/>
      <c r="AV85" s="111"/>
    </row>
    <row r="86" spans="3:48" ht="12" hidden="1" customHeight="1"/>
    <row r="87" spans="3:48" ht="12" hidden="1" customHeight="1"/>
    <row r="88" spans="3:48" ht="12" hidden="1" customHeight="1"/>
    <row r="89" spans="3:48" ht="12" hidden="1" customHeight="1"/>
    <row r="90" spans="3:48" ht="12" hidden="1" customHeight="1"/>
    <row r="91" spans="3:48" ht="12" hidden="1" customHeight="1"/>
    <row r="92" spans="3:48" ht="12" hidden="1" customHeight="1"/>
    <row r="93" spans="3:48" ht="0" hidden="1" customHeight="1"/>
    <row r="94" spans="3:48" ht="0" hidden="1" customHeight="1"/>
    <row r="95" spans="3:48" ht="0" hidden="1" customHeight="1"/>
    <row r="96" spans="3:48" ht="0" hidden="1" customHeight="1"/>
    <row r="97" ht="0" hidden="1" customHeight="1"/>
  </sheetData>
  <mergeCells count="70">
    <mergeCell ref="D1:E2"/>
    <mergeCell ref="B3:C4"/>
    <mergeCell ref="D3:E6"/>
    <mergeCell ref="B6:C6"/>
    <mergeCell ref="B7:C7"/>
    <mergeCell ref="D7:E9"/>
    <mergeCell ref="B8:C8"/>
    <mergeCell ref="B9:C9"/>
    <mergeCell ref="B1:C2"/>
    <mergeCell ref="F3:F6"/>
    <mergeCell ref="G3:R6"/>
    <mergeCell ref="AL4:AL5"/>
    <mergeCell ref="AM4:AU5"/>
    <mergeCell ref="AL6:AL7"/>
    <mergeCell ref="AM6:AU7"/>
    <mergeCell ref="F7:F10"/>
    <mergeCell ref="G7:R10"/>
    <mergeCell ref="AL8:AL11"/>
    <mergeCell ref="AM8:AU11"/>
    <mergeCell ref="G11:R11"/>
    <mergeCell ref="G1:R1"/>
    <mergeCell ref="AM1:AU1"/>
    <mergeCell ref="G2:R2"/>
    <mergeCell ref="AL2:AL3"/>
    <mergeCell ref="AM2:AU3"/>
    <mergeCell ref="AW12:AW13"/>
    <mergeCell ref="BN12:BN13"/>
    <mergeCell ref="BJ13:BK13"/>
    <mergeCell ref="BL13:BM13"/>
    <mergeCell ref="AV12:AV13"/>
    <mergeCell ref="AG13:AH13"/>
    <mergeCell ref="AI13:AJ13"/>
    <mergeCell ref="B12:B13"/>
    <mergeCell ref="C12:C13"/>
    <mergeCell ref="D12:D13"/>
    <mergeCell ref="E12:E13"/>
    <mergeCell ref="F12:O12"/>
    <mergeCell ref="S12:S13"/>
    <mergeCell ref="F74:H74"/>
    <mergeCell ref="I74:Q74"/>
    <mergeCell ref="AL74:AN74"/>
    <mergeCell ref="AO74:AV74"/>
    <mergeCell ref="B10:C11"/>
    <mergeCell ref="D10:E11"/>
    <mergeCell ref="F65:Q65"/>
    <mergeCell ref="AL65:AV65"/>
    <mergeCell ref="F67:H67"/>
    <mergeCell ref="I67:Q67"/>
    <mergeCell ref="AL67:AN67"/>
    <mergeCell ref="AO67:AV67"/>
    <mergeCell ref="F66:Q66"/>
    <mergeCell ref="AL66:AV66"/>
    <mergeCell ref="T12:T13"/>
    <mergeCell ref="AK12:AK13"/>
    <mergeCell ref="AO82:AV82"/>
    <mergeCell ref="AO83:AV83"/>
    <mergeCell ref="I77:P77"/>
    <mergeCell ref="I78:P78"/>
    <mergeCell ref="I68:Q68"/>
    <mergeCell ref="AO68:AV68"/>
    <mergeCell ref="I69:Q69"/>
    <mergeCell ref="AO69:AV69"/>
    <mergeCell ref="I70:Q70"/>
    <mergeCell ref="AO70:AV70"/>
    <mergeCell ref="I71:Q71"/>
    <mergeCell ref="AO71:AV71"/>
    <mergeCell ref="I75:P75"/>
    <mergeCell ref="I76:P76"/>
    <mergeCell ref="F73:Q73"/>
    <mergeCell ref="AL73:AV73"/>
  </mergeCells>
  <conditionalFormatting sqref="B14:E63">
    <cfRule type="expression" dxfId="4049" priority="371">
      <formula>AND($B14&lt;&gt;"",$B15="")</formula>
    </cfRule>
    <cfRule type="expression" dxfId="4048" priority="372">
      <formula>$B14=""</formula>
    </cfRule>
  </conditionalFormatting>
  <conditionalFormatting sqref="B56:E56">
    <cfRule type="expression" dxfId="4047" priority="728">
      <formula>AND($B56&lt;&gt;"",$B63="")</formula>
    </cfRule>
    <cfRule type="expression" dxfId="4046" priority="729">
      <formula>$B56=""</formula>
    </cfRule>
  </conditionalFormatting>
  <conditionalFormatting sqref="B50:E50">
    <cfRule type="expression" dxfId="4045" priority="846">
      <formula>AND($B50&lt;&gt;"",$B63="")</formula>
    </cfRule>
    <cfRule type="expression" dxfId="4044" priority="847">
      <formula>$B50=""</formula>
    </cfRule>
  </conditionalFormatting>
  <conditionalFormatting sqref="B43:E44">
    <cfRule type="expression" dxfId="4043" priority="970">
      <formula>AND($B43&lt;&gt;"",$B62="")</formula>
    </cfRule>
    <cfRule type="expression" dxfId="4042" priority="971">
      <formula>$B43=""</formula>
    </cfRule>
  </conditionalFormatting>
  <conditionalFormatting sqref="B63:E63">
    <cfRule type="expression" dxfId="4041" priority="1314">
      <formula>AND($B63&lt;&gt;"",#REF!="")</formula>
    </cfRule>
    <cfRule type="expression" dxfId="4040" priority="1315">
      <formula>$B63=""</formula>
    </cfRule>
  </conditionalFormatting>
  <conditionalFormatting sqref="B61:E61">
    <cfRule type="expression" dxfId="4039" priority="1368">
      <formula>AND($B61&lt;&gt;"",$B64="")</formula>
    </cfRule>
    <cfRule type="expression" dxfId="4038" priority="1369">
      <formula>$B61=""</formula>
    </cfRule>
  </conditionalFormatting>
  <conditionalFormatting sqref="B57:E60">
    <cfRule type="expression" dxfId="4037" priority="1370">
      <formula>AND($B57&lt;&gt;"",#REF!="")</formula>
    </cfRule>
    <cfRule type="expression" dxfId="4036" priority="1371">
      <formula>$B57=""</formula>
    </cfRule>
  </conditionalFormatting>
  <conditionalFormatting sqref="B55:E55">
    <cfRule type="expression" dxfId="4035" priority="1374">
      <formula>AND($B55&lt;&gt;"",$B64="")</formula>
    </cfRule>
    <cfRule type="expression" dxfId="4034" priority="1375">
      <formula>$B55=""</formula>
    </cfRule>
  </conditionalFormatting>
  <conditionalFormatting sqref="B51:E54">
    <cfRule type="expression" dxfId="4033" priority="1376">
      <formula>AND($B51&lt;&gt;"",#REF!="")</formula>
    </cfRule>
    <cfRule type="expression" dxfId="4032" priority="1377">
      <formula>$B51=""</formula>
    </cfRule>
  </conditionalFormatting>
  <conditionalFormatting sqref="B49:E49">
    <cfRule type="expression" dxfId="4031" priority="1380">
      <formula>AND($B49&lt;&gt;"",$B64="")</formula>
    </cfRule>
    <cfRule type="expression" dxfId="4030" priority="1381">
      <formula>$B49=""</formula>
    </cfRule>
  </conditionalFormatting>
  <conditionalFormatting sqref="B45:E63">
    <cfRule type="expression" dxfId="4029" priority="1382">
      <formula>AND($B45&lt;&gt;"",#REF!="")</formula>
    </cfRule>
    <cfRule type="expression" dxfId="4028" priority="1383">
      <formula>$B45=""</formula>
    </cfRule>
  </conditionalFormatting>
  <conditionalFormatting sqref="R70 F66:Q71">
    <cfRule type="expression" dxfId="4027" priority="1386">
      <formula>$F$65="SAMA DENGAN DATA"</formula>
    </cfRule>
  </conditionalFormatting>
  <conditionalFormatting sqref="F66:Q71">
    <cfRule type="expression" dxfId="4026" priority="1388">
      <formula>$F$65="kkm tunggal"</formula>
    </cfRule>
  </conditionalFormatting>
  <conditionalFormatting sqref="AW70:BG70 AL66:AV71">
    <cfRule type="expression" dxfId="4025" priority="1389">
      <formula>$AL$65="SAMA DENGAN DATA"</formula>
    </cfRule>
  </conditionalFormatting>
  <conditionalFormatting sqref="AL66:AV71">
    <cfRule type="expression" dxfId="4024" priority="1391">
      <formula>$AL$65="KKM TUNGGAL"</formula>
    </cfRule>
  </conditionalFormatting>
  <conditionalFormatting sqref="B61:E63">
    <cfRule type="expression" dxfId="4023" priority="2780">
      <formula>AND($B61&lt;&gt;"",$B65="")</formula>
    </cfRule>
    <cfRule type="expression" dxfId="4022" priority="2781">
      <formula>$B61=""</formula>
    </cfRule>
  </conditionalFormatting>
  <conditionalFormatting sqref="B50:E60">
    <cfRule type="expression" dxfId="4021" priority="2782">
      <formula>AND($B50&lt;&gt;"",#REF!="")</formula>
    </cfRule>
    <cfRule type="expression" dxfId="4020" priority="2783">
      <formula>$B50=""</formula>
    </cfRule>
  </conditionalFormatting>
  <conditionalFormatting sqref="U14:AB63 P51:S63 AV14:BE63 AE14:AK63 BH14:BN63 P14:P50 S14:S50">
    <cfRule type="expression" dxfId="4019" priority="186">
      <formula>AND($B14&lt;&gt;"",$B15="")</formula>
    </cfRule>
    <cfRule type="expression" dxfId="4018" priority="187">
      <formula>$B14=""</formula>
    </cfRule>
  </conditionalFormatting>
  <conditionalFormatting sqref="T14:T63">
    <cfRule type="expression" dxfId="4017" priority="184">
      <formula>AND($B14&lt;&gt;"",$B15="")</formula>
    </cfRule>
    <cfRule type="expression" dxfId="4016" priority="185">
      <formula>$B14=""</formula>
    </cfRule>
  </conditionalFormatting>
  <conditionalFormatting sqref="AV14">
    <cfRule type="expression" dxfId="4015" priority="182">
      <formula>AND($B14&lt;&gt;"",$B15="")</formula>
    </cfRule>
    <cfRule type="expression" dxfId="4014" priority="183">
      <formula>$B14=""</formula>
    </cfRule>
  </conditionalFormatting>
  <conditionalFormatting sqref="P56:S56 U56:AB56 BH56:BN56 AE56:AK56 AV56:BE56">
    <cfRule type="expression" dxfId="4013" priority="188">
      <formula>AND($B56&lt;&gt;"",$B63="")</formula>
    </cfRule>
    <cfRule type="expression" dxfId="4012" priority="189">
      <formula>$B56=""</formula>
    </cfRule>
  </conditionalFormatting>
  <conditionalFormatting sqref="P50 U50:AB50 BH50:BN50 AE50:AK50 AV50:BE50 S50">
    <cfRule type="expression" dxfId="4011" priority="190">
      <formula>AND($B50&lt;&gt;"",$B63="")</formula>
    </cfRule>
    <cfRule type="expression" dxfId="4010" priority="191">
      <formula>$B50=""</formula>
    </cfRule>
  </conditionalFormatting>
  <conditionalFormatting sqref="P43:P44 U43:AB44 BH43:BN44 AE43:AK44 AV43:BE44 S43:S44">
    <cfRule type="expression" dxfId="4009" priority="192">
      <formula>AND($B43&lt;&gt;"",$B62="")</formula>
    </cfRule>
    <cfRule type="expression" dxfId="4008" priority="193">
      <formula>$B43=""</formula>
    </cfRule>
  </conditionalFormatting>
  <conditionalFormatting sqref="P63:S63 U63:AB63 BH63:BN63 AE63:AK63 AV63:BE63">
    <cfRule type="expression" dxfId="4007" priority="194">
      <formula>AND($B63&lt;&gt;"",#REF!="")</formula>
    </cfRule>
    <cfRule type="expression" dxfId="4006" priority="195">
      <formula>$B63=""</formula>
    </cfRule>
  </conditionalFormatting>
  <conditionalFormatting sqref="P61:S61 U61:AB61 BH61:BN61 AE61:AK61 AV61:BE61">
    <cfRule type="expression" dxfId="4005" priority="196">
      <formula>AND($B61&lt;&gt;"",$B64="")</formula>
    </cfRule>
    <cfRule type="expression" dxfId="4004" priority="197">
      <formula>$B61=""</formula>
    </cfRule>
  </conditionalFormatting>
  <conditionalFormatting sqref="P57:S60 U57:AB60 BH57:BN60 AE57:AK60 AV57:BE60">
    <cfRule type="expression" dxfId="4003" priority="198">
      <formula>AND($B57&lt;&gt;"",#REF!="")</formula>
    </cfRule>
    <cfRule type="expression" dxfId="4002" priority="199">
      <formula>$B57=""</formula>
    </cfRule>
  </conditionalFormatting>
  <conditionalFormatting sqref="P55:S55 U55:AB55 BH55:BN55 AE55:AK55 AV55:BE55">
    <cfRule type="expression" dxfId="4001" priority="200">
      <formula>AND($B55&lt;&gt;"",$B64="")</formula>
    </cfRule>
    <cfRule type="expression" dxfId="4000" priority="201">
      <formula>$B55=""</formula>
    </cfRule>
  </conditionalFormatting>
  <conditionalFormatting sqref="P51:S54 U51:AB54 BH51:BN54 AE51:AK54 AV51:BE54">
    <cfRule type="expression" dxfId="3999" priority="202">
      <formula>AND($B51&lt;&gt;"",#REF!="")</formula>
    </cfRule>
    <cfRule type="expression" dxfId="3998" priority="203">
      <formula>$B51=""</formula>
    </cfRule>
  </conditionalFormatting>
  <conditionalFormatting sqref="J49:P49 U49:AK49 S49 AO49:BN49">
    <cfRule type="expression" dxfId="3997" priority="204">
      <formula>AND($B49&lt;&gt;"",$B64="")</formula>
    </cfRule>
    <cfRule type="expression" dxfId="3996" priority="205">
      <formula>$B49=""</formula>
    </cfRule>
  </conditionalFormatting>
  <conditionalFormatting sqref="P51:S63 U45:AB63 BH45:BN63 AE45:AK63 AV45:BE63 P45:P50 S45:S50">
    <cfRule type="expression" dxfId="3995" priority="206">
      <formula>AND($B45&lt;&gt;"",#REF!="")</formula>
    </cfRule>
    <cfRule type="expression" dxfId="3994" priority="207">
      <formula>$B45=""</formula>
    </cfRule>
  </conditionalFormatting>
  <conditionalFormatting sqref="T16:T63">
    <cfRule type="expression" dxfId="3993" priority="180">
      <formula>AND($B16&lt;&gt;"",$B17="")</formula>
    </cfRule>
    <cfRule type="expression" dxfId="3992" priority="181">
      <formula>$B16=""</formula>
    </cfRule>
  </conditionalFormatting>
  <conditionalFormatting sqref="U13:AB13 AX12:BG12">
    <cfRule type="expression" dxfId="3991" priority="179">
      <formula>COUNTA(U$14:U$63)&gt;0</formula>
    </cfRule>
  </conditionalFormatting>
  <conditionalFormatting sqref="F51:M63 J14:M50">
    <cfRule type="expression" dxfId="3990" priority="158">
      <formula>AND($B14&lt;&gt;"",$B15="")</formula>
    </cfRule>
    <cfRule type="expression" dxfId="3989" priority="159">
      <formula>$B14=""</formula>
    </cfRule>
  </conditionalFormatting>
  <conditionalFormatting sqref="F56:M56">
    <cfRule type="expression" dxfId="3988" priority="160">
      <formula>AND($B56&lt;&gt;"",$B63="")</formula>
    </cfRule>
    <cfRule type="expression" dxfId="3987" priority="161">
      <formula>$B56=""</formula>
    </cfRule>
  </conditionalFormatting>
  <conditionalFormatting sqref="J50:M50">
    <cfRule type="expression" dxfId="3986" priority="162">
      <formula>AND($B50&lt;&gt;"",$B63="")</formula>
    </cfRule>
    <cfRule type="expression" dxfId="3985" priority="163">
      <formula>$B50=""</formula>
    </cfRule>
  </conditionalFormatting>
  <conditionalFormatting sqref="J43:M44">
    <cfRule type="expression" dxfId="3984" priority="164">
      <formula>AND($B43&lt;&gt;"",$B62="")</formula>
    </cfRule>
    <cfRule type="expression" dxfId="3983" priority="165">
      <formula>$B43=""</formula>
    </cfRule>
  </conditionalFormatting>
  <conditionalFormatting sqref="F63:M63">
    <cfRule type="expression" dxfId="3982" priority="166">
      <formula>AND($B63&lt;&gt;"",#REF!="")</formula>
    </cfRule>
    <cfRule type="expression" dxfId="3981" priority="167">
      <formula>$B63=""</formula>
    </cfRule>
  </conditionalFormatting>
  <conditionalFormatting sqref="F61:M61">
    <cfRule type="expression" dxfId="3980" priority="168">
      <formula>AND($B61&lt;&gt;"",$B64="")</formula>
    </cfRule>
    <cfRule type="expression" dxfId="3979" priority="169">
      <formula>$B61=""</formula>
    </cfRule>
  </conditionalFormatting>
  <conditionalFormatting sqref="F57:M60">
    <cfRule type="expression" dxfId="3978" priority="170">
      <formula>AND($B57&lt;&gt;"",#REF!="")</formula>
    </cfRule>
    <cfRule type="expression" dxfId="3977" priority="171">
      <formula>$B57=""</formula>
    </cfRule>
  </conditionalFormatting>
  <conditionalFormatting sqref="F55:M55">
    <cfRule type="expression" dxfId="3976" priority="172">
      <formula>AND($B55&lt;&gt;"",$B64="")</formula>
    </cfRule>
    <cfRule type="expression" dxfId="3975" priority="173">
      <formula>$B55=""</formula>
    </cfRule>
  </conditionalFormatting>
  <conditionalFormatting sqref="F51:M54">
    <cfRule type="expression" dxfId="3974" priority="174">
      <formula>AND($B51&lt;&gt;"",#REF!="")</formula>
    </cfRule>
    <cfRule type="expression" dxfId="3973" priority="175">
      <formula>$B51=""</formula>
    </cfRule>
  </conditionalFormatting>
  <conditionalFormatting sqref="F51:M63 J45:M50">
    <cfRule type="expression" dxfId="3972" priority="176">
      <formula>AND($B45&lt;&gt;"",#REF!="")</formula>
    </cfRule>
    <cfRule type="expression" dxfId="3971" priority="177">
      <formula>$B45=""</formula>
    </cfRule>
  </conditionalFormatting>
  <conditionalFormatting sqref="F13:M13">
    <cfRule type="expression" dxfId="3970" priority="157">
      <formula>COUNTA(F$14:F$63)&gt;0</formula>
    </cfRule>
  </conditionalFormatting>
  <conditionalFormatting sqref="F51:M63 J14:M50">
    <cfRule type="expression" dxfId="3969" priority="178">
      <formula>COUNTIF($U14:$AB14,F14)&gt;1</formula>
    </cfRule>
  </conditionalFormatting>
  <conditionalFormatting sqref="AC14:AD63">
    <cfRule type="expression" dxfId="3968" priority="137">
      <formula>AND($B14&lt;&gt;"",$B15="")</formula>
    </cfRule>
    <cfRule type="expression" dxfId="3967" priority="138">
      <formula>$B14=""</formula>
    </cfRule>
  </conditionalFormatting>
  <conditionalFormatting sqref="AC56:AD56">
    <cfRule type="expression" dxfId="3966" priority="139">
      <formula>AND($B56&lt;&gt;"",$B63="")</formula>
    </cfRule>
    <cfRule type="expression" dxfId="3965" priority="140">
      <formula>$B56=""</formula>
    </cfRule>
  </conditionalFormatting>
  <conditionalFormatting sqref="AC50:AD50">
    <cfRule type="expression" dxfId="3964" priority="141">
      <formula>AND($B50&lt;&gt;"",$B63="")</formula>
    </cfRule>
    <cfRule type="expression" dxfId="3963" priority="142">
      <formula>$B50=""</formula>
    </cfRule>
  </conditionalFormatting>
  <conditionalFormatting sqref="AC43:AD44">
    <cfRule type="expression" dxfId="3962" priority="143">
      <formula>AND($B43&lt;&gt;"",$B62="")</formula>
    </cfRule>
    <cfRule type="expression" dxfId="3961" priority="144">
      <formula>$B43=""</formula>
    </cfRule>
  </conditionalFormatting>
  <conditionalFormatting sqref="AC63:AD63">
    <cfRule type="expression" dxfId="3960" priority="145">
      <formula>AND($B63&lt;&gt;"",#REF!="")</formula>
    </cfRule>
    <cfRule type="expression" dxfId="3959" priority="146">
      <formula>$B63=""</formula>
    </cfRule>
  </conditionalFormatting>
  <conditionalFormatting sqref="AC61:AD61">
    <cfRule type="expression" dxfId="3958" priority="147">
      <formula>AND($B61&lt;&gt;"",$B64="")</formula>
    </cfRule>
    <cfRule type="expression" dxfId="3957" priority="148">
      <formula>$B61=""</formula>
    </cfRule>
  </conditionalFormatting>
  <conditionalFormatting sqref="AC57:AD60">
    <cfRule type="expression" dxfId="3956" priority="149">
      <formula>AND($B57&lt;&gt;"",#REF!="")</formula>
    </cfRule>
    <cfRule type="expression" dxfId="3955" priority="150">
      <formula>$B57=""</formula>
    </cfRule>
  </conditionalFormatting>
  <conditionalFormatting sqref="AC55:AD55">
    <cfRule type="expression" dxfId="3954" priority="151">
      <formula>AND($B55&lt;&gt;"",$B64="")</formula>
    </cfRule>
    <cfRule type="expression" dxfId="3953" priority="152">
      <formula>$B55=""</formula>
    </cfRule>
  </conditionalFormatting>
  <conditionalFormatting sqref="AC51:AD54">
    <cfRule type="expression" dxfId="3952" priority="153">
      <formula>AND($B51&lt;&gt;"",#REF!="")</formula>
    </cfRule>
    <cfRule type="expression" dxfId="3951" priority="154">
      <formula>$B51=""</formula>
    </cfRule>
  </conditionalFormatting>
  <conditionalFormatting sqref="AC45:AD63">
    <cfRule type="expression" dxfId="3950" priority="155">
      <formula>AND($B45&lt;&gt;"",#REF!="")</formula>
    </cfRule>
    <cfRule type="expression" dxfId="3949" priority="156">
      <formula>$B45=""</formula>
    </cfRule>
  </conditionalFormatting>
  <conditionalFormatting sqref="AC13:AD13">
    <cfRule type="expression" dxfId="3948" priority="136">
      <formula>COUNTA(AC$14:AC$63)&gt;0</formula>
    </cfRule>
  </conditionalFormatting>
  <conditionalFormatting sqref="N14:O63">
    <cfRule type="expression" dxfId="3947" priority="115">
      <formula>AND($B14&lt;&gt;"",$B15="")</formula>
    </cfRule>
    <cfRule type="expression" dxfId="3946" priority="116">
      <formula>$B14=""</formula>
    </cfRule>
  </conditionalFormatting>
  <conditionalFormatting sqref="N56:O56">
    <cfRule type="expression" dxfId="3945" priority="117">
      <formula>AND($B56&lt;&gt;"",$B63="")</formula>
    </cfRule>
    <cfRule type="expression" dxfId="3944" priority="118">
      <formula>$B56=""</formula>
    </cfRule>
  </conditionalFormatting>
  <conditionalFormatting sqref="N50:O50">
    <cfRule type="expression" dxfId="3943" priority="119">
      <formula>AND($B50&lt;&gt;"",$B63="")</formula>
    </cfRule>
    <cfRule type="expression" dxfId="3942" priority="120">
      <formula>$B50=""</formula>
    </cfRule>
  </conditionalFormatting>
  <conditionalFormatting sqref="N43:O44">
    <cfRule type="expression" dxfId="3941" priority="121">
      <formula>AND($B43&lt;&gt;"",$B62="")</formula>
    </cfRule>
    <cfRule type="expression" dxfId="3940" priority="122">
      <formula>$B43=""</formula>
    </cfRule>
  </conditionalFormatting>
  <conditionalFormatting sqref="N63:O63">
    <cfRule type="expression" dxfId="3939" priority="123">
      <formula>AND($B63&lt;&gt;"",#REF!="")</formula>
    </cfRule>
    <cfRule type="expression" dxfId="3938" priority="124">
      <formula>$B63=""</formula>
    </cfRule>
  </conditionalFormatting>
  <conditionalFormatting sqref="N61:O61">
    <cfRule type="expression" dxfId="3937" priority="125">
      <formula>AND($B61&lt;&gt;"",$B64="")</formula>
    </cfRule>
    <cfRule type="expression" dxfId="3936" priority="126">
      <formula>$B61=""</formula>
    </cfRule>
  </conditionalFormatting>
  <conditionalFormatting sqref="N57:O60">
    <cfRule type="expression" dxfId="3935" priority="127">
      <formula>AND($B57&lt;&gt;"",#REF!="")</formula>
    </cfRule>
    <cfRule type="expression" dxfId="3934" priority="128">
      <formula>$B57=""</formula>
    </cfRule>
  </conditionalFormatting>
  <conditionalFormatting sqref="N55:O55">
    <cfRule type="expression" dxfId="3933" priority="129">
      <formula>AND($B55&lt;&gt;"",$B64="")</formula>
    </cfRule>
    <cfRule type="expression" dxfId="3932" priority="130">
      <formula>$B55=""</formula>
    </cfRule>
  </conditionalFormatting>
  <conditionalFormatting sqref="N51:O54">
    <cfRule type="expression" dxfId="3931" priority="131">
      <formula>AND($B51&lt;&gt;"",#REF!="")</formula>
    </cfRule>
    <cfRule type="expression" dxfId="3930" priority="132">
      <formula>$B51=""</formula>
    </cfRule>
  </conditionalFormatting>
  <conditionalFormatting sqref="N45:O63">
    <cfRule type="expression" dxfId="3929" priority="133">
      <formula>AND($B45&lt;&gt;"",#REF!="")</formula>
    </cfRule>
    <cfRule type="expression" dxfId="3928" priority="134">
      <formula>$B45=""</formula>
    </cfRule>
  </conditionalFormatting>
  <conditionalFormatting sqref="N13:O13">
    <cfRule type="expression" dxfId="3927" priority="114">
      <formula>COUNTA(N$14:N$63)&gt;0</formula>
    </cfRule>
  </conditionalFormatting>
  <conditionalFormatting sqref="N14:O63">
    <cfRule type="expression" dxfId="3926" priority="135">
      <formula>COUNTIF($U14:$AB14,N14)&gt;1</formula>
    </cfRule>
  </conditionalFormatting>
  <conditionalFormatting sqref="BF14:BG63">
    <cfRule type="expression" dxfId="3925" priority="94">
      <formula>AND($B14&lt;&gt;"",$B15="")</formula>
    </cfRule>
    <cfRule type="expression" dxfId="3924" priority="95">
      <formula>$B14=""</formula>
    </cfRule>
  </conditionalFormatting>
  <conditionalFormatting sqref="BF56:BG56">
    <cfRule type="expression" dxfId="3923" priority="96">
      <formula>AND($B56&lt;&gt;"",$B63="")</formula>
    </cfRule>
    <cfRule type="expression" dxfId="3922" priority="97">
      <formula>$B56=""</formula>
    </cfRule>
  </conditionalFormatting>
  <conditionalFormatting sqref="BF50:BG50">
    <cfRule type="expression" dxfId="3921" priority="98">
      <formula>AND($B50&lt;&gt;"",$B63="")</formula>
    </cfRule>
    <cfRule type="expression" dxfId="3920" priority="99">
      <formula>$B50=""</formula>
    </cfRule>
  </conditionalFormatting>
  <conditionalFormatting sqref="BF43:BG44">
    <cfRule type="expression" dxfId="3919" priority="100">
      <formula>AND($B43&lt;&gt;"",$B62="")</formula>
    </cfRule>
    <cfRule type="expression" dxfId="3918" priority="101">
      <formula>$B43=""</formula>
    </cfRule>
  </conditionalFormatting>
  <conditionalFormatting sqref="BF63:BG63">
    <cfRule type="expression" dxfId="3917" priority="102">
      <formula>AND($B63&lt;&gt;"",#REF!="")</formula>
    </cfRule>
    <cfRule type="expression" dxfId="3916" priority="103">
      <formula>$B63=""</formula>
    </cfRule>
  </conditionalFormatting>
  <conditionalFormatting sqref="BF61:BG61">
    <cfRule type="expression" dxfId="3915" priority="104">
      <formula>AND($B61&lt;&gt;"",$B64="")</formula>
    </cfRule>
    <cfRule type="expression" dxfId="3914" priority="105">
      <formula>$B61=""</formula>
    </cfRule>
  </conditionalFormatting>
  <conditionalFormatting sqref="BF57:BG60">
    <cfRule type="expression" dxfId="3913" priority="106">
      <formula>AND($B57&lt;&gt;"",#REF!="")</formula>
    </cfRule>
    <cfRule type="expression" dxfId="3912" priority="107">
      <formula>$B57=""</formula>
    </cfRule>
  </conditionalFormatting>
  <conditionalFormatting sqref="BF55:BG55">
    <cfRule type="expression" dxfId="3911" priority="108">
      <formula>AND($B55&lt;&gt;"",$B64="")</formula>
    </cfRule>
    <cfRule type="expression" dxfId="3910" priority="109">
      <formula>$B55=""</formula>
    </cfRule>
  </conditionalFormatting>
  <conditionalFormatting sqref="BF51:BG54">
    <cfRule type="expression" dxfId="3909" priority="110">
      <formula>AND($B51&lt;&gt;"",#REF!="")</formula>
    </cfRule>
    <cfRule type="expression" dxfId="3908" priority="111">
      <formula>$B51=""</formula>
    </cfRule>
  </conditionalFormatting>
  <conditionalFormatting sqref="BF45:BG63">
    <cfRule type="expression" dxfId="3907" priority="112">
      <formula>AND($B45&lt;&gt;"",#REF!="")</formula>
    </cfRule>
    <cfRule type="expression" dxfId="3906" priority="113">
      <formula>$B45=""</formula>
    </cfRule>
  </conditionalFormatting>
  <conditionalFormatting sqref="AL51:AS63 AO14:AS50">
    <cfRule type="expression" dxfId="3905" priority="73">
      <formula>AND($B14&lt;&gt;"",$B15="")</formula>
    </cfRule>
    <cfRule type="expression" dxfId="3904" priority="74">
      <formula>$B14=""</formula>
    </cfRule>
  </conditionalFormatting>
  <conditionalFormatting sqref="AL56:AS56">
    <cfRule type="expression" dxfId="3903" priority="75">
      <formula>AND($B56&lt;&gt;"",$B63="")</formula>
    </cfRule>
    <cfRule type="expression" dxfId="3902" priority="76">
      <formula>$B56=""</formula>
    </cfRule>
  </conditionalFormatting>
  <conditionalFormatting sqref="AO50:AS50">
    <cfRule type="expression" dxfId="3901" priority="77">
      <formula>AND($B50&lt;&gt;"",$B63="")</formula>
    </cfRule>
    <cfRule type="expression" dxfId="3900" priority="78">
      <formula>$B50=""</formula>
    </cfRule>
  </conditionalFormatting>
  <conditionalFormatting sqref="AO43:AS44">
    <cfRule type="expression" dxfId="3899" priority="79">
      <formula>AND($B43&lt;&gt;"",$B62="")</formula>
    </cfRule>
    <cfRule type="expression" dxfId="3898" priority="80">
      <formula>$B43=""</formula>
    </cfRule>
  </conditionalFormatting>
  <conditionalFormatting sqref="AL63:AS63">
    <cfRule type="expression" dxfId="3897" priority="81">
      <formula>AND($B63&lt;&gt;"",#REF!="")</formula>
    </cfRule>
    <cfRule type="expression" dxfId="3896" priority="82">
      <formula>$B63=""</formula>
    </cfRule>
  </conditionalFormatting>
  <conditionalFormatting sqref="AL61:AS61">
    <cfRule type="expression" dxfId="3895" priority="83">
      <formula>AND($B61&lt;&gt;"",$B64="")</formula>
    </cfRule>
    <cfRule type="expression" dxfId="3894" priority="84">
      <formula>$B61=""</formula>
    </cfRule>
  </conditionalFormatting>
  <conditionalFormatting sqref="AL57:AS60">
    <cfRule type="expression" dxfId="3893" priority="85">
      <formula>AND($B57&lt;&gt;"",#REF!="")</formula>
    </cfRule>
    <cfRule type="expression" dxfId="3892" priority="86">
      <formula>$B57=""</formula>
    </cfRule>
  </conditionalFormatting>
  <conditionalFormatting sqref="AL55:AS55">
    <cfRule type="expression" dxfId="3891" priority="87">
      <formula>AND($B55&lt;&gt;"",$B64="")</formula>
    </cfRule>
    <cfRule type="expression" dxfId="3890" priority="88">
      <formula>$B55=""</formula>
    </cfRule>
  </conditionalFormatting>
  <conditionalFormatting sqref="AL51:AS54">
    <cfRule type="expression" dxfId="3889" priority="89">
      <formula>AND($B51&lt;&gt;"",#REF!="")</formula>
    </cfRule>
    <cfRule type="expression" dxfId="3888" priority="90">
      <formula>$B51=""</formula>
    </cfRule>
  </conditionalFormatting>
  <conditionalFormatting sqref="AL51:AS63 AO45:AS50">
    <cfRule type="expression" dxfId="3887" priority="91">
      <formula>AND($B45&lt;&gt;"",#REF!="")</formula>
    </cfRule>
    <cfRule type="expression" dxfId="3886" priority="92">
      <formula>$B45=""</formula>
    </cfRule>
  </conditionalFormatting>
  <conditionalFormatting sqref="AL12:AU12">
    <cfRule type="expression" dxfId="3885" priority="72">
      <formula>COUNTA(AL$14:AL$63)&gt;0</formula>
    </cfRule>
  </conditionalFormatting>
  <conditionalFormatting sqref="AT14:AU63">
    <cfRule type="expression" dxfId="3884" priority="52">
      <formula>AND($B14&lt;&gt;"",$B15="")</formula>
    </cfRule>
    <cfRule type="expression" dxfId="3883" priority="53">
      <formula>$B14=""</formula>
    </cfRule>
  </conditionalFormatting>
  <conditionalFormatting sqref="AT56:AU56">
    <cfRule type="expression" dxfId="3882" priority="54">
      <formula>AND($B56&lt;&gt;"",$B63="")</formula>
    </cfRule>
    <cfRule type="expression" dxfId="3881" priority="55">
      <formula>$B56=""</formula>
    </cfRule>
  </conditionalFormatting>
  <conditionalFormatting sqref="AT50:AU50">
    <cfRule type="expression" dxfId="3880" priority="56">
      <formula>AND($B50&lt;&gt;"",$B63="")</formula>
    </cfRule>
    <cfRule type="expression" dxfId="3879" priority="57">
      <formula>$B50=""</formula>
    </cfRule>
  </conditionalFormatting>
  <conditionalFormatting sqref="AT43:AU44">
    <cfRule type="expression" dxfId="3878" priority="58">
      <formula>AND($B43&lt;&gt;"",$B62="")</formula>
    </cfRule>
    <cfRule type="expression" dxfId="3877" priority="59">
      <formula>$B43=""</formula>
    </cfRule>
  </conditionalFormatting>
  <conditionalFormatting sqref="AT63:AU63">
    <cfRule type="expression" dxfId="3876" priority="60">
      <formula>AND($B63&lt;&gt;"",#REF!="")</formula>
    </cfRule>
    <cfRule type="expression" dxfId="3875" priority="61">
      <formula>$B63=""</formula>
    </cfRule>
  </conditionalFormatting>
  <conditionalFormatting sqref="AT61:AU61">
    <cfRule type="expression" dxfId="3874" priority="62">
      <formula>AND($B61&lt;&gt;"",$B64="")</formula>
    </cfRule>
    <cfRule type="expression" dxfId="3873" priority="63">
      <formula>$B61=""</formula>
    </cfRule>
  </conditionalFormatting>
  <conditionalFormatting sqref="AT57:AU60">
    <cfRule type="expression" dxfId="3872" priority="64">
      <formula>AND($B57&lt;&gt;"",#REF!="")</formula>
    </cfRule>
    <cfRule type="expression" dxfId="3871" priority="65">
      <formula>$B57=""</formula>
    </cfRule>
  </conditionalFormatting>
  <conditionalFormatting sqref="AT55:AU55">
    <cfRule type="expression" dxfId="3870" priority="66">
      <formula>AND($B55&lt;&gt;"",$B64="")</formula>
    </cfRule>
    <cfRule type="expression" dxfId="3869" priority="67">
      <formula>$B55=""</formula>
    </cfRule>
  </conditionalFormatting>
  <conditionalFormatting sqref="AT51:AU54">
    <cfRule type="expression" dxfId="3868" priority="68">
      <formula>AND($B51&lt;&gt;"",#REF!="")</formula>
    </cfRule>
    <cfRule type="expression" dxfId="3867" priority="69">
      <formula>$B51=""</formula>
    </cfRule>
  </conditionalFormatting>
  <conditionalFormatting sqref="AT45:AU63">
    <cfRule type="expression" dxfId="3866" priority="70">
      <formula>AND($B45&lt;&gt;"",#REF!="")</formula>
    </cfRule>
    <cfRule type="expression" dxfId="3865" priority="71">
      <formula>$B45=""</formula>
    </cfRule>
  </conditionalFormatting>
  <conditionalFormatting sqref="AL51:AU63 AO14:AU50">
    <cfRule type="expression" dxfId="3864" priority="93">
      <formula>COUNTIF($AX14:$BE14,AL14)&gt;1</formula>
    </cfRule>
  </conditionalFormatting>
  <conditionalFormatting sqref="F61:S63 U61:BN63">
    <cfRule type="expression" dxfId="3863" priority="208">
      <formula>AND($B61&lt;&gt;"",$B65="")</formula>
    </cfRule>
    <cfRule type="expression" dxfId="3862" priority="209">
      <formula>$B61=""</formula>
    </cfRule>
  </conditionalFormatting>
  <conditionalFormatting sqref="F51:S60 U51:BN60 J50:P50 S50 U50:AK50 AO50:BN50">
    <cfRule type="expression" dxfId="3861" priority="210">
      <formula>AND($B50&lt;&gt;"",#REF!="")</formula>
    </cfRule>
    <cfRule type="expression" dxfId="3860" priority="211">
      <formula>$B50=""</formula>
    </cfRule>
  </conditionalFormatting>
  <conditionalFormatting sqref="T2">
    <cfRule type="expression" dxfId="3859" priority="51">
      <formula>COUNTA(F$14:F$63)&gt;0</formula>
    </cfRule>
  </conditionalFormatting>
  <conditionalFormatting sqref="T3">
    <cfRule type="expression" dxfId="3858" priority="212">
      <formula>COUNTA(G$14:G$63)&gt;0</formula>
    </cfRule>
  </conditionalFormatting>
  <conditionalFormatting sqref="T4">
    <cfRule type="expression" dxfId="3857" priority="213">
      <formula>COUNTA(H$14:H$63)&gt;0</formula>
    </cfRule>
  </conditionalFormatting>
  <conditionalFormatting sqref="T5">
    <cfRule type="expression" dxfId="3856" priority="214">
      <formula>COUNTA(I$14:I$63)&gt;0</formula>
    </cfRule>
  </conditionalFormatting>
  <conditionalFormatting sqref="T7">
    <cfRule type="expression" dxfId="3855" priority="50">
      <formula>COUNTA(K$14:K$63)&gt;0</formula>
    </cfRule>
  </conditionalFormatting>
  <conditionalFormatting sqref="T11">
    <cfRule type="expression" dxfId="3854" priority="215">
      <formula>COUNTA(O$14:O$63)&gt;0</formula>
    </cfRule>
  </conditionalFormatting>
  <conditionalFormatting sqref="T10">
    <cfRule type="expression" dxfId="3853" priority="216">
      <formula>COUNTA(N$14:N$63)&gt;0</formula>
    </cfRule>
  </conditionalFormatting>
  <conditionalFormatting sqref="T9">
    <cfRule type="expression" dxfId="3852" priority="217">
      <formula>COUNTA(M$14:M$63)&gt;0</formula>
    </cfRule>
  </conditionalFormatting>
  <conditionalFormatting sqref="T8">
    <cfRule type="expression" dxfId="3851" priority="218">
      <formula>COUNTA(L$14:L$63)&gt;0</formula>
    </cfRule>
  </conditionalFormatting>
  <conditionalFormatting sqref="T6">
    <cfRule type="expression" dxfId="3850" priority="49">
      <formula>COUNTA(J$14:J$63)&gt;0</formula>
    </cfRule>
  </conditionalFormatting>
  <conditionalFormatting sqref="AW2">
    <cfRule type="expression" dxfId="3849" priority="48">
      <formula>COUNTA(AL$14:AL$63)&gt;0</formula>
    </cfRule>
  </conditionalFormatting>
  <conditionalFormatting sqref="AW3">
    <cfRule type="expression" dxfId="3848" priority="47">
      <formula>COUNTA(AM$14:AM$63)&gt;0</formula>
    </cfRule>
  </conditionalFormatting>
  <conditionalFormatting sqref="AW4">
    <cfRule type="expression" dxfId="3847" priority="46">
      <formula>COUNTA(AN$14:AN$63)&gt;0</formula>
    </cfRule>
  </conditionalFormatting>
  <conditionalFormatting sqref="AW5">
    <cfRule type="expression" dxfId="3846" priority="45">
      <formula>COUNTA(AO$14:AO$63)&gt;0</formula>
    </cfRule>
  </conditionalFormatting>
  <conditionalFormatting sqref="AW6">
    <cfRule type="expression" dxfId="3845" priority="44">
      <formula>COUNTA(AP$14:AP$63)&gt;0</formula>
    </cfRule>
  </conditionalFormatting>
  <conditionalFormatting sqref="AW7">
    <cfRule type="expression" dxfId="3844" priority="43">
      <formula>COUNTA(AQ$14:AQ$63)&gt;0</formula>
    </cfRule>
  </conditionalFormatting>
  <conditionalFormatting sqref="AW8">
    <cfRule type="expression" dxfId="3843" priority="42">
      <formula>COUNTA(AR$14:AR$63)&gt;0</formula>
    </cfRule>
  </conditionalFormatting>
  <conditionalFormatting sqref="AW9">
    <cfRule type="expression" dxfId="3842" priority="41">
      <formula>COUNTA(AS$14:AS$63)&gt;0</formula>
    </cfRule>
  </conditionalFormatting>
  <conditionalFormatting sqref="AW10">
    <cfRule type="expression" dxfId="3841" priority="40">
      <formula>COUNTA(AT$14:AT$63)&gt;0</formula>
    </cfRule>
  </conditionalFormatting>
  <conditionalFormatting sqref="AW11">
    <cfRule type="expression" dxfId="3840" priority="39">
      <formula>COUNTA(AU$14:AU$63)&gt;0</formula>
    </cfRule>
  </conditionalFormatting>
  <conditionalFormatting sqref="F49:I49">
    <cfRule type="expression" dxfId="3839" priority="35">
      <formula>AND($B49&lt;&gt;"",$B64="")</formula>
    </cfRule>
    <cfRule type="expression" dxfId="3838" priority="36">
      <formula>$B49=""</formula>
    </cfRule>
  </conditionalFormatting>
  <conditionalFormatting sqref="F14:I50">
    <cfRule type="expression" dxfId="3837" priority="26">
      <formula>AND($B14&lt;&gt;"",$B15="")</formula>
    </cfRule>
    <cfRule type="expression" dxfId="3836" priority="27">
      <formula>$B14=""</formula>
    </cfRule>
  </conditionalFormatting>
  <conditionalFormatting sqref="F50:I50">
    <cfRule type="expression" dxfId="3835" priority="28">
      <formula>AND($B50&lt;&gt;"",$B63="")</formula>
    </cfRule>
    <cfRule type="expression" dxfId="3834" priority="29">
      <formula>$B50=""</formula>
    </cfRule>
  </conditionalFormatting>
  <conditionalFormatting sqref="F43:I44">
    <cfRule type="expression" dxfId="3833" priority="30">
      <formula>AND($B43&lt;&gt;"",$B62="")</formula>
    </cfRule>
    <cfRule type="expression" dxfId="3832" priority="31">
      <formula>$B43=""</formula>
    </cfRule>
  </conditionalFormatting>
  <conditionalFormatting sqref="F45:I50">
    <cfRule type="expression" dxfId="3831" priority="32">
      <formula>AND($B45&lt;&gt;"",#REF!="")</formula>
    </cfRule>
    <cfRule type="expression" dxfId="3830" priority="33">
      <formula>$B45=""</formula>
    </cfRule>
  </conditionalFormatting>
  <conditionalFormatting sqref="F14:I50">
    <cfRule type="expression" dxfId="3829" priority="34">
      <formula>COUNTIF($U14:$AB14,F14)&gt;1</formula>
    </cfRule>
  </conditionalFormatting>
  <conditionalFormatting sqref="F50:I50">
    <cfRule type="expression" dxfId="3828" priority="37">
      <formula>AND($B50&lt;&gt;"",#REF!="")</formula>
    </cfRule>
    <cfRule type="expression" dxfId="3827" priority="38">
      <formula>$B50=""</formula>
    </cfRule>
  </conditionalFormatting>
  <conditionalFormatting sqref="Q14:R50">
    <cfRule type="expression" dxfId="3826" priority="14">
      <formula>AND($B14&lt;&gt;"",$B15="")</formula>
    </cfRule>
    <cfRule type="expression" dxfId="3825" priority="15">
      <formula>$B14=""</formula>
    </cfRule>
  </conditionalFormatting>
  <conditionalFormatting sqref="Q50:R50">
    <cfRule type="expression" dxfId="3824" priority="16">
      <formula>AND($B50&lt;&gt;"",$B63="")</formula>
    </cfRule>
    <cfRule type="expression" dxfId="3823" priority="17">
      <formula>$B50=""</formula>
    </cfRule>
  </conditionalFormatting>
  <conditionalFormatting sqref="Q43:R44">
    <cfRule type="expression" dxfId="3822" priority="18">
      <formula>AND($B43&lt;&gt;"",$B62="")</formula>
    </cfRule>
    <cfRule type="expression" dxfId="3821" priority="19">
      <formula>$B43=""</formula>
    </cfRule>
  </conditionalFormatting>
  <conditionalFormatting sqref="Q49:R49">
    <cfRule type="expression" dxfId="3820" priority="20">
      <formula>AND($B49&lt;&gt;"",$B64="")</formula>
    </cfRule>
    <cfRule type="expression" dxfId="3819" priority="21">
      <formula>$B49=""</formula>
    </cfRule>
  </conditionalFormatting>
  <conditionalFormatting sqref="Q45:R50">
    <cfRule type="expression" dxfId="3818" priority="22">
      <formula>AND($B45&lt;&gt;"",#REF!="")</formula>
    </cfRule>
    <cfRule type="expression" dxfId="3817" priority="23">
      <formula>$B45=""</formula>
    </cfRule>
  </conditionalFormatting>
  <conditionalFormatting sqref="Q50:R50">
    <cfRule type="expression" dxfId="3816" priority="24">
      <formula>AND($B50&lt;&gt;"",#REF!="")</formula>
    </cfRule>
    <cfRule type="expression" dxfId="3815" priority="25">
      <formula>$B50=""</formula>
    </cfRule>
  </conditionalFormatting>
  <conditionalFormatting sqref="AL49:AN49">
    <cfRule type="expression" dxfId="3814" priority="10">
      <formula>AND($B49&lt;&gt;"",$B64="")</formula>
    </cfRule>
    <cfRule type="expression" dxfId="3813" priority="11">
      <formula>$B49=""</formula>
    </cfRule>
  </conditionalFormatting>
  <conditionalFormatting sqref="AL14:AN50">
    <cfRule type="expression" dxfId="3812" priority="1">
      <formula>AND($B14&lt;&gt;"",$B15="")</formula>
    </cfRule>
    <cfRule type="expression" dxfId="3811" priority="2">
      <formula>$B14=""</formula>
    </cfRule>
  </conditionalFormatting>
  <conditionalFormatting sqref="AL50:AN50">
    <cfRule type="expression" dxfId="3810" priority="3">
      <formula>AND($B50&lt;&gt;"",$B63="")</formula>
    </cfRule>
    <cfRule type="expression" dxfId="3809" priority="4">
      <formula>$B50=""</formula>
    </cfRule>
  </conditionalFormatting>
  <conditionalFormatting sqref="AL43:AN44">
    <cfRule type="expression" dxfId="3808" priority="5">
      <formula>AND($B43&lt;&gt;"",$B62="")</formula>
    </cfRule>
    <cfRule type="expression" dxfId="3807" priority="6">
      <formula>$B43=""</formula>
    </cfRule>
  </conditionalFormatting>
  <conditionalFormatting sqref="AL45:AN50">
    <cfRule type="expression" dxfId="3806" priority="7">
      <formula>AND($B45&lt;&gt;"",#REF!="")</formula>
    </cfRule>
    <cfRule type="expression" dxfId="3805" priority="8">
      <formula>$B45=""</formula>
    </cfRule>
  </conditionalFormatting>
  <conditionalFormatting sqref="AL14:AN50">
    <cfRule type="expression" dxfId="3804" priority="9">
      <formula>COUNTIF($AX14:$BE14,AL14)&gt;1</formula>
    </cfRule>
  </conditionalFormatting>
  <conditionalFormatting sqref="AL50:AN50">
    <cfRule type="expression" dxfId="3803" priority="12">
      <formula>AND($B50&lt;&gt;"",#REF!="")</formula>
    </cfRule>
    <cfRule type="expression" dxfId="3802" priority="13">
      <formula>$B50=""</formula>
    </cfRule>
  </conditionalFormatting>
  <dataValidations count="6">
    <dataValidation allowBlank="1" showInputMessage="1" showErrorMessage="1" prompt="KKM" sqref="H69:H70"/>
    <dataValidation type="whole" allowBlank="1" showInputMessage="1" showErrorMessage="1" errorTitle="Petunjuk" error="Nilai 0-100" sqref="F14:O63 Q14:R63 AL14:AU63">
      <formula1>0</formula1>
      <formula2>100</formula2>
    </dataValidation>
    <dataValidation allowBlank="1" showInputMessage="1" showErrorMessage="1" prompt="Rata-rata Harian" sqref="P12 AV12"/>
    <dataValidation allowBlank="1" showInputMessage="1" showErrorMessage="1" promptTitle="Tulis Bobot Nilai" prompt="Berupa Nilai Praktik, Portofolio atau Proyek._x000a_Bobot Praktik disarankan lebih tinggi" sqref="AL13:AU13 AX13:BG13"/>
    <dataValidation allowBlank="1" showInputMessage="1" showErrorMessage="1" prompt="Bobot Nilai" sqref="P13:R13 BH11 AE12:AF12"/>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0866141732283472" right="0.43307086614173229" top="0.27559055118110237" bottom="0.31496062992125984" header="0.31496062992125984" footer="0.23622047244094491"/>
  <pageSetup paperSize="9" orientation="landscape" blackAndWhite="1"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00FF"/>
  </sheetPr>
  <dimension ref="A1:DG97"/>
  <sheetViews>
    <sheetView showGridLines="0" showRowColHeaders="0" workbookViewId="0">
      <pane xSplit="5" ySplit="13" topLeftCell="F14" activePane="bottomRight" state="frozen"/>
      <selection activeCell="AW5" sqref="AW5:BN7"/>
      <selection pane="topRight" activeCell="AW5" sqref="AW5:BN7"/>
      <selection pane="bottomLeft" activeCell="AW5" sqref="AW5:BN7"/>
      <selection pane="bottomRight" activeCell="B1" sqref="B1:C2"/>
    </sheetView>
  </sheetViews>
  <sheetFormatPr defaultColWidth="0" defaultRowHeight="0" customHeight="1"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t="str">
        <f>Data2!C13</f>
        <v>Muatan Lokal</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82" t="s">
        <v>1125</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86" t="s">
        <v>1253</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1126</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1254</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1127</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1255</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t="s">
        <v>1128</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1256</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1129</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1257</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1130</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1258</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1131</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1259</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1132</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1260</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1133</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1261</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1134</v>
      </c>
      <c r="AL11" s="1800"/>
      <c r="AM11" s="1803"/>
      <c r="AN11" s="1803"/>
      <c r="AO11" s="1803"/>
      <c r="AP11" s="1803"/>
      <c r="AQ11" s="1803"/>
      <c r="AR11" s="1803"/>
      <c r="AS11" s="1803"/>
      <c r="AT11" s="1803"/>
      <c r="AU11" s="1804"/>
      <c r="AV11" s="1196">
        <v>10</v>
      </c>
      <c r="AW11" s="1197" t="s">
        <v>929</v>
      </c>
      <c r="AX11" s="1198" t="str">
        <f t="shared" ref="AX11:BG11" si="1">IF(COUNT(AX14:AX63)&gt;0,AX13,"")</f>
        <v/>
      </c>
      <c r="AY11" s="1198" t="str">
        <f t="shared" si="1"/>
        <v/>
      </c>
      <c r="AZ11" s="1198" t="str">
        <f t="shared" si="1"/>
        <v/>
      </c>
      <c r="BA11" s="1198" t="str">
        <f t="shared" si="1"/>
        <v/>
      </c>
      <c r="BB11" s="1198" t="str">
        <f t="shared" si="1"/>
        <v/>
      </c>
      <c r="BC11" s="1198" t="str">
        <f t="shared" si="1"/>
        <v/>
      </c>
      <c r="BD11" s="1198" t="str">
        <f t="shared" si="1"/>
        <v/>
      </c>
      <c r="BE11" s="1198" t="str">
        <f t="shared" si="1"/>
        <v/>
      </c>
      <c r="BF11" s="1198" t="str">
        <f t="shared" si="1"/>
        <v/>
      </c>
      <c r="BG11" s="1198" t="str">
        <f t="shared" si="1"/>
        <v/>
      </c>
      <c r="BH11" s="1198">
        <f>SUM(AX11:BG11)</f>
        <v>0</v>
      </c>
      <c r="BI11" s="1199"/>
      <c r="BJ11" s="1199"/>
      <c r="BK11" s="1199"/>
      <c r="BL11" s="1199"/>
      <c r="BM11" s="1199"/>
      <c r="BN11" s="1186" t="s">
        <v>1262</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t="str">
        <f t="shared" ref="U12:AD12" si="2">IF(COUNT(U14:U63)&gt;0,1,"")</f>
        <v/>
      </c>
      <c r="V12" s="1201" t="str">
        <f t="shared" si="2"/>
        <v/>
      </c>
      <c r="W12" s="1201" t="str">
        <f t="shared" si="2"/>
        <v/>
      </c>
      <c r="X12" s="1201" t="str">
        <f t="shared" si="2"/>
        <v/>
      </c>
      <c r="Y12" s="1201" t="str">
        <f t="shared" si="2"/>
        <v/>
      </c>
      <c r="Z12" s="1201" t="str">
        <f t="shared" si="2"/>
        <v/>
      </c>
      <c r="AA12" s="1201" t="str">
        <f t="shared" si="2"/>
        <v/>
      </c>
      <c r="AB12" s="1201" t="str">
        <f t="shared" si="2"/>
        <v/>
      </c>
      <c r="AC12" s="1201" t="str">
        <f t="shared" si="2"/>
        <v/>
      </c>
      <c r="AD12" s="1201" t="str">
        <f t="shared" si="2"/>
        <v/>
      </c>
      <c r="AE12" s="1202">
        <f>SUM(U12:AD12)</f>
        <v>0</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c r="G14" s="277"/>
      <c r="H14" s="277"/>
      <c r="I14" s="277"/>
      <c r="J14" s="277"/>
      <c r="K14" s="277"/>
      <c r="L14" s="277"/>
      <c r="M14" s="280"/>
      <c r="N14" s="277"/>
      <c r="O14" s="278"/>
      <c r="P14" s="279" t="str">
        <f t="shared" ref="P14" si="4">IF(COUNT(U14:AD14)&lt;2,"",ROUND(SUM(U14:AD14)/$AE$12,0))</f>
        <v/>
      </c>
      <c r="Q14" s="277"/>
      <c r="R14" s="280"/>
      <c r="S14" s="281" t="str">
        <f t="shared" ref="S14" si="5">IFERROR(ROUND(((P14*$P$13)+(Q14*$Q$13)+(R14*$R$13))/$AF$12,0),"")</f>
        <v/>
      </c>
      <c r="T14" s="295" t="str">
        <f t="shared" ref="T14" si="6">IF(S14="","",IF(S14&gt;$H$76,$Q$75,IF(S14&gt;$H$77,$Q$76,IF(S14&gt;$H$78,$Q$77,$Q$78))))</f>
        <v/>
      </c>
      <c r="U14" s="1215" t="str">
        <f t="shared" ref="U14:AD29" si="7">IF(F14="","",F14+U$13)</f>
        <v/>
      </c>
      <c r="V14" s="1216" t="str">
        <f t="shared" si="7"/>
        <v/>
      </c>
      <c r="W14" s="1216" t="str">
        <f t="shared" si="7"/>
        <v/>
      </c>
      <c r="X14" s="1216" t="str">
        <f t="shared" si="7"/>
        <v/>
      </c>
      <c r="Y14" s="1216" t="str">
        <f t="shared" si="7"/>
        <v/>
      </c>
      <c r="Z14" s="1216" t="str">
        <f t="shared" si="7"/>
        <v/>
      </c>
      <c r="AA14" s="1216" t="str">
        <f t="shared" si="7"/>
        <v/>
      </c>
      <c r="AB14" s="1217" t="str">
        <f t="shared" si="7"/>
        <v/>
      </c>
      <c r="AC14" s="1216" t="str">
        <f t="shared" si="7"/>
        <v/>
      </c>
      <c r="AD14" s="1218" t="str">
        <f t="shared" si="7"/>
        <v/>
      </c>
      <c r="AE14" s="1219">
        <f t="shared" ref="AE14" si="8">MAX(U14:AD14)</f>
        <v>0</v>
      </c>
      <c r="AF14" s="282">
        <f t="shared" ref="AF14" si="9">MIN(U14:AD14)</f>
        <v>0</v>
      </c>
      <c r="AG14" s="282" t="str">
        <f t="shared" ref="AG14:AH29" si="10">IF(AE14&gt;$H$76,$I$75,IF(AE14&gt;$H$77,$I$76,IF(AE14&gt;$H$78,$I$77,$I$78)))</f>
        <v>perlu dimaksimalkan</v>
      </c>
      <c r="AH14" s="282" t="str">
        <f t="shared" si="10"/>
        <v>perlu dimaksimalkan</v>
      </c>
      <c r="AI14" s="282" t="str">
        <f t="shared" ref="AI14" si="11">IFERROR(MATCH(AE14,U14:AD14,0),"")</f>
        <v/>
      </c>
      <c r="AJ14" s="283" t="str">
        <f t="shared" ref="AJ14" si="12">IFERROR(MATCH(AF14,U14:AD14,0),"")</f>
        <v/>
      </c>
      <c r="AK14" s="284" t="str">
        <f t="shared" ref="AK14" si="13">IF(S14="","",IFERROR("Memiliki kemampuan "&amp;IF(AG14=AH14,AG14&amp;" dalam "&amp;VLOOKUP(AI14,$S$2:$AK$11,19)&amp;" dan "&amp;VLOOKUP(AJ14,$S$2:$AK$11,19),AG14&amp;" dalam "&amp;VLOOKUP(AI14,$S$2:$AK$11,19)&amp;", "&amp;AH14&amp;" kemampuan dalam "&amp;VLOOKUP(AJ14,$S$2:$AK$11,19)),""))</f>
        <v/>
      </c>
      <c r="AL14" s="276"/>
      <c r="AM14" s="277"/>
      <c r="AN14" s="277"/>
      <c r="AO14" s="277"/>
      <c r="AP14" s="277"/>
      <c r="AQ14" s="277"/>
      <c r="AR14" s="277"/>
      <c r="AS14" s="280"/>
      <c r="AT14" s="277"/>
      <c r="AU14" s="278"/>
      <c r="AV14" s="285" t="str">
        <f t="shared" ref="AV14" si="14">IF(COUNT(AL14:AU14)&lt;2,"",ROUND(((AL14*$AX$13)+(AM14*$AY$13)+(AN14*$AZ$13)+(AO14*$BA$13)+(AP14*$BB$13)+(AQ14*$BC$13)+(AR14*$BD$13)+(AS14*$BE$13)+(AT14*$BF$13)+(AU14*$BG$13))/$BH$11,0))</f>
        <v/>
      </c>
      <c r="AW14" s="296" t="str">
        <f t="shared" ref="AW14" si="15">IF(AV14="","",IF(AV14&gt;$AN$76,$AV$75,IF(AV14&gt;$AN$77,$AV$76,IF(AV14&gt;$AN$78,$AV$77,$AV$78))))</f>
        <v/>
      </c>
      <c r="AX14" s="1220" t="str">
        <f t="shared" ref="AX14:BG29" si="16">IF(AL14="","",AL14+AX$12)</f>
        <v/>
      </c>
      <c r="AY14" s="1221" t="str">
        <f t="shared" si="16"/>
        <v/>
      </c>
      <c r="AZ14" s="1221" t="str">
        <f t="shared" si="16"/>
        <v/>
      </c>
      <c r="BA14" s="1221" t="str">
        <f t="shared" si="16"/>
        <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0</v>
      </c>
      <c r="BI14" s="286">
        <f t="shared" ref="BI14" si="18">MIN(AX14:BG14)</f>
        <v>0</v>
      </c>
      <c r="BJ14" s="287" t="str">
        <f t="shared" ref="BJ14:BK14" si="19">IF(BH14&gt;$H$76,$AO$75,IF(BH14&gt;$H$77,$AO$76,IF(BH14&gt;$H$78,$AO$77,$AO$78)))</f>
        <v>perlu dimaksimalkan</v>
      </c>
      <c r="BK14" s="287" t="str">
        <f t="shared" si="19"/>
        <v>perlu dimaksimalkan</v>
      </c>
      <c r="BL14" s="286" t="e">
        <f t="shared" ref="BL14" si="20">MATCH(BH14,AX14:BG14,0)</f>
        <v>#N/A</v>
      </c>
      <c r="BM14" s="288" t="e">
        <f t="shared" ref="BM14" si="21">MATCH(BI14,AX14:BG14,0)</f>
        <v>#N/A</v>
      </c>
      <c r="BN14" s="289" t="str">
        <f t="shared" ref="BN14" si="22">IF(AV14="","",IFERROR("Memiliki keterampilan "&amp;IF(BJ14=BK14,BJ14&amp;" dalam "&amp;VLOOKUP(BL14,$AV$2:$BN$11,19)&amp;" dan "&amp;VLOOKUP(BM14,$AV$2:$BN$11,19),BJ14&amp;" dalam "&amp;VLOOKUP(BL14,$AV$2:$BN$11,19)&amp;", "&amp;BK14&amp;" keterampilan dalam "&amp;VLOOKUP(BM14,$AV$2:$BN$11,19)),""))</f>
        <v/>
      </c>
      <c r="BO14" s="67"/>
    </row>
    <row r="15" spans="1:67" ht="33" customHeight="1">
      <c r="A15" s="67"/>
      <c r="B15" s="272">
        <f>IF(D15="","",B14+1)</f>
        <v>2</v>
      </c>
      <c r="C15" s="273">
        <f>IF(Data!F6="","",Data!F6)</f>
        <v>0</v>
      </c>
      <c r="D15" s="274" t="str">
        <f>IF(Data!H6="","",Data!H6)</f>
        <v>Aprianus Bira</v>
      </c>
      <c r="E15" s="275" t="str">
        <f>IF(Data!I6="","",Data!I6)</f>
        <v>L</v>
      </c>
      <c r="F15" s="276"/>
      <c r="G15" s="277"/>
      <c r="H15" s="277"/>
      <c r="I15" s="277"/>
      <c r="J15" s="277"/>
      <c r="K15" s="277"/>
      <c r="L15" s="277"/>
      <c r="M15" s="280"/>
      <c r="N15" s="277"/>
      <c r="O15" s="278"/>
      <c r="P15" s="279" t="str">
        <f>IF(COUNT(U15:AD15)&lt;2,"",ROUND(SUM(U15:AD15)/$AE$12,0))</f>
        <v/>
      </c>
      <c r="Q15" s="277"/>
      <c r="R15" s="280"/>
      <c r="S15" s="281" t="str">
        <f>IFERROR(ROUND(((P15*$P$13)+(Q15*$Q$13)+(R15*$R$13))/$AF$12,0),"")</f>
        <v/>
      </c>
      <c r="T15" s="295" t="str">
        <f>IF(S15="","",IF(S15&gt;$H$76,$Q$75,IF(S15&gt;$H$77,$Q$76,IF(S15&gt;$H$78,$Q$77,$Q$78))))</f>
        <v/>
      </c>
      <c r="U15" s="1215" t="str">
        <f t="shared" si="7"/>
        <v/>
      </c>
      <c r="V15" s="1216" t="str">
        <f t="shared" si="7"/>
        <v/>
      </c>
      <c r="W15" s="1216" t="str">
        <f t="shared" si="7"/>
        <v/>
      </c>
      <c r="X15" s="1216" t="str">
        <f t="shared" si="7"/>
        <v/>
      </c>
      <c r="Y15" s="1216" t="str">
        <f t="shared" si="7"/>
        <v/>
      </c>
      <c r="Z15" s="1216" t="str">
        <f t="shared" si="7"/>
        <v/>
      </c>
      <c r="AA15" s="1216" t="str">
        <f t="shared" si="7"/>
        <v/>
      </c>
      <c r="AB15" s="1217" t="str">
        <f t="shared" si="7"/>
        <v/>
      </c>
      <c r="AC15" s="1216" t="str">
        <f t="shared" si="7"/>
        <v/>
      </c>
      <c r="AD15" s="1218" t="str">
        <f t="shared" si="7"/>
        <v/>
      </c>
      <c r="AE15" s="1219">
        <f>MAX(U15:AD15)</f>
        <v>0</v>
      </c>
      <c r="AF15" s="282">
        <f>MIN(U15:AD15)</f>
        <v>0</v>
      </c>
      <c r="AG15" s="282" t="str">
        <f>IF(AE15&gt;$H$76,$I$75,IF(AE15&gt;$H$77,$I$76,IF(AE15&gt;$H$78,$I$77,$I$78)))</f>
        <v>perlu dimaksimalkan</v>
      </c>
      <c r="AH15" s="282" t="str">
        <f t="shared" si="10"/>
        <v>perlu dimaksimalkan</v>
      </c>
      <c r="AI15" s="282" t="str">
        <f>IFERROR(MATCH(AE15,U15:AD15,0),"")</f>
        <v/>
      </c>
      <c r="AJ15" s="283" t="str">
        <f>IFERROR(MATCH(AF15,U15:AD15,0),"")</f>
        <v/>
      </c>
      <c r="AK15" s="284" t="str">
        <f>IF(S15="","",IFERROR("Memiliki kemampuan "&amp;IF(AG15=AH15,AG15&amp;" dalam "&amp;VLOOKUP(AI15,$S$2:$AK$11,19)&amp;" dan "&amp;VLOOKUP(AJ15,$S$2:$AK$11,19),AG15&amp;" dalam "&amp;VLOOKUP(AI15,$S$2:$AK$11,19)&amp;", "&amp;AH15&amp;" kemampuan dalam "&amp;VLOOKUP(AJ15,$S$2:$AK$11,19)),""))</f>
        <v/>
      </c>
      <c r="AL15" s="276"/>
      <c r="AM15" s="277"/>
      <c r="AN15" s="277"/>
      <c r="AO15" s="277"/>
      <c r="AP15" s="277"/>
      <c r="AQ15" s="277"/>
      <c r="AR15" s="277"/>
      <c r="AS15" s="280"/>
      <c r="AT15" s="277"/>
      <c r="AU15" s="278"/>
      <c r="AV15" s="285" t="str">
        <f>IF(COUNT(AL15:AU15)&lt;2,"",ROUND(((AL15*$AX$13)+(AM15*$AY$13)+(AN15*$AZ$13)+(AO15*$BA$13)+(AP15*$BB$13)+(AQ15*$BC$13)+(AR15*$BD$13)+(AS15*$BE$13)+(AT15*$BF$13)+(AU15*$BG$13))/$BH$11,0))</f>
        <v/>
      </c>
      <c r="AW15" s="296" t="str">
        <f>IF(AV15="","",IF(AV15&gt;$AN$76,$AV$75,IF(AV15&gt;$AN$77,$AV$76,IF(AV15&gt;$AN$78,$AV$77,$AV$78))))</f>
        <v/>
      </c>
      <c r="AX15" s="1220" t="str">
        <f t="shared" si="16"/>
        <v/>
      </c>
      <c r="AY15" s="1221" t="str">
        <f t="shared" si="16"/>
        <v/>
      </c>
      <c r="AZ15" s="1221" t="str">
        <f>IF(AN15="","",AN15+AZ$12)</f>
        <v/>
      </c>
      <c r="BA15" s="1221" t="str">
        <f t="shared" si="16"/>
        <v/>
      </c>
      <c r="BB15" s="1221" t="str">
        <f t="shared" si="16"/>
        <v/>
      </c>
      <c r="BC15" s="1221" t="str">
        <f t="shared" si="16"/>
        <v/>
      </c>
      <c r="BD15" s="1221" t="str">
        <f t="shared" si="16"/>
        <v/>
      </c>
      <c r="BE15" s="1222" t="str">
        <f t="shared" si="16"/>
        <v/>
      </c>
      <c r="BF15" s="1221" t="str">
        <f t="shared" si="16"/>
        <v/>
      </c>
      <c r="BG15" s="1223" t="str">
        <f t="shared" si="16"/>
        <v/>
      </c>
      <c r="BH15" s="286">
        <f>MAX(AX15:BG15)</f>
        <v>0</v>
      </c>
      <c r="BI15" s="286">
        <f>MIN(AX15:BG15)</f>
        <v>0</v>
      </c>
      <c r="BJ15" s="287" t="str">
        <f>IF(BH15&gt;$H$76,$AO$75,IF(BH15&gt;$H$77,$AO$76,IF(BH15&gt;$H$78,$AO$77,$AO$78)))</f>
        <v>perlu dimaksimalkan</v>
      </c>
      <c r="BK15" s="287" t="str">
        <f>IF(BI15&gt;$H$76,$AO$75,IF(BI15&gt;$H$77,$AO$76,IF(BI15&gt;$H$78,$AO$77,$AO$78)))</f>
        <v>perlu dimaksimalkan</v>
      </c>
      <c r="BL15" s="286" t="e">
        <f>MATCH(BH15,AX15:BG15,0)</f>
        <v>#N/A</v>
      </c>
      <c r="BM15" s="288" t="e">
        <f>MATCH(BI15,AX15:BG15,0)</f>
        <v>#N/A</v>
      </c>
      <c r="BN15" s="289" t="str">
        <f>IF(AV15="","",IFERROR("Memiliki keterampilan "&amp;IF(BJ15=BK15,BJ15&amp;" dalam "&amp;VLOOKUP(BL15,$AV$2:$BN$11,19)&amp;" dan "&amp;VLOOKUP(BM15,$AV$2:$BN$11,19),BJ15&amp;" dalam "&amp;VLOOKUP(BL15,$AV$2:$BN$11,19)&amp;", "&amp;BK15&amp;" keterampilan dalam "&amp;VLOOKUP(BM15,$AV$2:$BN$11,19)),""))</f>
        <v/>
      </c>
      <c r="BO15" s="67"/>
    </row>
    <row r="16" spans="1:67" ht="33" customHeight="1">
      <c r="A16" s="67"/>
      <c r="B16" s="272">
        <f t="shared" ref="B16:B37" si="23">IF(D16="","",B15+1)</f>
        <v>3</v>
      </c>
      <c r="C16" s="273">
        <f>IF(Data!F7="","",Data!F7)</f>
        <v>0</v>
      </c>
      <c r="D16" s="274" t="str">
        <f>IF(Data!H7="","",Data!H7)</f>
        <v>Asri Aldina Baksuni</v>
      </c>
      <c r="E16" s="275" t="str">
        <f>IF(Data!I7="","",Data!I7)</f>
        <v>P</v>
      </c>
      <c r="F16" s="276"/>
      <c r="G16" s="277"/>
      <c r="H16" s="277"/>
      <c r="I16" s="277"/>
      <c r="J16" s="277"/>
      <c r="K16" s="277"/>
      <c r="L16" s="277"/>
      <c r="M16" s="280"/>
      <c r="N16" s="277"/>
      <c r="O16" s="278"/>
      <c r="P16" s="279" t="str">
        <f t="shared" ref="P16:P63" si="24">IF(COUNT(U16:AD16)&lt;2,"",ROUND(SUM(U16:AD16)/$AE$12,0))</f>
        <v/>
      </c>
      <c r="Q16" s="277"/>
      <c r="R16" s="280"/>
      <c r="S16" s="281" t="str">
        <f t="shared" ref="S16:S63" si="25">IFERROR(ROUND(((P16*$P$13)+(Q16*$Q$13)+(R16*$R$13))/$AF$12,0),"")</f>
        <v/>
      </c>
      <c r="T16" s="295" t="str">
        <f t="shared" ref="T16:T63" si="26">IF(S16="","",IF(S16&gt;$H$76,$Q$75,IF(S16&gt;$H$77,$Q$76,IF(S16&gt;$H$78,$Q$77,$Q$78))))</f>
        <v/>
      </c>
      <c r="U16" s="1215" t="str">
        <f t="shared" si="7"/>
        <v/>
      </c>
      <c r="V16" s="1216" t="str">
        <f t="shared" si="7"/>
        <v/>
      </c>
      <c r="W16" s="1216" t="str">
        <f t="shared" si="7"/>
        <v/>
      </c>
      <c r="X16" s="1216" t="str">
        <f t="shared" si="7"/>
        <v/>
      </c>
      <c r="Y16" s="1216" t="str">
        <f t="shared" si="7"/>
        <v/>
      </c>
      <c r="Z16" s="1216" t="str">
        <f t="shared" si="7"/>
        <v/>
      </c>
      <c r="AA16" s="1216" t="str">
        <f t="shared" si="7"/>
        <v/>
      </c>
      <c r="AB16" s="1217" t="str">
        <f t="shared" si="7"/>
        <v/>
      </c>
      <c r="AC16" s="1216" t="str">
        <f t="shared" si="7"/>
        <v/>
      </c>
      <c r="AD16" s="1218" t="str">
        <f t="shared" si="7"/>
        <v/>
      </c>
      <c r="AE16" s="1219">
        <f t="shared" ref="AE16:AE63" si="27">MAX(U16:AD16)</f>
        <v>0</v>
      </c>
      <c r="AF16" s="282">
        <f t="shared" ref="AF16:AF63" si="28">MIN(U16:AD16)</f>
        <v>0</v>
      </c>
      <c r="AG16" s="282" t="str">
        <f t="shared" ref="AG16:AH63" si="29">IF(AE16&gt;$H$76,$I$75,IF(AE16&gt;$H$77,$I$76,IF(AE16&gt;$H$78,$I$77,$I$78)))</f>
        <v>perlu dimaksimalkan</v>
      </c>
      <c r="AH16" s="282" t="str">
        <f t="shared" si="10"/>
        <v>perlu dimaksimalkan</v>
      </c>
      <c r="AI16" s="282" t="str">
        <f t="shared" ref="AI16:AI63" si="30">IFERROR(MATCH(AE16,U16:AD16,0),"")</f>
        <v/>
      </c>
      <c r="AJ16" s="283" t="str">
        <f t="shared" ref="AJ16:AJ63" si="31">IFERROR(MATCH(AF16,U16:AD16,0),"")</f>
        <v/>
      </c>
      <c r="AK16" s="284" t="str">
        <f t="shared" ref="AK16:AK63" si="32">IF(S16="","",IFERROR("Memiliki kemampuan "&amp;IF(AG16=AH16,AG16&amp;" dalam "&amp;VLOOKUP(AI16,$S$2:$AK$11,19)&amp;" dan "&amp;VLOOKUP(AJ16,$S$2:$AK$11,19),AG16&amp;" dalam "&amp;VLOOKUP(AI16,$S$2:$AK$11,19)&amp;", "&amp;AH16&amp;" kemampuan dalam "&amp;VLOOKUP(AJ16,$S$2:$AK$11,19)),""))</f>
        <v/>
      </c>
      <c r="AL16" s="276"/>
      <c r="AM16" s="277"/>
      <c r="AN16" s="277"/>
      <c r="AO16" s="277"/>
      <c r="AP16" s="277"/>
      <c r="AQ16" s="277"/>
      <c r="AR16" s="277"/>
      <c r="AS16" s="280"/>
      <c r="AT16" s="277"/>
      <c r="AU16" s="278"/>
      <c r="AV16" s="285" t="str">
        <f t="shared" ref="AV16:AV63" si="33">IF(COUNT(AL16:AU16)&lt;2,"",ROUND(((AL16*$AX$13)+(AM16*$AY$13)+(AN16*$AZ$13)+(AO16*$BA$13)+(AP16*$BB$13)+(AQ16*$BC$13)+(AR16*$BD$13)+(AS16*$BE$13)+(AT16*$BF$13)+(AU16*$BG$13))/$BH$11,0))</f>
        <v/>
      </c>
      <c r="AW16" s="296" t="str">
        <f t="shared" ref="AW16:AW63" si="34">IF(AV16="","",IF(AV16&gt;$AN$76,$AV$75,IF(AV16&gt;$AN$77,$AV$76,IF(AV16&gt;$AN$78,$AV$77,$AV$78))))</f>
        <v/>
      </c>
      <c r="AX16" s="1220" t="str">
        <f t="shared" si="16"/>
        <v/>
      </c>
      <c r="AY16" s="1221" t="str">
        <f t="shared" si="16"/>
        <v/>
      </c>
      <c r="AZ16" s="1221" t="str">
        <f t="shared" si="16"/>
        <v/>
      </c>
      <c r="BA16" s="1221" t="str">
        <f t="shared" si="16"/>
        <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0</v>
      </c>
      <c r="BI16" s="286">
        <f t="shared" ref="BI16:BI63" si="36">MIN(AX16:BG16)</f>
        <v>0</v>
      </c>
      <c r="BJ16" s="287" t="str">
        <f t="shared" ref="BJ16:BK63" si="37">IF(BH16&gt;$H$76,$AO$75,IF(BH16&gt;$H$77,$AO$76,IF(BH16&gt;$H$78,$AO$77,$AO$78)))</f>
        <v>perlu dimaksimalkan</v>
      </c>
      <c r="BK16" s="287" t="str">
        <f t="shared" si="37"/>
        <v>perlu dimaksimalkan</v>
      </c>
      <c r="BL16" s="286" t="e">
        <f t="shared" ref="BL16:BL63" si="38">MATCH(BH16,AX16:BG16,0)</f>
        <v>#N/A</v>
      </c>
      <c r="BM16" s="288" t="e">
        <f t="shared" ref="BM16:BM63" si="39">MATCH(BI16,AX16:BG16,0)</f>
        <v>#N/A</v>
      </c>
      <c r="BN16" s="289" t="str">
        <f t="shared" ref="BN16:BN63" si="40">IF(AV16="","",IFERROR("Memiliki keterampilan "&amp;IF(BJ16=BK16,BJ16&amp;" dalam "&amp;VLOOKUP(BL16,$AV$2:$BN$11,19)&amp;" dan "&amp;VLOOKUP(BM16,$AV$2:$BN$11,19),BJ16&amp;" dalam "&amp;VLOOKUP(BL16,$AV$2:$BN$11,19)&amp;", "&amp;BK16&amp;" keterampilan dalam "&amp;VLOOKUP(BM16,$AV$2:$BN$11,19)),""))</f>
        <v/>
      </c>
      <c r="BO16" s="67"/>
    </row>
    <row r="17" spans="1:67" ht="33" customHeight="1">
      <c r="A17" s="67"/>
      <c r="B17" s="272">
        <f t="shared" si="23"/>
        <v>4</v>
      </c>
      <c r="C17" s="273">
        <f>IF(Data!F8="","",Data!F8)</f>
        <v>0</v>
      </c>
      <c r="D17" s="274" t="str">
        <f>IF(Data!H8="","",Data!H8)</f>
        <v>Asti Welmince Welkis</v>
      </c>
      <c r="E17" s="275" t="str">
        <f>IF(Data!I8="","",Data!I8)</f>
        <v>P</v>
      </c>
      <c r="F17" s="276"/>
      <c r="G17" s="277"/>
      <c r="H17" s="277"/>
      <c r="I17" s="277"/>
      <c r="J17" s="277"/>
      <c r="K17" s="277"/>
      <c r="L17" s="277"/>
      <c r="M17" s="280"/>
      <c r="N17" s="277"/>
      <c r="O17" s="278"/>
      <c r="P17" s="279" t="str">
        <f t="shared" si="24"/>
        <v/>
      </c>
      <c r="Q17" s="277"/>
      <c r="R17" s="280"/>
      <c r="S17" s="281" t="str">
        <f t="shared" si="25"/>
        <v/>
      </c>
      <c r="T17" s="295" t="str">
        <f t="shared" si="26"/>
        <v/>
      </c>
      <c r="U17" s="1215" t="str">
        <f t="shared" si="7"/>
        <v/>
      </c>
      <c r="V17" s="1216" t="str">
        <f t="shared" si="7"/>
        <v/>
      </c>
      <c r="W17" s="1216" t="str">
        <f t="shared" si="7"/>
        <v/>
      </c>
      <c r="X17" s="1216" t="str">
        <f t="shared" si="7"/>
        <v/>
      </c>
      <c r="Y17" s="1216" t="str">
        <f t="shared" si="7"/>
        <v/>
      </c>
      <c r="Z17" s="1216" t="str">
        <f t="shared" si="7"/>
        <v/>
      </c>
      <c r="AA17" s="1216" t="str">
        <f t="shared" si="7"/>
        <v/>
      </c>
      <c r="AB17" s="1217" t="str">
        <f t="shared" si="7"/>
        <v/>
      </c>
      <c r="AC17" s="1216" t="str">
        <f t="shared" si="7"/>
        <v/>
      </c>
      <c r="AD17" s="1218" t="str">
        <f t="shared" si="7"/>
        <v/>
      </c>
      <c r="AE17" s="1219">
        <f t="shared" si="27"/>
        <v>0</v>
      </c>
      <c r="AF17" s="282">
        <f t="shared" si="28"/>
        <v>0</v>
      </c>
      <c r="AG17" s="282" t="str">
        <f t="shared" si="29"/>
        <v>perlu dimaksimalkan</v>
      </c>
      <c r="AH17" s="282" t="str">
        <f t="shared" si="10"/>
        <v>perlu dimaksimalkan</v>
      </c>
      <c r="AI17" s="282" t="str">
        <f t="shared" si="30"/>
        <v/>
      </c>
      <c r="AJ17" s="283" t="str">
        <f t="shared" si="31"/>
        <v/>
      </c>
      <c r="AK17" s="284" t="str">
        <f t="shared" si="32"/>
        <v/>
      </c>
      <c r="AL17" s="276"/>
      <c r="AM17" s="277"/>
      <c r="AN17" s="277"/>
      <c r="AO17" s="277"/>
      <c r="AP17" s="277"/>
      <c r="AQ17" s="277"/>
      <c r="AR17" s="277"/>
      <c r="AS17" s="280"/>
      <c r="AT17" s="277"/>
      <c r="AU17" s="278"/>
      <c r="AV17" s="285" t="str">
        <f t="shared" si="33"/>
        <v/>
      </c>
      <c r="AW17" s="296" t="str">
        <f t="shared" si="34"/>
        <v/>
      </c>
      <c r="AX17" s="1220" t="str">
        <f t="shared" si="16"/>
        <v/>
      </c>
      <c r="AY17" s="1221" t="str">
        <f t="shared" si="16"/>
        <v/>
      </c>
      <c r="AZ17" s="1221" t="str">
        <f t="shared" si="16"/>
        <v/>
      </c>
      <c r="BA17" s="1221" t="str">
        <f t="shared" si="16"/>
        <v/>
      </c>
      <c r="BB17" s="1221" t="str">
        <f t="shared" si="16"/>
        <v/>
      </c>
      <c r="BC17" s="1221" t="str">
        <f t="shared" si="16"/>
        <v/>
      </c>
      <c r="BD17" s="1221" t="str">
        <f t="shared" si="16"/>
        <v/>
      </c>
      <c r="BE17" s="1222" t="str">
        <f t="shared" si="16"/>
        <v/>
      </c>
      <c r="BF17" s="1221" t="str">
        <f t="shared" si="16"/>
        <v/>
      </c>
      <c r="BG17" s="1223" t="str">
        <f t="shared" si="16"/>
        <v/>
      </c>
      <c r="BH17" s="286">
        <f t="shared" si="35"/>
        <v>0</v>
      </c>
      <c r="BI17" s="286">
        <f t="shared" si="36"/>
        <v>0</v>
      </c>
      <c r="BJ17" s="287" t="str">
        <f t="shared" si="37"/>
        <v>perlu dimaksimalkan</v>
      </c>
      <c r="BK17" s="287" t="str">
        <f t="shared" si="37"/>
        <v>perlu dimaksimalkan</v>
      </c>
      <c r="BL17" s="286" t="e">
        <f t="shared" si="38"/>
        <v>#N/A</v>
      </c>
      <c r="BM17" s="288" t="e">
        <f t="shared" si="39"/>
        <v>#N/A</v>
      </c>
      <c r="BN17" s="289" t="str">
        <f t="shared" si="40"/>
        <v/>
      </c>
      <c r="BO17" s="67"/>
    </row>
    <row r="18" spans="1:67" ht="33" customHeight="1">
      <c r="A18" s="67"/>
      <c r="B18" s="272">
        <f t="shared" si="23"/>
        <v>5</v>
      </c>
      <c r="C18" s="273">
        <f>IF(Data!F9="","",Data!F9)</f>
        <v>0</v>
      </c>
      <c r="D18" s="274" t="str">
        <f>IF(Data!H9="","",Data!H9)</f>
        <v>Aulya Noviyanti Mbura</v>
      </c>
      <c r="E18" s="275" t="str">
        <f>IF(Data!I9="","",Data!I9)</f>
        <v>P</v>
      </c>
      <c r="F18" s="276"/>
      <c r="G18" s="277"/>
      <c r="H18" s="277"/>
      <c r="I18" s="277"/>
      <c r="J18" s="277"/>
      <c r="K18" s="277"/>
      <c r="L18" s="277"/>
      <c r="M18" s="280"/>
      <c r="N18" s="277"/>
      <c r="O18" s="278"/>
      <c r="P18" s="279" t="str">
        <f t="shared" si="24"/>
        <v/>
      </c>
      <c r="Q18" s="277"/>
      <c r="R18" s="280"/>
      <c r="S18" s="281" t="str">
        <f t="shared" si="25"/>
        <v/>
      </c>
      <c r="T18" s="295" t="str">
        <f t="shared" si="26"/>
        <v/>
      </c>
      <c r="U18" s="1215" t="str">
        <f t="shared" si="7"/>
        <v/>
      </c>
      <c r="V18" s="1216" t="str">
        <f t="shared" si="7"/>
        <v/>
      </c>
      <c r="W18" s="1216" t="str">
        <f t="shared" si="7"/>
        <v/>
      </c>
      <c r="X18" s="1216" t="str">
        <f t="shared" si="7"/>
        <v/>
      </c>
      <c r="Y18" s="1216" t="str">
        <f t="shared" si="7"/>
        <v/>
      </c>
      <c r="Z18" s="1216" t="str">
        <f t="shared" si="7"/>
        <v/>
      </c>
      <c r="AA18" s="1216" t="str">
        <f t="shared" si="7"/>
        <v/>
      </c>
      <c r="AB18" s="1217" t="str">
        <f t="shared" si="7"/>
        <v/>
      </c>
      <c r="AC18" s="1216" t="str">
        <f t="shared" si="7"/>
        <v/>
      </c>
      <c r="AD18" s="1218" t="str">
        <f t="shared" si="7"/>
        <v/>
      </c>
      <c r="AE18" s="1219">
        <f t="shared" si="27"/>
        <v>0</v>
      </c>
      <c r="AF18" s="282">
        <f t="shared" si="28"/>
        <v>0</v>
      </c>
      <c r="AG18" s="282" t="str">
        <f t="shared" si="29"/>
        <v>perlu dimaksimalkan</v>
      </c>
      <c r="AH18" s="282" t="str">
        <f t="shared" si="10"/>
        <v>perlu dimaksimalkan</v>
      </c>
      <c r="AI18" s="282" t="str">
        <f t="shared" si="30"/>
        <v/>
      </c>
      <c r="AJ18" s="283" t="str">
        <f t="shared" si="31"/>
        <v/>
      </c>
      <c r="AK18" s="284" t="str">
        <f t="shared" si="32"/>
        <v/>
      </c>
      <c r="AL18" s="276"/>
      <c r="AM18" s="277"/>
      <c r="AN18" s="277"/>
      <c r="AO18" s="277"/>
      <c r="AP18" s="277"/>
      <c r="AQ18" s="277"/>
      <c r="AR18" s="277"/>
      <c r="AS18" s="280"/>
      <c r="AT18" s="277"/>
      <c r="AU18" s="278"/>
      <c r="AV18" s="285" t="str">
        <f t="shared" si="33"/>
        <v/>
      </c>
      <c r="AW18" s="296" t="str">
        <f t="shared" si="34"/>
        <v/>
      </c>
      <c r="AX18" s="1220" t="str">
        <f t="shared" si="16"/>
        <v/>
      </c>
      <c r="AY18" s="1221" t="str">
        <f t="shared" si="16"/>
        <v/>
      </c>
      <c r="AZ18" s="1221" t="str">
        <f t="shared" si="16"/>
        <v/>
      </c>
      <c r="BA18" s="1221" t="str">
        <f t="shared" si="16"/>
        <v/>
      </c>
      <c r="BB18" s="1221" t="str">
        <f t="shared" si="16"/>
        <v/>
      </c>
      <c r="BC18" s="1221" t="str">
        <f t="shared" si="16"/>
        <v/>
      </c>
      <c r="BD18" s="1221" t="str">
        <f t="shared" si="16"/>
        <v/>
      </c>
      <c r="BE18" s="1222" t="str">
        <f t="shared" si="16"/>
        <v/>
      </c>
      <c r="BF18" s="1221" t="str">
        <f t="shared" si="16"/>
        <v/>
      </c>
      <c r="BG18" s="1223" t="str">
        <f t="shared" si="16"/>
        <v/>
      </c>
      <c r="BH18" s="286">
        <f t="shared" si="35"/>
        <v>0</v>
      </c>
      <c r="BI18" s="286">
        <f t="shared" si="36"/>
        <v>0</v>
      </c>
      <c r="BJ18" s="287" t="str">
        <f t="shared" si="37"/>
        <v>perlu dimaksimalkan</v>
      </c>
      <c r="BK18" s="287" t="str">
        <f t="shared" si="37"/>
        <v>perlu dimaksimalkan</v>
      </c>
      <c r="BL18" s="286" t="e">
        <f t="shared" si="38"/>
        <v>#N/A</v>
      </c>
      <c r="BM18" s="288" t="e">
        <f t="shared" si="39"/>
        <v>#N/A</v>
      </c>
      <c r="BN18" s="289" t="str">
        <f t="shared" si="40"/>
        <v/>
      </c>
      <c r="BO18" s="67"/>
    </row>
    <row r="19" spans="1:67" ht="33" customHeight="1">
      <c r="A19" s="67"/>
      <c r="B19" s="272">
        <f t="shared" si="23"/>
        <v>6</v>
      </c>
      <c r="C19" s="273">
        <f>IF(Data!F10="","",Data!F10)</f>
        <v>0</v>
      </c>
      <c r="D19" s="274" t="str">
        <f>IF(Data!H10="","",Data!H10)</f>
        <v>Ayu Oliberta Ranboki</v>
      </c>
      <c r="E19" s="275" t="str">
        <f>IF(Data!I10="","",Data!I10)</f>
        <v>P</v>
      </c>
      <c r="F19" s="276"/>
      <c r="G19" s="277"/>
      <c r="H19" s="277"/>
      <c r="I19" s="277"/>
      <c r="J19" s="277"/>
      <c r="K19" s="277"/>
      <c r="L19" s="277"/>
      <c r="M19" s="280"/>
      <c r="N19" s="277"/>
      <c r="O19" s="278"/>
      <c r="P19" s="279" t="str">
        <f t="shared" si="24"/>
        <v/>
      </c>
      <c r="Q19" s="277"/>
      <c r="R19" s="280"/>
      <c r="S19" s="281" t="str">
        <f t="shared" si="25"/>
        <v/>
      </c>
      <c r="T19" s="295" t="str">
        <f t="shared" si="26"/>
        <v/>
      </c>
      <c r="U19" s="1215" t="str">
        <f t="shared" si="7"/>
        <v/>
      </c>
      <c r="V19" s="1216" t="str">
        <f t="shared" si="7"/>
        <v/>
      </c>
      <c r="W19" s="1216" t="str">
        <f t="shared" si="7"/>
        <v/>
      </c>
      <c r="X19" s="1216" t="str">
        <f t="shared" si="7"/>
        <v/>
      </c>
      <c r="Y19" s="1216" t="str">
        <f t="shared" si="7"/>
        <v/>
      </c>
      <c r="Z19" s="1216" t="str">
        <f t="shared" si="7"/>
        <v/>
      </c>
      <c r="AA19" s="1216" t="str">
        <f t="shared" si="7"/>
        <v/>
      </c>
      <c r="AB19" s="1217" t="str">
        <f t="shared" si="7"/>
        <v/>
      </c>
      <c r="AC19" s="1216" t="str">
        <f t="shared" si="7"/>
        <v/>
      </c>
      <c r="AD19" s="1218" t="str">
        <f t="shared" si="7"/>
        <v/>
      </c>
      <c r="AE19" s="1219">
        <f t="shared" si="27"/>
        <v>0</v>
      </c>
      <c r="AF19" s="282">
        <f t="shared" si="28"/>
        <v>0</v>
      </c>
      <c r="AG19" s="282" t="str">
        <f t="shared" si="29"/>
        <v>perlu dimaksimalkan</v>
      </c>
      <c r="AH19" s="282" t="str">
        <f t="shared" si="10"/>
        <v>perlu dimaksimalkan</v>
      </c>
      <c r="AI19" s="282" t="str">
        <f t="shared" si="30"/>
        <v/>
      </c>
      <c r="AJ19" s="283" t="str">
        <f t="shared" si="31"/>
        <v/>
      </c>
      <c r="AK19" s="284" t="str">
        <f t="shared" si="32"/>
        <v/>
      </c>
      <c r="AL19" s="276"/>
      <c r="AM19" s="277"/>
      <c r="AN19" s="277"/>
      <c r="AO19" s="277"/>
      <c r="AP19" s="277"/>
      <c r="AQ19" s="277"/>
      <c r="AR19" s="277"/>
      <c r="AS19" s="280"/>
      <c r="AT19" s="277"/>
      <c r="AU19" s="278"/>
      <c r="AV19" s="285" t="str">
        <f t="shared" si="33"/>
        <v/>
      </c>
      <c r="AW19" s="296" t="str">
        <f t="shared" si="34"/>
        <v/>
      </c>
      <c r="AX19" s="1220" t="str">
        <f t="shared" si="16"/>
        <v/>
      </c>
      <c r="AY19" s="1221" t="str">
        <f t="shared" si="16"/>
        <v/>
      </c>
      <c r="AZ19" s="1221" t="str">
        <f t="shared" si="16"/>
        <v/>
      </c>
      <c r="BA19" s="1221" t="str">
        <f t="shared" si="16"/>
        <v/>
      </c>
      <c r="BB19" s="1221" t="str">
        <f t="shared" si="16"/>
        <v/>
      </c>
      <c r="BC19" s="1221" t="str">
        <f t="shared" si="16"/>
        <v/>
      </c>
      <c r="BD19" s="1221" t="str">
        <f t="shared" si="16"/>
        <v/>
      </c>
      <c r="BE19" s="1222" t="str">
        <f t="shared" si="16"/>
        <v/>
      </c>
      <c r="BF19" s="1221" t="str">
        <f t="shared" si="16"/>
        <v/>
      </c>
      <c r="BG19" s="1223" t="str">
        <f t="shared" si="16"/>
        <v/>
      </c>
      <c r="BH19" s="286">
        <f t="shared" si="35"/>
        <v>0</v>
      </c>
      <c r="BI19" s="286">
        <f t="shared" si="36"/>
        <v>0</v>
      </c>
      <c r="BJ19" s="287" t="str">
        <f t="shared" si="37"/>
        <v>perlu dimaksimalkan</v>
      </c>
      <c r="BK19" s="287" t="str">
        <f t="shared" si="37"/>
        <v>perlu dimaksimalkan</v>
      </c>
      <c r="BL19" s="286" t="e">
        <f t="shared" si="38"/>
        <v>#N/A</v>
      </c>
      <c r="BM19" s="288" t="e">
        <f t="shared" si="39"/>
        <v>#N/A</v>
      </c>
      <c r="BN19" s="289" t="str">
        <f t="shared" si="40"/>
        <v/>
      </c>
      <c r="BO19" s="67"/>
    </row>
    <row r="20" spans="1:67" ht="33" customHeight="1">
      <c r="A20" s="67"/>
      <c r="B20" s="272">
        <f t="shared" si="23"/>
        <v>7</v>
      </c>
      <c r="C20" s="273">
        <f>IF(Data!F11="","",Data!F11)</f>
        <v>0</v>
      </c>
      <c r="D20" s="274" t="str">
        <f>IF(Data!H11="","",Data!H11)</f>
        <v>Benediktus Faot</v>
      </c>
      <c r="E20" s="275" t="str">
        <f>IF(Data!I11="","",Data!I11)</f>
        <v>L</v>
      </c>
      <c r="F20" s="276"/>
      <c r="G20" s="277"/>
      <c r="H20" s="277"/>
      <c r="I20" s="277"/>
      <c r="J20" s="277"/>
      <c r="K20" s="277"/>
      <c r="L20" s="277"/>
      <c r="M20" s="280"/>
      <c r="N20" s="277"/>
      <c r="O20" s="278"/>
      <c r="P20" s="279" t="str">
        <f t="shared" si="24"/>
        <v/>
      </c>
      <c r="Q20" s="277"/>
      <c r="R20" s="280"/>
      <c r="S20" s="281" t="str">
        <f t="shared" si="25"/>
        <v/>
      </c>
      <c r="T20" s="295" t="str">
        <f t="shared" si="26"/>
        <v/>
      </c>
      <c r="U20" s="1215" t="str">
        <f t="shared" si="7"/>
        <v/>
      </c>
      <c r="V20" s="1216" t="str">
        <f t="shared" si="7"/>
        <v/>
      </c>
      <c r="W20" s="1216" t="str">
        <f t="shared" si="7"/>
        <v/>
      </c>
      <c r="X20" s="1216" t="str">
        <f t="shared" si="7"/>
        <v/>
      </c>
      <c r="Y20" s="1216" t="str">
        <f t="shared" si="7"/>
        <v/>
      </c>
      <c r="Z20" s="1216" t="str">
        <f t="shared" si="7"/>
        <v/>
      </c>
      <c r="AA20" s="1216" t="str">
        <f t="shared" si="7"/>
        <v/>
      </c>
      <c r="AB20" s="1217" t="str">
        <f t="shared" si="7"/>
        <v/>
      </c>
      <c r="AC20" s="1216" t="str">
        <f t="shared" si="7"/>
        <v/>
      </c>
      <c r="AD20" s="1218" t="str">
        <f t="shared" si="7"/>
        <v/>
      </c>
      <c r="AE20" s="1219">
        <f t="shared" si="27"/>
        <v>0</v>
      </c>
      <c r="AF20" s="282">
        <f t="shared" si="28"/>
        <v>0</v>
      </c>
      <c r="AG20" s="282" t="str">
        <f t="shared" si="29"/>
        <v>perlu dimaksimalkan</v>
      </c>
      <c r="AH20" s="282" t="str">
        <f t="shared" si="10"/>
        <v>perlu dimaksimalkan</v>
      </c>
      <c r="AI20" s="282" t="str">
        <f t="shared" si="30"/>
        <v/>
      </c>
      <c r="AJ20" s="283" t="str">
        <f t="shared" si="31"/>
        <v/>
      </c>
      <c r="AK20" s="284" t="str">
        <f t="shared" si="32"/>
        <v/>
      </c>
      <c r="AL20" s="276"/>
      <c r="AM20" s="277"/>
      <c r="AN20" s="277"/>
      <c r="AO20" s="277"/>
      <c r="AP20" s="277"/>
      <c r="AQ20" s="277"/>
      <c r="AR20" s="277"/>
      <c r="AS20" s="280"/>
      <c r="AT20" s="277"/>
      <c r="AU20" s="278"/>
      <c r="AV20" s="285" t="str">
        <f t="shared" si="33"/>
        <v/>
      </c>
      <c r="AW20" s="296" t="str">
        <f t="shared" si="34"/>
        <v/>
      </c>
      <c r="AX20" s="1220" t="str">
        <f t="shared" si="16"/>
        <v/>
      </c>
      <c r="AY20" s="1221" t="str">
        <f t="shared" si="16"/>
        <v/>
      </c>
      <c r="AZ20" s="1221" t="str">
        <f t="shared" si="16"/>
        <v/>
      </c>
      <c r="BA20" s="1221" t="str">
        <f t="shared" si="16"/>
        <v/>
      </c>
      <c r="BB20" s="1221" t="str">
        <f t="shared" si="16"/>
        <v/>
      </c>
      <c r="BC20" s="1221" t="str">
        <f t="shared" si="16"/>
        <v/>
      </c>
      <c r="BD20" s="1221" t="str">
        <f t="shared" si="16"/>
        <v/>
      </c>
      <c r="BE20" s="1222" t="str">
        <f t="shared" si="16"/>
        <v/>
      </c>
      <c r="BF20" s="1221" t="str">
        <f t="shared" si="16"/>
        <v/>
      </c>
      <c r="BG20" s="1223" t="str">
        <f t="shared" si="16"/>
        <v/>
      </c>
      <c r="BH20" s="286">
        <f t="shared" si="35"/>
        <v>0</v>
      </c>
      <c r="BI20" s="286">
        <f t="shared" si="36"/>
        <v>0</v>
      </c>
      <c r="BJ20" s="287" t="str">
        <f t="shared" si="37"/>
        <v>perlu dimaksimalkan</v>
      </c>
      <c r="BK20" s="287" t="str">
        <f t="shared" si="37"/>
        <v>perlu dimaksimalkan</v>
      </c>
      <c r="BL20" s="286" t="e">
        <f t="shared" si="38"/>
        <v>#N/A</v>
      </c>
      <c r="BM20" s="288" t="e">
        <f t="shared" si="39"/>
        <v>#N/A</v>
      </c>
      <c r="BN20" s="289" t="str">
        <f t="shared" si="40"/>
        <v/>
      </c>
      <c r="BO20" s="67"/>
    </row>
    <row r="21" spans="1:67" ht="33" customHeight="1">
      <c r="A21" s="67"/>
      <c r="B21" s="272">
        <f t="shared" si="23"/>
        <v>8</v>
      </c>
      <c r="C21" s="273">
        <f>IF(Data!F12="","",Data!F12)</f>
        <v>0</v>
      </c>
      <c r="D21" s="274" t="str">
        <f>IF(Data!H12="","",Data!H12)</f>
        <v>Betron Imanuel Kuni</v>
      </c>
      <c r="E21" s="275" t="str">
        <f>IF(Data!I12="","",Data!I12)</f>
        <v>L</v>
      </c>
      <c r="F21" s="276"/>
      <c r="G21" s="277"/>
      <c r="H21" s="277"/>
      <c r="I21" s="277"/>
      <c r="J21" s="277"/>
      <c r="K21" s="277"/>
      <c r="L21" s="277"/>
      <c r="M21" s="280"/>
      <c r="N21" s="277"/>
      <c r="O21" s="278"/>
      <c r="P21" s="279" t="str">
        <f t="shared" si="24"/>
        <v/>
      </c>
      <c r="Q21" s="277"/>
      <c r="R21" s="280"/>
      <c r="S21" s="281" t="str">
        <f t="shared" si="25"/>
        <v/>
      </c>
      <c r="T21" s="295" t="str">
        <f t="shared" si="26"/>
        <v/>
      </c>
      <c r="U21" s="1215" t="str">
        <f t="shared" si="7"/>
        <v/>
      </c>
      <c r="V21" s="1216" t="str">
        <f t="shared" si="7"/>
        <v/>
      </c>
      <c r="W21" s="1216" t="str">
        <f t="shared" si="7"/>
        <v/>
      </c>
      <c r="X21" s="1216" t="str">
        <f t="shared" si="7"/>
        <v/>
      </c>
      <c r="Y21" s="1216" t="str">
        <f t="shared" si="7"/>
        <v/>
      </c>
      <c r="Z21" s="1216" t="str">
        <f t="shared" si="7"/>
        <v/>
      </c>
      <c r="AA21" s="1216" t="str">
        <f t="shared" si="7"/>
        <v/>
      </c>
      <c r="AB21" s="1217" t="str">
        <f t="shared" si="7"/>
        <v/>
      </c>
      <c r="AC21" s="1216" t="str">
        <f t="shared" si="7"/>
        <v/>
      </c>
      <c r="AD21" s="1218" t="str">
        <f t="shared" si="7"/>
        <v/>
      </c>
      <c r="AE21" s="1219">
        <f t="shared" si="27"/>
        <v>0</v>
      </c>
      <c r="AF21" s="282">
        <f t="shared" si="28"/>
        <v>0</v>
      </c>
      <c r="AG21" s="282" t="str">
        <f t="shared" si="29"/>
        <v>perlu dimaksimalkan</v>
      </c>
      <c r="AH21" s="282" t="str">
        <f t="shared" si="10"/>
        <v>perlu dimaksimalkan</v>
      </c>
      <c r="AI21" s="282" t="str">
        <f t="shared" si="30"/>
        <v/>
      </c>
      <c r="AJ21" s="283" t="str">
        <f t="shared" si="31"/>
        <v/>
      </c>
      <c r="AK21" s="284" t="str">
        <f t="shared" si="32"/>
        <v/>
      </c>
      <c r="AL21" s="276"/>
      <c r="AM21" s="277"/>
      <c r="AN21" s="277"/>
      <c r="AO21" s="277"/>
      <c r="AP21" s="277"/>
      <c r="AQ21" s="277"/>
      <c r="AR21" s="277"/>
      <c r="AS21" s="280"/>
      <c r="AT21" s="277"/>
      <c r="AU21" s="278"/>
      <c r="AV21" s="285" t="str">
        <f t="shared" si="33"/>
        <v/>
      </c>
      <c r="AW21" s="296" t="str">
        <f t="shared" si="34"/>
        <v/>
      </c>
      <c r="AX21" s="1220" t="str">
        <f t="shared" si="16"/>
        <v/>
      </c>
      <c r="AY21" s="1221" t="str">
        <f t="shared" si="16"/>
        <v/>
      </c>
      <c r="AZ21" s="1221" t="str">
        <f t="shared" si="16"/>
        <v/>
      </c>
      <c r="BA21" s="1221" t="str">
        <f t="shared" si="16"/>
        <v/>
      </c>
      <c r="BB21" s="1221" t="str">
        <f t="shared" si="16"/>
        <v/>
      </c>
      <c r="BC21" s="1221" t="str">
        <f t="shared" si="16"/>
        <v/>
      </c>
      <c r="BD21" s="1221" t="str">
        <f t="shared" si="16"/>
        <v/>
      </c>
      <c r="BE21" s="1222" t="str">
        <f t="shared" si="16"/>
        <v/>
      </c>
      <c r="BF21" s="1221" t="str">
        <f t="shared" si="16"/>
        <v/>
      </c>
      <c r="BG21" s="1223" t="str">
        <f t="shared" si="16"/>
        <v/>
      </c>
      <c r="BH21" s="286">
        <f t="shared" si="35"/>
        <v>0</v>
      </c>
      <c r="BI21" s="286">
        <f t="shared" si="36"/>
        <v>0</v>
      </c>
      <c r="BJ21" s="287" t="str">
        <f t="shared" si="37"/>
        <v>perlu dimaksimalkan</v>
      </c>
      <c r="BK21" s="287" t="str">
        <f t="shared" si="37"/>
        <v>perlu dimaksimalkan</v>
      </c>
      <c r="BL21" s="286" t="e">
        <f t="shared" si="38"/>
        <v>#N/A</v>
      </c>
      <c r="BM21" s="288" t="e">
        <f t="shared" si="39"/>
        <v>#N/A</v>
      </c>
      <c r="BN21" s="289" t="str">
        <f t="shared" si="40"/>
        <v/>
      </c>
      <c r="BO21" s="67"/>
    </row>
    <row r="22" spans="1:67" ht="33" customHeight="1">
      <c r="A22" s="67"/>
      <c r="B22" s="272">
        <f t="shared" si="23"/>
        <v>9</v>
      </c>
      <c r="C22" s="273">
        <f>IF(Data!F13="","",Data!F13)</f>
        <v>0</v>
      </c>
      <c r="D22" s="274" t="str">
        <f>IF(Data!H13="","",Data!H13)</f>
        <v>Demrianus Ton</v>
      </c>
      <c r="E22" s="275" t="str">
        <f>IF(Data!I13="","",Data!I13)</f>
        <v>L</v>
      </c>
      <c r="F22" s="276"/>
      <c r="G22" s="277"/>
      <c r="H22" s="277"/>
      <c r="I22" s="277"/>
      <c r="J22" s="277"/>
      <c r="K22" s="277"/>
      <c r="L22" s="277"/>
      <c r="M22" s="280"/>
      <c r="N22" s="277"/>
      <c r="O22" s="278"/>
      <c r="P22" s="279" t="str">
        <f t="shared" si="24"/>
        <v/>
      </c>
      <c r="Q22" s="277"/>
      <c r="R22" s="280"/>
      <c r="S22" s="281" t="str">
        <f t="shared" si="25"/>
        <v/>
      </c>
      <c r="T22" s="295" t="str">
        <f t="shared" si="26"/>
        <v/>
      </c>
      <c r="U22" s="1215" t="str">
        <f t="shared" si="7"/>
        <v/>
      </c>
      <c r="V22" s="1216" t="str">
        <f t="shared" si="7"/>
        <v/>
      </c>
      <c r="W22" s="1216" t="str">
        <f t="shared" si="7"/>
        <v/>
      </c>
      <c r="X22" s="1216" t="str">
        <f t="shared" si="7"/>
        <v/>
      </c>
      <c r="Y22" s="1216" t="str">
        <f t="shared" si="7"/>
        <v/>
      </c>
      <c r="Z22" s="1216" t="str">
        <f t="shared" si="7"/>
        <v/>
      </c>
      <c r="AA22" s="1216" t="str">
        <f t="shared" si="7"/>
        <v/>
      </c>
      <c r="AB22" s="1217" t="str">
        <f t="shared" si="7"/>
        <v/>
      </c>
      <c r="AC22" s="1216" t="str">
        <f t="shared" si="7"/>
        <v/>
      </c>
      <c r="AD22" s="1218" t="str">
        <f t="shared" si="7"/>
        <v/>
      </c>
      <c r="AE22" s="1219">
        <f t="shared" si="27"/>
        <v>0</v>
      </c>
      <c r="AF22" s="282">
        <f t="shared" si="28"/>
        <v>0</v>
      </c>
      <c r="AG22" s="282" t="str">
        <f t="shared" si="29"/>
        <v>perlu dimaksimalkan</v>
      </c>
      <c r="AH22" s="282" t="str">
        <f t="shared" si="10"/>
        <v>perlu dimaksimalkan</v>
      </c>
      <c r="AI22" s="282" t="str">
        <f t="shared" si="30"/>
        <v/>
      </c>
      <c r="AJ22" s="283" t="str">
        <f t="shared" si="31"/>
        <v/>
      </c>
      <c r="AK22" s="284" t="str">
        <f t="shared" si="32"/>
        <v/>
      </c>
      <c r="AL22" s="276"/>
      <c r="AM22" s="277"/>
      <c r="AN22" s="277"/>
      <c r="AO22" s="277"/>
      <c r="AP22" s="277"/>
      <c r="AQ22" s="277"/>
      <c r="AR22" s="277"/>
      <c r="AS22" s="280"/>
      <c r="AT22" s="277"/>
      <c r="AU22" s="278"/>
      <c r="AV22" s="285" t="str">
        <f t="shared" si="33"/>
        <v/>
      </c>
      <c r="AW22" s="296" t="str">
        <f t="shared" si="34"/>
        <v/>
      </c>
      <c r="AX22" s="1220" t="str">
        <f t="shared" si="16"/>
        <v/>
      </c>
      <c r="AY22" s="1221" t="str">
        <f t="shared" si="16"/>
        <v/>
      </c>
      <c r="AZ22" s="1221" t="str">
        <f t="shared" si="16"/>
        <v/>
      </c>
      <c r="BA22" s="1221" t="str">
        <f t="shared" si="16"/>
        <v/>
      </c>
      <c r="BB22" s="1221" t="str">
        <f t="shared" si="16"/>
        <v/>
      </c>
      <c r="BC22" s="1221" t="str">
        <f t="shared" si="16"/>
        <v/>
      </c>
      <c r="BD22" s="1221" t="str">
        <f t="shared" si="16"/>
        <v/>
      </c>
      <c r="BE22" s="1222" t="str">
        <f t="shared" si="16"/>
        <v/>
      </c>
      <c r="BF22" s="1221" t="str">
        <f t="shared" si="16"/>
        <v/>
      </c>
      <c r="BG22" s="1223" t="str">
        <f t="shared" si="16"/>
        <v/>
      </c>
      <c r="BH22" s="286">
        <f t="shared" si="35"/>
        <v>0</v>
      </c>
      <c r="BI22" s="286">
        <f t="shared" si="36"/>
        <v>0</v>
      </c>
      <c r="BJ22" s="287" t="str">
        <f t="shared" si="37"/>
        <v>perlu dimaksimalkan</v>
      </c>
      <c r="BK22" s="287" t="str">
        <f t="shared" si="37"/>
        <v>perlu dimaksimalkan</v>
      </c>
      <c r="BL22" s="286" t="e">
        <f t="shared" si="38"/>
        <v>#N/A</v>
      </c>
      <c r="BM22" s="288" t="e">
        <f t="shared" si="39"/>
        <v>#N/A</v>
      </c>
      <c r="BN22" s="289" t="str">
        <f t="shared" si="40"/>
        <v/>
      </c>
      <c r="BO22" s="67"/>
    </row>
    <row r="23" spans="1:67" ht="33" customHeight="1">
      <c r="A23" s="67"/>
      <c r="B23" s="272">
        <f t="shared" si="23"/>
        <v>10</v>
      </c>
      <c r="C23" s="273">
        <f>IF(Data!F14="","",Data!F14)</f>
        <v>0</v>
      </c>
      <c r="D23" s="274" t="str">
        <f>IF(Data!H14="","",Data!H14)</f>
        <v>Desti Manggoa</v>
      </c>
      <c r="E23" s="275" t="str">
        <f>IF(Data!I14="","",Data!I14)</f>
        <v>P</v>
      </c>
      <c r="F23" s="276"/>
      <c r="G23" s="277"/>
      <c r="H23" s="277"/>
      <c r="I23" s="277"/>
      <c r="J23" s="277"/>
      <c r="K23" s="277"/>
      <c r="L23" s="277"/>
      <c r="M23" s="280"/>
      <c r="N23" s="277"/>
      <c r="O23" s="278"/>
      <c r="P23" s="279" t="str">
        <f t="shared" si="24"/>
        <v/>
      </c>
      <c r="Q23" s="277"/>
      <c r="R23" s="280"/>
      <c r="S23" s="281" t="str">
        <f t="shared" si="25"/>
        <v/>
      </c>
      <c r="T23" s="295" t="str">
        <f t="shared" si="26"/>
        <v/>
      </c>
      <c r="U23" s="1215" t="str">
        <f t="shared" si="7"/>
        <v/>
      </c>
      <c r="V23" s="1216" t="str">
        <f t="shared" si="7"/>
        <v/>
      </c>
      <c r="W23" s="1216" t="str">
        <f t="shared" si="7"/>
        <v/>
      </c>
      <c r="X23" s="1216" t="str">
        <f t="shared" si="7"/>
        <v/>
      </c>
      <c r="Y23" s="1216" t="str">
        <f t="shared" si="7"/>
        <v/>
      </c>
      <c r="Z23" s="1216" t="str">
        <f t="shared" si="7"/>
        <v/>
      </c>
      <c r="AA23" s="1216" t="str">
        <f t="shared" si="7"/>
        <v/>
      </c>
      <c r="AB23" s="1217" t="str">
        <f t="shared" si="7"/>
        <v/>
      </c>
      <c r="AC23" s="1216" t="str">
        <f t="shared" si="7"/>
        <v/>
      </c>
      <c r="AD23" s="1218" t="str">
        <f t="shared" si="7"/>
        <v/>
      </c>
      <c r="AE23" s="1219">
        <f t="shared" si="27"/>
        <v>0</v>
      </c>
      <c r="AF23" s="282">
        <f t="shared" si="28"/>
        <v>0</v>
      </c>
      <c r="AG23" s="282" t="str">
        <f t="shared" si="29"/>
        <v>perlu dimaksimalkan</v>
      </c>
      <c r="AH23" s="282" t="str">
        <f t="shared" si="10"/>
        <v>perlu dimaksimalkan</v>
      </c>
      <c r="AI23" s="282" t="str">
        <f t="shared" si="30"/>
        <v/>
      </c>
      <c r="AJ23" s="283" t="str">
        <f t="shared" si="31"/>
        <v/>
      </c>
      <c r="AK23" s="284" t="str">
        <f t="shared" si="32"/>
        <v/>
      </c>
      <c r="AL23" s="276"/>
      <c r="AM23" s="277"/>
      <c r="AN23" s="277"/>
      <c r="AO23" s="277"/>
      <c r="AP23" s="277"/>
      <c r="AQ23" s="277"/>
      <c r="AR23" s="277"/>
      <c r="AS23" s="280"/>
      <c r="AT23" s="277"/>
      <c r="AU23" s="278"/>
      <c r="AV23" s="285" t="str">
        <f t="shared" si="33"/>
        <v/>
      </c>
      <c r="AW23" s="296" t="str">
        <f t="shared" si="34"/>
        <v/>
      </c>
      <c r="AX23" s="1220" t="str">
        <f t="shared" si="16"/>
        <v/>
      </c>
      <c r="AY23" s="1221" t="str">
        <f t="shared" si="16"/>
        <v/>
      </c>
      <c r="AZ23" s="1221" t="str">
        <f t="shared" si="16"/>
        <v/>
      </c>
      <c r="BA23" s="1221" t="str">
        <f t="shared" si="16"/>
        <v/>
      </c>
      <c r="BB23" s="1221" t="str">
        <f t="shared" si="16"/>
        <v/>
      </c>
      <c r="BC23" s="1221" t="str">
        <f t="shared" si="16"/>
        <v/>
      </c>
      <c r="BD23" s="1221" t="str">
        <f t="shared" si="16"/>
        <v/>
      </c>
      <c r="BE23" s="1222" t="str">
        <f t="shared" si="16"/>
        <v/>
      </c>
      <c r="BF23" s="1221" t="str">
        <f t="shared" si="16"/>
        <v/>
      </c>
      <c r="BG23" s="1223" t="str">
        <f t="shared" si="16"/>
        <v/>
      </c>
      <c r="BH23" s="286">
        <f t="shared" si="35"/>
        <v>0</v>
      </c>
      <c r="BI23" s="286">
        <f t="shared" si="36"/>
        <v>0</v>
      </c>
      <c r="BJ23" s="287" t="str">
        <f t="shared" si="37"/>
        <v>perlu dimaksimalkan</v>
      </c>
      <c r="BK23" s="287" t="str">
        <f t="shared" si="37"/>
        <v>perlu dimaksimalkan</v>
      </c>
      <c r="BL23" s="286" t="e">
        <f t="shared" si="38"/>
        <v>#N/A</v>
      </c>
      <c r="BM23" s="288" t="e">
        <f t="shared" si="39"/>
        <v>#N/A</v>
      </c>
      <c r="BN23" s="289" t="str">
        <f t="shared" si="40"/>
        <v/>
      </c>
      <c r="BO23" s="67"/>
    </row>
    <row r="24" spans="1:67" ht="33" customHeight="1">
      <c r="A24" s="67"/>
      <c r="B24" s="272">
        <f t="shared" si="23"/>
        <v>11</v>
      </c>
      <c r="C24" s="273">
        <f>IF(Data!F15="","",Data!F15)</f>
        <v>0</v>
      </c>
      <c r="D24" s="274" t="str">
        <f>IF(Data!H15="","",Data!H15)</f>
        <v>Dorkas Meliana Talita Kesnay</v>
      </c>
      <c r="E24" s="275" t="str">
        <f>IF(Data!I15="","",Data!I15)</f>
        <v>P</v>
      </c>
      <c r="F24" s="276"/>
      <c r="G24" s="277"/>
      <c r="H24" s="277"/>
      <c r="I24" s="277"/>
      <c r="J24" s="277"/>
      <c r="K24" s="277"/>
      <c r="L24" s="277"/>
      <c r="M24" s="280"/>
      <c r="N24" s="277"/>
      <c r="O24" s="278"/>
      <c r="P24" s="279" t="str">
        <f t="shared" si="24"/>
        <v/>
      </c>
      <c r="Q24" s="277"/>
      <c r="R24" s="280"/>
      <c r="S24" s="281" t="str">
        <f t="shared" si="25"/>
        <v/>
      </c>
      <c r="T24" s="295" t="str">
        <f t="shared" si="26"/>
        <v/>
      </c>
      <c r="U24" s="1215" t="str">
        <f t="shared" si="7"/>
        <v/>
      </c>
      <c r="V24" s="1216" t="str">
        <f t="shared" si="7"/>
        <v/>
      </c>
      <c r="W24" s="1216" t="str">
        <f t="shared" si="7"/>
        <v/>
      </c>
      <c r="X24" s="1216" t="str">
        <f t="shared" si="7"/>
        <v/>
      </c>
      <c r="Y24" s="1216" t="str">
        <f t="shared" si="7"/>
        <v/>
      </c>
      <c r="Z24" s="1216" t="str">
        <f t="shared" si="7"/>
        <v/>
      </c>
      <c r="AA24" s="1216" t="str">
        <f t="shared" si="7"/>
        <v/>
      </c>
      <c r="AB24" s="1217" t="str">
        <f t="shared" si="7"/>
        <v/>
      </c>
      <c r="AC24" s="1216" t="str">
        <f t="shared" si="7"/>
        <v/>
      </c>
      <c r="AD24" s="1218" t="str">
        <f t="shared" si="7"/>
        <v/>
      </c>
      <c r="AE24" s="1219">
        <f t="shared" si="27"/>
        <v>0</v>
      </c>
      <c r="AF24" s="282">
        <f t="shared" si="28"/>
        <v>0</v>
      </c>
      <c r="AG24" s="282" t="str">
        <f t="shared" si="29"/>
        <v>perlu dimaksimalkan</v>
      </c>
      <c r="AH24" s="282" t="str">
        <f t="shared" si="10"/>
        <v>perlu dimaksimalkan</v>
      </c>
      <c r="AI24" s="282" t="str">
        <f t="shared" si="30"/>
        <v/>
      </c>
      <c r="AJ24" s="283" t="str">
        <f t="shared" si="31"/>
        <v/>
      </c>
      <c r="AK24" s="284" t="str">
        <f t="shared" si="32"/>
        <v/>
      </c>
      <c r="AL24" s="276"/>
      <c r="AM24" s="277"/>
      <c r="AN24" s="277"/>
      <c r="AO24" s="277"/>
      <c r="AP24" s="277"/>
      <c r="AQ24" s="277"/>
      <c r="AR24" s="277"/>
      <c r="AS24" s="280"/>
      <c r="AT24" s="277"/>
      <c r="AU24" s="278"/>
      <c r="AV24" s="285" t="str">
        <f t="shared" si="33"/>
        <v/>
      </c>
      <c r="AW24" s="296" t="str">
        <f t="shared" si="34"/>
        <v/>
      </c>
      <c r="AX24" s="1220" t="str">
        <f t="shared" si="16"/>
        <v/>
      </c>
      <c r="AY24" s="1221" t="str">
        <f t="shared" si="16"/>
        <v/>
      </c>
      <c r="AZ24" s="1221" t="str">
        <f t="shared" si="16"/>
        <v/>
      </c>
      <c r="BA24" s="1221" t="str">
        <f t="shared" si="16"/>
        <v/>
      </c>
      <c r="BB24" s="1221" t="str">
        <f t="shared" si="16"/>
        <v/>
      </c>
      <c r="BC24" s="1221" t="str">
        <f t="shared" si="16"/>
        <v/>
      </c>
      <c r="BD24" s="1221" t="str">
        <f t="shared" si="16"/>
        <v/>
      </c>
      <c r="BE24" s="1222" t="str">
        <f t="shared" si="16"/>
        <v/>
      </c>
      <c r="BF24" s="1221" t="str">
        <f t="shared" si="16"/>
        <v/>
      </c>
      <c r="BG24" s="1223" t="str">
        <f t="shared" si="16"/>
        <v/>
      </c>
      <c r="BH24" s="286">
        <f t="shared" si="35"/>
        <v>0</v>
      </c>
      <c r="BI24" s="286">
        <f t="shared" si="36"/>
        <v>0</v>
      </c>
      <c r="BJ24" s="287" t="str">
        <f t="shared" si="37"/>
        <v>perlu dimaksimalkan</v>
      </c>
      <c r="BK24" s="287" t="str">
        <f t="shared" si="37"/>
        <v>perlu dimaksimalkan</v>
      </c>
      <c r="BL24" s="286" t="e">
        <f t="shared" si="38"/>
        <v>#N/A</v>
      </c>
      <c r="BM24" s="288" t="e">
        <f t="shared" si="39"/>
        <v>#N/A</v>
      </c>
      <c r="BN24" s="289" t="str">
        <f t="shared" si="40"/>
        <v/>
      </c>
      <c r="BO24" s="67"/>
    </row>
    <row r="25" spans="1:67" ht="33" customHeight="1">
      <c r="A25" s="67"/>
      <c r="B25" s="272">
        <f t="shared" si="23"/>
        <v>12</v>
      </c>
      <c r="C25" s="273">
        <f>IF(Data!F16="","",Data!F16)</f>
        <v>0</v>
      </c>
      <c r="D25" s="274" t="str">
        <f>IF(Data!H16="","",Data!H16)</f>
        <v>Erto Seprianto Leukune</v>
      </c>
      <c r="E25" s="275" t="str">
        <f>IF(Data!I16="","",Data!I16)</f>
        <v>L</v>
      </c>
      <c r="F25" s="276"/>
      <c r="G25" s="277"/>
      <c r="H25" s="277"/>
      <c r="I25" s="277"/>
      <c r="J25" s="277"/>
      <c r="K25" s="277"/>
      <c r="L25" s="277"/>
      <c r="M25" s="280"/>
      <c r="N25" s="277"/>
      <c r="O25" s="278"/>
      <c r="P25" s="279" t="str">
        <f t="shared" si="24"/>
        <v/>
      </c>
      <c r="Q25" s="277"/>
      <c r="R25" s="280"/>
      <c r="S25" s="281" t="str">
        <f t="shared" si="25"/>
        <v/>
      </c>
      <c r="T25" s="295" t="str">
        <f t="shared" si="26"/>
        <v/>
      </c>
      <c r="U25" s="1215" t="str">
        <f t="shared" si="7"/>
        <v/>
      </c>
      <c r="V25" s="1216" t="str">
        <f t="shared" si="7"/>
        <v/>
      </c>
      <c r="W25" s="1216" t="str">
        <f t="shared" si="7"/>
        <v/>
      </c>
      <c r="X25" s="1216" t="str">
        <f t="shared" si="7"/>
        <v/>
      </c>
      <c r="Y25" s="1216" t="str">
        <f t="shared" si="7"/>
        <v/>
      </c>
      <c r="Z25" s="1216" t="str">
        <f t="shared" si="7"/>
        <v/>
      </c>
      <c r="AA25" s="1216" t="str">
        <f t="shared" si="7"/>
        <v/>
      </c>
      <c r="AB25" s="1217" t="str">
        <f t="shared" si="7"/>
        <v/>
      </c>
      <c r="AC25" s="1216" t="str">
        <f t="shared" si="7"/>
        <v/>
      </c>
      <c r="AD25" s="1218" t="str">
        <f t="shared" si="7"/>
        <v/>
      </c>
      <c r="AE25" s="1219">
        <f t="shared" si="27"/>
        <v>0</v>
      </c>
      <c r="AF25" s="282">
        <f t="shared" si="28"/>
        <v>0</v>
      </c>
      <c r="AG25" s="282" t="str">
        <f t="shared" si="29"/>
        <v>perlu dimaksimalkan</v>
      </c>
      <c r="AH25" s="282" t="str">
        <f t="shared" si="10"/>
        <v>perlu dimaksimalkan</v>
      </c>
      <c r="AI25" s="282" t="str">
        <f t="shared" si="30"/>
        <v/>
      </c>
      <c r="AJ25" s="283" t="str">
        <f t="shared" si="31"/>
        <v/>
      </c>
      <c r="AK25" s="284" t="str">
        <f t="shared" si="32"/>
        <v/>
      </c>
      <c r="AL25" s="276"/>
      <c r="AM25" s="277"/>
      <c r="AN25" s="277"/>
      <c r="AO25" s="277"/>
      <c r="AP25" s="277"/>
      <c r="AQ25" s="277"/>
      <c r="AR25" s="277"/>
      <c r="AS25" s="280"/>
      <c r="AT25" s="277"/>
      <c r="AU25" s="278"/>
      <c r="AV25" s="285" t="str">
        <f t="shared" si="33"/>
        <v/>
      </c>
      <c r="AW25" s="296" t="str">
        <f t="shared" si="34"/>
        <v/>
      </c>
      <c r="AX25" s="1220" t="str">
        <f t="shared" si="16"/>
        <v/>
      </c>
      <c r="AY25" s="1221" t="str">
        <f t="shared" si="16"/>
        <v/>
      </c>
      <c r="AZ25" s="1221" t="str">
        <f t="shared" si="16"/>
        <v/>
      </c>
      <c r="BA25" s="1221" t="str">
        <f t="shared" si="16"/>
        <v/>
      </c>
      <c r="BB25" s="1221" t="str">
        <f t="shared" si="16"/>
        <v/>
      </c>
      <c r="BC25" s="1221" t="str">
        <f t="shared" si="16"/>
        <v/>
      </c>
      <c r="BD25" s="1221" t="str">
        <f t="shared" si="16"/>
        <v/>
      </c>
      <c r="BE25" s="1222" t="str">
        <f t="shared" si="16"/>
        <v/>
      </c>
      <c r="BF25" s="1221" t="str">
        <f t="shared" si="16"/>
        <v/>
      </c>
      <c r="BG25" s="1223" t="str">
        <f t="shared" si="16"/>
        <v/>
      </c>
      <c r="BH25" s="286">
        <f t="shared" si="35"/>
        <v>0</v>
      </c>
      <c r="BI25" s="286">
        <f t="shared" si="36"/>
        <v>0</v>
      </c>
      <c r="BJ25" s="287" t="str">
        <f t="shared" si="37"/>
        <v>perlu dimaksimalkan</v>
      </c>
      <c r="BK25" s="287" t="str">
        <f t="shared" si="37"/>
        <v>perlu dimaksimalkan</v>
      </c>
      <c r="BL25" s="286" t="e">
        <f t="shared" si="38"/>
        <v>#N/A</v>
      </c>
      <c r="BM25" s="288" t="e">
        <f t="shared" si="39"/>
        <v>#N/A</v>
      </c>
      <c r="BN25" s="289" t="str">
        <f t="shared" si="40"/>
        <v/>
      </c>
      <c r="BO25" s="67"/>
    </row>
    <row r="26" spans="1:67" ht="33" customHeight="1">
      <c r="A26" s="67"/>
      <c r="B26" s="272">
        <f t="shared" si="23"/>
        <v>13</v>
      </c>
      <c r="C26" s="273">
        <f>IF(Data!F17="","",Data!F17)</f>
        <v>0</v>
      </c>
      <c r="D26" s="274" t="str">
        <f>IF(Data!H17="","",Data!H17)</f>
        <v>Feli Tipnoni</v>
      </c>
      <c r="E26" s="275" t="str">
        <f>IF(Data!I17="","",Data!I17)</f>
        <v>P</v>
      </c>
      <c r="F26" s="276"/>
      <c r="G26" s="277"/>
      <c r="H26" s="277"/>
      <c r="I26" s="277"/>
      <c r="J26" s="277"/>
      <c r="K26" s="277"/>
      <c r="L26" s="277"/>
      <c r="M26" s="280"/>
      <c r="N26" s="277"/>
      <c r="O26" s="278"/>
      <c r="P26" s="279" t="str">
        <f t="shared" si="24"/>
        <v/>
      </c>
      <c r="Q26" s="277"/>
      <c r="R26" s="280"/>
      <c r="S26" s="281" t="str">
        <f t="shared" si="25"/>
        <v/>
      </c>
      <c r="T26" s="295" t="str">
        <f t="shared" si="26"/>
        <v/>
      </c>
      <c r="U26" s="1215" t="str">
        <f t="shared" si="7"/>
        <v/>
      </c>
      <c r="V26" s="1216" t="str">
        <f t="shared" si="7"/>
        <v/>
      </c>
      <c r="W26" s="1216" t="str">
        <f t="shared" si="7"/>
        <v/>
      </c>
      <c r="X26" s="1216" t="str">
        <f t="shared" si="7"/>
        <v/>
      </c>
      <c r="Y26" s="1216" t="str">
        <f t="shared" si="7"/>
        <v/>
      </c>
      <c r="Z26" s="1216" t="str">
        <f t="shared" si="7"/>
        <v/>
      </c>
      <c r="AA26" s="1216" t="str">
        <f t="shared" si="7"/>
        <v/>
      </c>
      <c r="AB26" s="1217" t="str">
        <f t="shared" si="7"/>
        <v/>
      </c>
      <c r="AC26" s="1216" t="str">
        <f t="shared" si="7"/>
        <v/>
      </c>
      <c r="AD26" s="1218" t="str">
        <f t="shared" si="7"/>
        <v/>
      </c>
      <c r="AE26" s="1219">
        <f t="shared" si="27"/>
        <v>0</v>
      </c>
      <c r="AF26" s="282">
        <f t="shared" si="28"/>
        <v>0</v>
      </c>
      <c r="AG26" s="282" t="str">
        <f t="shared" si="29"/>
        <v>perlu dimaksimalkan</v>
      </c>
      <c r="AH26" s="282" t="str">
        <f t="shared" si="10"/>
        <v>perlu dimaksimalkan</v>
      </c>
      <c r="AI26" s="282" t="str">
        <f t="shared" si="30"/>
        <v/>
      </c>
      <c r="AJ26" s="283" t="str">
        <f t="shared" si="31"/>
        <v/>
      </c>
      <c r="AK26" s="284" t="str">
        <f t="shared" si="32"/>
        <v/>
      </c>
      <c r="AL26" s="276"/>
      <c r="AM26" s="277"/>
      <c r="AN26" s="277"/>
      <c r="AO26" s="277"/>
      <c r="AP26" s="277"/>
      <c r="AQ26" s="277"/>
      <c r="AR26" s="277"/>
      <c r="AS26" s="280"/>
      <c r="AT26" s="277"/>
      <c r="AU26" s="278"/>
      <c r="AV26" s="285" t="str">
        <f t="shared" si="33"/>
        <v/>
      </c>
      <c r="AW26" s="296" t="str">
        <f t="shared" si="34"/>
        <v/>
      </c>
      <c r="AX26" s="1220" t="str">
        <f t="shared" si="16"/>
        <v/>
      </c>
      <c r="AY26" s="1221" t="str">
        <f t="shared" si="16"/>
        <v/>
      </c>
      <c r="AZ26" s="1221" t="str">
        <f t="shared" si="16"/>
        <v/>
      </c>
      <c r="BA26" s="1221" t="str">
        <f t="shared" si="16"/>
        <v/>
      </c>
      <c r="BB26" s="1221" t="str">
        <f t="shared" si="16"/>
        <v/>
      </c>
      <c r="BC26" s="1221" t="str">
        <f t="shared" si="16"/>
        <v/>
      </c>
      <c r="BD26" s="1221" t="str">
        <f t="shared" si="16"/>
        <v/>
      </c>
      <c r="BE26" s="1222" t="str">
        <f t="shared" si="16"/>
        <v/>
      </c>
      <c r="BF26" s="1221" t="str">
        <f t="shared" si="16"/>
        <v/>
      </c>
      <c r="BG26" s="1223" t="str">
        <f t="shared" si="16"/>
        <v/>
      </c>
      <c r="BH26" s="286">
        <f t="shared" si="35"/>
        <v>0</v>
      </c>
      <c r="BI26" s="286">
        <f t="shared" si="36"/>
        <v>0</v>
      </c>
      <c r="BJ26" s="287" t="str">
        <f t="shared" si="37"/>
        <v>perlu dimaksimalkan</v>
      </c>
      <c r="BK26" s="287" t="str">
        <f t="shared" si="37"/>
        <v>perlu dimaksimalkan</v>
      </c>
      <c r="BL26" s="286" t="e">
        <f t="shared" si="38"/>
        <v>#N/A</v>
      </c>
      <c r="BM26" s="288" t="e">
        <f t="shared" si="39"/>
        <v>#N/A</v>
      </c>
      <c r="BN26" s="289" t="str">
        <f t="shared" si="40"/>
        <v/>
      </c>
      <c r="BO26" s="67"/>
    </row>
    <row r="27" spans="1:67" ht="33" customHeight="1">
      <c r="A27" s="67"/>
      <c r="B27" s="272">
        <f t="shared" si="23"/>
        <v>14</v>
      </c>
      <c r="C27" s="273">
        <f>IF(Data!F18="","",Data!F18)</f>
        <v>0</v>
      </c>
      <c r="D27" s="274" t="str">
        <f>IF(Data!H18="","",Data!H18)</f>
        <v xml:space="preserve">Ferdinandes Sakbana </v>
      </c>
      <c r="E27" s="275" t="str">
        <f>IF(Data!I18="","",Data!I18)</f>
        <v>L</v>
      </c>
      <c r="F27" s="276"/>
      <c r="G27" s="277"/>
      <c r="H27" s="277"/>
      <c r="I27" s="277"/>
      <c r="J27" s="277"/>
      <c r="K27" s="277"/>
      <c r="L27" s="277"/>
      <c r="M27" s="280"/>
      <c r="N27" s="277"/>
      <c r="O27" s="278"/>
      <c r="P27" s="279" t="str">
        <f t="shared" si="24"/>
        <v/>
      </c>
      <c r="Q27" s="277"/>
      <c r="R27" s="280"/>
      <c r="S27" s="281" t="str">
        <f t="shared" si="25"/>
        <v/>
      </c>
      <c r="T27" s="295" t="str">
        <f t="shared" si="26"/>
        <v/>
      </c>
      <c r="U27" s="1215" t="str">
        <f t="shared" si="7"/>
        <v/>
      </c>
      <c r="V27" s="1216" t="str">
        <f t="shared" si="7"/>
        <v/>
      </c>
      <c r="W27" s="1216" t="str">
        <f t="shared" si="7"/>
        <v/>
      </c>
      <c r="X27" s="1216" t="str">
        <f t="shared" si="7"/>
        <v/>
      </c>
      <c r="Y27" s="1216" t="str">
        <f t="shared" si="7"/>
        <v/>
      </c>
      <c r="Z27" s="1216" t="str">
        <f t="shared" si="7"/>
        <v/>
      </c>
      <c r="AA27" s="1216" t="str">
        <f t="shared" si="7"/>
        <v/>
      </c>
      <c r="AB27" s="1217" t="str">
        <f t="shared" si="7"/>
        <v/>
      </c>
      <c r="AC27" s="1216" t="str">
        <f t="shared" si="7"/>
        <v/>
      </c>
      <c r="AD27" s="1218" t="str">
        <f t="shared" si="7"/>
        <v/>
      </c>
      <c r="AE27" s="1219">
        <f t="shared" si="27"/>
        <v>0</v>
      </c>
      <c r="AF27" s="282">
        <f t="shared" si="28"/>
        <v>0</v>
      </c>
      <c r="AG27" s="282" t="str">
        <f t="shared" si="29"/>
        <v>perlu dimaksimalkan</v>
      </c>
      <c r="AH27" s="282" t="str">
        <f t="shared" si="10"/>
        <v>perlu dimaksimalkan</v>
      </c>
      <c r="AI27" s="282" t="str">
        <f t="shared" si="30"/>
        <v/>
      </c>
      <c r="AJ27" s="283" t="str">
        <f t="shared" si="31"/>
        <v/>
      </c>
      <c r="AK27" s="284" t="str">
        <f t="shared" si="32"/>
        <v/>
      </c>
      <c r="AL27" s="276"/>
      <c r="AM27" s="277"/>
      <c r="AN27" s="277"/>
      <c r="AO27" s="277"/>
      <c r="AP27" s="277"/>
      <c r="AQ27" s="277"/>
      <c r="AR27" s="277"/>
      <c r="AS27" s="280"/>
      <c r="AT27" s="277"/>
      <c r="AU27" s="278"/>
      <c r="AV27" s="285" t="str">
        <f t="shared" si="33"/>
        <v/>
      </c>
      <c r="AW27" s="296" t="str">
        <f t="shared" si="34"/>
        <v/>
      </c>
      <c r="AX27" s="1220" t="str">
        <f t="shared" si="16"/>
        <v/>
      </c>
      <c r="AY27" s="1221" t="str">
        <f t="shared" si="16"/>
        <v/>
      </c>
      <c r="AZ27" s="1221" t="str">
        <f t="shared" si="16"/>
        <v/>
      </c>
      <c r="BA27" s="1221" t="str">
        <f t="shared" si="16"/>
        <v/>
      </c>
      <c r="BB27" s="1221" t="str">
        <f t="shared" si="16"/>
        <v/>
      </c>
      <c r="BC27" s="1221" t="str">
        <f t="shared" si="16"/>
        <v/>
      </c>
      <c r="BD27" s="1221" t="str">
        <f t="shared" si="16"/>
        <v/>
      </c>
      <c r="BE27" s="1222" t="str">
        <f t="shared" si="16"/>
        <v/>
      </c>
      <c r="BF27" s="1221" t="str">
        <f t="shared" si="16"/>
        <v/>
      </c>
      <c r="BG27" s="1223" t="str">
        <f t="shared" si="16"/>
        <v/>
      </c>
      <c r="BH27" s="286">
        <f t="shared" si="35"/>
        <v>0</v>
      </c>
      <c r="BI27" s="286">
        <f t="shared" si="36"/>
        <v>0</v>
      </c>
      <c r="BJ27" s="287" t="str">
        <f t="shared" si="37"/>
        <v>perlu dimaksimalkan</v>
      </c>
      <c r="BK27" s="287" t="str">
        <f t="shared" si="37"/>
        <v>perlu dimaksimalkan</v>
      </c>
      <c r="BL27" s="286" t="e">
        <f t="shared" si="38"/>
        <v>#N/A</v>
      </c>
      <c r="BM27" s="288" t="e">
        <f t="shared" si="39"/>
        <v>#N/A</v>
      </c>
      <c r="BN27" s="289" t="str">
        <f t="shared" si="40"/>
        <v/>
      </c>
      <c r="BO27" s="67"/>
    </row>
    <row r="28" spans="1:67" ht="33" customHeight="1">
      <c r="A28" s="67"/>
      <c r="B28" s="272">
        <f t="shared" si="23"/>
        <v>15</v>
      </c>
      <c r="C28" s="273">
        <f>IF(Data!F19="","",Data!F19)</f>
        <v>0</v>
      </c>
      <c r="D28" s="274" t="str">
        <f>IF(Data!H19="","",Data!H19)</f>
        <v>Fitri Novani Nitbani</v>
      </c>
      <c r="E28" s="275" t="str">
        <f>IF(Data!I19="","",Data!I19)</f>
        <v>P</v>
      </c>
      <c r="F28" s="276"/>
      <c r="G28" s="277"/>
      <c r="H28" s="277"/>
      <c r="I28" s="277"/>
      <c r="J28" s="277"/>
      <c r="K28" s="277"/>
      <c r="L28" s="277"/>
      <c r="M28" s="280"/>
      <c r="N28" s="277"/>
      <c r="O28" s="278"/>
      <c r="P28" s="279" t="str">
        <f t="shared" si="24"/>
        <v/>
      </c>
      <c r="Q28" s="277"/>
      <c r="R28" s="280"/>
      <c r="S28" s="281" t="str">
        <f t="shared" si="25"/>
        <v/>
      </c>
      <c r="T28" s="295" t="str">
        <f t="shared" si="26"/>
        <v/>
      </c>
      <c r="U28" s="1215" t="str">
        <f t="shared" si="7"/>
        <v/>
      </c>
      <c r="V28" s="1216" t="str">
        <f t="shared" si="7"/>
        <v/>
      </c>
      <c r="W28" s="1216" t="str">
        <f t="shared" si="7"/>
        <v/>
      </c>
      <c r="X28" s="1216" t="str">
        <f t="shared" si="7"/>
        <v/>
      </c>
      <c r="Y28" s="1216" t="str">
        <f t="shared" si="7"/>
        <v/>
      </c>
      <c r="Z28" s="1216" t="str">
        <f t="shared" si="7"/>
        <v/>
      </c>
      <c r="AA28" s="1216" t="str">
        <f t="shared" si="7"/>
        <v/>
      </c>
      <c r="AB28" s="1217" t="str">
        <f t="shared" si="7"/>
        <v/>
      </c>
      <c r="AC28" s="1216" t="str">
        <f t="shared" si="7"/>
        <v/>
      </c>
      <c r="AD28" s="1218" t="str">
        <f t="shared" si="7"/>
        <v/>
      </c>
      <c r="AE28" s="1219">
        <f t="shared" si="27"/>
        <v>0</v>
      </c>
      <c r="AF28" s="282">
        <f t="shared" si="28"/>
        <v>0</v>
      </c>
      <c r="AG28" s="282" t="str">
        <f t="shared" si="29"/>
        <v>perlu dimaksimalkan</v>
      </c>
      <c r="AH28" s="282" t="str">
        <f t="shared" si="10"/>
        <v>perlu dimaksimalkan</v>
      </c>
      <c r="AI28" s="282" t="str">
        <f t="shared" si="30"/>
        <v/>
      </c>
      <c r="AJ28" s="283" t="str">
        <f t="shared" si="31"/>
        <v/>
      </c>
      <c r="AK28" s="284" t="str">
        <f t="shared" si="32"/>
        <v/>
      </c>
      <c r="AL28" s="276"/>
      <c r="AM28" s="277"/>
      <c r="AN28" s="277"/>
      <c r="AO28" s="277"/>
      <c r="AP28" s="277"/>
      <c r="AQ28" s="277"/>
      <c r="AR28" s="277"/>
      <c r="AS28" s="280"/>
      <c r="AT28" s="277"/>
      <c r="AU28" s="278"/>
      <c r="AV28" s="285" t="str">
        <f t="shared" si="33"/>
        <v/>
      </c>
      <c r="AW28" s="296" t="str">
        <f t="shared" si="34"/>
        <v/>
      </c>
      <c r="AX28" s="1220" t="str">
        <f t="shared" si="16"/>
        <v/>
      </c>
      <c r="AY28" s="1221" t="str">
        <f t="shared" si="16"/>
        <v/>
      </c>
      <c r="AZ28" s="1221" t="str">
        <f t="shared" si="16"/>
        <v/>
      </c>
      <c r="BA28" s="1221" t="str">
        <f t="shared" si="16"/>
        <v/>
      </c>
      <c r="BB28" s="1221" t="str">
        <f t="shared" si="16"/>
        <v/>
      </c>
      <c r="BC28" s="1221" t="str">
        <f t="shared" si="16"/>
        <v/>
      </c>
      <c r="BD28" s="1221" t="str">
        <f t="shared" si="16"/>
        <v/>
      </c>
      <c r="BE28" s="1222" t="str">
        <f t="shared" si="16"/>
        <v/>
      </c>
      <c r="BF28" s="1221" t="str">
        <f t="shared" si="16"/>
        <v/>
      </c>
      <c r="BG28" s="1223" t="str">
        <f t="shared" si="16"/>
        <v/>
      </c>
      <c r="BH28" s="286">
        <f t="shared" si="35"/>
        <v>0</v>
      </c>
      <c r="BI28" s="286">
        <f t="shared" si="36"/>
        <v>0</v>
      </c>
      <c r="BJ28" s="287" t="str">
        <f t="shared" si="37"/>
        <v>perlu dimaksimalkan</v>
      </c>
      <c r="BK28" s="287" t="str">
        <f t="shared" si="37"/>
        <v>perlu dimaksimalkan</v>
      </c>
      <c r="BL28" s="286" t="e">
        <f t="shared" si="38"/>
        <v>#N/A</v>
      </c>
      <c r="BM28" s="288" t="e">
        <f t="shared" si="39"/>
        <v>#N/A</v>
      </c>
      <c r="BN28" s="289" t="str">
        <f t="shared" si="40"/>
        <v/>
      </c>
      <c r="BO28" s="67"/>
    </row>
    <row r="29" spans="1:67" ht="33" customHeight="1">
      <c r="A29" s="67"/>
      <c r="B29" s="272">
        <f t="shared" si="23"/>
        <v>16</v>
      </c>
      <c r="C29" s="273">
        <f>IF(Data!F20="","",Data!F20)</f>
        <v>0</v>
      </c>
      <c r="D29" s="274" t="str">
        <f>IF(Data!H20="","",Data!H20)</f>
        <v>Helsina Benu</v>
      </c>
      <c r="E29" s="275" t="str">
        <f>IF(Data!I20="","",Data!I20)</f>
        <v>P</v>
      </c>
      <c r="F29" s="276"/>
      <c r="G29" s="277"/>
      <c r="H29" s="277"/>
      <c r="I29" s="277"/>
      <c r="J29" s="277"/>
      <c r="K29" s="277"/>
      <c r="L29" s="277"/>
      <c r="M29" s="280"/>
      <c r="N29" s="277"/>
      <c r="O29" s="278"/>
      <c r="P29" s="279" t="str">
        <f t="shared" si="24"/>
        <v/>
      </c>
      <c r="Q29" s="277"/>
      <c r="R29" s="280"/>
      <c r="S29" s="281" t="str">
        <f t="shared" si="25"/>
        <v/>
      </c>
      <c r="T29" s="295" t="str">
        <f t="shared" si="26"/>
        <v/>
      </c>
      <c r="U29" s="1215" t="str">
        <f t="shared" si="7"/>
        <v/>
      </c>
      <c r="V29" s="1216" t="str">
        <f t="shared" si="7"/>
        <v/>
      </c>
      <c r="W29" s="1216" t="str">
        <f t="shared" si="7"/>
        <v/>
      </c>
      <c r="X29" s="1216" t="str">
        <f t="shared" si="7"/>
        <v/>
      </c>
      <c r="Y29" s="1216" t="str">
        <f t="shared" si="7"/>
        <v/>
      </c>
      <c r="Z29" s="1216" t="str">
        <f t="shared" si="7"/>
        <v/>
      </c>
      <c r="AA29" s="1216" t="str">
        <f t="shared" si="7"/>
        <v/>
      </c>
      <c r="AB29" s="1217" t="str">
        <f t="shared" si="7"/>
        <v/>
      </c>
      <c r="AC29" s="1216" t="str">
        <f t="shared" si="7"/>
        <v/>
      </c>
      <c r="AD29" s="1218" t="str">
        <f t="shared" si="7"/>
        <v/>
      </c>
      <c r="AE29" s="1219">
        <f t="shared" si="27"/>
        <v>0</v>
      </c>
      <c r="AF29" s="282">
        <f t="shared" si="28"/>
        <v>0</v>
      </c>
      <c r="AG29" s="282" t="str">
        <f t="shared" si="29"/>
        <v>perlu dimaksimalkan</v>
      </c>
      <c r="AH29" s="282" t="str">
        <f t="shared" si="10"/>
        <v>perlu dimaksimalkan</v>
      </c>
      <c r="AI29" s="282" t="str">
        <f t="shared" si="30"/>
        <v/>
      </c>
      <c r="AJ29" s="283" t="str">
        <f t="shared" si="31"/>
        <v/>
      </c>
      <c r="AK29" s="284" t="str">
        <f t="shared" si="32"/>
        <v/>
      </c>
      <c r="AL29" s="276"/>
      <c r="AM29" s="277"/>
      <c r="AN29" s="277"/>
      <c r="AO29" s="277"/>
      <c r="AP29" s="277"/>
      <c r="AQ29" s="277"/>
      <c r="AR29" s="277"/>
      <c r="AS29" s="280"/>
      <c r="AT29" s="277"/>
      <c r="AU29" s="278"/>
      <c r="AV29" s="285" t="str">
        <f t="shared" si="33"/>
        <v/>
      </c>
      <c r="AW29" s="296" t="str">
        <f t="shared" si="34"/>
        <v/>
      </c>
      <c r="AX29" s="1220" t="str">
        <f t="shared" si="16"/>
        <v/>
      </c>
      <c r="AY29" s="1221" t="str">
        <f t="shared" si="16"/>
        <v/>
      </c>
      <c r="AZ29" s="1221" t="str">
        <f t="shared" si="16"/>
        <v/>
      </c>
      <c r="BA29" s="1221" t="str">
        <f t="shared" si="16"/>
        <v/>
      </c>
      <c r="BB29" s="1221" t="str">
        <f t="shared" si="16"/>
        <v/>
      </c>
      <c r="BC29" s="1221" t="str">
        <f t="shared" si="16"/>
        <v/>
      </c>
      <c r="BD29" s="1221" t="str">
        <f t="shared" si="16"/>
        <v/>
      </c>
      <c r="BE29" s="1222" t="str">
        <f t="shared" si="16"/>
        <v/>
      </c>
      <c r="BF29" s="1221" t="str">
        <f t="shared" si="16"/>
        <v/>
      </c>
      <c r="BG29" s="1223" t="str">
        <f t="shared" si="16"/>
        <v/>
      </c>
      <c r="BH29" s="286">
        <f t="shared" si="35"/>
        <v>0</v>
      </c>
      <c r="BI29" s="286">
        <f t="shared" si="36"/>
        <v>0</v>
      </c>
      <c r="BJ29" s="287" t="str">
        <f t="shared" si="37"/>
        <v>perlu dimaksimalkan</v>
      </c>
      <c r="BK29" s="287" t="str">
        <f t="shared" si="37"/>
        <v>perlu dimaksimalkan</v>
      </c>
      <c r="BL29" s="286" t="e">
        <f t="shared" si="38"/>
        <v>#N/A</v>
      </c>
      <c r="BM29" s="288" t="e">
        <f t="shared" si="39"/>
        <v>#N/A</v>
      </c>
      <c r="BN29" s="289" t="str">
        <f t="shared" si="40"/>
        <v/>
      </c>
      <c r="BO29" s="67"/>
    </row>
    <row r="30" spans="1:67" ht="33" customHeight="1">
      <c r="A30" s="67"/>
      <c r="B30" s="272">
        <f t="shared" si="23"/>
        <v>17</v>
      </c>
      <c r="C30" s="273">
        <f>IF(Data!F21="","",Data!F21)</f>
        <v>0</v>
      </c>
      <c r="D30" s="274" t="str">
        <f>IF(Data!H21="","",Data!H21)</f>
        <v xml:space="preserve">Hezron Nubatonis </v>
      </c>
      <c r="E30" s="275" t="str">
        <f>IF(Data!I21="","",Data!I21)</f>
        <v>L</v>
      </c>
      <c r="F30" s="276"/>
      <c r="G30" s="277"/>
      <c r="H30" s="277"/>
      <c r="I30" s="277"/>
      <c r="J30" s="277"/>
      <c r="K30" s="277"/>
      <c r="L30" s="277"/>
      <c r="M30" s="280"/>
      <c r="N30" s="277"/>
      <c r="O30" s="278"/>
      <c r="P30" s="279" t="str">
        <f t="shared" si="24"/>
        <v/>
      </c>
      <c r="Q30" s="277"/>
      <c r="R30" s="280"/>
      <c r="S30" s="281" t="str">
        <f t="shared" si="25"/>
        <v/>
      </c>
      <c r="T30" s="295" t="str">
        <f t="shared" si="26"/>
        <v/>
      </c>
      <c r="U30" s="1215" t="str">
        <f t="shared" ref="U30:AD55" si="41">IF(F30="","",F30+U$13)</f>
        <v/>
      </c>
      <c r="V30" s="1216" t="str">
        <f t="shared" si="41"/>
        <v/>
      </c>
      <c r="W30" s="1216" t="str">
        <f t="shared" si="41"/>
        <v/>
      </c>
      <c r="X30" s="1216" t="str">
        <f t="shared" si="41"/>
        <v/>
      </c>
      <c r="Y30" s="1216" t="str">
        <f t="shared" si="41"/>
        <v/>
      </c>
      <c r="Z30" s="1216" t="str">
        <f t="shared" si="41"/>
        <v/>
      </c>
      <c r="AA30" s="1216" t="str">
        <f t="shared" si="41"/>
        <v/>
      </c>
      <c r="AB30" s="1217" t="str">
        <f t="shared" si="41"/>
        <v/>
      </c>
      <c r="AC30" s="1216" t="str">
        <f t="shared" si="41"/>
        <v/>
      </c>
      <c r="AD30" s="1218" t="str">
        <f t="shared" si="41"/>
        <v/>
      </c>
      <c r="AE30" s="1219">
        <f t="shared" si="27"/>
        <v>0</v>
      </c>
      <c r="AF30" s="282">
        <f t="shared" si="28"/>
        <v>0</v>
      </c>
      <c r="AG30" s="282" t="str">
        <f t="shared" si="29"/>
        <v>perlu dimaksimalkan</v>
      </c>
      <c r="AH30" s="282" t="str">
        <f t="shared" si="29"/>
        <v>perlu dimaksimalkan</v>
      </c>
      <c r="AI30" s="282" t="str">
        <f t="shared" si="30"/>
        <v/>
      </c>
      <c r="AJ30" s="283" t="str">
        <f t="shared" si="31"/>
        <v/>
      </c>
      <c r="AK30" s="284" t="str">
        <f t="shared" si="32"/>
        <v/>
      </c>
      <c r="AL30" s="276"/>
      <c r="AM30" s="277"/>
      <c r="AN30" s="277"/>
      <c r="AO30" s="277"/>
      <c r="AP30" s="277"/>
      <c r="AQ30" s="277"/>
      <c r="AR30" s="277"/>
      <c r="AS30" s="280"/>
      <c r="AT30" s="277"/>
      <c r="AU30" s="278"/>
      <c r="AV30" s="285" t="str">
        <f t="shared" si="33"/>
        <v/>
      </c>
      <c r="AW30" s="296" t="str">
        <f t="shared" si="34"/>
        <v/>
      </c>
      <c r="AX30" s="1220" t="str">
        <f t="shared" ref="AX30:BG55" si="42">IF(AL30="","",AL30+AX$12)</f>
        <v/>
      </c>
      <c r="AY30" s="1221" t="str">
        <f t="shared" si="42"/>
        <v/>
      </c>
      <c r="AZ30" s="1221" t="str">
        <f t="shared" si="42"/>
        <v/>
      </c>
      <c r="BA30" s="1221" t="str">
        <f t="shared" si="42"/>
        <v/>
      </c>
      <c r="BB30" s="1221" t="str">
        <f t="shared" si="42"/>
        <v/>
      </c>
      <c r="BC30" s="1221" t="str">
        <f t="shared" si="42"/>
        <v/>
      </c>
      <c r="BD30" s="1221" t="str">
        <f t="shared" si="42"/>
        <v/>
      </c>
      <c r="BE30" s="1222" t="str">
        <f t="shared" si="42"/>
        <v/>
      </c>
      <c r="BF30" s="1221" t="str">
        <f t="shared" si="42"/>
        <v/>
      </c>
      <c r="BG30" s="1223" t="str">
        <f t="shared" si="42"/>
        <v/>
      </c>
      <c r="BH30" s="286">
        <f t="shared" si="35"/>
        <v>0</v>
      </c>
      <c r="BI30" s="286">
        <f t="shared" si="36"/>
        <v>0</v>
      </c>
      <c r="BJ30" s="287" t="str">
        <f t="shared" si="37"/>
        <v>perlu dimaksimalkan</v>
      </c>
      <c r="BK30" s="287" t="str">
        <f t="shared" si="37"/>
        <v>perlu dimaksimalkan</v>
      </c>
      <c r="BL30" s="286" t="e">
        <f t="shared" si="38"/>
        <v>#N/A</v>
      </c>
      <c r="BM30" s="288" t="e">
        <f t="shared" si="39"/>
        <v>#N/A</v>
      </c>
      <c r="BN30" s="289" t="str">
        <f t="shared" si="40"/>
        <v/>
      </c>
      <c r="BO30" s="67"/>
    </row>
    <row r="31" spans="1:67" ht="33" customHeight="1">
      <c r="A31" s="67"/>
      <c r="B31" s="272">
        <f t="shared" si="23"/>
        <v>18</v>
      </c>
      <c r="C31" s="273">
        <f>IF(Data!F22="","",Data!F22)</f>
        <v>0</v>
      </c>
      <c r="D31" s="274" t="str">
        <f>IF(Data!H22="","",Data!H22)</f>
        <v>Jelita Anita Boimau</v>
      </c>
      <c r="E31" s="275" t="str">
        <f>IF(Data!I22="","",Data!I22)</f>
        <v>P</v>
      </c>
      <c r="F31" s="276"/>
      <c r="G31" s="277"/>
      <c r="H31" s="277"/>
      <c r="I31" s="277"/>
      <c r="J31" s="277"/>
      <c r="K31" s="277"/>
      <c r="L31" s="277"/>
      <c r="M31" s="280"/>
      <c r="N31" s="277"/>
      <c r="O31" s="278"/>
      <c r="P31" s="279" t="str">
        <f t="shared" si="24"/>
        <v/>
      </c>
      <c r="Q31" s="277"/>
      <c r="R31" s="280"/>
      <c r="S31" s="281" t="str">
        <f t="shared" si="25"/>
        <v/>
      </c>
      <c r="T31" s="295" t="str">
        <f t="shared" si="26"/>
        <v/>
      </c>
      <c r="U31" s="1215" t="str">
        <f t="shared" si="41"/>
        <v/>
      </c>
      <c r="V31" s="1216" t="str">
        <f t="shared" si="41"/>
        <v/>
      </c>
      <c r="W31" s="1216" t="str">
        <f t="shared" si="41"/>
        <v/>
      </c>
      <c r="X31" s="1216" t="str">
        <f t="shared" si="41"/>
        <v/>
      </c>
      <c r="Y31" s="1216" t="str">
        <f t="shared" si="41"/>
        <v/>
      </c>
      <c r="Z31" s="1216" t="str">
        <f t="shared" si="41"/>
        <v/>
      </c>
      <c r="AA31" s="1216" t="str">
        <f t="shared" si="41"/>
        <v/>
      </c>
      <c r="AB31" s="1217" t="str">
        <f t="shared" si="41"/>
        <v/>
      </c>
      <c r="AC31" s="1216" t="str">
        <f t="shared" si="41"/>
        <v/>
      </c>
      <c r="AD31" s="1218" t="str">
        <f t="shared" si="41"/>
        <v/>
      </c>
      <c r="AE31" s="1219">
        <f t="shared" si="27"/>
        <v>0</v>
      </c>
      <c r="AF31" s="282">
        <f t="shared" si="28"/>
        <v>0</v>
      </c>
      <c r="AG31" s="282" t="str">
        <f t="shared" si="29"/>
        <v>perlu dimaksimalkan</v>
      </c>
      <c r="AH31" s="282" t="str">
        <f t="shared" si="29"/>
        <v>perlu dimaksimalkan</v>
      </c>
      <c r="AI31" s="282" t="str">
        <f t="shared" si="30"/>
        <v/>
      </c>
      <c r="AJ31" s="283" t="str">
        <f t="shared" si="31"/>
        <v/>
      </c>
      <c r="AK31" s="284" t="str">
        <f t="shared" si="32"/>
        <v/>
      </c>
      <c r="AL31" s="276"/>
      <c r="AM31" s="277"/>
      <c r="AN31" s="277"/>
      <c r="AO31" s="277"/>
      <c r="AP31" s="277"/>
      <c r="AQ31" s="277"/>
      <c r="AR31" s="277"/>
      <c r="AS31" s="280"/>
      <c r="AT31" s="277"/>
      <c r="AU31" s="278"/>
      <c r="AV31" s="285" t="str">
        <f t="shared" si="33"/>
        <v/>
      </c>
      <c r="AW31" s="296" t="str">
        <f t="shared" si="34"/>
        <v/>
      </c>
      <c r="AX31" s="1220" t="str">
        <f t="shared" si="42"/>
        <v/>
      </c>
      <c r="AY31" s="1221" t="str">
        <f t="shared" si="42"/>
        <v/>
      </c>
      <c r="AZ31" s="1221" t="str">
        <f t="shared" si="42"/>
        <v/>
      </c>
      <c r="BA31" s="1221" t="str">
        <f t="shared" si="42"/>
        <v/>
      </c>
      <c r="BB31" s="1221" t="str">
        <f t="shared" si="42"/>
        <v/>
      </c>
      <c r="BC31" s="1221" t="str">
        <f t="shared" si="42"/>
        <v/>
      </c>
      <c r="BD31" s="1221" t="str">
        <f t="shared" si="42"/>
        <v/>
      </c>
      <c r="BE31" s="1222" t="str">
        <f t="shared" si="42"/>
        <v/>
      </c>
      <c r="BF31" s="1221" t="str">
        <f t="shared" si="42"/>
        <v/>
      </c>
      <c r="BG31" s="1223" t="str">
        <f t="shared" si="42"/>
        <v/>
      </c>
      <c r="BH31" s="286">
        <f t="shared" si="35"/>
        <v>0</v>
      </c>
      <c r="BI31" s="286">
        <f t="shared" si="36"/>
        <v>0</v>
      </c>
      <c r="BJ31" s="287" t="str">
        <f t="shared" si="37"/>
        <v>perlu dimaksimalkan</v>
      </c>
      <c r="BK31" s="287" t="str">
        <f t="shared" si="37"/>
        <v>perlu dimaksimalkan</v>
      </c>
      <c r="BL31" s="286" t="e">
        <f t="shared" si="38"/>
        <v>#N/A</v>
      </c>
      <c r="BM31" s="288" t="e">
        <f t="shared" si="39"/>
        <v>#N/A</v>
      </c>
      <c r="BN31" s="289" t="str">
        <f t="shared" si="40"/>
        <v/>
      </c>
      <c r="BO31" s="67"/>
    </row>
    <row r="32" spans="1:67" ht="33" customHeight="1">
      <c r="A32" s="67"/>
      <c r="B32" s="272">
        <f t="shared" si="23"/>
        <v>19</v>
      </c>
      <c r="C32" s="273">
        <f>IF(Data!F23="","",Data!F23)</f>
        <v>0</v>
      </c>
      <c r="D32" s="274" t="str">
        <f>IF(Data!H23="","",Data!H23)</f>
        <v>Jidon Nubatonis</v>
      </c>
      <c r="E32" s="275" t="str">
        <f>IF(Data!I23="","",Data!I23)</f>
        <v>L</v>
      </c>
      <c r="F32" s="276"/>
      <c r="G32" s="277"/>
      <c r="H32" s="277"/>
      <c r="I32" s="277"/>
      <c r="J32" s="277"/>
      <c r="K32" s="277"/>
      <c r="L32" s="277"/>
      <c r="M32" s="280"/>
      <c r="N32" s="277"/>
      <c r="O32" s="278"/>
      <c r="P32" s="279" t="str">
        <f t="shared" si="24"/>
        <v/>
      </c>
      <c r="Q32" s="277"/>
      <c r="R32" s="280"/>
      <c r="S32" s="281" t="str">
        <f t="shared" si="25"/>
        <v/>
      </c>
      <c r="T32" s="295" t="str">
        <f t="shared" si="26"/>
        <v/>
      </c>
      <c r="U32" s="1215" t="str">
        <f t="shared" si="41"/>
        <v/>
      </c>
      <c r="V32" s="1216" t="str">
        <f t="shared" si="41"/>
        <v/>
      </c>
      <c r="W32" s="1216" t="str">
        <f t="shared" si="41"/>
        <v/>
      </c>
      <c r="X32" s="1216" t="str">
        <f t="shared" si="41"/>
        <v/>
      </c>
      <c r="Y32" s="1216" t="str">
        <f t="shared" si="41"/>
        <v/>
      </c>
      <c r="Z32" s="1216" t="str">
        <f t="shared" si="41"/>
        <v/>
      </c>
      <c r="AA32" s="1216" t="str">
        <f t="shared" si="41"/>
        <v/>
      </c>
      <c r="AB32" s="1217" t="str">
        <f t="shared" si="41"/>
        <v/>
      </c>
      <c r="AC32" s="1216" t="str">
        <f t="shared" si="41"/>
        <v/>
      </c>
      <c r="AD32" s="1218" t="str">
        <f t="shared" si="41"/>
        <v/>
      </c>
      <c r="AE32" s="1219">
        <f t="shared" si="27"/>
        <v>0</v>
      </c>
      <c r="AF32" s="282">
        <f t="shared" si="28"/>
        <v>0</v>
      </c>
      <c r="AG32" s="282" t="str">
        <f t="shared" si="29"/>
        <v>perlu dimaksimalkan</v>
      </c>
      <c r="AH32" s="282" t="str">
        <f t="shared" si="29"/>
        <v>perlu dimaksimalkan</v>
      </c>
      <c r="AI32" s="282" t="str">
        <f t="shared" si="30"/>
        <v/>
      </c>
      <c r="AJ32" s="283" t="str">
        <f t="shared" si="31"/>
        <v/>
      </c>
      <c r="AK32" s="284" t="str">
        <f t="shared" si="32"/>
        <v/>
      </c>
      <c r="AL32" s="276"/>
      <c r="AM32" s="277"/>
      <c r="AN32" s="277"/>
      <c r="AO32" s="277"/>
      <c r="AP32" s="277"/>
      <c r="AQ32" s="277"/>
      <c r="AR32" s="277"/>
      <c r="AS32" s="280"/>
      <c r="AT32" s="277"/>
      <c r="AU32" s="278"/>
      <c r="AV32" s="285" t="str">
        <f t="shared" si="33"/>
        <v/>
      </c>
      <c r="AW32" s="296" t="str">
        <f t="shared" si="34"/>
        <v/>
      </c>
      <c r="AX32" s="1220" t="str">
        <f t="shared" si="42"/>
        <v/>
      </c>
      <c r="AY32" s="1221" t="str">
        <f t="shared" si="42"/>
        <v/>
      </c>
      <c r="AZ32" s="1221" t="str">
        <f t="shared" si="42"/>
        <v/>
      </c>
      <c r="BA32" s="1221" t="str">
        <f t="shared" si="42"/>
        <v/>
      </c>
      <c r="BB32" s="1221" t="str">
        <f t="shared" si="42"/>
        <v/>
      </c>
      <c r="BC32" s="1221" t="str">
        <f t="shared" si="42"/>
        <v/>
      </c>
      <c r="BD32" s="1221" t="str">
        <f t="shared" si="42"/>
        <v/>
      </c>
      <c r="BE32" s="1222" t="str">
        <f t="shared" si="42"/>
        <v/>
      </c>
      <c r="BF32" s="1221" t="str">
        <f t="shared" si="42"/>
        <v/>
      </c>
      <c r="BG32" s="1223" t="str">
        <f t="shared" si="42"/>
        <v/>
      </c>
      <c r="BH32" s="286">
        <f t="shared" si="35"/>
        <v>0</v>
      </c>
      <c r="BI32" s="286">
        <f t="shared" si="36"/>
        <v>0</v>
      </c>
      <c r="BJ32" s="287" t="str">
        <f t="shared" si="37"/>
        <v>perlu dimaksimalkan</v>
      </c>
      <c r="BK32" s="287" t="str">
        <f t="shared" si="37"/>
        <v>perlu dimaksimalkan</v>
      </c>
      <c r="BL32" s="286" t="e">
        <f t="shared" si="38"/>
        <v>#N/A</v>
      </c>
      <c r="BM32" s="288" t="e">
        <f t="shared" si="39"/>
        <v>#N/A</v>
      </c>
      <c r="BN32" s="289" t="str">
        <f t="shared" si="40"/>
        <v/>
      </c>
      <c r="BO32" s="67"/>
    </row>
    <row r="33" spans="1:67" ht="33" customHeight="1">
      <c r="A33" s="67"/>
      <c r="B33" s="272">
        <f t="shared" si="23"/>
        <v>20</v>
      </c>
      <c r="C33" s="273">
        <f>IF(Data!F24="","",Data!F24)</f>
        <v>0</v>
      </c>
      <c r="D33" s="274" t="str">
        <f>IF(Data!H24="","",Data!H24)</f>
        <v>Jitro Andro Baran</v>
      </c>
      <c r="E33" s="275" t="str">
        <f>IF(Data!I24="","",Data!I24)</f>
        <v>L</v>
      </c>
      <c r="F33" s="276"/>
      <c r="G33" s="277"/>
      <c r="H33" s="277"/>
      <c r="I33" s="277"/>
      <c r="J33" s="277"/>
      <c r="K33" s="277"/>
      <c r="L33" s="277"/>
      <c r="M33" s="280"/>
      <c r="N33" s="277"/>
      <c r="O33" s="278"/>
      <c r="P33" s="279" t="str">
        <f t="shared" si="24"/>
        <v/>
      </c>
      <c r="Q33" s="277"/>
      <c r="R33" s="280"/>
      <c r="S33" s="281" t="str">
        <f t="shared" si="25"/>
        <v/>
      </c>
      <c r="T33" s="295" t="str">
        <f t="shared" si="26"/>
        <v/>
      </c>
      <c r="U33" s="1215" t="str">
        <f t="shared" si="41"/>
        <v/>
      </c>
      <c r="V33" s="1216" t="str">
        <f t="shared" si="41"/>
        <v/>
      </c>
      <c r="W33" s="1216" t="str">
        <f t="shared" si="41"/>
        <v/>
      </c>
      <c r="X33" s="1216" t="str">
        <f t="shared" si="41"/>
        <v/>
      </c>
      <c r="Y33" s="1216" t="str">
        <f t="shared" si="41"/>
        <v/>
      </c>
      <c r="Z33" s="1216" t="str">
        <f t="shared" si="41"/>
        <v/>
      </c>
      <c r="AA33" s="1216" t="str">
        <f t="shared" si="41"/>
        <v/>
      </c>
      <c r="AB33" s="1217" t="str">
        <f t="shared" si="41"/>
        <v/>
      </c>
      <c r="AC33" s="1216" t="str">
        <f t="shared" si="41"/>
        <v/>
      </c>
      <c r="AD33" s="1218" t="str">
        <f t="shared" si="41"/>
        <v/>
      </c>
      <c r="AE33" s="1219">
        <f t="shared" si="27"/>
        <v>0</v>
      </c>
      <c r="AF33" s="282">
        <f t="shared" si="28"/>
        <v>0</v>
      </c>
      <c r="AG33" s="282" t="str">
        <f t="shared" si="29"/>
        <v>perlu dimaksimalkan</v>
      </c>
      <c r="AH33" s="282" t="str">
        <f t="shared" si="29"/>
        <v>perlu dimaksimalkan</v>
      </c>
      <c r="AI33" s="282" t="str">
        <f t="shared" si="30"/>
        <v/>
      </c>
      <c r="AJ33" s="283" t="str">
        <f t="shared" si="31"/>
        <v/>
      </c>
      <c r="AK33" s="284" t="str">
        <f t="shared" si="32"/>
        <v/>
      </c>
      <c r="AL33" s="276"/>
      <c r="AM33" s="277"/>
      <c r="AN33" s="277"/>
      <c r="AO33" s="277"/>
      <c r="AP33" s="277"/>
      <c r="AQ33" s="277"/>
      <c r="AR33" s="277"/>
      <c r="AS33" s="280"/>
      <c r="AT33" s="277"/>
      <c r="AU33" s="278"/>
      <c r="AV33" s="285" t="str">
        <f t="shared" si="33"/>
        <v/>
      </c>
      <c r="AW33" s="296" t="str">
        <f t="shared" si="34"/>
        <v/>
      </c>
      <c r="AX33" s="1220" t="str">
        <f t="shared" si="42"/>
        <v/>
      </c>
      <c r="AY33" s="1221" t="str">
        <f t="shared" si="42"/>
        <v/>
      </c>
      <c r="AZ33" s="1221" t="str">
        <f t="shared" si="42"/>
        <v/>
      </c>
      <c r="BA33" s="1221" t="str">
        <f t="shared" si="42"/>
        <v/>
      </c>
      <c r="BB33" s="1221" t="str">
        <f t="shared" si="42"/>
        <v/>
      </c>
      <c r="BC33" s="1221" t="str">
        <f t="shared" si="42"/>
        <v/>
      </c>
      <c r="BD33" s="1221" t="str">
        <f t="shared" si="42"/>
        <v/>
      </c>
      <c r="BE33" s="1222" t="str">
        <f t="shared" si="42"/>
        <v/>
      </c>
      <c r="BF33" s="1221" t="str">
        <f t="shared" si="42"/>
        <v/>
      </c>
      <c r="BG33" s="1223" t="str">
        <f t="shared" si="42"/>
        <v/>
      </c>
      <c r="BH33" s="286">
        <f t="shared" si="35"/>
        <v>0</v>
      </c>
      <c r="BI33" s="286">
        <f t="shared" si="36"/>
        <v>0</v>
      </c>
      <c r="BJ33" s="287" t="str">
        <f t="shared" si="37"/>
        <v>perlu dimaksimalkan</v>
      </c>
      <c r="BK33" s="287" t="str">
        <f t="shared" si="37"/>
        <v>perlu dimaksimalkan</v>
      </c>
      <c r="BL33" s="286" t="e">
        <f t="shared" si="38"/>
        <v>#N/A</v>
      </c>
      <c r="BM33" s="288" t="e">
        <f t="shared" si="39"/>
        <v>#N/A</v>
      </c>
      <c r="BN33" s="289" t="str">
        <f t="shared" si="40"/>
        <v/>
      </c>
      <c r="BO33" s="67"/>
    </row>
    <row r="34" spans="1:67" ht="33" customHeight="1">
      <c r="A34" s="67"/>
      <c r="B34" s="272">
        <f t="shared" si="23"/>
        <v>21</v>
      </c>
      <c r="C34" s="273">
        <f>IF(Data!F25="","",Data!F25)</f>
        <v>0</v>
      </c>
      <c r="D34" s="274" t="str">
        <f>IF(Data!H25="","",Data!H25)</f>
        <v>Juan Manuel Boys</v>
      </c>
      <c r="E34" s="275" t="str">
        <f>IF(Data!I25="","",Data!I25)</f>
        <v>L</v>
      </c>
      <c r="F34" s="276"/>
      <c r="G34" s="277"/>
      <c r="H34" s="277"/>
      <c r="I34" s="277"/>
      <c r="J34" s="277"/>
      <c r="K34" s="277"/>
      <c r="L34" s="277"/>
      <c r="M34" s="280"/>
      <c r="N34" s="277"/>
      <c r="O34" s="278"/>
      <c r="P34" s="279" t="str">
        <f t="shared" si="24"/>
        <v/>
      </c>
      <c r="Q34" s="277"/>
      <c r="R34" s="280"/>
      <c r="S34" s="281" t="str">
        <f t="shared" si="25"/>
        <v/>
      </c>
      <c r="T34" s="295" t="str">
        <f t="shared" si="26"/>
        <v/>
      </c>
      <c r="U34" s="1215" t="str">
        <f t="shared" si="41"/>
        <v/>
      </c>
      <c r="V34" s="1216" t="str">
        <f t="shared" si="41"/>
        <v/>
      </c>
      <c r="W34" s="1216" t="str">
        <f t="shared" si="41"/>
        <v/>
      </c>
      <c r="X34" s="1216" t="str">
        <f t="shared" si="41"/>
        <v/>
      </c>
      <c r="Y34" s="1216" t="str">
        <f t="shared" si="41"/>
        <v/>
      </c>
      <c r="Z34" s="1216" t="str">
        <f t="shared" si="41"/>
        <v/>
      </c>
      <c r="AA34" s="1216" t="str">
        <f t="shared" si="41"/>
        <v/>
      </c>
      <c r="AB34" s="1217" t="str">
        <f t="shared" si="41"/>
        <v/>
      </c>
      <c r="AC34" s="1216" t="str">
        <f t="shared" si="41"/>
        <v/>
      </c>
      <c r="AD34" s="1218" t="str">
        <f t="shared" si="41"/>
        <v/>
      </c>
      <c r="AE34" s="1219">
        <f t="shared" si="27"/>
        <v>0</v>
      </c>
      <c r="AF34" s="282">
        <f t="shared" si="28"/>
        <v>0</v>
      </c>
      <c r="AG34" s="282" t="str">
        <f t="shared" si="29"/>
        <v>perlu dimaksimalkan</v>
      </c>
      <c r="AH34" s="282" t="str">
        <f t="shared" si="29"/>
        <v>perlu dimaksimalkan</v>
      </c>
      <c r="AI34" s="282" t="str">
        <f t="shared" si="30"/>
        <v/>
      </c>
      <c r="AJ34" s="283" t="str">
        <f t="shared" si="31"/>
        <v/>
      </c>
      <c r="AK34" s="284" t="str">
        <f t="shared" si="32"/>
        <v/>
      </c>
      <c r="AL34" s="276"/>
      <c r="AM34" s="277"/>
      <c r="AN34" s="277"/>
      <c r="AO34" s="277"/>
      <c r="AP34" s="277"/>
      <c r="AQ34" s="277"/>
      <c r="AR34" s="277"/>
      <c r="AS34" s="280"/>
      <c r="AT34" s="277"/>
      <c r="AU34" s="278"/>
      <c r="AV34" s="285" t="str">
        <f t="shared" si="33"/>
        <v/>
      </c>
      <c r="AW34" s="296" t="str">
        <f t="shared" si="34"/>
        <v/>
      </c>
      <c r="AX34" s="1220" t="str">
        <f t="shared" si="42"/>
        <v/>
      </c>
      <c r="AY34" s="1221" t="str">
        <f t="shared" si="42"/>
        <v/>
      </c>
      <c r="AZ34" s="1221" t="str">
        <f t="shared" si="42"/>
        <v/>
      </c>
      <c r="BA34" s="1221" t="str">
        <f t="shared" si="42"/>
        <v/>
      </c>
      <c r="BB34" s="1221" t="str">
        <f t="shared" si="42"/>
        <v/>
      </c>
      <c r="BC34" s="1221" t="str">
        <f t="shared" si="42"/>
        <v/>
      </c>
      <c r="BD34" s="1221" t="str">
        <f t="shared" si="42"/>
        <v/>
      </c>
      <c r="BE34" s="1222" t="str">
        <f t="shared" si="42"/>
        <v/>
      </c>
      <c r="BF34" s="1221" t="str">
        <f t="shared" si="42"/>
        <v/>
      </c>
      <c r="BG34" s="1223" t="str">
        <f t="shared" si="42"/>
        <v/>
      </c>
      <c r="BH34" s="286">
        <f t="shared" si="35"/>
        <v>0</v>
      </c>
      <c r="BI34" s="286">
        <f t="shared" si="36"/>
        <v>0</v>
      </c>
      <c r="BJ34" s="287" t="str">
        <f t="shared" si="37"/>
        <v>perlu dimaksimalkan</v>
      </c>
      <c r="BK34" s="287" t="str">
        <f t="shared" si="37"/>
        <v>perlu dimaksimalkan</v>
      </c>
      <c r="BL34" s="286" t="e">
        <f t="shared" si="38"/>
        <v>#N/A</v>
      </c>
      <c r="BM34" s="288" t="e">
        <f t="shared" si="39"/>
        <v>#N/A</v>
      </c>
      <c r="BN34" s="289" t="str">
        <f t="shared" si="40"/>
        <v/>
      </c>
      <c r="BO34" s="67"/>
    </row>
    <row r="35" spans="1:67" ht="33" customHeight="1">
      <c r="A35" s="67"/>
      <c r="B35" s="272">
        <f t="shared" si="23"/>
        <v>22</v>
      </c>
      <c r="C35" s="273">
        <f>IF(Data!F26="","",Data!F26)</f>
        <v>0</v>
      </c>
      <c r="D35" s="274" t="str">
        <f>IF(Data!H26="","",Data!H26)</f>
        <v>Krisyanti Ernela Kesnay</v>
      </c>
      <c r="E35" s="275" t="str">
        <f>IF(Data!I26="","",Data!I26)</f>
        <v>P</v>
      </c>
      <c r="F35" s="276"/>
      <c r="G35" s="277"/>
      <c r="H35" s="277"/>
      <c r="I35" s="277"/>
      <c r="J35" s="277"/>
      <c r="K35" s="277"/>
      <c r="L35" s="277"/>
      <c r="M35" s="280"/>
      <c r="N35" s="277"/>
      <c r="O35" s="278"/>
      <c r="P35" s="279" t="str">
        <f t="shared" si="24"/>
        <v/>
      </c>
      <c r="Q35" s="277"/>
      <c r="R35" s="280"/>
      <c r="S35" s="281" t="str">
        <f t="shared" si="25"/>
        <v/>
      </c>
      <c r="T35" s="295" t="str">
        <f t="shared" si="26"/>
        <v/>
      </c>
      <c r="U35" s="1215" t="str">
        <f t="shared" si="41"/>
        <v/>
      </c>
      <c r="V35" s="1216" t="str">
        <f t="shared" si="41"/>
        <v/>
      </c>
      <c r="W35" s="1216" t="str">
        <f t="shared" si="41"/>
        <v/>
      </c>
      <c r="X35" s="1216" t="str">
        <f t="shared" si="41"/>
        <v/>
      </c>
      <c r="Y35" s="1216" t="str">
        <f t="shared" si="41"/>
        <v/>
      </c>
      <c r="Z35" s="1216" t="str">
        <f t="shared" si="41"/>
        <v/>
      </c>
      <c r="AA35" s="1216" t="str">
        <f t="shared" si="41"/>
        <v/>
      </c>
      <c r="AB35" s="1217" t="str">
        <f t="shared" si="41"/>
        <v/>
      </c>
      <c r="AC35" s="1216" t="str">
        <f t="shared" si="41"/>
        <v/>
      </c>
      <c r="AD35" s="1218" t="str">
        <f t="shared" si="41"/>
        <v/>
      </c>
      <c r="AE35" s="1219">
        <f t="shared" si="27"/>
        <v>0</v>
      </c>
      <c r="AF35" s="282">
        <f t="shared" si="28"/>
        <v>0</v>
      </c>
      <c r="AG35" s="282" t="str">
        <f t="shared" si="29"/>
        <v>perlu dimaksimalkan</v>
      </c>
      <c r="AH35" s="282" t="str">
        <f t="shared" si="29"/>
        <v>perlu dimaksimalkan</v>
      </c>
      <c r="AI35" s="282" t="str">
        <f t="shared" si="30"/>
        <v/>
      </c>
      <c r="AJ35" s="283" t="str">
        <f t="shared" si="31"/>
        <v/>
      </c>
      <c r="AK35" s="284" t="str">
        <f t="shared" si="32"/>
        <v/>
      </c>
      <c r="AL35" s="276"/>
      <c r="AM35" s="277"/>
      <c r="AN35" s="277"/>
      <c r="AO35" s="277"/>
      <c r="AP35" s="277"/>
      <c r="AQ35" s="277"/>
      <c r="AR35" s="277"/>
      <c r="AS35" s="280"/>
      <c r="AT35" s="277"/>
      <c r="AU35" s="278"/>
      <c r="AV35" s="285" t="str">
        <f t="shared" si="33"/>
        <v/>
      </c>
      <c r="AW35" s="296" t="str">
        <f t="shared" si="34"/>
        <v/>
      </c>
      <c r="AX35" s="1220" t="str">
        <f t="shared" si="42"/>
        <v/>
      </c>
      <c r="AY35" s="1221" t="str">
        <f t="shared" si="42"/>
        <v/>
      </c>
      <c r="AZ35" s="1221" t="str">
        <f t="shared" si="42"/>
        <v/>
      </c>
      <c r="BA35" s="1221" t="str">
        <f t="shared" si="42"/>
        <v/>
      </c>
      <c r="BB35" s="1221" t="str">
        <f t="shared" si="42"/>
        <v/>
      </c>
      <c r="BC35" s="1221" t="str">
        <f t="shared" si="42"/>
        <v/>
      </c>
      <c r="BD35" s="1221" t="str">
        <f t="shared" si="42"/>
        <v/>
      </c>
      <c r="BE35" s="1222" t="str">
        <f t="shared" si="42"/>
        <v/>
      </c>
      <c r="BF35" s="1221" t="str">
        <f t="shared" si="42"/>
        <v/>
      </c>
      <c r="BG35" s="1223" t="str">
        <f t="shared" si="42"/>
        <v/>
      </c>
      <c r="BH35" s="286">
        <f t="shared" si="35"/>
        <v>0</v>
      </c>
      <c r="BI35" s="286">
        <f t="shared" si="36"/>
        <v>0</v>
      </c>
      <c r="BJ35" s="287" t="str">
        <f t="shared" si="37"/>
        <v>perlu dimaksimalkan</v>
      </c>
      <c r="BK35" s="287" t="str">
        <f t="shared" si="37"/>
        <v>perlu dimaksimalkan</v>
      </c>
      <c r="BL35" s="286" t="e">
        <f t="shared" si="38"/>
        <v>#N/A</v>
      </c>
      <c r="BM35" s="288" t="e">
        <f t="shared" si="39"/>
        <v>#N/A</v>
      </c>
      <c r="BN35" s="289" t="str">
        <f t="shared" si="40"/>
        <v/>
      </c>
      <c r="BO35" s="67"/>
    </row>
    <row r="36" spans="1:67" ht="33" customHeight="1">
      <c r="A36" s="67"/>
      <c r="B36" s="272">
        <f t="shared" si="23"/>
        <v>23</v>
      </c>
      <c r="C36" s="273">
        <f>IF(Data!F27="","",Data!F27)</f>
        <v>0</v>
      </c>
      <c r="D36" s="274" t="str">
        <f>IF(Data!H27="","",Data!H27)</f>
        <v>Leni Aknesia Knoan</v>
      </c>
      <c r="E36" s="275" t="str">
        <f>IF(Data!I27="","",Data!I27)</f>
        <v>P</v>
      </c>
      <c r="F36" s="276"/>
      <c r="G36" s="277"/>
      <c r="H36" s="277"/>
      <c r="I36" s="277"/>
      <c r="J36" s="277"/>
      <c r="K36" s="277"/>
      <c r="L36" s="277"/>
      <c r="M36" s="280"/>
      <c r="N36" s="277"/>
      <c r="O36" s="278"/>
      <c r="P36" s="279" t="str">
        <f t="shared" si="24"/>
        <v/>
      </c>
      <c r="Q36" s="277"/>
      <c r="R36" s="280"/>
      <c r="S36" s="281" t="str">
        <f t="shared" si="25"/>
        <v/>
      </c>
      <c r="T36" s="295" t="str">
        <f t="shared" si="26"/>
        <v/>
      </c>
      <c r="U36" s="1215" t="str">
        <f t="shared" si="41"/>
        <v/>
      </c>
      <c r="V36" s="1216" t="str">
        <f t="shared" si="41"/>
        <v/>
      </c>
      <c r="W36" s="1216" t="str">
        <f t="shared" si="41"/>
        <v/>
      </c>
      <c r="X36" s="1216" t="str">
        <f t="shared" si="41"/>
        <v/>
      </c>
      <c r="Y36" s="1216" t="str">
        <f t="shared" si="41"/>
        <v/>
      </c>
      <c r="Z36" s="1216" t="str">
        <f t="shared" si="41"/>
        <v/>
      </c>
      <c r="AA36" s="1216" t="str">
        <f t="shared" si="41"/>
        <v/>
      </c>
      <c r="AB36" s="1217" t="str">
        <f t="shared" si="41"/>
        <v/>
      </c>
      <c r="AC36" s="1216" t="str">
        <f t="shared" si="41"/>
        <v/>
      </c>
      <c r="AD36" s="1218" t="str">
        <f t="shared" si="41"/>
        <v/>
      </c>
      <c r="AE36" s="1219">
        <f t="shared" si="27"/>
        <v>0</v>
      </c>
      <c r="AF36" s="282">
        <f t="shared" si="28"/>
        <v>0</v>
      </c>
      <c r="AG36" s="282" t="str">
        <f t="shared" si="29"/>
        <v>perlu dimaksimalkan</v>
      </c>
      <c r="AH36" s="282" t="str">
        <f t="shared" si="29"/>
        <v>perlu dimaksimalkan</v>
      </c>
      <c r="AI36" s="282" t="str">
        <f t="shared" si="30"/>
        <v/>
      </c>
      <c r="AJ36" s="283" t="str">
        <f t="shared" si="31"/>
        <v/>
      </c>
      <c r="AK36" s="284" t="str">
        <f t="shared" si="32"/>
        <v/>
      </c>
      <c r="AL36" s="276"/>
      <c r="AM36" s="277"/>
      <c r="AN36" s="277"/>
      <c r="AO36" s="277"/>
      <c r="AP36" s="277"/>
      <c r="AQ36" s="277"/>
      <c r="AR36" s="277"/>
      <c r="AS36" s="280"/>
      <c r="AT36" s="277"/>
      <c r="AU36" s="278"/>
      <c r="AV36" s="285" t="str">
        <f t="shared" si="33"/>
        <v/>
      </c>
      <c r="AW36" s="296" t="str">
        <f t="shared" si="34"/>
        <v/>
      </c>
      <c r="AX36" s="1220" t="str">
        <f t="shared" si="42"/>
        <v/>
      </c>
      <c r="AY36" s="1221" t="str">
        <f t="shared" si="42"/>
        <v/>
      </c>
      <c r="AZ36" s="1221" t="str">
        <f t="shared" si="42"/>
        <v/>
      </c>
      <c r="BA36" s="1221" t="str">
        <f t="shared" si="42"/>
        <v/>
      </c>
      <c r="BB36" s="1221" t="str">
        <f t="shared" si="42"/>
        <v/>
      </c>
      <c r="BC36" s="1221" t="str">
        <f t="shared" si="42"/>
        <v/>
      </c>
      <c r="BD36" s="1221" t="str">
        <f t="shared" si="42"/>
        <v/>
      </c>
      <c r="BE36" s="1222" t="str">
        <f t="shared" si="42"/>
        <v/>
      </c>
      <c r="BF36" s="1221" t="str">
        <f t="shared" si="42"/>
        <v/>
      </c>
      <c r="BG36" s="1223" t="str">
        <f t="shared" si="42"/>
        <v/>
      </c>
      <c r="BH36" s="286">
        <f t="shared" si="35"/>
        <v>0</v>
      </c>
      <c r="BI36" s="286">
        <f t="shared" si="36"/>
        <v>0</v>
      </c>
      <c r="BJ36" s="287" t="str">
        <f t="shared" si="37"/>
        <v>perlu dimaksimalkan</v>
      </c>
      <c r="BK36" s="287" t="str">
        <f t="shared" si="37"/>
        <v>perlu dimaksimalkan</v>
      </c>
      <c r="BL36" s="286" t="e">
        <f t="shared" si="38"/>
        <v>#N/A</v>
      </c>
      <c r="BM36" s="288" t="e">
        <f t="shared" si="39"/>
        <v>#N/A</v>
      </c>
      <c r="BN36" s="289" t="str">
        <f t="shared" si="40"/>
        <v/>
      </c>
      <c r="BO36" s="67"/>
    </row>
    <row r="37" spans="1:67" ht="33" customHeight="1">
      <c r="A37" s="67"/>
      <c r="B37" s="272">
        <f t="shared" si="23"/>
        <v>24</v>
      </c>
      <c r="C37" s="273">
        <f>IF(Data!F28="","",Data!F28)</f>
        <v>0</v>
      </c>
      <c r="D37" s="274" t="str">
        <f>IF(Data!H28="","",Data!H28)</f>
        <v>Marlon Dioninsius Lalus</v>
      </c>
      <c r="E37" s="275" t="str">
        <f>IF(Data!I28="","",Data!I28)</f>
        <v>L</v>
      </c>
      <c r="F37" s="276"/>
      <c r="G37" s="277"/>
      <c r="H37" s="277"/>
      <c r="I37" s="277"/>
      <c r="J37" s="277"/>
      <c r="K37" s="277"/>
      <c r="L37" s="277"/>
      <c r="M37" s="280"/>
      <c r="N37" s="277"/>
      <c r="O37" s="278"/>
      <c r="P37" s="279" t="str">
        <f t="shared" si="24"/>
        <v/>
      </c>
      <c r="Q37" s="277"/>
      <c r="R37" s="280"/>
      <c r="S37" s="281" t="str">
        <f t="shared" si="25"/>
        <v/>
      </c>
      <c r="T37" s="295" t="str">
        <f t="shared" si="26"/>
        <v/>
      </c>
      <c r="U37" s="1215" t="str">
        <f t="shared" si="41"/>
        <v/>
      </c>
      <c r="V37" s="1216" t="str">
        <f t="shared" si="41"/>
        <v/>
      </c>
      <c r="W37" s="1216" t="str">
        <f t="shared" si="41"/>
        <v/>
      </c>
      <c r="X37" s="1216" t="str">
        <f t="shared" si="41"/>
        <v/>
      </c>
      <c r="Y37" s="1216" t="str">
        <f t="shared" si="41"/>
        <v/>
      </c>
      <c r="Z37" s="1216" t="str">
        <f t="shared" si="41"/>
        <v/>
      </c>
      <c r="AA37" s="1216" t="str">
        <f t="shared" si="41"/>
        <v/>
      </c>
      <c r="AB37" s="1217" t="str">
        <f t="shared" si="41"/>
        <v/>
      </c>
      <c r="AC37" s="1216" t="str">
        <f t="shared" si="41"/>
        <v/>
      </c>
      <c r="AD37" s="1218" t="str">
        <f t="shared" si="41"/>
        <v/>
      </c>
      <c r="AE37" s="1219">
        <f t="shared" si="27"/>
        <v>0</v>
      </c>
      <c r="AF37" s="282">
        <f t="shared" si="28"/>
        <v>0</v>
      </c>
      <c r="AG37" s="282" t="str">
        <f t="shared" si="29"/>
        <v>perlu dimaksimalkan</v>
      </c>
      <c r="AH37" s="282" t="str">
        <f t="shared" si="29"/>
        <v>perlu dimaksimalkan</v>
      </c>
      <c r="AI37" s="282" t="str">
        <f t="shared" si="30"/>
        <v/>
      </c>
      <c r="AJ37" s="283" t="str">
        <f t="shared" si="31"/>
        <v/>
      </c>
      <c r="AK37" s="284" t="str">
        <f t="shared" si="32"/>
        <v/>
      </c>
      <c r="AL37" s="276"/>
      <c r="AM37" s="277"/>
      <c r="AN37" s="277"/>
      <c r="AO37" s="277"/>
      <c r="AP37" s="277"/>
      <c r="AQ37" s="277"/>
      <c r="AR37" s="277"/>
      <c r="AS37" s="280"/>
      <c r="AT37" s="277"/>
      <c r="AU37" s="278"/>
      <c r="AV37" s="285" t="str">
        <f t="shared" si="33"/>
        <v/>
      </c>
      <c r="AW37" s="296" t="str">
        <f t="shared" si="34"/>
        <v/>
      </c>
      <c r="AX37" s="1220" t="str">
        <f t="shared" si="42"/>
        <v/>
      </c>
      <c r="AY37" s="1221" t="str">
        <f t="shared" si="42"/>
        <v/>
      </c>
      <c r="AZ37" s="1221" t="str">
        <f t="shared" si="42"/>
        <v/>
      </c>
      <c r="BA37" s="1221" t="str">
        <f t="shared" si="42"/>
        <v/>
      </c>
      <c r="BB37" s="1221" t="str">
        <f t="shared" si="42"/>
        <v/>
      </c>
      <c r="BC37" s="1221" t="str">
        <f t="shared" si="42"/>
        <v/>
      </c>
      <c r="BD37" s="1221" t="str">
        <f t="shared" si="42"/>
        <v/>
      </c>
      <c r="BE37" s="1222" t="str">
        <f t="shared" si="42"/>
        <v/>
      </c>
      <c r="BF37" s="1221" t="str">
        <f t="shared" si="42"/>
        <v/>
      </c>
      <c r="BG37" s="1223" t="str">
        <f t="shared" si="42"/>
        <v/>
      </c>
      <c r="BH37" s="286">
        <f t="shared" si="35"/>
        <v>0</v>
      </c>
      <c r="BI37" s="286">
        <f t="shared" si="36"/>
        <v>0</v>
      </c>
      <c r="BJ37" s="287" t="str">
        <f t="shared" si="37"/>
        <v>perlu dimaksimalkan</v>
      </c>
      <c r="BK37" s="287" t="str">
        <f t="shared" si="37"/>
        <v>perlu dimaksimalkan</v>
      </c>
      <c r="BL37" s="286" t="e">
        <f t="shared" si="38"/>
        <v>#N/A</v>
      </c>
      <c r="BM37" s="288" t="e">
        <f t="shared" si="39"/>
        <v>#N/A</v>
      </c>
      <c r="BN37" s="289" t="str">
        <f t="shared" si="40"/>
        <v/>
      </c>
      <c r="BO37" s="67"/>
    </row>
    <row r="38" spans="1:67" ht="33" customHeight="1">
      <c r="A38" s="67"/>
      <c r="B38" s="272">
        <f t="shared" ref="B38:B46" si="43">IF(D38="","",B37+1)</f>
        <v>25</v>
      </c>
      <c r="C38" s="273">
        <f>IF(Data!F29="","",Data!F29)</f>
        <v>0</v>
      </c>
      <c r="D38" s="274" t="str">
        <f>IF(Data!H29="","",Data!H29)</f>
        <v>Maya Trifena Niobe</v>
      </c>
      <c r="E38" s="275" t="str">
        <f>IF(Data!I29="","",Data!I29)</f>
        <v>P</v>
      </c>
      <c r="F38" s="276"/>
      <c r="G38" s="277"/>
      <c r="H38" s="277"/>
      <c r="I38" s="277"/>
      <c r="J38" s="277"/>
      <c r="K38" s="277"/>
      <c r="L38" s="277"/>
      <c r="M38" s="280"/>
      <c r="N38" s="277"/>
      <c r="O38" s="278"/>
      <c r="P38" s="279" t="str">
        <f t="shared" si="24"/>
        <v/>
      </c>
      <c r="Q38" s="277"/>
      <c r="R38" s="280"/>
      <c r="S38" s="281" t="str">
        <f t="shared" si="25"/>
        <v/>
      </c>
      <c r="T38" s="295" t="str">
        <f t="shared" si="26"/>
        <v/>
      </c>
      <c r="U38" s="1215" t="str">
        <f t="shared" si="41"/>
        <v/>
      </c>
      <c r="V38" s="1216" t="str">
        <f t="shared" si="41"/>
        <v/>
      </c>
      <c r="W38" s="1216" t="str">
        <f t="shared" si="41"/>
        <v/>
      </c>
      <c r="X38" s="1216" t="str">
        <f t="shared" si="41"/>
        <v/>
      </c>
      <c r="Y38" s="1216" t="str">
        <f t="shared" si="41"/>
        <v/>
      </c>
      <c r="Z38" s="1216" t="str">
        <f t="shared" si="41"/>
        <v/>
      </c>
      <c r="AA38" s="1216" t="str">
        <f t="shared" si="41"/>
        <v/>
      </c>
      <c r="AB38" s="1217" t="str">
        <f t="shared" si="41"/>
        <v/>
      </c>
      <c r="AC38" s="1216" t="str">
        <f t="shared" si="41"/>
        <v/>
      </c>
      <c r="AD38" s="1218" t="str">
        <f t="shared" si="41"/>
        <v/>
      </c>
      <c r="AE38" s="1219">
        <f t="shared" si="27"/>
        <v>0</v>
      </c>
      <c r="AF38" s="282">
        <f t="shared" si="28"/>
        <v>0</v>
      </c>
      <c r="AG38" s="282" t="str">
        <f t="shared" si="29"/>
        <v>perlu dimaksimalkan</v>
      </c>
      <c r="AH38" s="282" t="str">
        <f t="shared" si="29"/>
        <v>perlu dimaksimalkan</v>
      </c>
      <c r="AI38" s="282" t="str">
        <f t="shared" si="30"/>
        <v/>
      </c>
      <c r="AJ38" s="283" t="str">
        <f t="shared" si="31"/>
        <v/>
      </c>
      <c r="AK38" s="284" t="str">
        <f t="shared" si="32"/>
        <v/>
      </c>
      <c r="AL38" s="276"/>
      <c r="AM38" s="277"/>
      <c r="AN38" s="277"/>
      <c r="AO38" s="277"/>
      <c r="AP38" s="277"/>
      <c r="AQ38" s="277"/>
      <c r="AR38" s="277"/>
      <c r="AS38" s="280"/>
      <c r="AT38" s="277"/>
      <c r="AU38" s="278"/>
      <c r="AV38" s="285" t="str">
        <f t="shared" si="33"/>
        <v/>
      </c>
      <c r="AW38" s="296" t="str">
        <f t="shared" si="34"/>
        <v/>
      </c>
      <c r="AX38" s="1220" t="str">
        <f t="shared" si="42"/>
        <v/>
      </c>
      <c r="AY38" s="1221" t="str">
        <f t="shared" si="42"/>
        <v/>
      </c>
      <c r="AZ38" s="1221" t="str">
        <f t="shared" si="42"/>
        <v/>
      </c>
      <c r="BA38" s="1221" t="str">
        <f t="shared" si="42"/>
        <v/>
      </c>
      <c r="BB38" s="1221" t="str">
        <f t="shared" si="42"/>
        <v/>
      </c>
      <c r="BC38" s="1221" t="str">
        <f t="shared" si="42"/>
        <v/>
      </c>
      <c r="BD38" s="1221" t="str">
        <f t="shared" si="42"/>
        <v/>
      </c>
      <c r="BE38" s="1222" t="str">
        <f t="shared" si="42"/>
        <v/>
      </c>
      <c r="BF38" s="1221" t="str">
        <f t="shared" si="42"/>
        <v/>
      </c>
      <c r="BG38" s="1223" t="str">
        <f t="shared" si="42"/>
        <v/>
      </c>
      <c r="BH38" s="286">
        <f t="shared" si="35"/>
        <v>0</v>
      </c>
      <c r="BI38" s="286">
        <f t="shared" si="36"/>
        <v>0</v>
      </c>
      <c r="BJ38" s="287" t="str">
        <f t="shared" si="37"/>
        <v>perlu dimaksimalkan</v>
      </c>
      <c r="BK38" s="287" t="str">
        <f t="shared" si="37"/>
        <v>perlu dimaksimalkan</v>
      </c>
      <c r="BL38" s="286" t="e">
        <f t="shared" si="38"/>
        <v>#N/A</v>
      </c>
      <c r="BM38" s="288" t="e">
        <f t="shared" si="39"/>
        <v>#N/A</v>
      </c>
      <c r="BN38" s="289" t="str">
        <f t="shared" si="40"/>
        <v/>
      </c>
      <c r="BO38" s="67"/>
    </row>
    <row r="39" spans="1:67" ht="33" customHeight="1">
      <c r="A39" s="67"/>
      <c r="B39" s="272">
        <f t="shared" si="43"/>
        <v>26</v>
      </c>
      <c r="C39" s="273">
        <f>IF(Data!F30="","",Data!F30)</f>
        <v>0</v>
      </c>
      <c r="D39" s="274" t="str">
        <f>IF(Data!H30="","",Data!H30)</f>
        <v>Misel Miranda Sora</v>
      </c>
      <c r="E39" s="275" t="str">
        <f>IF(Data!I30="","",Data!I30)</f>
        <v>P</v>
      </c>
      <c r="F39" s="276"/>
      <c r="G39" s="277"/>
      <c r="H39" s="277"/>
      <c r="I39" s="277"/>
      <c r="J39" s="277"/>
      <c r="K39" s="277"/>
      <c r="L39" s="277"/>
      <c r="M39" s="280"/>
      <c r="N39" s="277"/>
      <c r="O39" s="278"/>
      <c r="P39" s="279" t="str">
        <f t="shared" si="24"/>
        <v/>
      </c>
      <c r="Q39" s="277"/>
      <c r="R39" s="280"/>
      <c r="S39" s="281" t="str">
        <f t="shared" si="25"/>
        <v/>
      </c>
      <c r="T39" s="295" t="str">
        <f t="shared" si="26"/>
        <v/>
      </c>
      <c r="U39" s="1215" t="str">
        <f t="shared" si="41"/>
        <v/>
      </c>
      <c r="V39" s="1216" t="str">
        <f t="shared" si="41"/>
        <v/>
      </c>
      <c r="W39" s="1216" t="str">
        <f t="shared" si="41"/>
        <v/>
      </c>
      <c r="X39" s="1216" t="str">
        <f t="shared" si="41"/>
        <v/>
      </c>
      <c r="Y39" s="1216" t="str">
        <f t="shared" si="41"/>
        <v/>
      </c>
      <c r="Z39" s="1216" t="str">
        <f t="shared" si="41"/>
        <v/>
      </c>
      <c r="AA39" s="1216" t="str">
        <f t="shared" si="41"/>
        <v/>
      </c>
      <c r="AB39" s="1217" t="str">
        <f t="shared" si="41"/>
        <v/>
      </c>
      <c r="AC39" s="1216" t="str">
        <f t="shared" si="41"/>
        <v/>
      </c>
      <c r="AD39" s="1218" t="str">
        <f t="shared" si="41"/>
        <v/>
      </c>
      <c r="AE39" s="1219">
        <f t="shared" si="27"/>
        <v>0</v>
      </c>
      <c r="AF39" s="282">
        <f t="shared" si="28"/>
        <v>0</v>
      </c>
      <c r="AG39" s="282" t="str">
        <f t="shared" si="29"/>
        <v>perlu dimaksimalkan</v>
      </c>
      <c r="AH39" s="282" t="str">
        <f t="shared" si="29"/>
        <v>perlu dimaksimalkan</v>
      </c>
      <c r="AI39" s="282" t="str">
        <f t="shared" si="30"/>
        <v/>
      </c>
      <c r="AJ39" s="283" t="str">
        <f t="shared" si="31"/>
        <v/>
      </c>
      <c r="AK39" s="284" t="str">
        <f t="shared" si="32"/>
        <v/>
      </c>
      <c r="AL39" s="276"/>
      <c r="AM39" s="277"/>
      <c r="AN39" s="277"/>
      <c r="AO39" s="277"/>
      <c r="AP39" s="277"/>
      <c r="AQ39" s="277"/>
      <c r="AR39" s="277"/>
      <c r="AS39" s="280"/>
      <c r="AT39" s="277"/>
      <c r="AU39" s="278"/>
      <c r="AV39" s="285" t="str">
        <f t="shared" si="33"/>
        <v/>
      </c>
      <c r="AW39" s="296" t="str">
        <f t="shared" si="34"/>
        <v/>
      </c>
      <c r="AX39" s="1220" t="str">
        <f t="shared" si="42"/>
        <v/>
      </c>
      <c r="AY39" s="1221" t="str">
        <f t="shared" si="42"/>
        <v/>
      </c>
      <c r="AZ39" s="1221" t="str">
        <f t="shared" si="42"/>
        <v/>
      </c>
      <c r="BA39" s="1221" t="str">
        <f t="shared" si="42"/>
        <v/>
      </c>
      <c r="BB39" s="1221" t="str">
        <f t="shared" si="42"/>
        <v/>
      </c>
      <c r="BC39" s="1221" t="str">
        <f t="shared" si="42"/>
        <v/>
      </c>
      <c r="BD39" s="1221" t="str">
        <f t="shared" si="42"/>
        <v/>
      </c>
      <c r="BE39" s="1222" t="str">
        <f t="shared" si="42"/>
        <v/>
      </c>
      <c r="BF39" s="1221" t="str">
        <f t="shared" si="42"/>
        <v/>
      </c>
      <c r="BG39" s="1223" t="str">
        <f t="shared" si="42"/>
        <v/>
      </c>
      <c r="BH39" s="286">
        <f t="shared" si="35"/>
        <v>0</v>
      </c>
      <c r="BI39" s="286">
        <f t="shared" si="36"/>
        <v>0</v>
      </c>
      <c r="BJ39" s="287" t="str">
        <f t="shared" si="37"/>
        <v>perlu dimaksimalkan</v>
      </c>
      <c r="BK39" s="287" t="str">
        <f t="shared" si="37"/>
        <v>perlu dimaksimalkan</v>
      </c>
      <c r="BL39" s="286" t="e">
        <f t="shared" si="38"/>
        <v>#N/A</v>
      </c>
      <c r="BM39" s="288" t="e">
        <f t="shared" si="39"/>
        <v>#N/A</v>
      </c>
      <c r="BN39" s="289" t="str">
        <f t="shared" si="40"/>
        <v/>
      </c>
      <c r="BO39" s="67"/>
    </row>
    <row r="40" spans="1:67" ht="33" customHeight="1">
      <c r="A40" s="67"/>
      <c r="B40" s="272">
        <f t="shared" si="43"/>
        <v>27</v>
      </c>
      <c r="C40" s="273">
        <f>IF(Data!F31="","",Data!F31)</f>
        <v>0</v>
      </c>
      <c r="D40" s="274" t="str">
        <f>IF(Data!H31="","",Data!H31)</f>
        <v>Nofianti Tainmeta</v>
      </c>
      <c r="E40" s="275" t="str">
        <f>IF(Data!I31="","",Data!I31)</f>
        <v>P</v>
      </c>
      <c r="F40" s="276"/>
      <c r="G40" s="277"/>
      <c r="H40" s="277"/>
      <c r="I40" s="277"/>
      <c r="J40" s="277"/>
      <c r="K40" s="277"/>
      <c r="L40" s="277"/>
      <c r="M40" s="280"/>
      <c r="N40" s="277"/>
      <c r="O40" s="278"/>
      <c r="P40" s="279" t="str">
        <f t="shared" si="24"/>
        <v/>
      </c>
      <c r="Q40" s="277"/>
      <c r="R40" s="280"/>
      <c r="S40" s="281" t="str">
        <f t="shared" si="25"/>
        <v/>
      </c>
      <c r="T40" s="295" t="str">
        <f t="shared" si="26"/>
        <v/>
      </c>
      <c r="U40" s="1215" t="str">
        <f t="shared" si="41"/>
        <v/>
      </c>
      <c r="V40" s="1216" t="str">
        <f t="shared" si="41"/>
        <v/>
      </c>
      <c r="W40" s="1216" t="str">
        <f t="shared" si="41"/>
        <v/>
      </c>
      <c r="X40" s="1216" t="str">
        <f t="shared" si="41"/>
        <v/>
      </c>
      <c r="Y40" s="1216" t="str">
        <f t="shared" si="41"/>
        <v/>
      </c>
      <c r="Z40" s="1216" t="str">
        <f t="shared" si="41"/>
        <v/>
      </c>
      <c r="AA40" s="1216" t="str">
        <f t="shared" si="41"/>
        <v/>
      </c>
      <c r="AB40" s="1217" t="str">
        <f t="shared" si="41"/>
        <v/>
      </c>
      <c r="AC40" s="1216" t="str">
        <f t="shared" si="41"/>
        <v/>
      </c>
      <c r="AD40" s="1218" t="str">
        <f t="shared" si="41"/>
        <v/>
      </c>
      <c r="AE40" s="1219">
        <f t="shared" si="27"/>
        <v>0</v>
      </c>
      <c r="AF40" s="282">
        <f t="shared" si="28"/>
        <v>0</v>
      </c>
      <c r="AG40" s="282" t="str">
        <f t="shared" si="29"/>
        <v>perlu dimaksimalkan</v>
      </c>
      <c r="AH40" s="282" t="str">
        <f t="shared" si="29"/>
        <v>perlu dimaksimalkan</v>
      </c>
      <c r="AI40" s="282" t="str">
        <f t="shared" si="30"/>
        <v/>
      </c>
      <c r="AJ40" s="283" t="str">
        <f t="shared" si="31"/>
        <v/>
      </c>
      <c r="AK40" s="284" t="str">
        <f t="shared" si="32"/>
        <v/>
      </c>
      <c r="AL40" s="276"/>
      <c r="AM40" s="277"/>
      <c r="AN40" s="277"/>
      <c r="AO40" s="277"/>
      <c r="AP40" s="277"/>
      <c r="AQ40" s="277"/>
      <c r="AR40" s="277"/>
      <c r="AS40" s="280"/>
      <c r="AT40" s="277"/>
      <c r="AU40" s="278"/>
      <c r="AV40" s="285" t="str">
        <f t="shared" si="33"/>
        <v/>
      </c>
      <c r="AW40" s="296" t="str">
        <f t="shared" si="34"/>
        <v/>
      </c>
      <c r="AX40" s="1220" t="str">
        <f t="shared" si="42"/>
        <v/>
      </c>
      <c r="AY40" s="1221" t="str">
        <f t="shared" si="42"/>
        <v/>
      </c>
      <c r="AZ40" s="1221" t="str">
        <f t="shared" si="42"/>
        <v/>
      </c>
      <c r="BA40" s="1221" t="str">
        <f t="shared" si="42"/>
        <v/>
      </c>
      <c r="BB40" s="1221" t="str">
        <f t="shared" si="42"/>
        <v/>
      </c>
      <c r="BC40" s="1221" t="str">
        <f t="shared" si="42"/>
        <v/>
      </c>
      <c r="BD40" s="1221" t="str">
        <f t="shared" si="42"/>
        <v/>
      </c>
      <c r="BE40" s="1222" t="str">
        <f t="shared" si="42"/>
        <v/>
      </c>
      <c r="BF40" s="1221" t="str">
        <f t="shared" si="42"/>
        <v/>
      </c>
      <c r="BG40" s="1223" t="str">
        <f t="shared" si="42"/>
        <v/>
      </c>
      <c r="BH40" s="286">
        <f t="shared" si="35"/>
        <v>0</v>
      </c>
      <c r="BI40" s="286">
        <f t="shared" si="36"/>
        <v>0</v>
      </c>
      <c r="BJ40" s="287" t="str">
        <f t="shared" si="37"/>
        <v>perlu dimaksimalkan</v>
      </c>
      <c r="BK40" s="287" t="str">
        <f t="shared" si="37"/>
        <v>perlu dimaksimalkan</v>
      </c>
      <c r="BL40" s="286" t="e">
        <f t="shared" si="38"/>
        <v>#N/A</v>
      </c>
      <c r="BM40" s="288" t="e">
        <f t="shared" si="39"/>
        <v>#N/A</v>
      </c>
      <c r="BN40" s="289" t="str">
        <f t="shared" si="40"/>
        <v/>
      </c>
      <c r="BO40" s="67"/>
    </row>
    <row r="41" spans="1:67" ht="33" customHeight="1">
      <c r="A41" s="67"/>
      <c r="B41" s="272">
        <f t="shared" si="43"/>
        <v>28</v>
      </c>
      <c r="C41" s="273">
        <f>IF(Data!F32="","",Data!F32)</f>
        <v>0</v>
      </c>
      <c r="D41" s="274" t="str">
        <f>IF(Data!H32="","",Data!H32)</f>
        <v>Ofni Antrikus Banun</v>
      </c>
      <c r="E41" s="275" t="str">
        <f>IF(Data!I32="","",Data!I32)</f>
        <v>L</v>
      </c>
      <c r="F41" s="276"/>
      <c r="G41" s="277"/>
      <c r="H41" s="277"/>
      <c r="I41" s="277"/>
      <c r="J41" s="277"/>
      <c r="K41" s="277"/>
      <c r="L41" s="277"/>
      <c r="M41" s="280"/>
      <c r="N41" s="277"/>
      <c r="O41" s="278"/>
      <c r="P41" s="279" t="str">
        <f t="shared" si="24"/>
        <v/>
      </c>
      <c r="Q41" s="277"/>
      <c r="R41" s="280"/>
      <c r="S41" s="281" t="str">
        <f t="shared" si="25"/>
        <v/>
      </c>
      <c r="T41" s="295" t="str">
        <f t="shared" si="26"/>
        <v/>
      </c>
      <c r="U41" s="1215" t="str">
        <f t="shared" si="41"/>
        <v/>
      </c>
      <c r="V41" s="1216" t="str">
        <f t="shared" si="41"/>
        <v/>
      </c>
      <c r="W41" s="1216" t="str">
        <f t="shared" si="41"/>
        <v/>
      </c>
      <c r="X41" s="1216" t="str">
        <f t="shared" si="41"/>
        <v/>
      </c>
      <c r="Y41" s="1216" t="str">
        <f t="shared" si="41"/>
        <v/>
      </c>
      <c r="Z41" s="1216" t="str">
        <f t="shared" si="41"/>
        <v/>
      </c>
      <c r="AA41" s="1216" t="str">
        <f t="shared" si="41"/>
        <v/>
      </c>
      <c r="AB41" s="1217" t="str">
        <f t="shared" si="41"/>
        <v/>
      </c>
      <c r="AC41" s="1216" t="str">
        <f t="shared" si="41"/>
        <v/>
      </c>
      <c r="AD41" s="1218" t="str">
        <f t="shared" si="41"/>
        <v/>
      </c>
      <c r="AE41" s="1219">
        <f t="shared" si="27"/>
        <v>0</v>
      </c>
      <c r="AF41" s="282">
        <f t="shared" si="28"/>
        <v>0</v>
      </c>
      <c r="AG41" s="282" t="str">
        <f t="shared" si="29"/>
        <v>perlu dimaksimalkan</v>
      </c>
      <c r="AH41" s="282" t="str">
        <f t="shared" si="29"/>
        <v>perlu dimaksimalkan</v>
      </c>
      <c r="AI41" s="282" t="str">
        <f t="shared" si="30"/>
        <v/>
      </c>
      <c r="AJ41" s="283" t="str">
        <f t="shared" si="31"/>
        <v/>
      </c>
      <c r="AK41" s="284" t="str">
        <f t="shared" si="32"/>
        <v/>
      </c>
      <c r="AL41" s="276"/>
      <c r="AM41" s="277"/>
      <c r="AN41" s="277"/>
      <c r="AO41" s="277"/>
      <c r="AP41" s="277"/>
      <c r="AQ41" s="277"/>
      <c r="AR41" s="277"/>
      <c r="AS41" s="280"/>
      <c r="AT41" s="277"/>
      <c r="AU41" s="278"/>
      <c r="AV41" s="285" t="str">
        <f t="shared" si="33"/>
        <v/>
      </c>
      <c r="AW41" s="296" t="str">
        <f t="shared" si="34"/>
        <v/>
      </c>
      <c r="AX41" s="1220" t="str">
        <f t="shared" si="42"/>
        <v/>
      </c>
      <c r="AY41" s="1221" t="str">
        <f t="shared" si="42"/>
        <v/>
      </c>
      <c r="AZ41" s="1221" t="str">
        <f t="shared" si="42"/>
        <v/>
      </c>
      <c r="BA41" s="1221" t="str">
        <f t="shared" si="42"/>
        <v/>
      </c>
      <c r="BB41" s="1221" t="str">
        <f t="shared" si="42"/>
        <v/>
      </c>
      <c r="BC41" s="1221" t="str">
        <f t="shared" si="42"/>
        <v/>
      </c>
      <c r="BD41" s="1221" t="str">
        <f t="shared" si="42"/>
        <v/>
      </c>
      <c r="BE41" s="1222" t="str">
        <f t="shared" si="42"/>
        <v/>
      </c>
      <c r="BF41" s="1221" t="str">
        <f t="shared" si="42"/>
        <v/>
      </c>
      <c r="BG41" s="1223" t="str">
        <f t="shared" si="42"/>
        <v/>
      </c>
      <c r="BH41" s="286">
        <f t="shared" si="35"/>
        <v>0</v>
      </c>
      <c r="BI41" s="286">
        <f t="shared" si="36"/>
        <v>0</v>
      </c>
      <c r="BJ41" s="287" t="str">
        <f t="shared" si="37"/>
        <v>perlu dimaksimalkan</v>
      </c>
      <c r="BK41" s="287" t="str">
        <f t="shared" si="37"/>
        <v>perlu dimaksimalkan</v>
      </c>
      <c r="BL41" s="286" t="e">
        <f t="shared" si="38"/>
        <v>#N/A</v>
      </c>
      <c r="BM41" s="288" t="e">
        <f t="shared" si="39"/>
        <v>#N/A</v>
      </c>
      <c r="BN41" s="289" t="str">
        <f t="shared" si="40"/>
        <v/>
      </c>
      <c r="BO41" s="67"/>
    </row>
    <row r="42" spans="1:67" ht="33" customHeight="1">
      <c r="A42" s="67"/>
      <c r="B42" s="272">
        <f t="shared" si="43"/>
        <v>29</v>
      </c>
      <c r="C42" s="273">
        <f>IF(Data!F33="","",Data!F33)</f>
        <v>0</v>
      </c>
      <c r="D42" s="274" t="str">
        <f>IF(Data!H33="","",Data!H33)</f>
        <v>Roiyandi Saebesi</v>
      </c>
      <c r="E42" s="275" t="str">
        <f>IF(Data!I33="","",Data!I33)</f>
        <v>L</v>
      </c>
      <c r="F42" s="276"/>
      <c r="G42" s="277"/>
      <c r="H42" s="277"/>
      <c r="I42" s="277"/>
      <c r="J42" s="277"/>
      <c r="K42" s="277"/>
      <c r="L42" s="277"/>
      <c r="M42" s="280"/>
      <c r="N42" s="277"/>
      <c r="O42" s="278"/>
      <c r="P42" s="279" t="str">
        <f t="shared" si="24"/>
        <v/>
      </c>
      <c r="Q42" s="277"/>
      <c r="R42" s="280"/>
      <c r="S42" s="281" t="str">
        <f t="shared" si="25"/>
        <v/>
      </c>
      <c r="T42" s="295" t="str">
        <f t="shared" si="26"/>
        <v/>
      </c>
      <c r="U42" s="1215" t="str">
        <f t="shared" si="41"/>
        <v/>
      </c>
      <c r="V42" s="1216" t="str">
        <f t="shared" si="41"/>
        <v/>
      </c>
      <c r="W42" s="1216" t="str">
        <f t="shared" si="41"/>
        <v/>
      </c>
      <c r="X42" s="1216" t="str">
        <f t="shared" si="41"/>
        <v/>
      </c>
      <c r="Y42" s="1216" t="str">
        <f t="shared" si="41"/>
        <v/>
      </c>
      <c r="Z42" s="1216" t="str">
        <f t="shared" si="41"/>
        <v/>
      </c>
      <c r="AA42" s="1216" t="str">
        <f t="shared" si="41"/>
        <v/>
      </c>
      <c r="AB42" s="1217" t="str">
        <f t="shared" si="41"/>
        <v/>
      </c>
      <c r="AC42" s="1216" t="str">
        <f t="shared" si="41"/>
        <v/>
      </c>
      <c r="AD42" s="1218" t="str">
        <f t="shared" si="41"/>
        <v/>
      </c>
      <c r="AE42" s="1219">
        <f t="shared" si="27"/>
        <v>0</v>
      </c>
      <c r="AF42" s="282">
        <f t="shared" si="28"/>
        <v>0</v>
      </c>
      <c r="AG42" s="282" t="str">
        <f t="shared" si="29"/>
        <v>perlu dimaksimalkan</v>
      </c>
      <c r="AH42" s="282" t="str">
        <f t="shared" si="29"/>
        <v>perlu dimaksimalkan</v>
      </c>
      <c r="AI42" s="282" t="str">
        <f t="shared" si="30"/>
        <v/>
      </c>
      <c r="AJ42" s="283" t="str">
        <f t="shared" si="31"/>
        <v/>
      </c>
      <c r="AK42" s="284" t="str">
        <f t="shared" si="32"/>
        <v/>
      </c>
      <c r="AL42" s="276"/>
      <c r="AM42" s="277"/>
      <c r="AN42" s="277"/>
      <c r="AO42" s="277"/>
      <c r="AP42" s="277"/>
      <c r="AQ42" s="277"/>
      <c r="AR42" s="277"/>
      <c r="AS42" s="280"/>
      <c r="AT42" s="277"/>
      <c r="AU42" s="278"/>
      <c r="AV42" s="285" t="str">
        <f t="shared" si="33"/>
        <v/>
      </c>
      <c r="AW42" s="296" t="str">
        <f t="shared" si="34"/>
        <v/>
      </c>
      <c r="AX42" s="1220" t="str">
        <f t="shared" si="42"/>
        <v/>
      </c>
      <c r="AY42" s="1221" t="str">
        <f t="shared" si="42"/>
        <v/>
      </c>
      <c r="AZ42" s="1221" t="str">
        <f t="shared" si="42"/>
        <v/>
      </c>
      <c r="BA42" s="1221" t="str">
        <f t="shared" si="42"/>
        <v/>
      </c>
      <c r="BB42" s="1221" t="str">
        <f t="shared" si="42"/>
        <v/>
      </c>
      <c r="BC42" s="1221" t="str">
        <f t="shared" si="42"/>
        <v/>
      </c>
      <c r="BD42" s="1221" t="str">
        <f t="shared" si="42"/>
        <v/>
      </c>
      <c r="BE42" s="1222" t="str">
        <f t="shared" si="42"/>
        <v/>
      </c>
      <c r="BF42" s="1221" t="str">
        <f t="shared" si="42"/>
        <v/>
      </c>
      <c r="BG42" s="1223" t="str">
        <f t="shared" si="42"/>
        <v/>
      </c>
      <c r="BH42" s="286">
        <f t="shared" si="35"/>
        <v>0</v>
      </c>
      <c r="BI42" s="286">
        <f t="shared" si="36"/>
        <v>0</v>
      </c>
      <c r="BJ42" s="287" t="str">
        <f t="shared" si="37"/>
        <v>perlu dimaksimalkan</v>
      </c>
      <c r="BK42" s="287" t="str">
        <f t="shared" si="37"/>
        <v>perlu dimaksimalkan</v>
      </c>
      <c r="BL42" s="286" t="e">
        <f t="shared" si="38"/>
        <v>#N/A</v>
      </c>
      <c r="BM42" s="288" t="e">
        <f t="shared" si="39"/>
        <v>#N/A</v>
      </c>
      <c r="BN42" s="289" t="str">
        <f t="shared" si="40"/>
        <v/>
      </c>
      <c r="BO42" s="67"/>
    </row>
    <row r="43" spans="1:67" ht="33" customHeight="1">
      <c r="A43" s="67"/>
      <c r="B43" s="272">
        <f t="shared" si="43"/>
        <v>30</v>
      </c>
      <c r="C43" s="273">
        <f>IF(Data!F34="","",Data!F34)</f>
        <v>0</v>
      </c>
      <c r="D43" s="274" t="str">
        <f>IF(Data!H34="","",Data!H34)</f>
        <v>Roni Yohanis Bira</v>
      </c>
      <c r="E43" s="275" t="str">
        <f>IF(Data!I34="","",Data!I34)</f>
        <v>L</v>
      </c>
      <c r="F43" s="276"/>
      <c r="G43" s="277"/>
      <c r="H43" s="277"/>
      <c r="I43" s="277"/>
      <c r="J43" s="277"/>
      <c r="K43" s="277"/>
      <c r="L43" s="277"/>
      <c r="M43" s="280"/>
      <c r="N43" s="277"/>
      <c r="O43" s="278"/>
      <c r="P43" s="279" t="str">
        <f t="shared" si="24"/>
        <v/>
      </c>
      <c r="Q43" s="277"/>
      <c r="R43" s="280"/>
      <c r="S43" s="281" t="str">
        <f t="shared" si="25"/>
        <v/>
      </c>
      <c r="T43" s="295" t="str">
        <f t="shared" si="26"/>
        <v/>
      </c>
      <c r="U43" s="1215" t="str">
        <f t="shared" si="41"/>
        <v/>
      </c>
      <c r="V43" s="1216" t="str">
        <f t="shared" si="41"/>
        <v/>
      </c>
      <c r="W43" s="1216" t="str">
        <f t="shared" si="41"/>
        <v/>
      </c>
      <c r="X43" s="1216" t="str">
        <f t="shared" si="41"/>
        <v/>
      </c>
      <c r="Y43" s="1216" t="str">
        <f t="shared" si="41"/>
        <v/>
      </c>
      <c r="Z43" s="1216" t="str">
        <f t="shared" si="41"/>
        <v/>
      </c>
      <c r="AA43" s="1216" t="str">
        <f t="shared" si="41"/>
        <v/>
      </c>
      <c r="AB43" s="1217" t="str">
        <f t="shared" si="41"/>
        <v/>
      </c>
      <c r="AC43" s="1216" t="str">
        <f t="shared" si="41"/>
        <v/>
      </c>
      <c r="AD43" s="1218" t="str">
        <f t="shared" si="41"/>
        <v/>
      </c>
      <c r="AE43" s="1219">
        <f t="shared" si="27"/>
        <v>0</v>
      </c>
      <c r="AF43" s="282">
        <f t="shared" si="28"/>
        <v>0</v>
      </c>
      <c r="AG43" s="282" t="str">
        <f t="shared" si="29"/>
        <v>perlu dimaksimalkan</v>
      </c>
      <c r="AH43" s="282" t="str">
        <f t="shared" si="29"/>
        <v>perlu dimaksimalkan</v>
      </c>
      <c r="AI43" s="282" t="str">
        <f t="shared" si="30"/>
        <v/>
      </c>
      <c r="AJ43" s="283" t="str">
        <f t="shared" si="31"/>
        <v/>
      </c>
      <c r="AK43" s="284" t="str">
        <f t="shared" si="32"/>
        <v/>
      </c>
      <c r="AL43" s="276"/>
      <c r="AM43" s="277"/>
      <c r="AN43" s="277"/>
      <c r="AO43" s="277"/>
      <c r="AP43" s="277"/>
      <c r="AQ43" s="277"/>
      <c r="AR43" s="277"/>
      <c r="AS43" s="280"/>
      <c r="AT43" s="277"/>
      <c r="AU43" s="278"/>
      <c r="AV43" s="285" t="str">
        <f t="shared" si="33"/>
        <v/>
      </c>
      <c r="AW43" s="296" t="str">
        <f t="shared" si="34"/>
        <v/>
      </c>
      <c r="AX43" s="1220" t="str">
        <f t="shared" si="42"/>
        <v/>
      </c>
      <c r="AY43" s="1221" t="str">
        <f t="shared" si="42"/>
        <v/>
      </c>
      <c r="AZ43" s="1221" t="str">
        <f t="shared" si="42"/>
        <v/>
      </c>
      <c r="BA43" s="1221" t="str">
        <f t="shared" si="42"/>
        <v/>
      </c>
      <c r="BB43" s="1221" t="str">
        <f t="shared" si="42"/>
        <v/>
      </c>
      <c r="BC43" s="1221" t="str">
        <f t="shared" si="42"/>
        <v/>
      </c>
      <c r="BD43" s="1221" t="str">
        <f t="shared" si="42"/>
        <v/>
      </c>
      <c r="BE43" s="1222" t="str">
        <f t="shared" si="42"/>
        <v/>
      </c>
      <c r="BF43" s="1221" t="str">
        <f t="shared" si="42"/>
        <v/>
      </c>
      <c r="BG43" s="1223" t="str">
        <f t="shared" si="42"/>
        <v/>
      </c>
      <c r="BH43" s="286">
        <f t="shared" si="35"/>
        <v>0</v>
      </c>
      <c r="BI43" s="286">
        <f t="shared" si="36"/>
        <v>0</v>
      </c>
      <c r="BJ43" s="287" t="str">
        <f t="shared" si="37"/>
        <v>perlu dimaksimalkan</v>
      </c>
      <c r="BK43" s="287" t="str">
        <f t="shared" si="37"/>
        <v>perlu dimaksimalkan</v>
      </c>
      <c r="BL43" s="286" t="e">
        <f t="shared" si="38"/>
        <v>#N/A</v>
      </c>
      <c r="BM43" s="288" t="e">
        <f t="shared" si="39"/>
        <v>#N/A</v>
      </c>
      <c r="BN43" s="289" t="str">
        <f t="shared" si="40"/>
        <v/>
      </c>
      <c r="BO43" s="67"/>
    </row>
    <row r="44" spans="1:67" ht="33" customHeight="1">
      <c r="A44" s="67"/>
      <c r="B44" s="272">
        <f t="shared" si="43"/>
        <v>31</v>
      </c>
      <c r="C44" s="273">
        <f>IF(Data!F35="","",Data!F35)</f>
        <v>0</v>
      </c>
      <c r="D44" s="274" t="str">
        <f>IF(Data!H35="","",Data!H35)</f>
        <v>Sinta Norliana Funan</v>
      </c>
      <c r="E44" s="275" t="str">
        <f>IF(Data!I35="","",Data!I35)</f>
        <v>P</v>
      </c>
      <c r="F44" s="276"/>
      <c r="G44" s="277"/>
      <c r="H44" s="277"/>
      <c r="I44" s="277"/>
      <c r="J44" s="277"/>
      <c r="K44" s="277"/>
      <c r="L44" s="277"/>
      <c r="M44" s="280"/>
      <c r="N44" s="277"/>
      <c r="O44" s="278"/>
      <c r="P44" s="279" t="str">
        <f t="shared" si="24"/>
        <v/>
      </c>
      <c r="Q44" s="277"/>
      <c r="R44" s="280"/>
      <c r="S44" s="281" t="str">
        <f t="shared" si="25"/>
        <v/>
      </c>
      <c r="T44" s="295" t="str">
        <f t="shared" si="26"/>
        <v/>
      </c>
      <c r="U44" s="1215" t="str">
        <f t="shared" si="41"/>
        <v/>
      </c>
      <c r="V44" s="1216" t="str">
        <f t="shared" si="41"/>
        <v/>
      </c>
      <c r="W44" s="1216" t="str">
        <f t="shared" si="41"/>
        <v/>
      </c>
      <c r="X44" s="1216" t="str">
        <f t="shared" si="41"/>
        <v/>
      </c>
      <c r="Y44" s="1216" t="str">
        <f t="shared" si="41"/>
        <v/>
      </c>
      <c r="Z44" s="1216" t="str">
        <f t="shared" si="41"/>
        <v/>
      </c>
      <c r="AA44" s="1216" t="str">
        <f t="shared" si="41"/>
        <v/>
      </c>
      <c r="AB44" s="1217" t="str">
        <f t="shared" si="41"/>
        <v/>
      </c>
      <c r="AC44" s="1216" t="str">
        <f t="shared" si="41"/>
        <v/>
      </c>
      <c r="AD44" s="1218" t="str">
        <f t="shared" si="41"/>
        <v/>
      </c>
      <c r="AE44" s="1219">
        <f t="shared" si="27"/>
        <v>0</v>
      </c>
      <c r="AF44" s="282">
        <f t="shared" si="28"/>
        <v>0</v>
      </c>
      <c r="AG44" s="282" t="str">
        <f t="shared" si="29"/>
        <v>perlu dimaksimalkan</v>
      </c>
      <c r="AH44" s="282" t="str">
        <f t="shared" si="29"/>
        <v>perlu dimaksimalkan</v>
      </c>
      <c r="AI44" s="282" t="str">
        <f t="shared" si="30"/>
        <v/>
      </c>
      <c r="AJ44" s="283" t="str">
        <f t="shared" si="31"/>
        <v/>
      </c>
      <c r="AK44" s="284" t="str">
        <f t="shared" si="32"/>
        <v/>
      </c>
      <c r="AL44" s="276"/>
      <c r="AM44" s="277"/>
      <c r="AN44" s="277"/>
      <c r="AO44" s="277"/>
      <c r="AP44" s="277"/>
      <c r="AQ44" s="277"/>
      <c r="AR44" s="277"/>
      <c r="AS44" s="280"/>
      <c r="AT44" s="277"/>
      <c r="AU44" s="278"/>
      <c r="AV44" s="285" t="str">
        <f t="shared" si="33"/>
        <v/>
      </c>
      <c r="AW44" s="296" t="str">
        <f t="shared" si="34"/>
        <v/>
      </c>
      <c r="AX44" s="1220" t="str">
        <f t="shared" si="42"/>
        <v/>
      </c>
      <c r="AY44" s="1221" t="str">
        <f t="shared" si="42"/>
        <v/>
      </c>
      <c r="AZ44" s="1221" t="str">
        <f t="shared" si="42"/>
        <v/>
      </c>
      <c r="BA44" s="1221" t="str">
        <f t="shared" si="42"/>
        <v/>
      </c>
      <c r="BB44" s="1221" t="str">
        <f t="shared" si="42"/>
        <v/>
      </c>
      <c r="BC44" s="1221" t="str">
        <f t="shared" si="42"/>
        <v/>
      </c>
      <c r="BD44" s="1221" t="str">
        <f t="shared" si="42"/>
        <v/>
      </c>
      <c r="BE44" s="1222" t="str">
        <f t="shared" si="42"/>
        <v/>
      </c>
      <c r="BF44" s="1221" t="str">
        <f t="shared" si="42"/>
        <v/>
      </c>
      <c r="BG44" s="1223" t="str">
        <f t="shared" si="42"/>
        <v/>
      </c>
      <c r="BH44" s="286">
        <f t="shared" si="35"/>
        <v>0</v>
      </c>
      <c r="BI44" s="286">
        <f t="shared" si="36"/>
        <v>0</v>
      </c>
      <c r="BJ44" s="287" t="str">
        <f t="shared" si="37"/>
        <v>perlu dimaksimalkan</v>
      </c>
      <c r="BK44" s="287" t="str">
        <f t="shared" si="37"/>
        <v>perlu dimaksimalkan</v>
      </c>
      <c r="BL44" s="286" t="e">
        <f t="shared" si="38"/>
        <v>#N/A</v>
      </c>
      <c r="BM44" s="288" t="e">
        <f t="shared" si="39"/>
        <v>#N/A</v>
      </c>
      <c r="BN44" s="289" t="str">
        <f t="shared" si="40"/>
        <v/>
      </c>
      <c r="BO44" s="67"/>
    </row>
    <row r="45" spans="1:67" ht="33" customHeight="1">
      <c r="A45" s="67"/>
      <c r="B45" s="272">
        <f t="shared" si="43"/>
        <v>32</v>
      </c>
      <c r="C45" s="273">
        <f>IF(Data!F36="","",Data!F36)</f>
        <v>0</v>
      </c>
      <c r="D45" s="274" t="str">
        <f>IF(Data!H36="","",Data!H36)</f>
        <v>Stevi Otnial Loemnanu</v>
      </c>
      <c r="E45" s="275" t="str">
        <f>IF(Data!I36="","",Data!I36)</f>
        <v>L</v>
      </c>
      <c r="F45" s="276"/>
      <c r="G45" s="277"/>
      <c r="H45" s="277"/>
      <c r="I45" s="277"/>
      <c r="J45" s="277"/>
      <c r="K45" s="277"/>
      <c r="L45" s="277"/>
      <c r="M45" s="280"/>
      <c r="N45" s="277"/>
      <c r="O45" s="278"/>
      <c r="P45" s="279" t="str">
        <f t="shared" si="24"/>
        <v/>
      </c>
      <c r="Q45" s="277"/>
      <c r="R45" s="280"/>
      <c r="S45" s="281" t="str">
        <f t="shared" si="25"/>
        <v/>
      </c>
      <c r="T45" s="295" t="str">
        <f t="shared" si="26"/>
        <v/>
      </c>
      <c r="U45" s="1215" t="str">
        <f t="shared" si="41"/>
        <v/>
      </c>
      <c r="V45" s="1216" t="str">
        <f t="shared" si="41"/>
        <v/>
      </c>
      <c r="W45" s="1216" t="str">
        <f t="shared" si="41"/>
        <v/>
      </c>
      <c r="X45" s="1216" t="str">
        <f t="shared" si="41"/>
        <v/>
      </c>
      <c r="Y45" s="1216" t="str">
        <f t="shared" si="41"/>
        <v/>
      </c>
      <c r="Z45" s="1216" t="str">
        <f t="shared" si="41"/>
        <v/>
      </c>
      <c r="AA45" s="1216" t="str">
        <f t="shared" si="41"/>
        <v/>
      </c>
      <c r="AB45" s="1217" t="str">
        <f t="shared" si="41"/>
        <v/>
      </c>
      <c r="AC45" s="1216" t="str">
        <f t="shared" si="41"/>
        <v/>
      </c>
      <c r="AD45" s="1218" t="str">
        <f t="shared" si="41"/>
        <v/>
      </c>
      <c r="AE45" s="1219">
        <f t="shared" si="27"/>
        <v>0</v>
      </c>
      <c r="AF45" s="282">
        <f t="shared" si="28"/>
        <v>0</v>
      </c>
      <c r="AG45" s="282" t="str">
        <f t="shared" si="29"/>
        <v>perlu dimaksimalkan</v>
      </c>
      <c r="AH45" s="282" t="str">
        <f t="shared" si="29"/>
        <v>perlu dimaksimalkan</v>
      </c>
      <c r="AI45" s="282" t="str">
        <f t="shared" si="30"/>
        <v/>
      </c>
      <c r="AJ45" s="283" t="str">
        <f t="shared" si="31"/>
        <v/>
      </c>
      <c r="AK45" s="284" t="str">
        <f t="shared" si="32"/>
        <v/>
      </c>
      <c r="AL45" s="276"/>
      <c r="AM45" s="277"/>
      <c r="AN45" s="277"/>
      <c r="AO45" s="277"/>
      <c r="AP45" s="277"/>
      <c r="AQ45" s="277"/>
      <c r="AR45" s="277"/>
      <c r="AS45" s="280"/>
      <c r="AT45" s="277"/>
      <c r="AU45" s="278"/>
      <c r="AV45" s="285" t="str">
        <f t="shared" si="33"/>
        <v/>
      </c>
      <c r="AW45" s="296" t="str">
        <f t="shared" si="34"/>
        <v/>
      </c>
      <c r="AX45" s="1220" t="str">
        <f t="shared" si="42"/>
        <v/>
      </c>
      <c r="AY45" s="1221" t="str">
        <f t="shared" si="42"/>
        <v/>
      </c>
      <c r="AZ45" s="1221" t="str">
        <f t="shared" si="42"/>
        <v/>
      </c>
      <c r="BA45" s="1221" t="str">
        <f t="shared" si="42"/>
        <v/>
      </c>
      <c r="BB45" s="1221" t="str">
        <f t="shared" si="42"/>
        <v/>
      </c>
      <c r="BC45" s="1221" t="str">
        <f t="shared" si="42"/>
        <v/>
      </c>
      <c r="BD45" s="1221" t="str">
        <f t="shared" si="42"/>
        <v/>
      </c>
      <c r="BE45" s="1222" t="str">
        <f t="shared" si="42"/>
        <v/>
      </c>
      <c r="BF45" s="1221" t="str">
        <f t="shared" si="42"/>
        <v/>
      </c>
      <c r="BG45" s="1223" t="str">
        <f t="shared" si="42"/>
        <v/>
      </c>
      <c r="BH45" s="286">
        <f t="shared" si="35"/>
        <v>0</v>
      </c>
      <c r="BI45" s="286">
        <f t="shared" si="36"/>
        <v>0</v>
      </c>
      <c r="BJ45" s="287" t="str">
        <f t="shared" si="37"/>
        <v>perlu dimaksimalkan</v>
      </c>
      <c r="BK45" s="287" t="str">
        <f t="shared" si="37"/>
        <v>perlu dimaksimalkan</v>
      </c>
      <c r="BL45" s="286" t="e">
        <f t="shared" si="38"/>
        <v>#N/A</v>
      </c>
      <c r="BM45" s="288" t="e">
        <f t="shared" si="39"/>
        <v>#N/A</v>
      </c>
      <c r="BN45" s="289" t="str">
        <f t="shared" si="40"/>
        <v/>
      </c>
      <c r="BO45" s="67"/>
    </row>
    <row r="46" spans="1:67" ht="33" customHeight="1">
      <c r="A46" s="67"/>
      <c r="B46" s="272">
        <f t="shared" si="43"/>
        <v>33</v>
      </c>
      <c r="C46" s="273">
        <f>IF(Data!F37="","",Data!F37)</f>
        <v>0</v>
      </c>
      <c r="D46" s="274" t="str">
        <f>IF(Data!H37="","",Data!H37)</f>
        <v>Venciani Sefrianti Sufnera</v>
      </c>
      <c r="E46" s="275" t="str">
        <f>IF(Data!I37="","",Data!I37)</f>
        <v>P</v>
      </c>
      <c r="F46" s="276"/>
      <c r="G46" s="277"/>
      <c r="H46" s="277"/>
      <c r="I46" s="277"/>
      <c r="J46" s="277"/>
      <c r="K46" s="277"/>
      <c r="L46" s="277"/>
      <c r="M46" s="280"/>
      <c r="N46" s="277"/>
      <c r="O46" s="278"/>
      <c r="P46" s="279" t="str">
        <f t="shared" si="24"/>
        <v/>
      </c>
      <c r="Q46" s="277"/>
      <c r="R46" s="280"/>
      <c r="S46" s="281" t="str">
        <f t="shared" si="25"/>
        <v/>
      </c>
      <c r="T46" s="295" t="str">
        <f t="shared" si="26"/>
        <v/>
      </c>
      <c r="U46" s="1215" t="str">
        <f t="shared" si="41"/>
        <v/>
      </c>
      <c r="V46" s="1216" t="str">
        <f t="shared" si="41"/>
        <v/>
      </c>
      <c r="W46" s="1216" t="str">
        <f t="shared" si="41"/>
        <v/>
      </c>
      <c r="X46" s="1216" t="str">
        <f t="shared" si="41"/>
        <v/>
      </c>
      <c r="Y46" s="1216" t="str">
        <f t="shared" si="41"/>
        <v/>
      </c>
      <c r="Z46" s="1216" t="str">
        <f t="shared" si="41"/>
        <v/>
      </c>
      <c r="AA46" s="1216" t="str">
        <f t="shared" si="41"/>
        <v/>
      </c>
      <c r="AB46" s="1217" t="str">
        <f t="shared" si="41"/>
        <v/>
      </c>
      <c r="AC46" s="1216" t="str">
        <f t="shared" si="41"/>
        <v/>
      </c>
      <c r="AD46" s="1218" t="str">
        <f t="shared" si="41"/>
        <v/>
      </c>
      <c r="AE46" s="1219">
        <f t="shared" si="27"/>
        <v>0</v>
      </c>
      <c r="AF46" s="282">
        <f t="shared" si="28"/>
        <v>0</v>
      </c>
      <c r="AG46" s="282" t="str">
        <f t="shared" si="29"/>
        <v>perlu dimaksimalkan</v>
      </c>
      <c r="AH46" s="282" t="str">
        <f t="shared" si="29"/>
        <v>perlu dimaksimalkan</v>
      </c>
      <c r="AI46" s="282" t="str">
        <f t="shared" si="30"/>
        <v/>
      </c>
      <c r="AJ46" s="283" t="str">
        <f t="shared" si="31"/>
        <v/>
      </c>
      <c r="AK46" s="284" t="str">
        <f t="shared" si="32"/>
        <v/>
      </c>
      <c r="AL46" s="276"/>
      <c r="AM46" s="277"/>
      <c r="AN46" s="277"/>
      <c r="AO46" s="277"/>
      <c r="AP46" s="277"/>
      <c r="AQ46" s="277"/>
      <c r="AR46" s="277"/>
      <c r="AS46" s="280"/>
      <c r="AT46" s="277"/>
      <c r="AU46" s="278"/>
      <c r="AV46" s="285" t="str">
        <f t="shared" si="33"/>
        <v/>
      </c>
      <c r="AW46" s="296" t="str">
        <f t="shared" si="34"/>
        <v/>
      </c>
      <c r="AX46" s="1220" t="str">
        <f t="shared" si="42"/>
        <v/>
      </c>
      <c r="AY46" s="1221" t="str">
        <f t="shared" si="42"/>
        <v/>
      </c>
      <c r="AZ46" s="1221" t="str">
        <f t="shared" si="42"/>
        <v/>
      </c>
      <c r="BA46" s="1221" t="str">
        <f t="shared" si="42"/>
        <v/>
      </c>
      <c r="BB46" s="1221" t="str">
        <f t="shared" si="42"/>
        <v/>
      </c>
      <c r="BC46" s="1221" t="str">
        <f t="shared" si="42"/>
        <v/>
      </c>
      <c r="BD46" s="1221" t="str">
        <f t="shared" si="42"/>
        <v/>
      </c>
      <c r="BE46" s="1222" t="str">
        <f t="shared" si="42"/>
        <v/>
      </c>
      <c r="BF46" s="1221" t="str">
        <f t="shared" si="42"/>
        <v/>
      </c>
      <c r="BG46" s="1223" t="str">
        <f t="shared" si="42"/>
        <v/>
      </c>
      <c r="BH46" s="286">
        <f t="shared" si="35"/>
        <v>0</v>
      </c>
      <c r="BI46" s="286">
        <f t="shared" si="36"/>
        <v>0</v>
      </c>
      <c r="BJ46" s="287" t="str">
        <f t="shared" si="37"/>
        <v>perlu dimaksimalkan</v>
      </c>
      <c r="BK46" s="287" t="str">
        <f t="shared" si="37"/>
        <v>perlu dimaksimalkan</v>
      </c>
      <c r="BL46" s="286" t="e">
        <f t="shared" si="38"/>
        <v>#N/A</v>
      </c>
      <c r="BM46" s="288" t="e">
        <f t="shared" si="39"/>
        <v>#N/A</v>
      </c>
      <c r="BN46" s="289" t="str">
        <f t="shared" si="40"/>
        <v/>
      </c>
      <c r="BO46" s="67"/>
    </row>
    <row r="47" spans="1:67" ht="33" customHeight="1">
      <c r="A47" s="67"/>
      <c r="B47" s="272">
        <f t="shared" ref="B47:B63" si="44">IF(D47="","",B46+1)</f>
        <v>34</v>
      </c>
      <c r="C47" s="273">
        <f>IF(Data!F38="","",Data!F38)</f>
        <v>0</v>
      </c>
      <c r="D47" s="274" t="str">
        <f>IF(Data!H38="","",Data!H38)</f>
        <v>Yangres Nitti</v>
      </c>
      <c r="E47" s="275" t="str">
        <f>IF(Data!I38="","",Data!I38)</f>
        <v>L</v>
      </c>
      <c r="F47" s="276"/>
      <c r="G47" s="277"/>
      <c r="H47" s="277"/>
      <c r="I47" s="277"/>
      <c r="J47" s="277"/>
      <c r="K47" s="277"/>
      <c r="L47" s="277"/>
      <c r="M47" s="280"/>
      <c r="N47" s="277"/>
      <c r="O47" s="278"/>
      <c r="P47" s="279" t="str">
        <f t="shared" si="24"/>
        <v/>
      </c>
      <c r="Q47" s="277"/>
      <c r="R47" s="280"/>
      <c r="S47" s="281" t="str">
        <f t="shared" si="25"/>
        <v/>
      </c>
      <c r="T47" s="295" t="str">
        <f t="shared" si="26"/>
        <v/>
      </c>
      <c r="U47" s="1215" t="str">
        <f t="shared" si="41"/>
        <v/>
      </c>
      <c r="V47" s="1216" t="str">
        <f t="shared" si="41"/>
        <v/>
      </c>
      <c r="W47" s="1216" t="str">
        <f t="shared" si="41"/>
        <v/>
      </c>
      <c r="X47" s="1216" t="str">
        <f t="shared" si="41"/>
        <v/>
      </c>
      <c r="Y47" s="1216" t="str">
        <f t="shared" si="41"/>
        <v/>
      </c>
      <c r="Z47" s="1216" t="str">
        <f t="shared" si="41"/>
        <v/>
      </c>
      <c r="AA47" s="1216" t="str">
        <f t="shared" si="41"/>
        <v/>
      </c>
      <c r="AB47" s="1217" t="str">
        <f t="shared" si="41"/>
        <v/>
      </c>
      <c r="AC47" s="1216" t="str">
        <f t="shared" si="41"/>
        <v/>
      </c>
      <c r="AD47" s="1218" t="str">
        <f t="shared" si="41"/>
        <v/>
      </c>
      <c r="AE47" s="1219">
        <f t="shared" si="27"/>
        <v>0</v>
      </c>
      <c r="AF47" s="282">
        <f t="shared" si="28"/>
        <v>0</v>
      </c>
      <c r="AG47" s="282" t="str">
        <f t="shared" si="29"/>
        <v>perlu dimaksimalkan</v>
      </c>
      <c r="AH47" s="282" t="str">
        <f t="shared" si="29"/>
        <v>perlu dimaksimalkan</v>
      </c>
      <c r="AI47" s="282" t="str">
        <f t="shared" si="30"/>
        <v/>
      </c>
      <c r="AJ47" s="283" t="str">
        <f t="shared" si="31"/>
        <v/>
      </c>
      <c r="AK47" s="284" t="str">
        <f t="shared" si="32"/>
        <v/>
      </c>
      <c r="AL47" s="276"/>
      <c r="AM47" s="277"/>
      <c r="AN47" s="277"/>
      <c r="AO47" s="277"/>
      <c r="AP47" s="277"/>
      <c r="AQ47" s="277"/>
      <c r="AR47" s="277"/>
      <c r="AS47" s="280"/>
      <c r="AT47" s="277"/>
      <c r="AU47" s="278"/>
      <c r="AV47" s="285" t="str">
        <f t="shared" si="33"/>
        <v/>
      </c>
      <c r="AW47" s="296" t="str">
        <f t="shared" si="34"/>
        <v/>
      </c>
      <c r="AX47" s="1220" t="str">
        <f t="shared" si="42"/>
        <v/>
      </c>
      <c r="AY47" s="1221" t="str">
        <f t="shared" si="42"/>
        <v/>
      </c>
      <c r="AZ47" s="1221" t="str">
        <f t="shared" si="42"/>
        <v/>
      </c>
      <c r="BA47" s="1221" t="str">
        <f t="shared" si="42"/>
        <v/>
      </c>
      <c r="BB47" s="1221" t="str">
        <f t="shared" si="42"/>
        <v/>
      </c>
      <c r="BC47" s="1221" t="str">
        <f t="shared" si="42"/>
        <v/>
      </c>
      <c r="BD47" s="1221" t="str">
        <f t="shared" si="42"/>
        <v/>
      </c>
      <c r="BE47" s="1222" t="str">
        <f t="shared" si="42"/>
        <v/>
      </c>
      <c r="BF47" s="1221" t="str">
        <f t="shared" si="42"/>
        <v/>
      </c>
      <c r="BG47" s="1223" t="str">
        <f t="shared" si="42"/>
        <v/>
      </c>
      <c r="BH47" s="286">
        <f t="shared" si="35"/>
        <v>0</v>
      </c>
      <c r="BI47" s="286">
        <f t="shared" si="36"/>
        <v>0</v>
      </c>
      <c r="BJ47" s="287" t="str">
        <f t="shared" si="37"/>
        <v>perlu dimaksimalkan</v>
      </c>
      <c r="BK47" s="287" t="str">
        <f t="shared" si="37"/>
        <v>perlu dimaksimalkan</v>
      </c>
      <c r="BL47" s="286" t="e">
        <f t="shared" si="38"/>
        <v>#N/A</v>
      </c>
      <c r="BM47" s="288" t="e">
        <f t="shared" si="39"/>
        <v>#N/A</v>
      </c>
      <c r="BN47" s="289" t="str">
        <f t="shared" si="40"/>
        <v/>
      </c>
      <c r="BO47" s="67"/>
    </row>
    <row r="48" spans="1:67" ht="33" customHeight="1">
      <c r="A48" s="67"/>
      <c r="B48" s="272">
        <f t="shared" si="44"/>
        <v>35</v>
      </c>
      <c r="C48" s="273">
        <f>IF(Data!F39="","",Data!F39)</f>
        <v>0</v>
      </c>
      <c r="D48" s="274" t="str">
        <f>IF(Data!H39="","",Data!H39)</f>
        <v>Yefta Trianus Mau</v>
      </c>
      <c r="E48" s="275" t="str">
        <f>IF(Data!I39="","",Data!I39)</f>
        <v>L</v>
      </c>
      <c r="F48" s="276"/>
      <c r="G48" s="277"/>
      <c r="H48" s="277"/>
      <c r="I48" s="277"/>
      <c r="J48" s="277"/>
      <c r="K48" s="277"/>
      <c r="L48" s="277"/>
      <c r="M48" s="280"/>
      <c r="N48" s="277"/>
      <c r="O48" s="278"/>
      <c r="P48" s="279" t="str">
        <f t="shared" si="24"/>
        <v/>
      </c>
      <c r="Q48" s="277"/>
      <c r="R48" s="280"/>
      <c r="S48" s="281" t="str">
        <f t="shared" si="25"/>
        <v/>
      </c>
      <c r="T48" s="295" t="str">
        <f t="shared" si="26"/>
        <v/>
      </c>
      <c r="U48" s="1215" t="str">
        <f t="shared" si="41"/>
        <v/>
      </c>
      <c r="V48" s="1216" t="str">
        <f t="shared" si="41"/>
        <v/>
      </c>
      <c r="W48" s="1216" t="str">
        <f t="shared" si="41"/>
        <v/>
      </c>
      <c r="X48" s="1216" t="str">
        <f t="shared" si="41"/>
        <v/>
      </c>
      <c r="Y48" s="1216" t="str">
        <f t="shared" si="41"/>
        <v/>
      </c>
      <c r="Z48" s="1216" t="str">
        <f t="shared" si="41"/>
        <v/>
      </c>
      <c r="AA48" s="1216" t="str">
        <f t="shared" si="41"/>
        <v/>
      </c>
      <c r="AB48" s="1217" t="str">
        <f t="shared" si="41"/>
        <v/>
      </c>
      <c r="AC48" s="1216" t="str">
        <f t="shared" si="41"/>
        <v/>
      </c>
      <c r="AD48" s="1218" t="str">
        <f t="shared" si="41"/>
        <v/>
      </c>
      <c r="AE48" s="1219">
        <f t="shared" si="27"/>
        <v>0</v>
      </c>
      <c r="AF48" s="282">
        <f t="shared" si="28"/>
        <v>0</v>
      </c>
      <c r="AG48" s="282" t="str">
        <f t="shared" si="29"/>
        <v>perlu dimaksimalkan</v>
      </c>
      <c r="AH48" s="282" t="str">
        <f t="shared" si="29"/>
        <v>perlu dimaksimalkan</v>
      </c>
      <c r="AI48" s="282" t="str">
        <f t="shared" si="30"/>
        <v/>
      </c>
      <c r="AJ48" s="283" t="str">
        <f t="shared" si="31"/>
        <v/>
      </c>
      <c r="AK48" s="284" t="str">
        <f t="shared" si="32"/>
        <v/>
      </c>
      <c r="AL48" s="276"/>
      <c r="AM48" s="277"/>
      <c r="AN48" s="277"/>
      <c r="AO48" s="277"/>
      <c r="AP48" s="277"/>
      <c r="AQ48" s="277"/>
      <c r="AR48" s="277"/>
      <c r="AS48" s="280"/>
      <c r="AT48" s="277"/>
      <c r="AU48" s="278"/>
      <c r="AV48" s="285" t="str">
        <f t="shared" si="33"/>
        <v/>
      </c>
      <c r="AW48" s="296" t="str">
        <f t="shared" si="34"/>
        <v/>
      </c>
      <c r="AX48" s="1220" t="str">
        <f t="shared" si="42"/>
        <v/>
      </c>
      <c r="AY48" s="1221" t="str">
        <f t="shared" si="42"/>
        <v/>
      </c>
      <c r="AZ48" s="1221" t="str">
        <f t="shared" si="42"/>
        <v/>
      </c>
      <c r="BA48" s="1221" t="str">
        <f t="shared" si="42"/>
        <v/>
      </c>
      <c r="BB48" s="1221" t="str">
        <f t="shared" si="42"/>
        <v/>
      </c>
      <c r="BC48" s="1221" t="str">
        <f t="shared" si="42"/>
        <v/>
      </c>
      <c r="BD48" s="1221" t="str">
        <f t="shared" si="42"/>
        <v/>
      </c>
      <c r="BE48" s="1222" t="str">
        <f t="shared" si="42"/>
        <v/>
      </c>
      <c r="BF48" s="1221" t="str">
        <f t="shared" si="42"/>
        <v/>
      </c>
      <c r="BG48" s="1223" t="str">
        <f t="shared" si="42"/>
        <v/>
      </c>
      <c r="BH48" s="286">
        <f t="shared" si="35"/>
        <v>0</v>
      </c>
      <c r="BI48" s="286">
        <f t="shared" si="36"/>
        <v>0</v>
      </c>
      <c r="BJ48" s="287" t="str">
        <f t="shared" si="37"/>
        <v>perlu dimaksimalkan</v>
      </c>
      <c r="BK48" s="287" t="str">
        <f t="shared" si="37"/>
        <v>perlu dimaksimalkan</v>
      </c>
      <c r="BL48" s="286" t="e">
        <f t="shared" si="38"/>
        <v>#N/A</v>
      </c>
      <c r="BM48" s="288" t="e">
        <f t="shared" si="39"/>
        <v>#N/A</v>
      </c>
      <c r="BN48" s="289" t="str">
        <f t="shared" si="40"/>
        <v/>
      </c>
      <c r="BO48" s="67"/>
    </row>
    <row r="49" spans="1:67" ht="33" customHeight="1">
      <c r="A49" s="67"/>
      <c r="B49" s="272">
        <f t="shared" si="44"/>
        <v>36</v>
      </c>
      <c r="C49" s="273">
        <f>IF(Data!F40="","",Data!F40)</f>
        <v>0</v>
      </c>
      <c r="D49" s="274" t="str">
        <f>IF(Data!H40="","",Data!H40)</f>
        <v>Yuliana Febriyanti Nggeon</v>
      </c>
      <c r="E49" s="275" t="str">
        <f>IF(Data!I40="","",Data!I40)</f>
        <v>P</v>
      </c>
      <c r="F49" s="276"/>
      <c r="G49" s="277"/>
      <c r="H49" s="277"/>
      <c r="I49" s="277"/>
      <c r="J49" s="277"/>
      <c r="K49" s="277"/>
      <c r="L49" s="277"/>
      <c r="M49" s="280"/>
      <c r="N49" s="277"/>
      <c r="O49" s="278"/>
      <c r="P49" s="279" t="str">
        <f t="shared" si="24"/>
        <v/>
      </c>
      <c r="Q49" s="277"/>
      <c r="R49" s="280"/>
      <c r="S49" s="281" t="str">
        <f t="shared" si="25"/>
        <v/>
      </c>
      <c r="T49" s="295" t="str">
        <f t="shared" si="26"/>
        <v/>
      </c>
      <c r="U49" s="1215" t="str">
        <f t="shared" si="41"/>
        <v/>
      </c>
      <c r="V49" s="1216" t="str">
        <f t="shared" si="41"/>
        <v/>
      </c>
      <c r="W49" s="1216" t="str">
        <f t="shared" si="41"/>
        <v/>
      </c>
      <c r="X49" s="1216" t="str">
        <f t="shared" si="41"/>
        <v/>
      </c>
      <c r="Y49" s="1216" t="str">
        <f t="shared" si="41"/>
        <v/>
      </c>
      <c r="Z49" s="1216" t="str">
        <f t="shared" si="41"/>
        <v/>
      </c>
      <c r="AA49" s="1216" t="str">
        <f t="shared" si="41"/>
        <v/>
      </c>
      <c r="AB49" s="1217" t="str">
        <f t="shared" si="41"/>
        <v/>
      </c>
      <c r="AC49" s="1216" t="str">
        <f t="shared" si="41"/>
        <v/>
      </c>
      <c r="AD49" s="1218" t="str">
        <f t="shared" si="41"/>
        <v/>
      </c>
      <c r="AE49" s="1219">
        <f t="shared" si="27"/>
        <v>0</v>
      </c>
      <c r="AF49" s="282">
        <f t="shared" si="28"/>
        <v>0</v>
      </c>
      <c r="AG49" s="282" t="str">
        <f t="shared" si="29"/>
        <v>perlu dimaksimalkan</v>
      </c>
      <c r="AH49" s="282" t="str">
        <f t="shared" si="29"/>
        <v>perlu dimaksimalkan</v>
      </c>
      <c r="AI49" s="282" t="str">
        <f t="shared" si="30"/>
        <v/>
      </c>
      <c r="AJ49" s="283" t="str">
        <f t="shared" si="31"/>
        <v/>
      </c>
      <c r="AK49" s="284" t="str">
        <f t="shared" si="32"/>
        <v/>
      </c>
      <c r="AL49" s="276"/>
      <c r="AM49" s="277"/>
      <c r="AN49" s="277"/>
      <c r="AO49" s="277"/>
      <c r="AP49" s="277"/>
      <c r="AQ49" s="277"/>
      <c r="AR49" s="277"/>
      <c r="AS49" s="280"/>
      <c r="AT49" s="277"/>
      <c r="AU49" s="278"/>
      <c r="AV49" s="285" t="str">
        <f t="shared" si="33"/>
        <v/>
      </c>
      <c r="AW49" s="296" t="str">
        <f t="shared" si="34"/>
        <v/>
      </c>
      <c r="AX49" s="1220" t="str">
        <f t="shared" si="42"/>
        <v/>
      </c>
      <c r="AY49" s="1221" t="str">
        <f t="shared" si="42"/>
        <v/>
      </c>
      <c r="AZ49" s="1221" t="str">
        <f t="shared" si="42"/>
        <v/>
      </c>
      <c r="BA49" s="1221" t="str">
        <f t="shared" si="42"/>
        <v/>
      </c>
      <c r="BB49" s="1221" t="str">
        <f t="shared" si="42"/>
        <v/>
      </c>
      <c r="BC49" s="1221" t="str">
        <f t="shared" si="42"/>
        <v/>
      </c>
      <c r="BD49" s="1221" t="str">
        <f t="shared" si="42"/>
        <v/>
      </c>
      <c r="BE49" s="1222" t="str">
        <f t="shared" si="42"/>
        <v/>
      </c>
      <c r="BF49" s="1221" t="str">
        <f t="shared" si="42"/>
        <v/>
      </c>
      <c r="BG49" s="1223" t="str">
        <f t="shared" si="42"/>
        <v/>
      </c>
      <c r="BH49" s="286">
        <f t="shared" si="35"/>
        <v>0</v>
      </c>
      <c r="BI49" s="286">
        <f t="shared" si="36"/>
        <v>0</v>
      </c>
      <c r="BJ49" s="287" t="str">
        <f t="shared" si="37"/>
        <v>perlu dimaksimalkan</v>
      </c>
      <c r="BK49" s="287" t="str">
        <f t="shared" si="37"/>
        <v>perlu dimaksimalkan</v>
      </c>
      <c r="BL49" s="286" t="e">
        <f t="shared" si="38"/>
        <v>#N/A</v>
      </c>
      <c r="BM49" s="288" t="e">
        <f t="shared" si="39"/>
        <v>#N/A</v>
      </c>
      <c r="BN49" s="289" t="str">
        <f t="shared" si="40"/>
        <v/>
      </c>
      <c r="BO49" s="67"/>
    </row>
    <row r="50" spans="1:67" ht="33" customHeight="1">
      <c r="A50" s="67"/>
      <c r="B50" s="272">
        <f t="shared" si="44"/>
        <v>37</v>
      </c>
      <c r="C50" s="273">
        <f>IF(Data!F41="","",Data!F41)</f>
        <v>0</v>
      </c>
      <c r="D50" s="274" t="str">
        <f>IF(Data!H41="","",Data!H41)</f>
        <v>Yuninda Pono</v>
      </c>
      <c r="E50" s="275" t="str">
        <f>IF(Data!I41="","",Data!I41)</f>
        <v>P</v>
      </c>
      <c r="F50" s="276"/>
      <c r="G50" s="277"/>
      <c r="H50" s="277"/>
      <c r="I50" s="277"/>
      <c r="J50" s="277"/>
      <c r="K50" s="277"/>
      <c r="L50" s="277"/>
      <c r="M50" s="280"/>
      <c r="N50" s="277"/>
      <c r="O50" s="278"/>
      <c r="P50" s="279" t="str">
        <f t="shared" si="24"/>
        <v/>
      </c>
      <c r="Q50" s="277"/>
      <c r="R50" s="280"/>
      <c r="S50" s="281" t="str">
        <f t="shared" si="25"/>
        <v/>
      </c>
      <c r="T50" s="295" t="str">
        <f t="shared" si="26"/>
        <v/>
      </c>
      <c r="U50" s="1215" t="str">
        <f t="shared" si="41"/>
        <v/>
      </c>
      <c r="V50" s="1216" t="str">
        <f t="shared" si="41"/>
        <v/>
      </c>
      <c r="W50" s="1216" t="str">
        <f t="shared" si="41"/>
        <v/>
      </c>
      <c r="X50" s="1216" t="str">
        <f t="shared" si="41"/>
        <v/>
      </c>
      <c r="Y50" s="1216" t="str">
        <f t="shared" si="41"/>
        <v/>
      </c>
      <c r="Z50" s="1216" t="str">
        <f t="shared" si="41"/>
        <v/>
      </c>
      <c r="AA50" s="1216" t="str">
        <f t="shared" si="41"/>
        <v/>
      </c>
      <c r="AB50" s="1217" t="str">
        <f t="shared" si="41"/>
        <v/>
      </c>
      <c r="AC50" s="1216" t="str">
        <f t="shared" si="41"/>
        <v/>
      </c>
      <c r="AD50" s="1218" t="str">
        <f t="shared" si="41"/>
        <v/>
      </c>
      <c r="AE50" s="1219">
        <f t="shared" si="27"/>
        <v>0</v>
      </c>
      <c r="AF50" s="282">
        <f t="shared" si="28"/>
        <v>0</v>
      </c>
      <c r="AG50" s="282" t="str">
        <f t="shared" si="29"/>
        <v>perlu dimaksimalkan</v>
      </c>
      <c r="AH50" s="282" t="str">
        <f t="shared" si="29"/>
        <v>perlu dimaksimalkan</v>
      </c>
      <c r="AI50" s="282" t="str">
        <f t="shared" si="30"/>
        <v/>
      </c>
      <c r="AJ50" s="283" t="str">
        <f t="shared" si="31"/>
        <v/>
      </c>
      <c r="AK50" s="284" t="str">
        <f t="shared" si="32"/>
        <v/>
      </c>
      <c r="AL50" s="276"/>
      <c r="AM50" s="277"/>
      <c r="AN50" s="277"/>
      <c r="AO50" s="277"/>
      <c r="AP50" s="277"/>
      <c r="AQ50" s="277"/>
      <c r="AR50" s="277"/>
      <c r="AS50" s="280"/>
      <c r="AT50" s="277"/>
      <c r="AU50" s="278"/>
      <c r="AV50" s="285" t="str">
        <f t="shared" si="33"/>
        <v/>
      </c>
      <c r="AW50" s="296" t="str">
        <f t="shared" si="34"/>
        <v/>
      </c>
      <c r="AX50" s="1220" t="str">
        <f t="shared" si="42"/>
        <v/>
      </c>
      <c r="AY50" s="1221" t="str">
        <f t="shared" si="42"/>
        <v/>
      </c>
      <c r="AZ50" s="1221" t="str">
        <f t="shared" si="42"/>
        <v/>
      </c>
      <c r="BA50" s="1221" t="str">
        <f t="shared" si="42"/>
        <v/>
      </c>
      <c r="BB50" s="1221" t="str">
        <f t="shared" si="42"/>
        <v/>
      </c>
      <c r="BC50" s="1221" t="str">
        <f t="shared" si="42"/>
        <v/>
      </c>
      <c r="BD50" s="1221" t="str">
        <f t="shared" si="42"/>
        <v/>
      </c>
      <c r="BE50" s="1222" t="str">
        <f t="shared" si="42"/>
        <v/>
      </c>
      <c r="BF50" s="1221" t="str">
        <f t="shared" si="42"/>
        <v/>
      </c>
      <c r="BG50" s="1223" t="str">
        <f t="shared" si="42"/>
        <v/>
      </c>
      <c r="BH50" s="286">
        <f t="shared" si="35"/>
        <v>0</v>
      </c>
      <c r="BI50" s="286">
        <f t="shared" si="36"/>
        <v>0</v>
      </c>
      <c r="BJ50" s="287" t="str">
        <f t="shared" si="37"/>
        <v>perlu dimaksimalkan</v>
      </c>
      <c r="BK50" s="287" t="str">
        <f t="shared" si="37"/>
        <v>perlu dimaksimalkan</v>
      </c>
      <c r="BL50" s="286" t="e">
        <f t="shared" si="38"/>
        <v>#N/A</v>
      </c>
      <c r="BM50" s="288" t="e">
        <f t="shared" si="39"/>
        <v>#N/A</v>
      </c>
      <c r="BN50" s="289" t="str">
        <f t="shared" si="40"/>
        <v/>
      </c>
      <c r="BO50" s="67"/>
    </row>
    <row r="51" spans="1:67" ht="33" customHeight="1">
      <c r="A51" s="67"/>
      <c r="B51" s="272" t="str">
        <f t="shared" si="44"/>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44"/>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44"/>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44"/>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44"/>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5">IF(K55="","",K55+Z$13)</f>
        <v/>
      </c>
      <c r="AA55" s="1216" t="str">
        <f t="shared" si="45"/>
        <v/>
      </c>
      <c r="AB55" s="1217" t="str">
        <f t="shared" si="45"/>
        <v/>
      </c>
      <c r="AC55" s="1216" t="str">
        <f t="shared" si="45"/>
        <v/>
      </c>
      <c r="AD55" s="1218" t="str">
        <f t="shared" si="45"/>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6">IF(AQ55="","",AQ55+BC$12)</f>
        <v/>
      </c>
      <c r="BD55" s="1221" t="str">
        <f t="shared" si="46"/>
        <v/>
      </c>
      <c r="BE55" s="1222" t="str">
        <f t="shared" si="46"/>
        <v/>
      </c>
      <c r="BF55" s="1221" t="str">
        <f t="shared" si="46"/>
        <v/>
      </c>
      <c r="BG55" s="1223" t="str">
        <f t="shared" si="46"/>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44"/>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7">IF(F56="","",F56+U$13)</f>
        <v/>
      </c>
      <c r="V56" s="1216" t="str">
        <f t="shared" si="47"/>
        <v/>
      </c>
      <c r="W56" s="1216" t="str">
        <f t="shared" si="47"/>
        <v/>
      </c>
      <c r="X56" s="1216" t="str">
        <f t="shared" si="47"/>
        <v/>
      </c>
      <c r="Y56" s="1216" t="str">
        <f t="shared" si="47"/>
        <v/>
      </c>
      <c r="Z56" s="1216" t="str">
        <f t="shared" si="45"/>
        <v/>
      </c>
      <c r="AA56" s="1216" t="str">
        <f t="shared" si="45"/>
        <v/>
      </c>
      <c r="AB56" s="1217" t="str">
        <f t="shared" si="45"/>
        <v/>
      </c>
      <c r="AC56" s="1216" t="str">
        <f t="shared" si="45"/>
        <v/>
      </c>
      <c r="AD56" s="1218" t="str">
        <f t="shared" si="45"/>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8">IF(AL56="","",AL56+AX$12)</f>
        <v/>
      </c>
      <c r="AY56" s="1221" t="str">
        <f t="shared" si="48"/>
        <v/>
      </c>
      <c r="AZ56" s="1221" t="str">
        <f t="shared" si="48"/>
        <v/>
      </c>
      <c r="BA56" s="1221" t="str">
        <f t="shared" si="48"/>
        <v/>
      </c>
      <c r="BB56" s="1221" t="str">
        <f t="shared" si="48"/>
        <v/>
      </c>
      <c r="BC56" s="1221" t="str">
        <f t="shared" si="46"/>
        <v/>
      </c>
      <c r="BD56" s="1221" t="str">
        <f t="shared" si="46"/>
        <v/>
      </c>
      <c r="BE56" s="1222" t="str">
        <f t="shared" si="46"/>
        <v/>
      </c>
      <c r="BF56" s="1221" t="str">
        <f t="shared" si="46"/>
        <v/>
      </c>
      <c r="BG56" s="1223" t="str">
        <f t="shared" si="46"/>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44"/>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7"/>
        <v/>
      </c>
      <c r="V57" s="1216" t="str">
        <f t="shared" si="47"/>
        <v/>
      </c>
      <c r="W57" s="1216" t="str">
        <f t="shared" si="47"/>
        <v/>
      </c>
      <c r="X57" s="1216" t="str">
        <f t="shared" si="47"/>
        <v/>
      </c>
      <c r="Y57" s="1216" t="str">
        <f t="shared" si="47"/>
        <v/>
      </c>
      <c r="Z57" s="1216" t="str">
        <f t="shared" si="45"/>
        <v/>
      </c>
      <c r="AA57" s="1216" t="str">
        <f t="shared" si="45"/>
        <v/>
      </c>
      <c r="AB57" s="1217" t="str">
        <f t="shared" si="45"/>
        <v/>
      </c>
      <c r="AC57" s="1216" t="str">
        <f t="shared" si="45"/>
        <v/>
      </c>
      <c r="AD57" s="1218" t="str">
        <f t="shared" si="45"/>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8"/>
        <v/>
      </c>
      <c r="AY57" s="1221" t="str">
        <f t="shared" si="48"/>
        <v/>
      </c>
      <c r="AZ57" s="1221" t="str">
        <f t="shared" si="48"/>
        <v/>
      </c>
      <c r="BA57" s="1221" t="str">
        <f t="shared" si="48"/>
        <v/>
      </c>
      <c r="BB57" s="1221" t="str">
        <f t="shared" si="48"/>
        <v/>
      </c>
      <c r="BC57" s="1221" t="str">
        <f t="shared" si="46"/>
        <v/>
      </c>
      <c r="BD57" s="1221" t="str">
        <f t="shared" si="46"/>
        <v/>
      </c>
      <c r="BE57" s="1222" t="str">
        <f t="shared" si="46"/>
        <v/>
      </c>
      <c r="BF57" s="1221" t="str">
        <f t="shared" si="46"/>
        <v/>
      </c>
      <c r="BG57" s="1223" t="str">
        <f t="shared" si="46"/>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44"/>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7"/>
        <v/>
      </c>
      <c r="V58" s="1216" t="str">
        <f t="shared" si="47"/>
        <v/>
      </c>
      <c r="W58" s="1216" t="str">
        <f t="shared" si="47"/>
        <v/>
      </c>
      <c r="X58" s="1216" t="str">
        <f t="shared" si="47"/>
        <v/>
      </c>
      <c r="Y58" s="1216" t="str">
        <f t="shared" si="47"/>
        <v/>
      </c>
      <c r="Z58" s="1216" t="str">
        <f t="shared" si="45"/>
        <v/>
      </c>
      <c r="AA58" s="1216" t="str">
        <f t="shared" si="45"/>
        <v/>
      </c>
      <c r="AB58" s="1217" t="str">
        <f t="shared" si="45"/>
        <v/>
      </c>
      <c r="AC58" s="1216" t="str">
        <f t="shared" si="45"/>
        <v/>
      </c>
      <c r="AD58" s="1218" t="str">
        <f t="shared" si="45"/>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8"/>
        <v/>
      </c>
      <c r="AY58" s="1221" t="str">
        <f t="shared" si="48"/>
        <v/>
      </c>
      <c r="AZ58" s="1221" t="str">
        <f t="shared" si="48"/>
        <v/>
      </c>
      <c r="BA58" s="1221" t="str">
        <f t="shared" si="48"/>
        <v/>
      </c>
      <c r="BB58" s="1221" t="str">
        <f t="shared" si="48"/>
        <v/>
      </c>
      <c r="BC58" s="1221" t="str">
        <f t="shared" si="46"/>
        <v/>
      </c>
      <c r="BD58" s="1221" t="str">
        <f t="shared" si="46"/>
        <v/>
      </c>
      <c r="BE58" s="1222" t="str">
        <f t="shared" si="46"/>
        <v/>
      </c>
      <c r="BF58" s="1221" t="str">
        <f t="shared" si="46"/>
        <v/>
      </c>
      <c r="BG58" s="1223" t="str">
        <f t="shared" si="46"/>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44"/>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7"/>
        <v/>
      </c>
      <c r="V59" s="1216" t="str">
        <f t="shared" si="47"/>
        <v/>
      </c>
      <c r="W59" s="1216" t="str">
        <f t="shared" si="47"/>
        <v/>
      </c>
      <c r="X59" s="1216" t="str">
        <f t="shared" si="47"/>
        <v/>
      </c>
      <c r="Y59" s="1216" t="str">
        <f t="shared" si="47"/>
        <v/>
      </c>
      <c r="Z59" s="1216" t="str">
        <f t="shared" si="45"/>
        <v/>
      </c>
      <c r="AA59" s="1216" t="str">
        <f t="shared" si="45"/>
        <v/>
      </c>
      <c r="AB59" s="1217" t="str">
        <f t="shared" si="45"/>
        <v/>
      </c>
      <c r="AC59" s="1216" t="str">
        <f t="shared" si="45"/>
        <v/>
      </c>
      <c r="AD59" s="1218" t="str">
        <f t="shared" si="45"/>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8"/>
        <v/>
      </c>
      <c r="AY59" s="1221" t="str">
        <f t="shared" si="48"/>
        <v/>
      </c>
      <c r="AZ59" s="1221" t="str">
        <f t="shared" si="48"/>
        <v/>
      </c>
      <c r="BA59" s="1221" t="str">
        <f t="shared" si="48"/>
        <v/>
      </c>
      <c r="BB59" s="1221" t="str">
        <f t="shared" si="48"/>
        <v/>
      </c>
      <c r="BC59" s="1221" t="str">
        <f t="shared" si="46"/>
        <v/>
      </c>
      <c r="BD59" s="1221" t="str">
        <f t="shared" si="46"/>
        <v/>
      </c>
      <c r="BE59" s="1222" t="str">
        <f t="shared" si="46"/>
        <v/>
      </c>
      <c r="BF59" s="1221" t="str">
        <f t="shared" si="46"/>
        <v/>
      </c>
      <c r="BG59" s="1223" t="str">
        <f t="shared" si="46"/>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44"/>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7"/>
        <v/>
      </c>
      <c r="V60" s="1216" t="str">
        <f t="shared" si="47"/>
        <v/>
      </c>
      <c r="W60" s="1216" t="str">
        <f t="shared" si="47"/>
        <v/>
      </c>
      <c r="X60" s="1216" t="str">
        <f t="shared" si="47"/>
        <v/>
      </c>
      <c r="Y60" s="1216" t="str">
        <f t="shared" si="47"/>
        <v/>
      </c>
      <c r="Z60" s="1216" t="str">
        <f t="shared" si="45"/>
        <v/>
      </c>
      <c r="AA60" s="1216" t="str">
        <f t="shared" si="45"/>
        <v/>
      </c>
      <c r="AB60" s="1217" t="str">
        <f t="shared" si="45"/>
        <v/>
      </c>
      <c r="AC60" s="1216" t="str">
        <f t="shared" si="45"/>
        <v/>
      </c>
      <c r="AD60" s="1218" t="str">
        <f t="shared" si="45"/>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8"/>
        <v/>
      </c>
      <c r="AY60" s="1221" t="str">
        <f t="shared" si="48"/>
        <v/>
      </c>
      <c r="AZ60" s="1221" t="str">
        <f t="shared" si="48"/>
        <v/>
      </c>
      <c r="BA60" s="1221" t="str">
        <f t="shared" si="48"/>
        <v/>
      </c>
      <c r="BB60" s="1221" t="str">
        <f t="shared" si="48"/>
        <v/>
      </c>
      <c r="BC60" s="1221" t="str">
        <f t="shared" si="46"/>
        <v/>
      </c>
      <c r="BD60" s="1221" t="str">
        <f t="shared" si="46"/>
        <v/>
      </c>
      <c r="BE60" s="1222" t="str">
        <f t="shared" si="46"/>
        <v/>
      </c>
      <c r="BF60" s="1221" t="str">
        <f t="shared" si="46"/>
        <v/>
      </c>
      <c r="BG60" s="1223" t="str">
        <f t="shared" si="46"/>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44"/>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7"/>
        <v/>
      </c>
      <c r="V61" s="1216" t="str">
        <f t="shared" si="47"/>
        <v/>
      </c>
      <c r="W61" s="1216" t="str">
        <f t="shared" si="47"/>
        <v/>
      </c>
      <c r="X61" s="1216" t="str">
        <f t="shared" si="47"/>
        <v/>
      </c>
      <c r="Y61" s="1216" t="str">
        <f t="shared" si="47"/>
        <v/>
      </c>
      <c r="Z61" s="1216" t="str">
        <f t="shared" si="45"/>
        <v/>
      </c>
      <c r="AA61" s="1216" t="str">
        <f t="shared" si="45"/>
        <v/>
      </c>
      <c r="AB61" s="1217" t="str">
        <f t="shared" si="45"/>
        <v/>
      </c>
      <c r="AC61" s="1216" t="str">
        <f t="shared" si="45"/>
        <v/>
      </c>
      <c r="AD61" s="1218" t="str">
        <f t="shared" si="45"/>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8"/>
        <v/>
      </c>
      <c r="AY61" s="1221" t="str">
        <f t="shared" si="48"/>
        <v/>
      </c>
      <c r="AZ61" s="1221" t="str">
        <f t="shared" si="48"/>
        <v/>
      </c>
      <c r="BA61" s="1221" t="str">
        <f t="shared" si="48"/>
        <v/>
      </c>
      <c r="BB61" s="1221" t="str">
        <f t="shared" si="48"/>
        <v/>
      </c>
      <c r="BC61" s="1221" t="str">
        <f t="shared" si="46"/>
        <v/>
      </c>
      <c r="BD61" s="1221" t="str">
        <f t="shared" si="46"/>
        <v/>
      </c>
      <c r="BE61" s="1222" t="str">
        <f t="shared" si="46"/>
        <v/>
      </c>
      <c r="BF61" s="1221" t="str">
        <f t="shared" si="46"/>
        <v/>
      </c>
      <c r="BG61" s="1223" t="str">
        <f t="shared" si="46"/>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44"/>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7"/>
        <v/>
      </c>
      <c r="V62" s="1216" t="str">
        <f t="shared" si="47"/>
        <v/>
      </c>
      <c r="W62" s="1216" t="str">
        <f t="shared" si="47"/>
        <v/>
      </c>
      <c r="X62" s="1216" t="str">
        <f t="shared" si="47"/>
        <v/>
      </c>
      <c r="Y62" s="1216" t="str">
        <f t="shared" si="47"/>
        <v/>
      </c>
      <c r="Z62" s="1216" t="str">
        <f t="shared" si="45"/>
        <v/>
      </c>
      <c r="AA62" s="1216" t="str">
        <f t="shared" si="45"/>
        <v/>
      </c>
      <c r="AB62" s="1217" t="str">
        <f t="shared" si="45"/>
        <v/>
      </c>
      <c r="AC62" s="1216" t="str">
        <f t="shared" si="45"/>
        <v/>
      </c>
      <c r="AD62" s="1218" t="str">
        <f t="shared" si="45"/>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8"/>
        <v/>
      </c>
      <c r="AY62" s="1221" t="str">
        <f t="shared" si="48"/>
        <v/>
      </c>
      <c r="AZ62" s="1221" t="str">
        <f t="shared" si="48"/>
        <v/>
      </c>
      <c r="BA62" s="1221" t="str">
        <f t="shared" si="48"/>
        <v/>
      </c>
      <c r="BB62" s="1221" t="str">
        <f t="shared" si="48"/>
        <v/>
      </c>
      <c r="BC62" s="1221" t="str">
        <f t="shared" si="46"/>
        <v/>
      </c>
      <c r="BD62" s="1221" t="str">
        <f t="shared" si="46"/>
        <v/>
      </c>
      <c r="BE62" s="1222" t="str">
        <f t="shared" si="46"/>
        <v/>
      </c>
      <c r="BF62" s="1221" t="str">
        <f t="shared" si="46"/>
        <v/>
      </c>
      <c r="BG62" s="1223" t="str">
        <f t="shared" si="46"/>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44"/>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7"/>
        <v/>
      </c>
      <c r="V63" s="1216" t="str">
        <f t="shared" si="47"/>
        <v/>
      </c>
      <c r="W63" s="1216" t="str">
        <f t="shared" si="47"/>
        <v/>
      </c>
      <c r="X63" s="1216" t="str">
        <f t="shared" si="47"/>
        <v/>
      </c>
      <c r="Y63" s="1216" t="str">
        <f t="shared" si="47"/>
        <v/>
      </c>
      <c r="Z63" s="1216" t="str">
        <f t="shared" si="45"/>
        <v/>
      </c>
      <c r="AA63" s="1216" t="str">
        <f t="shared" si="45"/>
        <v/>
      </c>
      <c r="AB63" s="1217" t="str">
        <f t="shared" si="45"/>
        <v/>
      </c>
      <c r="AC63" s="1216" t="str">
        <f t="shared" si="45"/>
        <v/>
      </c>
      <c r="AD63" s="1218" t="str">
        <f t="shared" si="45"/>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8"/>
        <v/>
      </c>
      <c r="AY63" s="1221" t="str">
        <f t="shared" si="48"/>
        <v/>
      </c>
      <c r="AZ63" s="1221" t="str">
        <f t="shared" si="48"/>
        <v/>
      </c>
      <c r="BA63" s="1221" t="str">
        <f t="shared" si="48"/>
        <v/>
      </c>
      <c r="BB63" s="1221" t="str">
        <f t="shared" si="48"/>
        <v/>
      </c>
      <c r="BC63" s="1221" t="str">
        <f t="shared" si="46"/>
        <v/>
      </c>
      <c r="BD63" s="1221" t="str">
        <f t="shared" si="46"/>
        <v/>
      </c>
      <c r="BE63" s="1222" t="str">
        <f t="shared" si="46"/>
        <v/>
      </c>
      <c r="BF63" s="1221" t="str">
        <f t="shared" si="46"/>
        <v/>
      </c>
      <c r="BG63" s="1223" t="str">
        <f t="shared" si="46"/>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ht="12">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9">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9"/>
        <v>85</v>
      </c>
      <c r="AM69" s="349" t="s">
        <v>5</v>
      </c>
      <c r="AN69" s="347">
        <f t="shared" ref="AN69" si="50">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Data2!G13</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51">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2">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3">F76</f>
        <v>85</v>
      </c>
      <c r="AM76" s="7" t="s">
        <v>5</v>
      </c>
      <c r="AN76" s="9">
        <f t="shared" si="53"/>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3"/>
        <v>76</v>
      </c>
      <c r="AM77" s="7" t="s">
        <v>5</v>
      </c>
      <c r="AN77" s="9">
        <f t="shared" si="53"/>
        <v>84.5</v>
      </c>
      <c r="AO77" s="1357" t="str">
        <f t="shared" ref="AO77:AO78" si="54">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3"/>
        <v>0</v>
      </c>
      <c r="AM78" s="7" t="s">
        <v>5</v>
      </c>
      <c r="AN78" s="9">
        <f t="shared" si="53"/>
        <v>75.5</v>
      </c>
      <c r="AO78" s="1357" t="str">
        <f t="shared" si="54"/>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75" hidden="1" customHeight="1">
      <c r="C84" s="2"/>
      <c r="AL84" s="10"/>
      <c r="AM84" s="8"/>
      <c r="AN84" s="10"/>
      <c r="AO84" s="108"/>
      <c r="AP84" s="108"/>
      <c r="AQ84" s="108"/>
      <c r="AR84" s="1159"/>
      <c r="AS84" s="1159"/>
      <c r="AT84" s="108"/>
      <c r="AU84" s="108"/>
      <c r="AV84" s="111"/>
    </row>
    <row r="85" spans="3:48" ht="12.75" hidden="1" customHeight="1">
      <c r="C85" s="2"/>
      <c r="AL85" s="10"/>
      <c r="AM85" s="8"/>
      <c r="AN85" s="10"/>
      <c r="AO85" s="108"/>
      <c r="AP85" s="108"/>
      <c r="AQ85" s="108"/>
      <c r="AR85" s="1159"/>
      <c r="AS85" s="1159"/>
      <c r="AT85" s="108"/>
      <c r="AU85" s="108"/>
      <c r="AV85" s="111"/>
    </row>
    <row r="86" spans="3:48" ht="12" hidden="1" customHeight="1"/>
    <row r="87" spans="3:48" ht="12" hidden="1" customHeight="1"/>
    <row r="88" spans="3:48" ht="12" hidden="1" customHeight="1"/>
    <row r="89" spans="3:48" ht="12" hidden="1" customHeight="1"/>
    <row r="90" spans="3:48" ht="12" hidden="1" customHeight="1"/>
    <row r="91" spans="3:48" ht="12" hidden="1" customHeight="1">
      <c r="C91" s="2"/>
      <c r="F91" s="2"/>
      <c r="G91" s="2"/>
      <c r="H91" s="2"/>
      <c r="I91" s="2"/>
      <c r="J91" s="2"/>
      <c r="K91" s="2"/>
      <c r="L91" s="2"/>
      <c r="M91" s="2"/>
      <c r="S91" s="2"/>
      <c r="AL91" s="2"/>
      <c r="AM91" s="2"/>
      <c r="AN91" s="2"/>
      <c r="AO91" s="2"/>
      <c r="AP91" s="2"/>
      <c r="AQ91" s="2"/>
      <c r="AR91" s="2"/>
      <c r="AS91" s="2"/>
    </row>
    <row r="92" spans="3:48" ht="12" hidden="1" customHeight="1">
      <c r="C92" s="2"/>
      <c r="F92" s="2"/>
      <c r="G92" s="2"/>
      <c r="H92" s="2"/>
      <c r="I92" s="2"/>
      <c r="J92" s="2"/>
      <c r="K92" s="2"/>
      <c r="L92" s="2"/>
      <c r="M92" s="2"/>
      <c r="S92" s="2"/>
      <c r="AL92" s="2"/>
      <c r="AM92" s="2"/>
      <c r="AN92" s="2"/>
      <c r="AO92" s="2"/>
      <c r="AP92" s="2"/>
      <c r="AQ92" s="2"/>
      <c r="AR92" s="2"/>
      <c r="AS92" s="2"/>
    </row>
    <row r="93" spans="3:48" ht="0" hidden="1" customHeight="1"/>
    <row r="94" spans="3:48" ht="0" hidden="1" customHeight="1"/>
    <row r="95" spans="3:48" ht="0" hidden="1" customHeight="1"/>
    <row r="96" spans="3:48" ht="0" hidden="1" customHeight="1"/>
    <row r="97" ht="0" hidden="1" customHeight="1"/>
  </sheetData>
  <mergeCells count="70">
    <mergeCell ref="D1:E2"/>
    <mergeCell ref="B3:C4"/>
    <mergeCell ref="D3:E6"/>
    <mergeCell ref="B6:C6"/>
    <mergeCell ref="B7:C7"/>
    <mergeCell ref="D7:E9"/>
    <mergeCell ref="B8:C8"/>
    <mergeCell ref="B9:C9"/>
    <mergeCell ref="B1:C2"/>
    <mergeCell ref="F3:F6"/>
    <mergeCell ref="G3:R6"/>
    <mergeCell ref="AL4:AL5"/>
    <mergeCell ref="AM4:AU5"/>
    <mergeCell ref="AL6:AL7"/>
    <mergeCell ref="AM6:AU7"/>
    <mergeCell ref="F7:F10"/>
    <mergeCell ref="G7:R10"/>
    <mergeCell ref="AL8:AL11"/>
    <mergeCell ref="AM8:AU11"/>
    <mergeCell ref="G11:R11"/>
    <mergeCell ref="G1:R1"/>
    <mergeCell ref="AM1:AU1"/>
    <mergeCell ref="G2:R2"/>
    <mergeCell ref="AL2:AL3"/>
    <mergeCell ref="AM2:AU3"/>
    <mergeCell ref="AW12:AW13"/>
    <mergeCell ref="BN12:BN13"/>
    <mergeCell ref="BJ13:BK13"/>
    <mergeCell ref="BL13:BM13"/>
    <mergeCell ref="AV12:AV13"/>
    <mergeCell ref="AG13:AH13"/>
    <mergeCell ref="AI13:AJ13"/>
    <mergeCell ref="B12:B13"/>
    <mergeCell ref="C12:C13"/>
    <mergeCell ref="D12:D13"/>
    <mergeCell ref="E12:E13"/>
    <mergeCell ref="F12:O12"/>
    <mergeCell ref="S12:S13"/>
    <mergeCell ref="F74:H74"/>
    <mergeCell ref="I74:Q74"/>
    <mergeCell ref="AL74:AN74"/>
    <mergeCell ref="AO74:AV74"/>
    <mergeCell ref="B10:C11"/>
    <mergeCell ref="D10:E11"/>
    <mergeCell ref="F65:Q65"/>
    <mergeCell ref="AL65:AV65"/>
    <mergeCell ref="F67:H67"/>
    <mergeCell ref="I67:Q67"/>
    <mergeCell ref="AL67:AN67"/>
    <mergeCell ref="AO67:AV67"/>
    <mergeCell ref="F66:Q66"/>
    <mergeCell ref="AL66:AV66"/>
    <mergeCell ref="T12:T13"/>
    <mergeCell ref="AK12:AK13"/>
    <mergeCell ref="AO82:AV82"/>
    <mergeCell ref="AO83:AV83"/>
    <mergeCell ref="I77:P77"/>
    <mergeCell ref="I78:P78"/>
    <mergeCell ref="I68:Q68"/>
    <mergeCell ref="AO68:AV68"/>
    <mergeCell ref="I69:Q69"/>
    <mergeCell ref="AO69:AV69"/>
    <mergeCell ref="I70:Q70"/>
    <mergeCell ref="AO70:AV70"/>
    <mergeCell ref="I71:Q71"/>
    <mergeCell ref="AO71:AV71"/>
    <mergeCell ref="I75:P75"/>
    <mergeCell ref="I76:P76"/>
    <mergeCell ref="F73:Q73"/>
    <mergeCell ref="AL73:AV73"/>
  </mergeCells>
  <conditionalFormatting sqref="B14:E63">
    <cfRule type="expression" dxfId="3801" priority="333">
      <formula>AND($B14&lt;&gt;"",$B15="")</formula>
    </cfRule>
    <cfRule type="expression" dxfId="3800" priority="334">
      <formula>$B14=""</formula>
    </cfRule>
  </conditionalFormatting>
  <conditionalFormatting sqref="B56:E56">
    <cfRule type="expression" dxfId="3799" priority="680">
      <formula>AND($B56&lt;&gt;"",$B63="")</formula>
    </cfRule>
    <cfRule type="expression" dxfId="3798" priority="681">
      <formula>$B56=""</formula>
    </cfRule>
  </conditionalFormatting>
  <conditionalFormatting sqref="B50:E50">
    <cfRule type="expression" dxfId="3797" priority="798">
      <formula>AND($B50&lt;&gt;"",$B63="")</formula>
    </cfRule>
    <cfRule type="expression" dxfId="3796" priority="799">
      <formula>$B50=""</formula>
    </cfRule>
  </conditionalFormatting>
  <conditionalFormatting sqref="B43:E44">
    <cfRule type="expression" dxfId="3795" priority="920">
      <formula>AND($B43&lt;&gt;"",$B62="")</formula>
    </cfRule>
    <cfRule type="expression" dxfId="3794" priority="921">
      <formula>$B43=""</formula>
    </cfRule>
  </conditionalFormatting>
  <conditionalFormatting sqref="B63:E63">
    <cfRule type="expression" dxfId="3793" priority="1196">
      <formula>AND($B63&lt;&gt;"",#REF!="")</formula>
    </cfRule>
    <cfRule type="expression" dxfId="3792" priority="1197">
      <formula>$B63=""</formula>
    </cfRule>
  </conditionalFormatting>
  <conditionalFormatting sqref="B61:E61">
    <cfRule type="expression" dxfId="3791" priority="1250">
      <formula>AND($B61&lt;&gt;"",$B64="")</formula>
    </cfRule>
    <cfRule type="expression" dxfId="3790" priority="1251">
      <formula>$B61=""</formula>
    </cfRule>
  </conditionalFormatting>
  <conditionalFormatting sqref="B57:E60">
    <cfRule type="expression" dxfId="3789" priority="1252">
      <formula>AND($B57&lt;&gt;"",#REF!="")</formula>
    </cfRule>
    <cfRule type="expression" dxfId="3788" priority="1253">
      <formula>$B57=""</formula>
    </cfRule>
  </conditionalFormatting>
  <conditionalFormatting sqref="B55:E55">
    <cfRule type="expression" dxfId="3787" priority="1256">
      <formula>AND($B55&lt;&gt;"",$B64="")</formula>
    </cfRule>
    <cfRule type="expression" dxfId="3786" priority="1257">
      <formula>$B55=""</formula>
    </cfRule>
  </conditionalFormatting>
  <conditionalFormatting sqref="B51:E54">
    <cfRule type="expression" dxfId="3785" priority="1258">
      <formula>AND($B51&lt;&gt;"",#REF!="")</formula>
    </cfRule>
    <cfRule type="expression" dxfId="3784" priority="1259">
      <formula>$B51=""</formula>
    </cfRule>
  </conditionalFormatting>
  <conditionalFormatting sqref="B49:E49">
    <cfRule type="expression" dxfId="3783" priority="1262">
      <formula>AND($B49&lt;&gt;"",$B64="")</formula>
    </cfRule>
    <cfRule type="expression" dxfId="3782" priority="1263">
      <formula>$B49=""</formula>
    </cfRule>
  </conditionalFormatting>
  <conditionalFormatting sqref="B45:E63">
    <cfRule type="expression" dxfId="3781" priority="1264">
      <formula>AND($B45&lt;&gt;"",#REF!="")</formula>
    </cfRule>
    <cfRule type="expression" dxfId="3780" priority="1265">
      <formula>$B45=""</formula>
    </cfRule>
  </conditionalFormatting>
  <conditionalFormatting sqref="R70 F66:Q71">
    <cfRule type="expression" dxfId="3779" priority="1268">
      <formula>$F$65="SAMA DENGAN DATA"</formula>
    </cfRule>
  </conditionalFormatting>
  <conditionalFormatting sqref="F66:Q71">
    <cfRule type="expression" dxfId="3778" priority="1270">
      <formula>$F$65="kkm tunggal"</formula>
    </cfRule>
  </conditionalFormatting>
  <conditionalFormatting sqref="AW70:BG70 AL66:AV71">
    <cfRule type="expression" dxfId="3777" priority="1271">
      <formula>$AL$65="SAMA DENGAN DATA"</formula>
    </cfRule>
  </conditionalFormatting>
  <conditionalFormatting sqref="AL66:AV71">
    <cfRule type="expression" dxfId="3776" priority="1273">
      <formula>$AL$65="KKM TUNGGAL"</formula>
    </cfRule>
  </conditionalFormatting>
  <conditionalFormatting sqref="B61:E63">
    <cfRule type="expression" dxfId="3775" priority="2730">
      <formula>AND($B61&lt;&gt;"",$B65="")</formula>
    </cfRule>
    <cfRule type="expression" dxfId="3774" priority="2731">
      <formula>$B61=""</formula>
    </cfRule>
  </conditionalFormatting>
  <conditionalFormatting sqref="B50:E60">
    <cfRule type="expression" dxfId="3773" priority="2732">
      <formula>AND($B50&lt;&gt;"",#REF!="")</formula>
    </cfRule>
    <cfRule type="expression" dxfId="3772" priority="2733">
      <formula>$B50=""</formula>
    </cfRule>
  </conditionalFormatting>
  <conditionalFormatting sqref="U14:AB63 P14:S63 AV14:BE63 AE14:AK63 BH14:BN63">
    <cfRule type="expression" dxfId="3771" priority="148">
      <formula>AND($B14&lt;&gt;"",$B15="")</formula>
    </cfRule>
    <cfRule type="expression" dxfId="3770" priority="149">
      <formula>$B14=""</formula>
    </cfRule>
  </conditionalFormatting>
  <conditionalFormatting sqref="T14:T63">
    <cfRule type="expression" dxfId="3769" priority="146">
      <formula>AND($B14&lt;&gt;"",$B15="")</formula>
    </cfRule>
    <cfRule type="expression" dxfId="3768" priority="147">
      <formula>$B14=""</formula>
    </cfRule>
  </conditionalFormatting>
  <conditionalFormatting sqref="AV14">
    <cfRule type="expression" dxfId="3767" priority="144">
      <formula>AND($B14&lt;&gt;"",$B15="")</formula>
    </cfRule>
    <cfRule type="expression" dxfId="3766" priority="145">
      <formula>$B14=""</formula>
    </cfRule>
  </conditionalFormatting>
  <conditionalFormatting sqref="P56:S56 U56:AB56 BH56:BN56 AE56:AK56 AV56:BE56">
    <cfRule type="expression" dxfId="3765" priority="150">
      <formula>AND($B56&lt;&gt;"",$B63="")</formula>
    </cfRule>
    <cfRule type="expression" dxfId="3764" priority="151">
      <formula>$B56=""</formula>
    </cfRule>
  </conditionalFormatting>
  <conditionalFormatting sqref="P50:S50 U50:AB50 BH50:BN50 AE50:AK50 AV50:BE50">
    <cfRule type="expression" dxfId="3763" priority="152">
      <formula>AND($B50&lt;&gt;"",$B63="")</formula>
    </cfRule>
    <cfRule type="expression" dxfId="3762" priority="153">
      <formula>$B50=""</formula>
    </cfRule>
  </conditionalFormatting>
  <conditionalFormatting sqref="P43:S44 U43:AB44 BH43:BN44 AE43:AK44 AV43:BE44">
    <cfRule type="expression" dxfId="3761" priority="154">
      <formula>AND($B43&lt;&gt;"",$B62="")</formula>
    </cfRule>
    <cfRule type="expression" dxfId="3760" priority="155">
      <formula>$B43=""</formula>
    </cfRule>
  </conditionalFormatting>
  <conditionalFormatting sqref="P63:S63 U63:AB63 BH63:BN63 AE63:AK63 AV63:BE63">
    <cfRule type="expression" dxfId="3759" priority="156">
      <formula>AND($B63&lt;&gt;"",#REF!="")</formula>
    </cfRule>
    <cfRule type="expression" dxfId="3758" priority="157">
      <formula>$B63=""</formula>
    </cfRule>
  </conditionalFormatting>
  <conditionalFormatting sqref="P61:S61 U61:AB61 BH61:BN61 AE61:AK61 AV61:BE61">
    <cfRule type="expression" dxfId="3757" priority="158">
      <formula>AND($B61&lt;&gt;"",$B64="")</formula>
    </cfRule>
    <cfRule type="expression" dxfId="3756" priority="159">
      <formula>$B61=""</formula>
    </cfRule>
  </conditionalFormatting>
  <conditionalFormatting sqref="P57:S60 U57:AB60 BH57:BN60 AE57:AK60 AV57:BE60">
    <cfRule type="expression" dxfId="3755" priority="160">
      <formula>AND($B57&lt;&gt;"",#REF!="")</formula>
    </cfRule>
    <cfRule type="expression" dxfId="3754" priority="161">
      <formula>$B57=""</formula>
    </cfRule>
  </conditionalFormatting>
  <conditionalFormatting sqref="P55:S55 U55:AB55 BH55:BN55 AE55:AK55 AV55:BE55">
    <cfRule type="expression" dxfId="3753" priority="162">
      <formula>AND($B55&lt;&gt;"",$B64="")</formula>
    </cfRule>
    <cfRule type="expression" dxfId="3752" priority="163">
      <formula>$B55=""</formula>
    </cfRule>
  </conditionalFormatting>
  <conditionalFormatting sqref="P51:S54 U51:AB54 BH51:BN54 AE51:AK54 AV51:BE54">
    <cfRule type="expression" dxfId="3751" priority="164">
      <formula>AND($B51&lt;&gt;"",#REF!="")</formula>
    </cfRule>
    <cfRule type="expression" dxfId="3750" priority="165">
      <formula>$B51=""</formula>
    </cfRule>
  </conditionalFormatting>
  <conditionalFormatting sqref="F49:S49 U49:BN49">
    <cfRule type="expression" dxfId="3749" priority="166">
      <formula>AND($B49&lt;&gt;"",$B64="")</formula>
    </cfRule>
    <cfRule type="expression" dxfId="3748" priority="167">
      <formula>$B49=""</formula>
    </cfRule>
  </conditionalFormatting>
  <conditionalFormatting sqref="P45:S63 U45:AB63 BH45:BN63 AE45:AK63 AV45:BE63">
    <cfRule type="expression" dxfId="3747" priority="168">
      <formula>AND($B45&lt;&gt;"",#REF!="")</formula>
    </cfRule>
    <cfRule type="expression" dxfId="3746" priority="169">
      <formula>$B45=""</formula>
    </cfRule>
  </conditionalFormatting>
  <conditionalFormatting sqref="T16:T63">
    <cfRule type="expression" dxfId="3745" priority="142">
      <formula>AND($B16&lt;&gt;"",$B17="")</formula>
    </cfRule>
    <cfRule type="expression" dxfId="3744" priority="143">
      <formula>$B16=""</formula>
    </cfRule>
  </conditionalFormatting>
  <conditionalFormatting sqref="U13:AB13 AX12:BG12">
    <cfRule type="expression" dxfId="3743" priority="141">
      <formula>COUNTA(U$14:U$63)&gt;0</formula>
    </cfRule>
  </conditionalFormatting>
  <conditionalFormatting sqref="F14:M63">
    <cfRule type="expression" dxfId="3742" priority="120">
      <formula>AND($B14&lt;&gt;"",$B15="")</formula>
    </cfRule>
    <cfRule type="expression" dxfId="3741" priority="121">
      <formula>$B14=""</formula>
    </cfRule>
  </conditionalFormatting>
  <conditionalFormatting sqref="F56:M56">
    <cfRule type="expression" dxfId="3740" priority="122">
      <formula>AND($B56&lt;&gt;"",$B63="")</formula>
    </cfRule>
    <cfRule type="expression" dxfId="3739" priority="123">
      <formula>$B56=""</formula>
    </cfRule>
  </conditionalFormatting>
  <conditionalFormatting sqref="F50:M50">
    <cfRule type="expression" dxfId="3738" priority="124">
      <formula>AND($B50&lt;&gt;"",$B63="")</formula>
    </cfRule>
    <cfRule type="expression" dxfId="3737" priority="125">
      <formula>$B50=""</formula>
    </cfRule>
  </conditionalFormatting>
  <conditionalFormatting sqref="F43:M44">
    <cfRule type="expression" dxfId="3736" priority="126">
      <formula>AND($B43&lt;&gt;"",$B62="")</formula>
    </cfRule>
    <cfRule type="expression" dxfId="3735" priority="127">
      <formula>$B43=""</formula>
    </cfRule>
  </conditionalFormatting>
  <conditionalFormatting sqref="F63:M63">
    <cfRule type="expression" dxfId="3734" priority="128">
      <formula>AND($B63&lt;&gt;"",#REF!="")</formula>
    </cfRule>
    <cfRule type="expression" dxfId="3733" priority="129">
      <formula>$B63=""</formula>
    </cfRule>
  </conditionalFormatting>
  <conditionalFormatting sqref="F61:M61">
    <cfRule type="expression" dxfId="3732" priority="130">
      <formula>AND($B61&lt;&gt;"",$B64="")</formula>
    </cfRule>
    <cfRule type="expression" dxfId="3731" priority="131">
      <formula>$B61=""</formula>
    </cfRule>
  </conditionalFormatting>
  <conditionalFormatting sqref="F57:M60">
    <cfRule type="expression" dxfId="3730" priority="132">
      <formula>AND($B57&lt;&gt;"",#REF!="")</formula>
    </cfRule>
    <cfRule type="expression" dxfId="3729" priority="133">
      <formula>$B57=""</formula>
    </cfRule>
  </conditionalFormatting>
  <conditionalFormatting sqref="F55:M55">
    <cfRule type="expression" dxfId="3728" priority="134">
      <formula>AND($B55&lt;&gt;"",$B64="")</formula>
    </cfRule>
    <cfRule type="expression" dxfId="3727" priority="135">
      <formula>$B55=""</formula>
    </cfRule>
  </conditionalFormatting>
  <conditionalFormatting sqref="F51:M54">
    <cfRule type="expression" dxfId="3726" priority="136">
      <formula>AND($B51&lt;&gt;"",#REF!="")</formula>
    </cfRule>
    <cfRule type="expression" dxfId="3725" priority="137">
      <formula>$B51=""</formula>
    </cfRule>
  </conditionalFormatting>
  <conditionalFormatting sqref="F45:M63">
    <cfRule type="expression" dxfId="3724" priority="138">
      <formula>AND($B45&lt;&gt;"",#REF!="")</formula>
    </cfRule>
    <cfRule type="expression" dxfId="3723" priority="139">
      <formula>$B45=""</formula>
    </cfRule>
  </conditionalFormatting>
  <conditionalFormatting sqref="F13:M13">
    <cfRule type="expression" dxfId="3722" priority="119">
      <formula>COUNTA(F$14:F$63)&gt;0</formula>
    </cfRule>
  </conditionalFormatting>
  <conditionalFormatting sqref="F14:M63">
    <cfRule type="expression" dxfId="3721" priority="140">
      <formula>COUNTIF($U14:$AB14,F14)&gt;1</formula>
    </cfRule>
  </conditionalFormatting>
  <conditionalFormatting sqref="AC14:AD63">
    <cfRule type="expression" dxfId="3720" priority="99">
      <formula>AND($B14&lt;&gt;"",$B15="")</formula>
    </cfRule>
    <cfRule type="expression" dxfId="3719" priority="100">
      <formula>$B14=""</formula>
    </cfRule>
  </conditionalFormatting>
  <conditionalFormatting sqref="AC56:AD56">
    <cfRule type="expression" dxfId="3718" priority="101">
      <formula>AND($B56&lt;&gt;"",$B63="")</formula>
    </cfRule>
    <cfRule type="expression" dxfId="3717" priority="102">
      <formula>$B56=""</formula>
    </cfRule>
  </conditionalFormatting>
  <conditionalFormatting sqref="AC50:AD50">
    <cfRule type="expression" dxfId="3716" priority="103">
      <formula>AND($B50&lt;&gt;"",$B63="")</formula>
    </cfRule>
    <cfRule type="expression" dxfId="3715" priority="104">
      <formula>$B50=""</formula>
    </cfRule>
  </conditionalFormatting>
  <conditionalFormatting sqref="AC43:AD44">
    <cfRule type="expression" dxfId="3714" priority="105">
      <formula>AND($B43&lt;&gt;"",$B62="")</formula>
    </cfRule>
    <cfRule type="expression" dxfId="3713" priority="106">
      <formula>$B43=""</formula>
    </cfRule>
  </conditionalFormatting>
  <conditionalFormatting sqref="AC63:AD63">
    <cfRule type="expression" dxfId="3712" priority="107">
      <formula>AND($B63&lt;&gt;"",#REF!="")</formula>
    </cfRule>
    <cfRule type="expression" dxfId="3711" priority="108">
      <formula>$B63=""</formula>
    </cfRule>
  </conditionalFormatting>
  <conditionalFormatting sqref="AC61:AD61">
    <cfRule type="expression" dxfId="3710" priority="109">
      <formula>AND($B61&lt;&gt;"",$B64="")</formula>
    </cfRule>
    <cfRule type="expression" dxfId="3709" priority="110">
      <formula>$B61=""</formula>
    </cfRule>
  </conditionalFormatting>
  <conditionalFormatting sqref="AC57:AD60">
    <cfRule type="expression" dxfId="3708" priority="111">
      <formula>AND($B57&lt;&gt;"",#REF!="")</formula>
    </cfRule>
    <cfRule type="expression" dxfId="3707" priority="112">
      <formula>$B57=""</formula>
    </cfRule>
  </conditionalFormatting>
  <conditionalFormatting sqref="AC55:AD55">
    <cfRule type="expression" dxfId="3706" priority="113">
      <formula>AND($B55&lt;&gt;"",$B64="")</formula>
    </cfRule>
    <cfRule type="expression" dxfId="3705" priority="114">
      <formula>$B55=""</formula>
    </cfRule>
  </conditionalFormatting>
  <conditionalFormatting sqref="AC51:AD54">
    <cfRule type="expression" dxfId="3704" priority="115">
      <formula>AND($B51&lt;&gt;"",#REF!="")</formula>
    </cfRule>
    <cfRule type="expression" dxfId="3703" priority="116">
      <formula>$B51=""</formula>
    </cfRule>
  </conditionalFormatting>
  <conditionalFormatting sqref="AC45:AD63">
    <cfRule type="expression" dxfId="3702" priority="117">
      <formula>AND($B45&lt;&gt;"",#REF!="")</formula>
    </cfRule>
    <cfRule type="expression" dxfId="3701" priority="118">
      <formula>$B45=""</formula>
    </cfRule>
  </conditionalFormatting>
  <conditionalFormatting sqref="AC13:AD13">
    <cfRule type="expression" dxfId="3700" priority="98">
      <formula>COUNTA(AC$14:AC$63)&gt;0</formula>
    </cfRule>
  </conditionalFormatting>
  <conditionalFormatting sqref="N14:O63">
    <cfRule type="expression" dxfId="3699" priority="77">
      <formula>AND($B14&lt;&gt;"",$B15="")</formula>
    </cfRule>
    <cfRule type="expression" dxfId="3698" priority="78">
      <formula>$B14=""</formula>
    </cfRule>
  </conditionalFormatting>
  <conditionalFormatting sqref="N56:O56">
    <cfRule type="expression" dxfId="3697" priority="79">
      <formula>AND($B56&lt;&gt;"",$B63="")</formula>
    </cfRule>
    <cfRule type="expression" dxfId="3696" priority="80">
      <formula>$B56=""</formula>
    </cfRule>
  </conditionalFormatting>
  <conditionalFormatting sqref="N50:O50">
    <cfRule type="expression" dxfId="3695" priority="81">
      <formula>AND($B50&lt;&gt;"",$B63="")</formula>
    </cfRule>
    <cfRule type="expression" dxfId="3694" priority="82">
      <formula>$B50=""</formula>
    </cfRule>
  </conditionalFormatting>
  <conditionalFormatting sqref="N43:O44">
    <cfRule type="expression" dxfId="3693" priority="83">
      <formula>AND($B43&lt;&gt;"",$B62="")</formula>
    </cfRule>
    <cfRule type="expression" dxfId="3692" priority="84">
      <formula>$B43=""</formula>
    </cfRule>
  </conditionalFormatting>
  <conditionalFormatting sqref="N63:O63">
    <cfRule type="expression" dxfId="3691" priority="85">
      <formula>AND($B63&lt;&gt;"",#REF!="")</formula>
    </cfRule>
    <cfRule type="expression" dxfId="3690" priority="86">
      <formula>$B63=""</formula>
    </cfRule>
  </conditionalFormatting>
  <conditionalFormatting sqref="N61:O61">
    <cfRule type="expression" dxfId="3689" priority="87">
      <formula>AND($B61&lt;&gt;"",$B64="")</formula>
    </cfRule>
    <cfRule type="expression" dxfId="3688" priority="88">
      <formula>$B61=""</formula>
    </cfRule>
  </conditionalFormatting>
  <conditionalFormatting sqref="N57:O60">
    <cfRule type="expression" dxfId="3687" priority="89">
      <formula>AND($B57&lt;&gt;"",#REF!="")</formula>
    </cfRule>
    <cfRule type="expression" dxfId="3686" priority="90">
      <formula>$B57=""</formula>
    </cfRule>
  </conditionalFormatting>
  <conditionalFormatting sqref="N55:O55">
    <cfRule type="expression" dxfId="3685" priority="91">
      <formula>AND($B55&lt;&gt;"",$B64="")</formula>
    </cfRule>
    <cfRule type="expression" dxfId="3684" priority="92">
      <formula>$B55=""</formula>
    </cfRule>
  </conditionalFormatting>
  <conditionalFormatting sqref="N51:O54">
    <cfRule type="expression" dxfId="3683" priority="93">
      <formula>AND($B51&lt;&gt;"",#REF!="")</formula>
    </cfRule>
    <cfRule type="expression" dxfId="3682" priority="94">
      <formula>$B51=""</formula>
    </cfRule>
  </conditionalFormatting>
  <conditionalFormatting sqref="N45:O63">
    <cfRule type="expression" dxfId="3681" priority="95">
      <formula>AND($B45&lt;&gt;"",#REF!="")</formula>
    </cfRule>
    <cfRule type="expression" dxfId="3680" priority="96">
      <formula>$B45=""</formula>
    </cfRule>
  </conditionalFormatting>
  <conditionalFormatting sqref="N13:O13">
    <cfRule type="expression" dxfId="3679" priority="76">
      <formula>COUNTA(N$14:N$63)&gt;0</formula>
    </cfRule>
  </conditionalFormatting>
  <conditionalFormatting sqref="N14:O63">
    <cfRule type="expression" dxfId="3678" priority="97">
      <formula>COUNTIF($U14:$AB14,N14)&gt;1</formula>
    </cfRule>
  </conditionalFormatting>
  <conditionalFormatting sqref="BF14:BG63">
    <cfRule type="expression" dxfId="3677" priority="56">
      <formula>AND($B14&lt;&gt;"",$B15="")</formula>
    </cfRule>
    <cfRule type="expression" dxfId="3676" priority="57">
      <formula>$B14=""</formula>
    </cfRule>
  </conditionalFormatting>
  <conditionalFormatting sqref="BF56:BG56">
    <cfRule type="expression" dxfId="3675" priority="58">
      <formula>AND($B56&lt;&gt;"",$B63="")</formula>
    </cfRule>
    <cfRule type="expression" dxfId="3674" priority="59">
      <formula>$B56=""</formula>
    </cfRule>
  </conditionalFormatting>
  <conditionalFormatting sqref="BF50:BG50">
    <cfRule type="expression" dxfId="3673" priority="60">
      <formula>AND($B50&lt;&gt;"",$B63="")</formula>
    </cfRule>
    <cfRule type="expression" dxfId="3672" priority="61">
      <formula>$B50=""</formula>
    </cfRule>
  </conditionalFormatting>
  <conditionalFormatting sqref="BF43:BG44">
    <cfRule type="expression" dxfId="3671" priority="62">
      <formula>AND($B43&lt;&gt;"",$B62="")</formula>
    </cfRule>
    <cfRule type="expression" dxfId="3670" priority="63">
      <formula>$B43=""</formula>
    </cfRule>
  </conditionalFormatting>
  <conditionalFormatting sqref="BF63:BG63">
    <cfRule type="expression" dxfId="3669" priority="64">
      <formula>AND($B63&lt;&gt;"",#REF!="")</formula>
    </cfRule>
    <cfRule type="expression" dxfId="3668" priority="65">
      <formula>$B63=""</formula>
    </cfRule>
  </conditionalFormatting>
  <conditionalFormatting sqref="BF61:BG61">
    <cfRule type="expression" dxfId="3667" priority="66">
      <formula>AND($B61&lt;&gt;"",$B64="")</formula>
    </cfRule>
    <cfRule type="expression" dxfId="3666" priority="67">
      <formula>$B61=""</formula>
    </cfRule>
  </conditionalFormatting>
  <conditionalFormatting sqref="BF57:BG60">
    <cfRule type="expression" dxfId="3665" priority="68">
      <formula>AND($B57&lt;&gt;"",#REF!="")</formula>
    </cfRule>
    <cfRule type="expression" dxfId="3664" priority="69">
      <formula>$B57=""</formula>
    </cfRule>
  </conditionalFormatting>
  <conditionalFormatting sqref="BF55:BG55">
    <cfRule type="expression" dxfId="3663" priority="70">
      <formula>AND($B55&lt;&gt;"",$B64="")</formula>
    </cfRule>
    <cfRule type="expression" dxfId="3662" priority="71">
      <formula>$B55=""</formula>
    </cfRule>
  </conditionalFormatting>
  <conditionalFormatting sqref="BF51:BG54">
    <cfRule type="expression" dxfId="3661" priority="72">
      <formula>AND($B51&lt;&gt;"",#REF!="")</formula>
    </cfRule>
    <cfRule type="expression" dxfId="3660" priority="73">
      <formula>$B51=""</formula>
    </cfRule>
  </conditionalFormatting>
  <conditionalFormatting sqref="BF45:BG63">
    <cfRule type="expression" dxfId="3659" priority="74">
      <formula>AND($B45&lt;&gt;"",#REF!="")</formula>
    </cfRule>
    <cfRule type="expression" dxfId="3658" priority="75">
      <formula>$B45=""</formula>
    </cfRule>
  </conditionalFormatting>
  <conditionalFormatting sqref="AL14:AS63">
    <cfRule type="expression" dxfId="3657" priority="35">
      <formula>AND($B14&lt;&gt;"",$B15="")</formula>
    </cfRule>
    <cfRule type="expression" dxfId="3656" priority="36">
      <formula>$B14=""</formula>
    </cfRule>
  </conditionalFormatting>
  <conditionalFormatting sqref="AL56:AS56">
    <cfRule type="expression" dxfId="3655" priority="37">
      <formula>AND($B56&lt;&gt;"",$B63="")</formula>
    </cfRule>
    <cfRule type="expression" dxfId="3654" priority="38">
      <formula>$B56=""</formula>
    </cfRule>
  </conditionalFormatting>
  <conditionalFormatting sqref="AL50:AS50">
    <cfRule type="expression" dxfId="3653" priority="39">
      <formula>AND($B50&lt;&gt;"",$B63="")</formula>
    </cfRule>
    <cfRule type="expression" dxfId="3652" priority="40">
      <formula>$B50=""</formula>
    </cfRule>
  </conditionalFormatting>
  <conditionalFormatting sqref="AL43:AS44">
    <cfRule type="expression" dxfId="3651" priority="41">
      <formula>AND($B43&lt;&gt;"",$B62="")</formula>
    </cfRule>
    <cfRule type="expression" dxfId="3650" priority="42">
      <formula>$B43=""</formula>
    </cfRule>
  </conditionalFormatting>
  <conditionalFormatting sqref="AL63:AS63">
    <cfRule type="expression" dxfId="3649" priority="43">
      <formula>AND($B63&lt;&gt;"",#REF!="")</formula>
    </cfRule>
    <cfRule type="expression" dxfId="3648" priority="44">
      <formula>$B63=""</formula>
    </cfRule>
  </conditionalFormatting>
  <conditionalFormatting sqref="AL61:AS61">
    <cfRule type="expression" dxfId="3647" priority="45">
      <formula>AND($B61&lt;&gt;"",$B64="")</formula>
    </cfRule>
    <cfRule type="expression" dxfId="3646" priority="46">
      <formula>$B61=""</formula>
    </cfRule>
  </conditionalFormatting>
  <conditionalFormatting sqref="AL57:AS60">
    <cfRule type="expression" dxfId="3645" priority="47">
      <formula>AND($B57&lt;&gt;"",#REF!="")</formula>
    </cfRule>
    <cfRule type="expression" dxfId="3644" priority="48">
      <formula>$B57=""</formula>
    </cfRule>
  </conditionalFormatting>
  <conditionalFormatting sqref="AL55:AS55">
    <cfRule type="expression" dxfId="3643" priority="49">
      <formula>AND($B55&lt;&gt;"",$B64="")</formula>
    </cfRule>
    <cfRule type="expression" dxfId="3642" priority="50">
      <formula>$B55=""</formula>
    </cfRule>
  </conditionalFormatting>
  <conditionalFormatting sqref="AL51:AS54">
    <cfRule type="expression" dxfId="3641" priority="51">
      <formula>AND($B51&lt;&gt;"",#REF!="")</formula>
    </cfRule>
    <cfRule type="expression" dxfId="3640" priority="52">
      <formula>$B51=""</formula>
    </cfRule>
  </conditionalFormatting>
  <conditionalFormatting sqref="AL45:AS63">
    <cfRule type="expression" dxfId="3639" priority="53">
      <formula>AND($B45&lt;&gt;"",#REF!="")</formula>
    </cfRule>
    <cfRule type="expression" dxfId="3638" priority="54">
      <formula>$B45=""</formula>
    </cfRule>
  </conditionalFormatting>
  <conditionalFormatting sqref="AL12:AU12">
    <cfRule type="expression" dxfId="3637" priority="34">
      <formula>COUNTA(AL$14:AL$63)&gt;0</formula>
    </cfRule>
  </conditionalFormatting>
  <conditionalFormatting sqref="AT14:AU63">
    <cfRule type="expression" dxfId="3636" priority="14">
      <formula>AND($B14&lt;&gt;"",$B15="")</formula>
    </cfRule>
    <cfRule type="expression" dxfId="3635" priority="15">
      <formula>$B14=""</formula>
    </cfRule>
  </conditionalFormatting>
  <conditionalFormatting sqref="AT56:AU56">
    <cfRule type="expression" dxfId="3634" priority="16">
      <formula>AND($B56&lt;&gt;"",$B63="")</formula>
    </cfRule>
    <cfRule type="expression" dxfId="3633" priority="17">
      <formula>$B56=""</formula>
    </cfRule>
  </conditionalFormatting>
  <conditionalFormatting sqref="AT50:AU50">
    <cfRule type="expression" dxfId="3632" priority="18">
      <formula>AND($B50&lt;&gt;"",$B63="")</formula>
    </cfRule>
    <cfRule type="expression" dxfId="3631" priority="19">
      <formula>$B50=""</formula>
    </cfRule>
  </conditionalFormatting>
  <conditionalFormatting sqref="AT43:AU44">
    <cfRule type="expression" dxfId="3630" priority="20">
      <formula>AND($B43&lt;&gt;"",$B62="")</formula>
    </cfRule>
    <cfRule type="expression" dxfId="3629" priority="21">
      <formula>$B43=""</formula>
    </cfRule>
  </conditionalFormatting>
  <conditionalFormatting sqref="AT63:AU63">
    <cfRule type="expression" dxfId="3628" priority="22">
      <formula>AND($B63&lt;&gt;"",#REF!="")</formula>
    </cfRule>
    <cfRule type="expression" dxfId="3627" priority="23">
      <formula>$B63=""</formula>
    </cfRule>
  </conditionalFormatting>
  <conditionalFormatting sqref="AT61:AU61">
    <cfRule type="expression" dxfId="3626" priority="24">
      <formula>AND($B61&lt;&gt;"",$B64="")</formula>
    </cfRule>
    <cfRule type="expression" dxfId="3625" priority="25">
      <formula>$B61=""</formula>
    </cfRule>
  </conditionalFormatting>
  <conditionalFormatting sqref="AT57:AU60">
    <cfRule type="expression" dxfId="3624" priority="26">
      <formula>AND($B57&lt;&gt;"",#REF!="")</formula>
    </cfRule>
    <cfRule type="expression" dxfId="3623" priority="27">
      <formula>$B57=""</formula>
    </cfRule>
  </conditionalFormatting>
  <conditionalFormatting sqref="AT55:AU55">
    <cfRule type="expression" dxfId="3622" priority="28">
      <formula>AND($B55&lt;&gt;"",$B64="")</formula>
    </cfRule>
    <cfRule type="expression" dxfId="3621" priority="29">
      <formula>$B55=""</formula>
    </cfRule>
  </conditionalFormatting>
  <conditionalFormatting sqref="AT51:AU54">
    <cfRule type="expression" dxfId="3620" priority="30">
      <formula>AND($B51&lt;&gt;"",#REF!="")</formula>
    </cfRule>
    <cfRule type="expression" dxfId="3619" priority="31">
      <formula>$B51=""</formula>
    </cfRule>
  </conditionalFormatting>
  <conditionalFormatting sqref="AT45:AU63">
    <cfRule type="expression" dxfId="3618" priority="32">
      <formula>AND($B45&lt;&gt;"",#REF!="")</formula>
    </cfRule>
    <cfRule type="expression" dxfId="3617" priority="33">
      <formula>$B45=""</formula>
    </cfRule>
  </conditionalFormatting>
  <conditionalFormatting sqref="AL14:AU63">
    <cfRule type="expression" dxfId="3616" priority="55">
      <formula>COUNTIF($AX14:$BE14,AL14)&gt;1</formula>
    </cfRule>
  </conditionalFormatting>
  <conditionalFormatting sqref="F61:S63 U61:BN63">
    <cfRule type="expression" dxfId="3615" priority="170">
      <formula>AND($B61&lt;&gt;"",$B65="")</formula>
    </cfRule>
    <cfRule type="expression" dxfId="3614" priority="171">
      <formula>$B61=""</formula>
    </cfRule>
  </conditionalFormatting>
  <conditionalFormatting sqref="F50:S60 U50:BN60">
    <cfRule type="expression" dxfId="3613" priority="172">
      <formula>AND($B50&lt;&gt;"",#REF!="")</formula>
    </cfRule>
    <cfRule type="expression" dxfId="3612" priority="173">
      <formula>$B50=""</formula>
    </cfRule>
  </conditionalFormatting>
  <conditionalFormatting sqref="T2">
    <cfRule type="expression" dxfId="3611" priority="13">
      <formula>COUNTA(F$14:F$63)&gt;0</formula>
    </cfRule>
  </conditionalFormatting>
  <conditionalFormatting sqref="T3">
    <cfRule type="expression" dxfId="3610" priority="174">
      <formula>COUNTA(G$14:G$63)&gt;0</formula>
    </cfRule>
  </conditionalFormatting>
  <conditionalFormatting sqref="T4">
    <cfRule type="expression" dxfId="3609" priority="175">
      <formula>COUNTA(H$14:H$63)&gt;0</formula>
    </cfRule>
  </conditionalFormatting>
  <conditionalFormatting sqref="T5">
    <cfRule type="expression" dxfId="3608" priority="176">
      <formula>COUNTA(I$14:I$63)&gt;0</formula>
    </cfRule>
  </conditionalFormatting>
  <conditionalFormatting sqref="T7">
    <cfRule type="expression" dxfId="3607" priority="12">
      <formula>COUNTA(K$14:K$63)&gt;0</formula>
    </cfRule>
  </conditionalFormatting>
  <conditionalFormatting sqref="T11">
    <cfRule type="expression" dxfId="3606" priority="177">
      <formula>COUNTA(O$14:O$63)&gt;0</formula>
    </cfRule>
  </conditionalFormatting>
  <conditionalFormatting sqref="T10">
    <cfRule type="expression" dxfId="3605" priority="178">
      <formula>COUNTA(N$14:N$63)&gt;0</formula>
    </cfRule>
  </conditionalFormatting>
  <conditionalFormatting sqref="T9">
    <cfRule type="expression" dxfId="3604" priority="179">
      <formula>COUNTA(M$14:M$63)&gt;0</formula>
    </cfRule>
  </conditionalFormatting>
  <conditionalFormatting sqref="T8">
    <cfRule type="expression" dxfId="3603" priority="180">
      <formula>COUNTA(L$14:L$63)&gt;0</formula>
    </cfRule>
  </conditionalFormatting>
  <conditionalFormatting sqref="T6">
    <cfRule type="expression" dxfId="3602" priority="11">
      <formula>COUNTA(J$14:J$63)&gt;0</formula>
    </cfRule>
  </conditionalFormatting>
  <conditionalFormatting sqref="AW2">
    <cfRule type="expression" dxfId="3601" priority="10">
      <formula>COUNTA(AL$14:AL$63)&gt;0</formula>
    </cfRule>
  </conditionalFormatting>
  <conditionalFormatting sqref="AW3">
    <cfRule type="expression" dxfId="3600" priority="9">
      <formula>COUNTA(AM$14:AM$63)&gt;0</formula>
    </cfRule>
  </conditionalFormatting>
  <conditionalFormatting sqref="AW4">
    <cfRule type="expression" dxfId="3599" priority="8">
      <formula>COUNTA(AN$14:AN$63)&gt;0</formula>
    </cfRule>
  </conditionalFormatting>
  <conditionalFormatting sqref="AW5">
    <cfRule type="expression" dxfId="3598" priority="7">
      <formula>COUNTA(AO$14:AO$63)&gt;0</formula>
    </cfRule>
  </conditionalFormatting>
  <conditionalFormatting sqref="AW6">
    <cfRule type="expression" dxfId="3597" priority="6">
      <formula>COUNTA(AP$14:AP$63)&gt;0</formula>
    </cfRule>
  </conditionalFormatting>
  <conditionalFormatting sqref="AW7">
    <cfRule type="expression" dxfId="3596" priority="5">
      <formula>COUNTA(AQ$14:AQ$63)&gt;0</formula>
    </cfRule>
  </conditionalFormatting>
  <conditionalFormatting sqref="AW8">
    <cfRule type="expression" dxfId="3595" priority="4">
      <formula>COUNTA(AR$14:AR$63)&gt;0</formula>
    </cfRule>
  </conditionalFormatting>
  <conditionalFormatting sqref="AW9">
    <cfRule type="expression" dxfId="3594" priority="3">
      <formula>COUNTA(AS$14:AS$63)&gt;0</formula>
    </cfRule>
  </conditionalFormatting>
  <conditionalFormatting sqref="AW10">
    <cfRule type="expression" dxfId="3593" priority="2">
      <formula>COUNTA(AT$14:AT$63)&gt;0</formula>
    </cfRule>
  </conditionalFormatting>
  <conditionalFormatting sqref="AW11">
    <cfRule type="expression" dxfId="3592" priority="1">
      <formula>COUNTA(AU$14:AU$63)&gt;0</formula>
    </cfRule>
  </conditionalFormatting>
  <dataValidations count="6">
    <dataValidation allowBlank="1" showInputMessage="1" showErrorMessage="1" prompt="KKM" sqref="H69:H70"/>
    <dataValidation type="whole" allowBlank="1" showInputMessage="1" showErrorMessage="1" errorTitle="Petunjuk" error="Nilai 0-100" sqref="Q14:R63 F14:O63 AL14:AU63">
      <formula1>0</formula1>
      <formula2>100</formula2>
    </dataValidation>
    <dataValidation allowBlank="1" showInputMessage="1" showErrorMessage="1" prompt="Rata-rata Harian" sqref="P12 AV12"/>
    <dataValidation allowBlank="1" showInputMessage="1" showErrorMessage="1" promptTitle="Tulis Bobot Nilai" prompt="Berupa Nilai Praktik, Portofolio atau Proyek._x000a_Bobot Praktik disarankan lebih tinggi" sqref="AL13:AU13 AX13:BG13"/>
    <dataValidation allowBlank="1" showInputMessage="1" showErrorMessage="1" prompt="Bobot Nilai" sqref="P13:R13 BH11 AE12:AF12"/>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0866141732283472" right="0.43307086614173229" top="0.27559055118110237" bottom="0.31496062992125984" header="0.31496062992125984" footer="0.23622047244094491"/>
  <pageSetup paperSize="9" orientation="landscape" blackAndWhite="1"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0000FF"/>
  </sheetPr>
  <dimension ref="A1:DG103"/>
  <sheetViews>
    <sheetView showGridLines="0" showRowColHeaders="0" workbookViewId="0">
      <pane xSplit="5" ySplit="13" topLeftCell="F14" activePane="bottomRight" state="frozen"/>
      <selection activeCell="AW5" sqref="AW5:BN7"/>
      <selection pane="topRight" activeCell="AW5" sqref="AW5:BN7"/>
      <selection pane="bottomLeft" activeCell="AW5" sqref="AW5:BN7"/>
      <selection pane="bottomRight" activeCell="AK5" sqref="AK5"/>
    </sheetView>
  </sheetViews>
  <sheetFormatPr defaultColWidth="0" defaultRowHeight="12"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f>Data2!C14</f>
        <v>0</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82" t="s">
        <v>1115</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86" t="s">
        <v>1243</v>
      </c>
      <c r="BO2" s="67"/>
    </row>
    <row r="3" spans="1:67" ht="12" customHeight="1">
      <c r="A3" s="67"/>
      <c r="B3" s="1734" t="str">
        <f>Data2!L16&amp;" - "&amp;F77</f>
        <v>MULTI KKM - 0</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1116</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1244</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1117</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1245</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t="s">
        <v>1118</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1246</v>
      </c>
      <c r="BO5" s="67"/>
    </row>
    <row r="6" spans="1:67" ht="12" customHeight="1">
      <c r="A6" s="67"/>
      <c r="B6" s="1742" t="str">
        <f>F75&amp;" - "&amp;H75&amp;"--"&amp;Q75</f>
        <v>68 - 100--A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1119</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1247</v>
      </c>
      <c r="BO6" s="67"/>
    </row>
    <row r="7" spans="1:67" ht="12" customHeight="1">
      <c r="A7" s="67"/>
      <c r="B7" s="1742" t="str">
        <f>F76&amp;" - "&amp;ROUNDDOWN(H76,0)&amp;"---"&amp;Q76</f>
        <v>34 - 67---B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1120</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1248</v>
      </c>
      <c r="BO7" s="67"/>
    </row>
    <row r="8" spans="1:67" s="101" customFormat="1" ht="12" customHeight="1">
      <c r="A8" s="100"/>
      <c r="B8" s="1742" t="str">
        <f t="shared" ref="B8" si="0">F77&amp;" - "&amp;ROUNDDOWN(H77,0)&amp;"---"&amp;Q77</f>
        <v>0 - 33---C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1121</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1249</v>
      </c>
      <c r="BO8" s="100"/>
    </row>
    <row r="9" spans="1:67" ht="12" customHeight="1" thickBot="1">
      <c r="A9" s="67"/>
      <c r="B9" s="1742" t="str">
        <f>F78&amp;"  -  "&amp;ROUNDDOWN(H78,0)&amp;"---"&amp;Q78</f>
        <v>0  -  0---D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1122</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1250</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1123</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1251</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1124</v>
      </c>
      <c r="AL11" s="1800"/>
      <c r="AM11" s="1803"/>
      <c r="AN11" s="1803"/>
      <c r="AO11" s="1803"/>
      <c r="AP11" s="1803"/>
      <c r="AQ11" s="1803"/>
      <c r="AR11" s="1803"/>
      <c r="AS11" s="1803"/>
      <c r="AT11" s="1803"/>
      <c r="AU11" s="1804"/>
      <c r="AV11" s="1196">
        <v>10</v>
      </c>
      <c r="AW11" s="1197" t="s">
        <v>929</v>
      </c>
      <c r="AX11" s="1198" t="str">
        <f t="shared" ref="AX11:BG11" si="1">IF(COUNT(AX14:AX63)&gt;0,AX13,"")</f>
        <v/>
      </c>
      <c r="AY11" s="1198" t="str">
        <f t="shared" si="1"/>
        <v/>
      </c>
      <c r="AZ11" s="1198" t="str">
        <f t="shared" si="1"/>
        <v/>
      </c>
      <c r="BA11" s="1198" t="str">
        <f t="shared" si="1"/>
        <v/>
      </c>
      <c r="BB11" s="1198" t="str">
        <f t="shared" si="1"/>
        <v/>
      </c>
      <c r="BC11" s="1198" t="str">
        <f t="shared" si="1"/>
        <v/>
      </c>
      <c r="BD11" s="1198" t="str">
        <f t="shared" si="1"/>
        <v/>
      </c>
      <c r="BE11" s="1198" t="str">
        <f t="shared" si="1"/>
        <v/>
      </c>
      <c r="BF11" s="1198" t="str">
        <f t="shared" si="1"/>
        <v/>
      </c>
      <c r="BG11" s="1198" t="str">
        <f t="shared" si="1"/>
        <v/>
      </c>
      <c r="BH11" s="1198">
        <f>SUM(AX11:BG11)</f>
        <v>0</v>
      </c>
      <c r="BI11" s="1199"/>
      <c r="BJ11" s="1199"/>
      <c r="BK11" s="1199"/>
      <c r="BL11" s="1199"/>
      <c r="BM11" s="1199"/>
      <c r="BN11" s="1186" t="s">
        <v>1252</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t="str">
        <f t="shared" ref="U12:AD12" si="2">IF(COUNT(U14:U63)&gt;0,1,"")</f>
        <v/>
      </c>
      <c r="V12" s="1201" t="str">
        <f t="shared" si="2"/>
        <v/>
      </c>
      <c r="W12" s="1201" t="str">
        <f t="shared" si="2"/>
        <v/>
      </c>
      <c r="X12" s="1201" t="str">
        <f t="shared" si="2"/>
        <v/>
      </c>
      <c r="Y12" s="1201" t="str">
        <f t="shared" si="2"/>
        <v/>
      </c>
      <c r="Z12" s="1201" t="str">
        <f t="shared" si="2"/>
        <v/>
      </c>
      <c r="AA12" s="1201" t="str">
        <f t="shared" si="2"/>
        <v/>
      </c>
      <c r="AB12" s="1201" t="str">
        <f t="shared" si="2"/>
        <v/>
      </c>
      <c r="AC12" s="1201" t="str">
        <f t="shared" si="2"/>
        <v/>
      </c>
      <c r="AD12" s="1201" t="str">
        <f t="shared" si="2"/>
        <v/>
      </c>
      <c r="AE12" s="1202">
        <f>SUM(U12:AD12)</f>
        <v>0</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c r="G14" s="277"/>
      <c r="H14" s="277"/>
      <c r="I14" s="277"/>
      <c r="J14" s="277"/>
      <c r="K14" s="277"/>
      <c r="L14" s="277"/>
      <c r="M14" s="280"/>
      <c r="N14" s="277"/>
      <c r="O14" s="278"/>
      <c r="P14" s="279" t="str">
        <f t="shared" ref="P14" si="4">IF(COUNT(U14:AD14)&lt;2,"",ROUND(SUM(U14:AD14)/$AE$12,0))</f>
        <v/>
      </c>
      <c r="Q14" s="277"/>
      <c r="R14" s="280"/>
      <c r="S14" s="281" t="str">
        <f t="shared" ref="S14" si="5">IFERROR(ROUND(((P14*$P$13)+(Q14*$Q$13)+(R14*$R$13))/$AF$12,0),"")</f>
        <v/>
      </c>
      <c r="T14" s="295" t="str">
        <f t="shared" ref="T14" si="6">IF(S14="","",IF(S14&gt;$H$76,$Q$75,IF(S14&gt;$H$77,$Q$76,IF(S14&gt;$H$78,$Q$77,$Q$78))))</f>
        <v/>
      </c>
      <c r="U14" s="1215" t="str">
        <f t="shared" ref="U14:AD29" si="7">IF(F14="","",F14+U$13)</f>
        <v/>
      </c>
      <c r="V14" s="1216" t="str">
        <f t="shared" si="7"/>
        <v/>
      </c>
      <c r="W14" s="1216" t="str">
        <f t="shared" si="7"/>
        <v/>
      </c>
      <c r="X14" s="1216" t="str">
        <f t="shared" si="7"/>
        <v/>
      </c>
      <c r="Y14" s="1216" t="str">
        <f t="shared" si="7"/>
        <v/>
      </c>
      <c r="Z14" s="1216" t="str">
        <f t="shared" si="7"/>
        <v/>
      </c>
      <c r="AA14" s="1216" t="str">
        <f t="shared" si="7"/>
        <v/>
      </c>
      <c r="AB14" s="1217" t="str">
        <f t="shared" si="7"/>
        <v/>
      </c>
      <c r="AC14" s="1216" t="str">
        <f t="shared" si="7"/>
        <v/>
      </c>
      <c r="AD14" s="1218" t="str">
        <f t="shared" si="7"/>
        <v/>
      </c>
      <c r="AE14" s="1219">
        <f t="shared" ref="AE14" si="8">MAX(U14:AD14)</f>
        <v>0</v>
      </c>
      <c r="AF14" s="282">
        <f t="shared" ref="AF14" si="9">MIN(U14:AD14)</f>
        <v>0</v>
      </c>
      <c r="AG14" s="282" t="str">
        <f t="shared" ref="AG14:AH29" si="10">IF(AE14&gt;$H$76,$I$75,IF(AE14&gt;$H$77,$I$76,IF(AE14&gt;$H$78,$I$77,$I$78)))</f>
        <v>cukup</v>
      </c>
      <c r="AH14" s="282" t="str">
        <f t="shared" si="10"/>
        <v>cukup</v>
      </c>
      <c r="AI14" s="282" t="str">
        <f t="shared" ref="AI14" si="11">IFERROR(MATCH(AE14,U14:AD14,0),"")</f>
        <v/>
      </c>
      <c r="AJ14" s="283" t="str">
        <f t="shared" ref="AJ14" si="12">IFERROR(MATCH(AF14,U14:AD14,0),"")</f>
        <v/>
      </c>
      <c r="AK14" s="284" t="str">
        <f t="shared" ref="AK14" si="13">IF(S14="","",IFERROR("Memiliki kemampuan "&amp;IF(AG14=AH14,AG14&amp;" dalam "&amp;VLOOKUP(AI14,$S$2:$AK$11,19)&amp;" dan "&amp;VLOOKUP(AJ14,$S$2:$AK$11,19),AG14&amp;" dalam "&amp;VLOOKUP(AI14,$S$2:$AK$11,19)&amp;", "&amp;AH14&amp;" kemampuan dalam "&amp;VLOOKUP(AJ14,$S$2:$AK$11,19)),""))</f>
        <v/>
      </c>
      <c r="AL14" s="276"/>
      <c r="AM14" s="277"/>
      <c r="AN14" s="277"/>
      <c r="AO14" s="277"/>
      <c r="AP14" s="277"/>
      <c r="AQ14" s="277"/>
      <c r="AR14" s="277"/>
      <c r="AS14" s="280"/>
      <c r="AT14" s="277"/>
      <c r="AU14" s="278"/>
      <c r="AV14" s="285" t="str">
        <f t="shared" ref="AV14" si="14">IF(COUNT(AL14:AU14)&lt;2,"",ROUND(((AL14*$AX$13)+(AM14*$AY$13)+(AN14*$AZ$13)+(AO14*$BA$13)+(AP14*$BB$13)+(AQ14*$BC$13)+(AR14*$BD$13)+(AS14*$BE$13)+(AT14*$BF$13)+(AU14*$BG$13))/$BH$11,0))</f>
        <v/>
      </c>
      <c r="AW14" s="296" t="str">
        <f t="shared" ref="AW14" si="15">IF(AV14="","",IF(AV14&gt;$AN$76,$AV$75,IF(AV14&gt;$AN$77,$AV$76,IF(AV14&gt;$AN$78,$AV$77,$AV$78))))</f>
        <v/>
      </c>
      <c r="AX14" s="1220" t="str">
        <f t="shared" ref="AX14:BG29" si="16">IF(AL14="","",AL14+AX$12)</f>
        <v/>
      </c>
      <c r="AY14" s="1221" t="str">
        <f t="shared" si="16"/>
        <v/>
      </c>
      <c r="AZ14" s="1221" t="str">
        <f t="shared" si="16"/>
        <v/>
      </c>
      <c r="BA14" s="1221" t="str">
        <f t="shared" si="16"/>
        <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0</v>
      </c>
      <c r="BI14" s="286">
        <f t="shared" ref="BI14" si="18">MIN(AX14:BG14)</f>
        <v>0</v>
      </c>
      <c r="BJ14" s="287" t="str">
        <f t="shared" ref="BJ14:BK14" si="19">IF(BH14&gt;$H$76,$AO$75,IF(BH14&gt;$H$77,$AO$76,IF(BH14&gt;$H$78,$AO$77,$AO$78)))</f>
        <v>cukup</v>
      </c>
      <c r="BK14" s="287" t="str">
        <f t="shared" si="19"/>
        <v>cukup</v>
      </c>
      <c r="BL14" s="286" t="e">
        <f t="shared" ref="BL14" si="20">MATCH(BH14,AX14:BG14,0)</f>
        <v>#N/A</v>
      </c>
      <c r="BM14" s="288" t="e">
        <f t="shared" ref="BM14" si="21">MATCH(BI14,AX14:BG14,0)</f>
        <v>#N/A</v>
      </c>
      <c r="BN14" s="289" t="str">
        <f t="shared" ref="BN14" si="22">IF(AV14="","",IFERROR("Memiliki keterampilan "&amp;IF(BJ14=BK14,BJ14&amp;" dalam "&amp;VLOOKUP(BL14,$AV$2:$BN$11,19)&amp;" dan "&amp;VLOOKUP(BM14,$AV$2:$BN$11,19),BJ14&amp;" dalam "&amp;VLOOKUP(BL14,$AV$2:$BN$11,19)&amp;", "&amp;BK14&amp;" keterampilan dalam "&amp;VLOOKUP(BM14,$AV$2:$BN$11,19)),""))</f>
        <v/>
      </c>
      <c r="BO14" s="67"/>
    </row>
    <row r="15" spans="1:67" ht="33" customHeight="1">
      <c r="A15" s="67"/>
      <c r="B15" s="272">
        <f>IF(D15="","",B14+1)</f>
        <v>2</v>
      </c>
      <c r="C15" s="273">
        <f>IF(Data!F6="","",Data!F6)</f>
        <v>0</v>
      </c>
      <c r="D15" s="274" t="str">
        <f>IF(Data!H6="","",Data!H6)</f>
        <v>Aprianus Bira</v>
      </c>
      <c r="E15" s="275" t="str">
        <f>IF(Data!I6="","",Data!I6)</f>
        <v>L</v>
      </c>
      <c r="F15" s="276"/>
      <c r="G15" s="277"/>
      <c r="H15" s="277"/>
      <c r="I15" s="277"/>
      <c r="J15" s="277"/>
      <c r="K15" s="277"/>
      <c r="L15" s="277"/>
      <c r="M15" s="280"/>
      <c r="N15" s="277"/>
      <c r="O15" s="278"/>
      <c r="P15" s="279" t="str">
        <f>IF(COUNT(U15:AD15)&lt;2,"",ROUND(SUM(U15:AD15)/$AE$12,0))</f>
        <v/>
      </c>
      <c r="Q15" s="277"/>
      <c r="R15" s="280"/>
      <c r="S15" s="281" t="str">
        <f>IFERROR(ROUND(((P15*$P$13)+(Q15*$Q$13)+(R15*$R$13))/$AF$12,0),"")</f>
        <v/>
      </c>
      <c r="T15" s="295" t="str">
        <f>IF(S15="","",IF(S15&gt;$H$76,$Q$75,IF(S15&gt;$H$77,$Q$76,IF(S15&gt;$H$78,$Q$77,$Q$78))))</f>
        <v/>
      </c>
      <c r="U15" s="1215" t="str">
        <f t="shared" si="7"/>
        <v/>
      </c>
      <c r="V15" s="1216" t="str">
        <f t="shared" si="7"/>
        <v/>
      </c>
      <c r="W15" s="1216" t="str">
        <f t="shared" si="7"/>
        <v/>
      </c>
      <c r="X15" s="1216" t="str">
        <f t="shared" si="7"/>
        <v/>
      </c>
      <c r="Y15" s="1216" t="str">
        <f t="shared" si="7"/>
        <v/>
      </c>
      <c r="Z15" s="1216" t="str">
        <f t="shared" si="7"/>
        <v/>
      </c>
      <c r="AA15" s="1216" t="str">
        <f t="shared" si="7"/>
        <v/>
      </c>
      <c r="AB15" s="1217" t="str">
        <f t="shared" si="7"/>
        <v/>
      </c>
      <c r="AC15" s="1216" t="str">
        <f t="shared" si="7"/>
        <v/>
      </c>
      <c r="AD15" s="1218" t="str">
        <f t="shared" si="7"/>
        <v/>
      </c>
      <c r="AE15" s="1219">
        <f>MAX(U15:AD15)</f>
        <v>0</v>
      </c>
      <c r="AF15" s="282">
        <f>MIN(U15:AD15)</f>
        <v>0</v>
      </c>
      <c r="AG15" s="282" t="str">
        <f>IF(AE15&gt;$H$76,$I$75,IF(AE15&gt;$H$77,$I$76,IF(AE15&gt;$H$78,$I$77,$I$78)))</f>
        <v>cukup</v>
      </c>
      <c r="AH15" s="282" t="str">
        <f t="shared" si="10"/>
        <v>cukup</v>
      </c>
      <c r="AI15" s="282" t="str">
        <f>IFERROR(MATCH(AE15,U15:AD15,0),"")</f>
        <v/>
      </c>
      <c r="AJ15" s="283" t="str">
        <f>IFERROR(MATCH(AF15,U15:AD15,0),"")</f>
        <v/>
      </c>
      <c r="AK15" s="284" t="str">
        <f>IF(S15="","",IFERROR("Memiliki kemampuan "&amp;IF(AG15=AH15,AG15&amp;" dalam "&amp;VLOOKUP(AI15,$S$2:$AK$11,19)&amp;" dan "&amp;VLOOKUP(AJ15,$S$2:$AK$11,19),AG15&amp;" dalam "&amp;VLOOKUP(AI15,$S$2:$AK$11,19)&amp;", "&amp;AH15&amp;" kemampuan dalam "&amp;VLOOKUP(AJ15,$S$2:$AK$11,19)),""))</f>
        <v/>
      </c>
      <c r="AL15" s="276"/>
      <c r="AM15" s="277"/>
      <c r="AN15" s="277"/>
      <c r="AO15" s="277"/>
      <c r="AP15" s="277"/>
      <c r="AQ15" s="277"/>
      <c r="AR15" s="277"/>
      <c r="AS15" s="280"/>
      <c r="AT15" s="277"/>
      <c r="AU15" s="278"/>
      <c r="AV15" s="285" t="str">
        <f>IF(COUNT(AL15:AU15)&lt;2,"",ROUND(((AL15*$AX$13)+(AM15*$AY$13)+(AN15*$AZ$13)+(AO15*$BA$13)+(AP15*$BB$13)+(AQ15*$BC$13)+(AR15*$BD$13)+(AS15*$BE$13)+(AT15*$BF$13)+(AU15*$BG$13))/$BH$11,0))</f>
        <v/>
      </c>
      <c r="AW15" s="296" t="str">
        <f>IF(AV15="","",IF(AV15&gt;$AN$76,$AV$75,IF(AV15&gt;$AN$77,$AV$76,IF(AV15&gt;$AN$78,$AV$77,$AV$78))))</f>
        <v/>
      </c>
      <c r="AX15" s="1220" t="str">
        <f t="shared" si="16"/>
        <v/>
      </c>
      <c r="AY15" s="1221" t="str">
        <f t="shared" si="16"/>
        <v/>
      </c>
      <c r="AZ15" s="1221" t="str">
        <f>IF(AN15="","",AN15+AZ$12)</f>
        <v/>
      </c>
      <c r="BA15" s="1221" t="str">
        <f t="shared" si="16"/>
        <v/>
      </c>
      <c r="BB15" s="1221" t="str">
        <f t="shared" si="16"/>
        <v/>
      </c>
      <c r="BC15" s="1221" t="str">
        <f t="shared" si="16"/>
        <v/>
      </c>
      <c r="BD15" s="1221" t="str">
        <f t="shared" si="16"/>
        <v/>
      </c>
      <c r="BE15" s="1222" t="str">
        <f t="shared" si="16"/>
        <v/>
      </c>
      <c r="BF15" s="1221" t="str">
        <f t="shared" si="16"/>
        <v/>
      </c>
      <c r="BG15" s="1223" t="str">
        <f t="shared" si="16"/>
        <v/>
      </c>
      <c r="BH15" s="286">
        <f>MAX(AX15:BG15)</f>
        <v>0</v>
      </c>
      <c r="BI15" s="286">
        <f>MIN(AX15:BG15)</f>
        <v>0</v>
      </c>
      <c r="BJ15" s="287" t="str">
        <f>IF(BH15&gt;$H$76,$AO$75,IF(BH15&gt;$H$77,$AO$76,IF(BH15&gt;$H$78,$AO$77,$AO$78)))</f>
        <v>cukup</v>
      </c>
      <c r="BK15" s="287" t="str">
        <f>IF(BI15&gt;$H$76,$AO$75,IF(BI15&gt;$H$77,$AO$76,IF(BI15&gt;$H$78,$AO$77,$AO$78)))</f>
        <v>cukup</v>
      </c>
      <c r="BL15" s="286" t="e">
        <f>MATCH(BH15,AX15:BG15,0)</f>
        <v>#N/A</v>
      </c>
      <c r="BM15" s="288" t="e">
        <f>MATCH(BI15,AX15:BG15,0)</f>
        <v>#N/A</v>
      </c>
      <c r="BN15" s="289" t="str">
        <f>IF(AV15="","",IFERROR("Memiliki keterampilan "&amp;IF(BJ15=BK15,BJ15&amp;" dalam "&amp;VLOOKUP(BL15,$AV$2:$BN$11,19)&amp;" dan "&amp;VLOOKUP(BM15,$AV$2:$BN$11,19),BJ15&amp;" dalam "&amp;VLOOKUP(BL15,$AV$2:$BN$11,19)&amp;", "&amp;BK15&amp;" keterampilan dalam "&amp;VLOOKUP(BM15,$AV$2:$BN$11,19)),""))</f>
        <v/>
      </c>
      <c r="BO15" s="67"/>
    </row>
    <row r="16" spans="1:67" ht="33" customHeight="1">
      <c r="A16" s="67"/>
      <c r="B16" s="272">
        <f t="shared" ref="B16:B63" si="23">IF(D16="","",B15+1)</f>
        <v>3</v>
      </c>
      <c r="C16" s="273">
        <f>IF(Data!F7="","",Data!F7)</f>
        <v>0</v>
      </c>
      <c r="D16" s="274" t="str">
        <f>IF(Data!H7="","",Data!H7)</f>
        <v>Asri Aldina Baksuni</v>
      </c>
      <c r="E16" s="275" t="str">
        <f>IF(Data!I7="","",Data!I7)</f>
        <v>P</v>
      </c>
      <c r="F16" s="276"/>
      <c r="G16" s="277"/>
      <c r="H16" s="277"/>
      <c r="I16" s="277"/>
      <c r="J16" s="277"/>
      <c r="K16" s="277"/>
      <c r="L16" s="277"/>
      <c r="M16" s="280"/>
      <c r="N16" s="277"/>
      <c r="O16" s="278"/>
      <c r="P16" s="279" t="str">
        <f t="shared" ref="P16:P63" si="24">IF(COUNT(U16:AD16)&lt;2,"",ROUND(SUM(U16:AD16)/$AE$12,0))</f>
        <v/>
      </c>
      <c r="Q16" s="277"/>
      <c r="R16" s="280"/>
      <c r="S16" s="281" t="str">
        <f t="shared" ref="S16:S63" si="25">IFERROR(ROUND(((P16*$P$13)+(Q16*$Q$13)+(R16*$R$13))/$AF$12,0),"")</f>
        <v/>
      </c>
      <c r="T16" s="295" t="str">
        <f t="shared" ref="T16:T63" si="26">IF(S16="","",IF(S16&gt;$H$76,$Q$75,IF(S16&gt;$H$77,$Q$76,IF(S16&gt;$H$78,$Q$77,$Q$78))))</f>
        <v/>
      </c>
      <c r="U16" s="1215" t="str">
        <f t="shared" si="7"/>
        <v/>
      </c>
      <c r="V16" s="1216" t="str">
        <f t="shared" si="7"/>
        <v/>
      </c>
      <c r="W16" s="1216" t="str">
        <f t="shared" si="7"/>
        <v/>
      </c>
      <c r="X16" s="1216" t="str">
        <f t="shared" si="7"/>
        <v/>
      </c>
      <c r="Y16" s="1216" t="str">
        <f t="shared" si="7"/>
        <v/>
      </c>
      <c r="Z16" s="1216" t="str">
        <f t="shared" si="7"/>
        <v/>
      </c>
      <c r="AA16" s="1216" t="str">
        <f t="shared" si="7"/>
        <v/>
      </c>
      <c r="AB16" s="1217" t="str">
        <f t="shared" si="7"/>
        <v/>
      </c>
      <c r="AC16" s="1216" t="str">
        <f t="shared" si="7"/>
        <v/>
      </c>
      <c r="AD16" s="1218" t="str">
        <f t="shared" si="7"/>
        <v/>
      </c>
      <c r="AE16" s="1219">
        <f t="shared" ref="AE16:AE63" si="27">MAX(U16:AD16)</f>
        <v>0</v>
      </c>
      <c r="AF16" s="282">
        <f t="shared" ref="AF16:AF63" si="28">MIN(U16:AD16)</f>
        <v>0</v>
      </c>
      <c r="AG16" s="282" t="str">
        <f t="shared" ref="AG16:AH63" si="29">IF(AE16&gt;$H$76,$I$75,IF(AE16&gt;$H$77,$I$76,IF(AE16&gt;$H$78,$I$77,$I$78)))</f>
        <v>cukup</v>
      </c>
      <c r="AH16" s="282" t="str">
        <f t="shared" si="10"/>
        <v>cukup</v>
      </c>
      <c r="AI16" s="282" t="str">
        <f t="shared" ref="AI16:AI63" si="30">IFERROR(MATCH(AE16,U16:AD16,0),"")</f>
        <v/>
      </c>
      <c r="AJ16" s="283" t="str">
        <f t="shared" ref="AJ16:AJ63" si="31">IFERROR(MATCH(AF16,U16:AD16,0),"")</f>
        <v/>
      </c>
      <c r="AK16" s="284" t="str">
        <f t="shared" ref="AK16:AK63" si="32">IF(S16="","",IFERROR("Memiliki kemampuan "&amp;IF(AG16=AH16,AG16&amp;" dalam "&amp;VLOOKUP(AI16,$S$2:$AK$11,19)&amp;" dan "&amp;VLOOKUP(AJ16,$S$2:$AK$11,19),AG16&amp;" dalam "&amp;VLOOKUP(AI16,$S$2:$AK$11,19)&amp;", "&amp;AH16&amp;" kemampuan dalam "&amp;VLOOKUP(AJ16,$S$2:$AK$11,19)),""))</f>
        <v/>
      </c>
      <c r="AL16" s="276"/>
      <c r="AM16" s="277"/>
      <c r="AN16" s="277"/>
      <c r="AO16" s="277"/>
      <c r="AP16" s="277"/>
      <c r="AQ16" s="277"/>
      <c r="AR16" s="277"/>
      <c r="AS16" s="280"/>
      <c r="AT16" s="277"/>
      <c r="AU16" s="278"/>
      <c r="AV16" s="285" t="str">
        <f t="shared" ref="AV16:AV63" si="33">IF(COUNT(AL16:AU16)&lt;2,"",ROUND(((AL16*$AX$13)+(AM16*$AY$13)+(AN16*$AZ$13)+(AO16*$BA$13)+(AP16*$BB$13)+(AQ16*$BC$13)+(AR16*$BD$13)+(AS16*$BE$13)+(AT16*$BF$13)+(AU16*$BG$13))/$BH$11,0))</f>
        <v/>
      </c>
      <c r="AW16" s="296" t="str">
        <f t="shared" ref="AW16:AW63" si="34">IF(AV16="","",IF(AV16&gt;$AN$76,$AV$75,IF(AV16&gt;$AN$77,$AV$76,IF(AV16&gt;$AN$78,$AV$77,$AV$78))))</f>
        <v/>
      </c>
      <c r="AX16" s="1220" t="str">
        <f t="shared" si="16"/>
        <v/>
      </c>
      <c r="AY16" s="1221" t="str">
        <f t="shared" si="16"/>
        <v/>
      </c>
      <c r="AZ16" s="1221" t="str">
        <f t="shared" si="16"/>
        <v/>
      </c>
      <c r="BA16" s="1221" t="str">
        <f t="shared" si="16"/>
        <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0</v>
      </c>
      <c r="BI16" s="286">
        <f t="shared" ref="BI16:BI63" si="36">MIN(AX16:BG16)</f>
        <v>0</v>
      </c>
      <c r="BJ16" s="287" t="str">
        <f t="shared" ref="BJ16:BK63" si="37">IF(BH16&gt;$H$76,$AO$75,IF(BH16&gt;$H$77,$AO$76,IF(BH16&gt;$H$78,$AO$77,$AO$78)))</f>
        <v>cukup</v>
      </c>
      <c r="BK16" s="287" t="str">
        <f t="shared" si="37"/>
        <v>cukup</v>
      </c>
      <c r="BL16" s="286" t="e">
        <f t="shared" ref="BL16:BL63" si="38">MATCH(BH16,AX16:BG16,0)</f>
        <v>#N/A</v>
      </c>
      <c r="BM16" s="288" t="e">
        <f t="shared" ref="BM16:BM63" si="39">MATCH(BI16,AX16:BG16,0)</f>
        <v>#N/A</v>
      </c>
      <c r="BN16" s="289" t="str">
        <f t="shared" ref="BN16:BN63" si="40">IF(AV16="","",IFERROR("Memiliki keterampilan "&amp;IF(BJ16=BK16,BJ16&amp;" dalam "&amp;VLOOKUP(BL16,$AV$2:$BN$11,19)&amp;" dan "&amp;VLOOKUP(BM16,$AV$2:$BN$11,19),BJ16&amp;" dalam "&amp;VLOOKUP(BL16,$AV$2:$BN$11,19)&amp;", "&amp;BK16&amp;" keterampilan dalam "&amp;VLOOKUP(BM16,$AV$2:$BN$11,19)),""))</f>
        <v/>
      </c>
      <c r="BO16" s="67"/>
    </row>
    <row r="17" spans="1:67" ht="33" customHeight="1">
      <c r="A17" s="67"/>
      <c r="B17" s="272">
        <f t="shared" si="23"/>
        <v>4</v>
      </c>
      <c r="C17" s="273">
        <f>IF(Data!F8="","",Data!F8)</f>
        <v>0</v>
      </c>
      <c r="D17" s="274" t="str">
        <f>IF(Data!H8="","",Data!H8)</f>
        <v>Asti Welmince Welkis</v>
      </c>
      <c r="E17" s="275" t="str">
        <f>IF(Data!I8="","",Data!I8)</f>
        <v>P</v>
      </c>
      <c r="F17" s="276"/>
      <c r="G17" s="277"/>
      <c r="H17" s="277"/>
      <c r="I17" s="277"/>
      <c r="J17" s="277"/>
      <c r="K17" s="277"/>
      <c r="L17" s="277"/>
      <c r="M17" s="280"/>
      <c r="N17" s="277"/>
      <c r="O17" s="278"/>
      <c r="P17" s="279" t="str">
        <f t="shared" si="24"/>
        <v/>
      </c>
      <c r="Q17" s="277"/>
      <c r="R17" s="280"/>
      <c r="S17" s="281" t="str">
        <f t="shared" si="25"/>
        <v/>
      </c>
      <c r="T17" s="295" t="str">
        <f t="shared" si="26"/>
        <v/>
      </c>
      <c r="U17" s="1215" t="str">
        <f t="shared" si="7"/>
        <v/>
      </c>
      <c r="V17" s="1216" t="str">
        <f t="shared" si="7"/>
        <v/>
      </c>
      <c r="W17" s="1216" t="str">
        <f t="shared" si="7"/>
        <v/>
      </c>
      <c r="X17" s="1216" t="str">
        <f t="shared" si="7"/>
        <v/>
      </c>
      <c r="Y17" s="1216" t="str">
        <f t="shared" si="7"/>
        <v/>
      </c>
      <c r="Z17" s="1216" t="str">
        <f t="shared" si="7"/>
        <v/>
      </c>
      <c r="AA17" s="1216" t="str">
        <f t="shared" si="7"/>
        <v/>
      </c>
      <c r="AB17" s="1217" t="str">
        <f t="shared" si="7"/>
        <v/>
      </c>
      <c r="AC17" s="1216" t="str">
        <f t="shared" si="7"/>
        <v/>
      </c>
      <c r="AD17" s="1218" t="str">
        <f t="shared" si="7"/>
        <v/>
      </c>
      <c r="AE17" s="1219">
        <f t="shared" si="27"/>
        <v>0</v>
      </c>
      <c r="AF17" s="282">
        <f t="shared" si="28"/>
        <v>0</v>
      </c>
      <c r="AG17" s="282" t="str">
        <f t="shared" si="29"/>
        <v>cukup</v>
      </c>
      <c r="AH17" s="282" t="str">
        <f t="shared" si="10"/>
        <v>cukup</v>
      </c>
      <c r="AI17" s="282" t="str">
        <f t="shared" si="30"/>
        <v/>
      </c>
      <c r="AJ17" s="283" t="str">
        <f t="shared" si="31"/>
        <v/>
      </c>
      <c r="AK17" s="284" t="str">
        <f t="shared" si="32"/>
        <v/>
      </c>
      <c r="AL17" s="276"/>
      <c r="AM17" s="277"/>
      <c r="AN17" s="277"/>
      <c r="AO17" s="277"/>
      <c r="AP17" s="277"/>
      <c r="AQ17" s="277"/>
      <c r="AR17" s="277"/>
      <c r="AS17" s="280"/>
      <c r="AT17" s="277"/>
      <c r="AU17" s="278"/>
      <c r="AV17" s="285" t="str">
        <f t="shared" si="33"/>
        <v/>
      </c>
      <c r="AW17" s="296" t="str">
        <f t="shared" si="34"/>
        <v/>
      </c>
      <c r="AX17" s="1220" t="str">
        <f t="shared" si="16"/>
        <v/>
      </c>
      <c r="AY17" s="1221" t="str">
        <f t="shared" si="16"/>
        <v/>
      </c>
      <c r="AZ17" s="1221" t="str">
        <f t="shared" si="16"/>
        <v/>
      </c>
      <c r="BA17" s="1221" t="str">
        <f t="shared" si="16"/>
        <v/>
      </c>
      <c r="BB17" s="1221" t="str">
        <f t="shared" si="16"/>
        <v/>
      </c>
      <c r="BC17" s="1221" t="str">
        <f t="shared" si="16"/>
        <v/>
      </c>
      <c r="BD17" s="1221" t="str">
        <f t="shared" si="16"/>
        <v/>
      </c>
      <c r="BE17" s="1222" t="str">
        <f t="shared" si="16"/>
        <v/>
      </c>
      <c r="BF17" s="1221" t="str">
        <f t="shared" si="16"/>
        <v/>
      </c>
      <c r="BG17" s="1223" t="str">
        <f t="shared" si="16"/>
        <v/>
      </c>
      <c r="BH17" s="286">
        <f t="shared" si="35"/>
        <v>0</v>
      </c>
      <c r="BI17" s="286">
        <f t="shared" si="36"/>
        <v>0</v>
      </c>
      <c r="BJ17" s="287" t="str">
        <f t="shared" si="37"/>
        <v>cukup</v>
      </c>
      <c r="BK17" s="287" t="str">
        <f t="shared" si="37"/>
        <v>cukup</v>
      </c>
      <c r="BL17" s="286" t="e">
        <f t="shared" si="38"/>
        <v>#N/A</v>
      </c>
      <c r="BM17" s="288" t="e">
        <f t="shared" si="39"/>
        <v>#N/A</v>
      </c>
      <c r="BN17" s="289" t="str">
        <f t="shared" si="40"/>
        <v/>
      </c>
      <c r="BO17" s="67"/>
    </row>
    <row r="18" spans="1:67" ht="33" customHeight="1">
      <c r="A18" s="67"/>
      <c r="B18" s="272">
        <f t="shared" si="23"/>
        <v>5</v>
      </c>
      <c r="C18" s="273">
        <f>IF(Data!F9="","",Data!F9)</f>
        <v>0</v>
      </c>
      <c r="D18" s="274" t="str">
        <f>IF(Data!H9="","",Data!H9)</f>
        <v>Aulya Noviyanti Mbura</v>
      </c>
      <c r="E18" s="275" t="str">
        <f>IF(Data!I9="","",Data!I9)</f>
        <v>P</v>
      </c>
      <c r="F18" s="276"/>
      <c r="G18" s="277"/>
      <c r="H18" s="277"/>
      <c r="I18" s="277"/>
      <c r="J18" s="277"/>
      <c r="K18" s="277"/>
      <c r="L18" s="277"/>
      <c r="M18" s="280"/>
      <c r="N18" s="277"/>
      <c r="O18" s="278"/>
      <c r="P18" s="279" t="str">
        <f t="shared" si="24"/>
        <v/>
      </c>
      <c r="Q18" s="277"/>
      <c r="R18" s="280"/>
      <c r="S18" s="281" t="str">
        <f t="shared" si="25"/>
        <v/>
      </c>
      <c r="T18" s="295" t="str">
        <f t="shared" si="26"/>
        <v/>
      </c>
      <c r="U18" s="1215" t="str">
        <f t="shared" si="7"/>
        <v/>
      </c>
      <c r="V18" s="1216" t="str">
        <f t="shared" si="7"/>
        <v/>
      </c>
      <c r="W18" s="1216" t="str">
        <f t="shared" si="7"/>
        <v/>
      </c>
      <c r="X18" s="1216" t="str">
        <f t="shared" si="7"/>
        <v/>
      </c>
      <c r="Y18" s="1216" t="str">
        <f t="shared" si="7"/>
        <v/>
      </c>
      <c r="Z18" s="1216" t="str">
        <f t="shared" si="7"/>
        <v/>
      </c>
      <c r="AA18" s="1216" t="str">
        <f t="shared" si="7"/>
        <v/>
      </c>
      <c r="AB18" s="1217" t="str">
        <f t="shared" si="7"/>
        <v/>
      </c>
      <c r="AC18" s="1216" t="str">
        <f t="shared" si="7"/>
        <v/>
      </c>
      <c r="AD18" s="1218" t="str">
        <f t="shared" si="7"/>
        <v/>
      </c>
      <c r="AE18" s="1219">
        <f t="shared" si="27"/>
        <v>0</v>
      </c>
      <c r="AF18" s="282">
        <f t="shared" si="28"/>
        <v>0</v>
      </c>
      <c r="AG18" s="282" t="str">
        <f t="shared" si="29"/>
        <v>cukup</v>
      </c>
      <c r="AH18" s="282" t="str">
        <f t="shared" si="10"/>
        <v>cukup</v>
      </c>
      <c r="AI18" s="282" t="str">
        <f t="shared" si="30"/>
        <v/>
      </c>
      <c r="AJ18" s="283" t="str">
        <f t="shared" si="31"/>
        <v/>
      </c>
      <c r="AK18" s="284" t="str">
        <f t="shared" si="32"/>
        <v/>
      </c>
      <c r="AL18" s="276"/>
      <c r="AM18" s="277"/>
      <c r="AN18" s="277"/>
      <c r="AO18" s="277"/>
      <c r="AP18" s="277"/>
      <c r="AQ18" s="277"/>
      <c r="AR18" s="277"/>
      <c r="AS18" s="280"/>
      <c r="AT18" s="277"/>
      <c r="AU18" s="278"/>
      <c r="AV18" s="285" t="str">
        <f t="shared" si="33"/>
        <v/>
      </c>
      <c r="AW18" s="296" t="str">
        <f t="shared" si="34"/>
        <v/>
      </c>
      <c r="AX18" s="1220" t="str">
        <f t="shared" si="16"/>
        <v/>
      </c>
      <c r="AY18" s="1221" t="str">
        <f t="shared" si="16"/>
        <v/>
      </c>
      <c r="AZ18" s="1221" t="str">
        <f t="shared" si="16"/>
        <v/>
      </c>
      <c r="BA18" s="1221" t="str">
        <f t="shared" si="16"/>
        <v/>
      </c>
      <c r="BB18" s="1221" t="str">
        <f t="shared" si="16"/>
        <v/>
      </c>
      <c r="BC18" s="1221" t="str">
        <f t="shared" si="16"/>
        <v/>
      </c>
      <c r="BD18" s="1221" t="str">
        <f t="shared" si="16"/>
        <v/>
      </c>
      <c r="BE18" s="1222" t="str">
        <f t="shared" si="16"/>
        <v/>
      </c>
      <c r="BF18" s="1221" t="str">
        <f t="shared" si="16"/>
        <v/>
      </c>
      <c r="BG18" s="1223" t="str">
        <f t="shared" si="16"/>
        <v/>
      </c>
      <c r="BH18" s="286">
        <f t="shared" si="35"/>
        <v>0</v>
      </c>
      <c r="BI18" s="286">
        <f t="shared" si="36"/>
        <v>0</v>
      </c>
      <c r="BJ18" s="287" t="str">
        <f t="shared" si="37"/>
        <v>cukup</v>
      </c>
      <c r="BK18" s="287" t="str">
        <f t="shared" si="37"/>
        <v>cukup</v>
      </c>
      <c r="BL18" s="286" t="e">
        <f t="shared" si="38"/>
        <v>#N/A</v>
      </c>
      <c r="BM18" s="288" t="e">
        <f t="shared" si="39"/>
        <v>#N/A</v>
      </c>
      <c r="BN18" s="289" t="str">
        <f t="shared" si="40"/>
        <v/>
      </c>
      <c r="BO18" s="67"/>
    </row>
    <row r="19" spans="1:67" ht="33" customHeight="1">
      <c r="A19" s="67"/>
      <c r="B19" s="272">
        <f t="shared" si="23"/>
        <v>6</v>
      </c>
      <c r="C19" s="273">
        <f>IF(Data!F10="","",Data!F10)</f>
        <v>0</v>
      </c>
      <c r="D19" s="274" t="str">
        <f>IF(Data!H10="","",Data!H10)</f>
        <v>Ayu Oliberta Ranboki</v>
      </c>
      <c r="E19" s="275" t="str">
        <f>IF(Data!I10="","",Data!I10)</f>
        <v>P</v>
      </c>
      <c r="F19" s="276"/>
      <c r="G19" s="277"/>
      <c r="H19" s="277"/>
      <c r="I19" s="277"/>
      <c r="J19" s="277"/>
      <c r="K19" s="277"/>
      <c r="L19" s="277"/>
      <c r="M19" s="280"/>
      <c r="N19" s="277"/>
      <c r="O19" s="278"/>
      <c r="P19" s="279" t="str">
        <f t="shared" si="24"/>
        <v/>
      </c>
      <c r="Q19" s="277"/>
      <c r="R19" s="280"/>
      <c r="S19" s="281" t="str">
        <f t="shared" si="25"/>
        <v/>
      </c>
      <c r="T19" s="295" t="str">
        <f t="shared" si="26"/>
        <v/>
      </c>
      <c r="U19" s="1215" t="str">
        <f t="shared" si="7"/>
        <v/>
      </c>
      <c r="V19" s="1216" t="str">
        <f t="shared" si="7"/>
        <v/>
      </c>
      <c r="W19" s="1216" t="str">
        <f t="shared" si="7"/>
        <v/>
      </c>
      <c r="X19" s="1216" t="str">
        <f t="shared" si="7"/>
        <v/>
      </c>
      <c r="Y19" s="1216" t="str">
        <f t="shared" si="7"/>
        <v/>
      </c>
      <c r="Z19" s="1216" t="str">
        <f t="shared" si="7"/>
        <v/>
      </c>
      <c r="AA19" s="1216" t="str">
        <f t="shared" si="7"/>
        <v/>
      </c>
      <c r="AB19" s="1217" t="str">
        <f t="shared" si="7"/>
        <v/>
      </c>
      <c r="AC19" s="1216" t="str">
        <f t="shared" si="7"/>
        <v/>
      </c>
      <c r="AD19" s="1218" t="str">
        <f t="shared" si="7"/>
        <v/>
      </c>
      <c r="AE19" s="1219">
        <f t="shared" si="27"/>
        <v>0</v>
      </c>
      <c r="AF19" s="282">
        <f t="shared" si="28"/>
        <v>0</v>
      </c>
      <c r="AG19" s="282" t="str">
        <f t="shared" si="29"/>
        <v>cukup</v>
      </c>
      <c r="AH19" s="282" t="str">
        <f t="shared" si="10"/>
        <v>cukup</v>
      </c>
      <c r="AI19" s="282" t="str">
        <f t="shared" si="30"/>
        <v/>
      </c>
      <c r="AJ19" s="283" t="str">
        <f t="shared" si="31"/>
        <v/>
      </c>
      <c r="AK19" s="284" t="str">
        <f t="shared" si="32"/>
        <v/>
      </c>
      <c r="AL19" s="276"/>
      <c r="AM19" s="277"/>
      <c r="AN19" s="277"/>
      <c r="AO19" s="277"/>
      <c r="AP19" s="277"/>
      <c r="AQ19" s="277"/>
      <c r="AR19" s="277"/>
      <c r="AS19" s="280"/>
      <c r="AT19" s="277"/>
      <c r="AU19" s="278"/>
      <c r="AV19" s="285" t="str">
        <f t="shared" si="33"/>
        <v/>
      </c>
      <c r="AW19" s="296" t="str">
        <f t="shared" si="34"/>
        <v/>
      </c>
      <c r="AX19" s="1220" t="str">
        <f t="shared" si="16"/>
        <v/>
      </c>
      <c r="AY19" s="1221" t="str">
        <f t="shared" si="16"/>
        <v/>
      </c>
      <c r="AZ19" s="1221" t="str">
        <f t="shared" si="16"/>
        <v/>
      </c>
      <c r="BA19" s="1221" t="str">
        <f t="shared" si="16"/>
        <v/>
      </c>
      <c r="BB19" s="1221" t="str">
        <f t="shared" si="16"/>
        <v/>
      </c>
      <c r="BC19" s="1221" t="str">
        <f t="shared" si="16"/>
        <v/>
      </c>
      <c r="BD19" s="1221" t="str">
        <f t="shared" si="16"/>
        <v/>
      </c>
      <c r="BE19" s="1222" t="str">
        <f t="shared" si="16"/>
        <v/>
      </c>
      <c r="BF19" s="1221" t="str">
        <f t="shared" si="16"/>
        <v/>
      </c>
      <c r="BG19" s="1223" t="str">
        <f t="shared" si="16"/>
        <v/>
      </c>
      <c r="BH19" s="286">
        <f t="shared" si="35"/>
        <v>0</v>
      </c>
      <c r="BI19" s="286">
        <f t="shared" si="36"/>
        <v>0</v>
      </c>
      <c r="BJ19" s="287" t="str">
        <f t="shared" si="37"/>
        <v>cukup</v>
      </c>
      <c r="BK19" s="287" t="str">
        <f t="shared" si="37"/>
        <v>cukup</v>
      </c>
      <c r="BL19" s="286" t="e">
        <f t="shared" si="38"/>
        <v>#N/A</v>
      </c>
      <c r="BM19" s="288" t="e">
        <f t="shared" si="39"/>
        <v>#N/A</v>
      </c>
      <c r="BN19" s="289" t="str">
        <f t="shared" si="40"/>
        <v/>
      </c>
      <c r="BO19" s="67"/>
    </row>
    <row r="20" spans="1:67" ht="33" customHeight="1">
      <c r="A20" s="67"/>
      <c r="B20" s="272">
        <f t="shared" si="23"/>
        <v>7</v>
      </c>
      <c r="C20" s="273">
        <f>IF(Data!F11="","",Data!F11)</f>
        <v>0</v>
      </c>
      <c r="D20" s="274" t="str">
        <f>IF(Data!H11="","",Data!H11)</f>
        <v>Benediktus Faot</v>
      </c>
      <c r="E20" s="275" t="str">
        <f>IF(Data!I11="","",Data!I11)</f>
        <v>L</v>
      </c>
      <c r="F20" s="276"/>
      <c r="G20" s="277"/>
      <c r="H20" s="277"/>
      <c r="I20" s="277"/>
      <c r="J20" s="277"/>
      <c r="K20" s="277"/>
      <c r="L20" s="277"/>
      <c r="M20" s="280"/>
      <c r="N20" s="277"/>
      <c r="O20" s="278"/>
      <c r="P20" s="279" t="str">
        <f t="shared" si="24"/>
        <v/>
      </c>
      <c r="Q20" s="277"/>
      <c r="R20" s="280"/>
      <c r="S20" s="281" t="str">
        <f t="shared" si="25"/>
        <v/>
      </c>
      <c r="T20" s="295" t="str">
        <f t="shared" si="26"/>
        <v/>
      </c>
      <c r="U20" s="1215" t="str">
        <f t="shared" si="7"/>
        <v/>
      </c>
      <c r="V20" s="1216" t="str">
        <f t="shared" si="7"/>
        <v/>
      </c>
      <c r="W20" s="1216" t="str">
        <f t="shared" si="7"/>
        <v/>
      </c>
      <c r="X20" s="1216" t="str">
        <f t="shared" si="7"/>
        <v/>
      </c>
      <c r="Y20" s="1216" t="str">
        <f t="shared" si="7"/>
        <v/>
      </c>
      <c r="Z20" s="1216" t="str">
        <f t="shared" si="7"/>
        <v/>
      </c>
      <c r="AA20" s="1216" t="str">
        <f t="shared" si="7"/>
        <v/>
      </c>
      <c r="AB20" s="1217" t="str">
        <f t="shared" si="7"/>
        <v/>
      </c>
      <c r="AC20" s="1216" t="str">
        <f t="shared" si="7"/>
        <v/>
      </c>
      <c r="AD20" s="1218" t="str">
        <f t="shared" si="7"/>
        <v/>
      </c>
      <c r="AE20" s="1219">
        <f t="shared" si="27"/>
        <v>0</v>
      </c>
      <c r="AF20" s="282">
        <f t="shared" si="28"/>
        <v>0</v>
      </c>
      <c r="AG20" s="282" t="str">
        <f t="shared" si="29"/>
        <v>cukup</v>
      </c>
      <c r="AH20" s="282" t="str">
        <f t="shared" si="10"/>
        <v>cukup</v>
      </c>
      <c r="AI20" s="282" t="str">
        <f t="shared" si="30"/>
        <v/>
      </c>
      <c r="AJ20" s="283" t="str">
        <f t="shared" si="31"/>
        <v/>
      </c>
      <c r="AK20" s="284" t="str">
        <f t="shared" si="32"/>
        <v/>
      </c>
      <c r="AL20" s="276"/>
      <c r="AM20" s="277"/>
      <c r="AN20" s="277"/>
      <c r="AO20" s="277"/>
      <c r="AP20" s="277"/>
      <c r="AQ20" s="277"/>
      <c r="AR20" s="277"/>
      <c r="AS20" s="280"/>
      <c r="AT20" s="277"/>
      <c r="AU20" s="278"/>
      <c r="AV20" s="285" t="str">
        <f t="shared" si="33"/>
        <v/>
      </c>
      <c r="AW20" s="296" t="str">
        <f t="shared" si="34"/>
        <v/>
      </c>
      <c r="AX20" s="1220" t="str">
        <f t="shared" si="16"/>
        <v/>
      </c>
      <c r="AY20" s="1221" t="str">
        <f t="shared" si="16"/>
        <v/>
      </c>
      <c r="AZ20" s="1221" t="str">
        <f t="shared" si="16"/>
        <v/>
      </c>
      <c r="BA20" s="1221" t="str">
        <f t="shared" si="16"/>
        <v/>
      </c>
      <c r="BB20" s="1221" t="str">
        <f t="shared" si="16"/>
        <v/>
      </c>
      <c r="BC20" s="1221" t="str">
        <f t="shared" si="16"/>
        <v/>
      </c>
      <c r="BD20" s="1221" t="str">
        <f t="shared" si="16"/>
        <v/>
      </c>
      <c r="BE20" s="1222" t="str">
        <f t="shared" si="16"/>
        <v/>
      </c>
      <c r="BF20" s="1221" t="str">
        <f t="shared" si="16"/>
        <v/>
      </c>
      <c r="BG20" s="1223" t="str">
        <f t="shared" si="16"/>
        <v/>
      </c>
      <c r="BH20" s="286">
        <f t="shared" si="35"/>
        <v>0</v>
      </c>
      <c r="BI20" s="286">
        <f t="shared" si="36"/>
        <v>0</v>
      </c>
      <c r="BJ20" s="287" t="str">
        <f t="shared" si="37"/>
        <v>cukup</v>
      </c>
      <c r="BK20" s="287" t="str">
        <f t="shared" si="37"/>
        <v>cukup</v>
      </c>
      <c r="BL20" s="286" t="e">
        <f t="shared" si="38"/>
        <v>#N/A</v>
      </c>
      <c r="BM20" s="288" t="e">
        <f t="shared" si="39"/>
        <v>#N/A</v>
      </c>
      <c r="BN20" s="289" t="str">
        <f t="shared" si="40"/>
        <v/>
      </c>
      <c r="BO20" s="67"/>
    </row>
    <row r="21" spans="1:67" ht="33" customHeight="1">
      <c r="A21" s="67"/>
      <c r="B21" s="272">
        <f t="shared" si="23"/>
        <v>8</v>
      </c>
      <c r="C21" s="273">
        <f>IF(Data!F12="","",Data!F12)</f>
        <v>0</v>
      </c>
      <c r="D21" s="274" t="str">
        <f>IF(Data!H12="","",Data!H12)</f>
        <v>Betron Imanuel Kuni</v>
      </c>
      <c r="E21" s="275" t="str">
        <f>IF(Data!I12="","",Data!I12)</f>
        <v>L</v>
      </c>
      <c r="F21" s="276"/>
      <c r="G21" s="277"/>
      <c r="H21" s="277"/>
      <c r="I21" s="277"/>
      <c r="J21" s="277"/>
      <c r="K21" s="277"/>
      <c r="L21" s="277"/>
      <c r="M21" s="280"/>
      <c r="N21" s="277"/>
      <c r="O21" s="278"/>
      <c r="P21" s="279" t="str">
        <f t="shared" si="24"/>
        <v/>
      </c>
      <c r="Q21" s="277"/>
      <c r="R21" s="280"/>
      <c r="S21" s="281" t="str">
        <f t="shared" si="25"/>
        <v/>
      </c>
      <c r="T21" s="295" t="str">
        <f t="shared" si="26"/>
        <v/>
      </c>
      <c r="U21" s="1215" t="str">
        <f t="shared" si="7"/>
        <v/>
      </c>
      <c r="V21" s="1216" t="str">
        <f t="shared" si="7"/>
        <v/>
      </c>
      <c r="W21" s="1216" t="str">
        <f t="shared" si="7"/>
        <v/>
      </c>
      <c r="X21" s="1216" t="str">
        <f t="shared" si="7"/>
        <v/>
      </c>
      <c r="Y21" s="1216" t="str">
        <f t="shared" si="7"/>
        <v/>
      </c>
      <c r="Z21" s="1216" t="str">
        <f t="shared" si="7"/>
        <v/>
      </c>
      <c r="AA21" s="1216" t="str">
        <f t="shared" si="7"/>
        <v/>
      </c>
      <c r="AB21" s="1217" t="str">
        <f t="shared" si="7"/>
        <v/>
      </c>
      <c r="AC21" s="1216" t="str">
        <f t="shared" si="7"/>
        <v/>
      </c>
      <c r="AD21" s="1218" t="str">
        <f t="shared" si="7"/>
        <v/>
      </c>
      <c r="AE21" s="1219">
        <f t="shared" si="27"/>
        <v>0</v>
      </c>
      <c r="AF21" s="282">
        <f t="shared" si="28"/>
        <v>0</v>
      </c>
      <c r="AG21" s="282" t="str">
        <f t="shared" si="29"/>
        <v>cukup</v>
      </c>
      <c r="AH21" s="282" t="str">
        <f t="shared" si="10"/>
        <v>cukup</v>
      </c>
      <c r="AI21" s="282" t="str">
        <f t="shared" si="30"/>
        <v/>
      </c>
      <c r="AJ21" s="283" t="str">
        <f t="shared" si="31"/>
        <v/>
      </c>
      <c r="AK21" s="284" t="str">
        <f t="shared" si="32"/>
        <v/>
      </c>
      <c r="AL21" s="276"/>
      <c r="AM21" s="277"/>
      <c r="AN21" s="277"/>
      <c r="AO21" s="277"/>
      <c r="AP21" s="277"/>
      <c r="AQ21" s="277"/>
      <c r="AR21" s="277"/>
      <c r="AS21" s="280"/>
      <c r="AT21" s="277"/>
      <c r="AU21" s="278"/>
      <c r="AV21" s="285" t="str">
        <f t="shared" si="33"/>
        <v/>
      </c>
      <c r="AW21" s="296" t="str">
        <f t="shared" si="34"/>
        <v/>
      </c>
      <c r="AX21" s="1220" t="str">
        <f t="shared" si="16"/>
        <v/>
      </c>
      <c r="AY21" s="1221" t="str">
        <f t="shared" si="16"/>
        <v/>
      </c>
      <c r="AZ21" s="1221" t="str">
        <f t="shared" si="16"/>
        <v/>
      </c>
      <c r="BA21" s="1221" t="str">
        <f t="shared" si="16"/>
        <v/>
      </c>
      <c r="BB21" s="1221" t="str">
        <f t="shared" si="16"/>
        <v/>
      </c>
      <c r="BC21" s="1221" t="str">
        <f t="shared" si="16"/>
        <v/>
      </c>
      <c r="BD21" s="1221" t="str">
        <f t="shared" si="16"/>
        <v/>
      </c>
      <c r="BE21" s="1222" t="str">
        <f t="shared" si="16"/>
        <v/>
      </c>
      <c r="BF21" s="1221" t="str">
        <f t="shared" si="16"/>
        <v/>
      </c>
      <c r="BG21" s="1223" t="str">
        <f t="shared" si="16"/>
        <v/>
      </c>
      <c r="BH21" s="286">
        <f t="shared" si="35"/>
        <v>0</v>
      </c>
      <c r="BI21" s="286">
        <f t="shared" si="36"/>
        <v>0</v>
      </c>
      <c r="BJ21" s="287" t="str">
        <f t="shared" si="37"/>
        <v>cukup</v>
      </c>
      <c r="BK21" s="287" t="str">
        <f t="shared" si="37"/>
        <v>cukup</v>
      </c>
      <c r="BL21" s="286" t="e">
        <f t="shared" si="38"/>
        <v>#N/A</v>
      </c>
      <c r="BM21" s="288" t="e">
        <f t="shared" si="39"/>
        <v>#N/A</v>
      </c>
      <c r="BN21" s="289" t="str">
        <f t="shared" si="40"/>
        <v/>
      </c>
      <c r="BO21" s="67"/>
    </row>
    <row r="22" spans="1:67" ht="33" customHeight="1">
      <c r="A22" s="67"/>
      <c r="B22" s="272">
        <f t="shared" si="23"/>
        <v>9</v>
      </c>
      <c r="C22" s="273">
        <f>IF(Data!F13="","",Data!F13)</f>
        <v>0</v>
      </c>
      <c r="D22" s="274" t="str">
        <f>IF(Data!H13="","",Data!H13)</f>
        <v>Demrianus Ton</v>
      </c>
      <c r="E22" s="275" t="str">
        <f>IF(Data!I13="","",Data!I13)</f>
        <v>L</v>
      </c>
      <c r="F22" s="276"/>
      <c r="G22" s="277"/>
      <c r="H22" s="277"/>
      <c r="I22" s="277"/>
      <c r="J22" s="277"/>
      <c r="K22" s="277"/>
      <c r="L22" s="277"/>
      <c r="M22" s="280"/>
      <c r="N22" s="277"/>
      <c r="O22" s="278"/>
      <c r="P22" s="279" t="str">
        <f t="shared" si="24"/>
        <v/>
      </c>
      <c r="Q22" s="277"/>
      <c r="R22" s="280"/>
      <c r="S22" s="281" t="str">
        <f t="shared" si="25"/>
        <v/>
      </c>
      <c r="T22" s="295" t="str">
        <f t="shared" si="26"/>
        <v/>
      </c>
      <c r="U22" s="1215" t="str">
        <f t="shared" si="7"/>
        <v/>
      </c>
      <c r="V22" s="1216" t="str">
        <f t="shared" si="7"/>
        <v/>
      </c>
      <c r="W22" s="1216" t="str">
        <f t="shared" si="7"/>
        <v/>
      </c>
      <c r="X22" s="1216" t="str">
        <f t="shared" si="7"/>
        <v/>
      </c>
      <c r="Y22" s="1216" t="str">
        <f t="shared" si="7"/>
        <v/>
      </c>
      <c r="Z22" s="1216" t="str">
        <f t="shared" si="7"/>
        <v/>
      </c>
      <c r="AA22" s="1216" t="str">
        <f t="shared" si="7"/>
        <v/>
      </c>
      <c r="AB22" s="1217" t="str">
        <f t="shared" si="7"/>
        <v/>
      </c>
      <c r="AC22" s="1216" t="str">
        <f t="shared" si="7"/>
        <v/>
      </c>
      <c r="AD22" s="1218" t="str">
        <f t="shared" si="7"/>
        <v/>
      </c>
      <c r="AE22" s="1219">
        <f t="shared" si="27"/>
        <v>0</v>
      </c>
      <c r="AF22" s="282">
        <f t="shared" si="28"/>
        <v>0</v>
      </c>
      <c r="AG22" s="282" t="str">
        <f t="shared" si="29"/>
        <v>cukup</v>
      </c>
      <c r="AH22" s="282" t="str">
        <f t="shared" si="10"/>
        <v>cukup</v>
      </c>
      <c r="AI22" s="282" t="str">
        <f t="shared" si="30"/>
        <v/>
      </c>
      <c r="AJ22" s="283" t="str">
        <f t="shared" si="31"/>
        <v/>
      </c>
      <c r="AK22" s="284" t="str">
        <f t="shared" si="32"/>
        <v/>
      </c>
      <c r="AL22" s="276"/>
      <c r="AM22" s="277"/>
      <c r="AN22" s="277"/>
      <c r="AO22" s="277"/>
      <c r="AP22" s="277"/>
      <c r="AQ22" s="277"/>
      <c r="AR22" s="277"/>
      <c r="AS22" s="280"/>
      <c r="AT22" s="277"/>
      <c r="AU22" s="278"/>
      <c r="AV22" s="285" t="str">
        <f t="shared" si="33"/>
        <v/>
      </c>
      <c r="AW22" s="296" t="str">
        <f t="shared" si="34"/>
        <v/>
      </c>
      <c r="AX22" s="1220" t="str">
        <f t="shared" si="16"/>
        <v/>
      </c>
      <c r="AY22" s="1221" t="str">
        <f t="shared" si="16"/>
        <v/>
      </c>
      <c r="AZ22" s="1221" t="str">
        <f t="shared" si="16"/>
        <v/>
      </c>
      <c r="BA22" s="1221" t="str">
        <f t="shared" si="16"/>
        <v/>
      </c>
      <c r="BB22" s="1221" t="str">
        <f t="shared" si="16"/>
        <v/>
      </c>
      <c r="BC22" s="1221" t="str">
        <f t="shared" si="16"/>
        <v/>
      </c>
      <c r="BD22" s="1221" t="str">
        <f t="shared" si="16"/>
        <v/>
      </c>
      <c r="BE22" s="1222" t="str">
        <f t="shared" si="16"/>
        <v/>
      </c>
      <c r="BF22" s="1221" t="str">
        <f t="shared" si="16"/>
        <v/>
      </c>
      <c r="BG22" s="1223" t="str">
        <f t="shared" si="16"/>
        <v/>
      </c>
      <c r="BH22" s="286">
        <f t="shared" si="35"/>
        <v>0</v>
      </c>
      <c r="BI22" s="286">
        <f t="shared" si="36"/>
        <v>0</v>
      </c>
      <c r="BJ22" s="287" t="str">
        <f t="shared" si="37"/>
        <v>cukup</v>
      </c>
      <c r="BK22" s="287" t="str">
        <f t="shared" si="37"/>
        <v>cukup</v>
      </c>
      <c r="BL22" s="286" t="e">
        <f t="shared" si="38"/>
        <v>#N/A</v>
      </c>
      <c r="BM22" s="288" t="e">
        <f t="shared" si="39"/>
        <v>#N/A</v>
      </c>
      <c r="BN22" s="289" t="str">
        <f t="shared" si="40"/>
        <v/>
      </c>
      <c r="BO22" s="67"/>
    </row>
    <row r="23" spans="1:67" ht="33" customHeight="1">
      <c r="A23" s="67"/>
      <c r="B23" s="272">
        <f t="shared" si="23"/>
        <v>10</v>
      </c>
      <c r="C23" s="273">
        <f>IF(Data!F14="","",Data!F14)</f>
        <v>0</v>
      </c>
      <c r="D23" s="274" t="str">
        <f>IF(Data!H14="","",Data!H14)</f>
        <v>Desti Manggoa</v>
      </c>
      <c r="E23" s="275" t="str">
        <f>IF(Data!I14="","",Data!I14)</f>
        <v>P</v>
      </c>
      <c r="F23" s="276"/>
      <c r="G23" s="277"/>
      <c r="H23" s="277"/>
      <c r="I23" s="277"/>
      <c r="J23" s="277"/>
      <c r="K23" s="277"/>
      <c r="L23" s="277"/>
      <c r="M23" s="280"/>
      <c r="N23" s="277"/>
      <c r="O23" s="278"/>
      <c r="P23" s="279" t="str">
        <f t="shared" si="24"/>
        <v/>
      </c>
      <c r="Q23" s="277"/>
      <c r="R23" s="280"/>
      <c r="S23" s="281" t="str">
        <f t="shared" si="25"/>
        <v/>
      </c>
      <c r="T23" s="295" t="str">
        <f t="shared" si="26"/>
        <v/>
      </c>
      <c r="U23" s="1215" t="str">
        <f t="shared" si="7"/>
        <v/>
      </c>
      <c r="V23" s="1216" t="str">
        <f t="shared" si="7"/>
        <v/>
      </c>
      <c r="W23" s="1216" t="str">
        <f t="shared" si="7"/>
        <v/>
      </c>
      <c r="X23" s="1216" t="str">
        <f t="shared" si="7"/>
        <v/>
      </c>
      <c r="Y23" s="1216" t="str">
        <f t="shared" si="7"/>
        <v/>
      </c>
      <c r="Z23" s="1216" t="str">
        <f t="shared" si="7"/>
        <v/>
      </c>
      <c r="AA23" s="1216" t="str">
        <f t="shared" si="7"/>
        <v/>
      </c>
      <c r="AB23" s="1217" t="str">
        <f t="shared" si="7"/>
        <v/>
      </c>
      <c r="AC23" s="1216" t="str">
        <f t="shared" si="7"/>
        <v/>
      </c>
      <c r="AD23" s="1218" t="str">
        <f t="shared" si="7"/>
        <v/>
      </c>
      <c r="AE23" s="1219">
        <f t="shared" si="27"/>
        <v>0</v>
      </c>
      <c r="AF23" s="282">
        <f t="shared" si="28"/>
        <v>0</v>
      </c>
      <c r="AG23" s="282" t="str">
        <f t="shared" si="29"/>
        <v>cukup</v>
      </c>
      <c r="AH23" s="282" t="str">
        <f t="shared" si="10"/>
        <v>cukup</v>
      </c>
      <c r="AI23" s="282" t="str">
        <f t="shared" si="30"/>
        <v/>
      </c>
      <c r="AJ23" s="283" t="str">
        <f t="shared" si="31"/>
        <v/>
      </c>
      <c r="AK23" s="284" t="str">
        <f t="shared" si="32"/>
        <v/>
      </c>
      <c r="AL23" s="276"/>
      <c r="AM23" s="277"/>
      <c r="AN23" s="277"/>
      <c r="AO23" s="277"/>
      <c r="AP23" s="277"/>
      <c r="AQ23" s="277"/>
      <c r="AR23" s="277"/>
      <c r="AS23" s="280"/>
      <c r="AT23" s="277"/>
      <c r="AU23" s="278"/>
      <c r="AV23" s="285" t="str">
        <f t="shared" si="33"/>
        <v/>
      </c>
      <c r="AW23" s="296" t="str">
        <f t="shared" si="34"/>
        <v/>
      </c>
      <c r="AX23" s="1220" t="str">
        <f t="shared" si="16"/>
        <v/>
      </c>
      <c r="AY23" s="1221" t="str">
        <f t="shared" si="16"/>
        <v/>
      </c>
      <c r="AZ23" s="1221" t="str">
        <f t="shared" si="16"/>
        <v/>
      </c>
      <c r="BA23" s="1221" t="str">
        <f t="shared" si="16"/>
        <v/>
      </c>
      <c r="BB23" s="1221" t="str">
        <f t="shared" si="16"/>
        <v/>
      </c>
      <c r="BC23" s="1221" t="str">
        <f t="shared" si="16"/>
        <v/>
      </c>
      <c r="BD23" s="1221" t="str">
        <f t="shared" si="16"/>
        <v/>
      </c>
      <c r="BE23" s="1222" t="str">
        <f t="shared" si="16"/>
        <v/>
      </c>
      <c r="BF23" s="1221" t="str">
        <f t="shared" si="16"/>
        <v/>
      </c>
      <c r="BG23" s="1223" t="str">
        <f t="shared" si="16"/>
        <v/>
      </c>
      <c r="BH23" s="286">
        <f t="shared" si="35"/>
        <v>0</v>
      </c>
      <c r="BI23" s="286">
        <f t="shared" si="36"/>
        <v>0</v>
      </c>
      <c r="BJ23" s="287" t="str">
        <f t="shared" si="37"/>
        <v>cukup</v>
      </c>
      <c r="BK23" s="287" t="str">
        <f t="shared" si="37"/>
        <v>cukup</v>
      </c>
      <c r="BL23" s="286" t="e">
        <f t="shared" si="38"/>
        <v>#N/A</v>
      </c>
      <c r="BM23" s="288" t="e">
        <f t="shared" si="39"/>
        <v>#N/A</v>
      </c>
      <c r="BN23" s="289" t="str">
        <f t="shared" si="40"/>
        <v/>
      </c>
      <c r="BO23" s="67"/>
    </row>
    <row r="24" spans="1:67" ht="33" customHeight="1">
      <c r="A24" s="67"/>
      <c r="B24" s="272">
        <f t="shared" si="23"/>
        <v>11</v>
      </c>
      <c r="C24" s="273">
        <f>IF(Data!F15="","",Data!F15)</f>
        <v>0</v>
      </c>
      <c r="D24" s="274" t="str">
        <f>IF(Data!H15="","",Data!H15)</f>
        <v>Dorkas Meliana Talita Kesnay</v>
      </c>
      <c r="E24" s="275" t="str">
        <f>IF(Data!I15="","",Data!I15)</f>
        <v>P</v>
      </c>
      <c r="F24" s="276"/>
      <c r="G24" s="277"/>
      <c r="H24" s="277"/>
      <c r="I24" s="277"/>
      <c r="J24" s="277"/>
      <c r="K24" s="277"/>
      <c r="L24" s="277"/>
      <c r="M24" s="280"/>
      <c r="N24" s="277"/>
      <c r="O24" s="278"/>
      <c r="P24" s="279" t="str">
        <f t="shared" si="24"/>
        <v/>
      </c>
      <c r="Q24" s="277"/>
      <c r="R24" s="280"/>
      <c r="S24" s="281" t="str">
        <f t="shared" si="25"/>
        <v/>
      </c>
      <c r="T24" s="295" t="str">
        <f t="shared" si="26"/>
        <v/>
      </c>
      <c r="U24" s="1215" t="str">
        <f t="shared" si="7"/>
        <v/>
      </c>
      <c r="V24" s="1216" t="str">
        <f t="shared" si="7"/>
        <v/>
      </c>
      <c r="W24" s="1216" t="str">
        <f t="shared" si="7"/>
        <v/>
      </c>
      <c r="X24" s="1216" t="str">
        <f t="shared" si="7"/>
        <v/>
      </c>
      <c r="Y24" s="1216" t="str">
        <f t="shared" si="7"/>
        <v/>
      </c>
      <c r="Z24" s="1216" t="str">
        <f t="shared" si="7"/>
        <v/>
      </c>
      <c r="AA24" s="1216" t="str">
        <f t="shared" si="7"/>
        <v/>
      </c>
      <c r="AB24" s="1217" t="str">
        <f t="shared" si="7"/>
        <v/>
      </c>
      <c r="AC24" s="1216" t="str">
        <f t="shared" si="7"/>
        <v/>
      </c>
      <c r="AD24" s="1218" t="str">
        <f t="shared" si="7"/>
        <v/>
      </c>
      <c r="AE24" s="1219">
        <f t="shared" si="27"/>
        <v>0</v>
      </c>
      <c r="AF24" s="282">
        <f t="shared" si="28"/>
        <v>0</v>
      </c>
      <c r="AG24" s="282" t="str">
        <f t="shared" si="29"/>
        <v>cukup</v>
      </c>
      <c r="AH24" s="282" t="str">
        <f t="shared" si="10"/>
        <v>cukup</v>
      </c>
      <c r="AI24" s="282" t="str">
        <f t="shared" si="30"/>
        <v/>
      </c>
      <c r="AJ24" s="283" t="str">
        <f t="shared" si="31"/>
        <v/>
      </c>
      <c r="AK24" s="284" t="str">
        <f t="shared" si="32"/>
        <v/>
      </c>
      <c r="AL24" s="276"/>
      <c r="AM24" s="277"/>
      <c r="AN24" s="277"/>
      <c r="AO24" s="277"/>
      <c r="AP24" s="277"/>
      <c r="AQ24" s="277"/>
      <c r="AR24" s="277"/>
      <c r="AS24" s="280"/>
      <c r="AT24" s="277"/>
      <c r="AU24" s="278"/>
      <c r="AV24" s="285" t="str">
        <f t="shared" si="33"/>
        <v/>
      </c>
      <c r="AW24" s="296" t="str">
        <f t="shared" si="34"/>
        <v/>
      </c>
      <c r="AX24" s="1220" t="str">
        <f t="shared" si="16"/>
        <v/>
      </c>
      <c r="AY24" s="1221" t="str">
        <f t="shared" si="16"/>
        <v/>
      </c>
      <c r="AZ24" s="1221" t="str">
        <f t="shared" si="16"/>
        <v/>
      </c>
      <c r="BA24" s="1221" t="str">
        <f t="shared" si="16"/>
        <v/>
      </c>
      <c r="BB24" s="1221" t="str">
        <f t="shared" si="16"/>
        <v/>
      </c>
      <c r="BC24" s="1221" t="str">
        <f t="shared" si="16"/>
        <v/>
      </c>
      <c r="BD24" s="1221" t="str">
        <f t="shared" si="16"/>
        <v/>
      </c>
      <c r="BE24" s="1222" t="str">
        <f t="shared" si="16"/>
        <v/>
      </c>
      <c r="BF24" s="1221" t="str">
        <f t="shared" si="16"/>
        <v/>
      </c>
      <c r="BG24" s="1223" t="str">
        <f t="shared" si="16"/>
        <v/>
      </c>
      <c r="BH24" s="286">
        <f t="shared" si="35"/>
        <v>0</v>
      </c>
      <c r="BI24" s="286">
        <f t="shared" si="36"/>
        <v>0</v>
      </c>
      <c r="BJ24" s="287" t="str">
        <f t="shared" si="37"/>
        <v>cukup</v>
      </c>
      <c r="BK24" s="287" t="str">
        <f t="shared" si="37"/>
        <v>cukup</v>
      </c>
      <c r="BL24" s="286" t="e">
        <f t="shared" si="38"/>
        <v>#N/A</v>
      </c>
      <c r="BM24" s="288" t="e">
        <f t="shared" si="39"/>
        <v>#N/A</v>
      </c>
      <c r="BN24" s="289" t="str">
        <f t="shared" si="40"/>
        <v/>
      </c>
      <c r="BO24" s="67"/>
    </row>
    <row r="25" spans="1:67" ht="33" customHeight="1">
      <c r="A25" s="67"/>
      <c r="B25" s="272">
        <f t="shared" si="23"/>
        <v>12</v>
      </c>
      <c r="C25" s="273">
        <f>IF(Data!F16="","",Data!F16)</f>
        <v>0</v>
      </c>
      <c r="D25" s="274" t="str">
        <f>IF(Data!H16="","",Data!H16)</f>
        <v>Erto Seprianto Leukune</v>
      </c>
      <c r="E25" s="275" t="str">
        <f>IF(Data!I16="","",Data!I16)</f>
        <v>L</v>
      </c>
      <c r="F25" s="276"/>
      <c r="G25" s="277"/>
      <c r="H25" s="277"/>
      <c r="I25" s="277"/>
      <c r="J25" s="277"/>
      <c r="K25" s="277"/>
      <c r="L25" s="277"/>
      <c r="M25" s="280"/>
      <c r="N25" s="277"/>
      <c r="O25" s="278"/>
      <c r="P25" s="279" t="str">
        <f t="shared" si="24"/>
        <v/>
      </c>
      <c r="Q25" s="277"/>
      <c r="R25" s="280"/>
      <c r="S25" s="281" t="str">
        <f t="shared" si="25"/>
        <v/>
      </c>
      <c r="T25" s="295" t="str">
        <f t="shared" si="26"/>
        <v/>
      </c>
      <c r="U25" s="1215" t="str">
        <f t="shared" si="7"/>
        <v/>
      </c>
      <c r="V25" s="1216" t="str">
        <f t="shared" si="7"/>
        <v/>
      </c>
      <c r="W25" s="1216" t="str">
        <f t="shared" si="7"/>
        <v/>
      </c>
      <c r="X25" s="1216" t="str">
        <f t="shared" si="7"/>
        <v/>
      </c>
      <c r="Y25" s="1216" t="str">
        <f t="shared" si="7"/>
        <v/>
      </c>
      <c r="Z25" s="1216" t="str">
        <f t="shared" si="7"/>
        <v/>
      </c>
      <c r="AA25" s="1216" t="str">
        <f t="shared" si="7"/>
        <v/>
      </c>
      <c r="AB25" s="1217" t="str">
        <f t="shared" si="7"/>
        <v/>
      </c>
      <c r="AC25" s="1216" t="str">
        <f t="shared" si="7"/>
        <v/>
      </c>
      <c r="AD25" s="1218" t="str">
        <f t="shared" si="7"/>
        <v/>
      </c>
      <c r="AE25" s="1219">
        <f t="shared" si="27"/>
        <v>0</v>
      </c>
      <c r="AF25" s="282">
        <f t="shared" si="28"/>
        <v>0</v>
      </c>
      <c r="AG25" s="282" t="str">
        <f t="shared" si="29"/>
        <v>cukup</v>
      </c>
      <c r="AH25" s="282" t="str">
        <f t="shared" si="10"/>
        <v>cukup</v>
      </c>
      <c r="AI25" s="282" t="str">
        <f t="shared" si="30"/>
        <v/>
      </c>
      <c r="AJ25" s="283" t="str">
        <f t="shared" si="31"/>
        <v/>
      </c>
      <c r="AK25" s="284" t="str">
        <f t="shared" si="32"/>
        <v/>
      </c>
      <c r="AL25" s="276"/>
      <c r="AM25" s="277"/>
      <c r="AN25" s="277"/>
      <c r="AO25" s="277"/>
      <c r="AP25" s="277"/>
      <c r="AQ25" s="277"/>
      <c r="AR25" s="277"/>
      <c r="AS25" s="280"/>
      <c r="AT25" s="277"/>
      <c r="AU25" s="278"/>
      <c r="AV25" s="285" t="str">
        <f t="shared" si="33"/>
        <v/>
      </c>
      <c r="AW25" s="296" t="str">
        <f t="shared" si="34"/>
        <v/>
      </c>
      <c r="AX25" s="1220" t="str">
        <f t="shared" si="16"/>
        <v/>
      </c>
      <c r="AY25" s="1221" t="str">
        <f t="shared" si="16"/>
        <v/>
      </c>
      <c r="AZ25" s="1221" t="str">
        <f t="shared" si="16"/>
        <v/>
      </c>
      <c r="BA25" s="1221" t="str">
        <f t="shared" si="16"/>
        <v/>
      </c>
      <c r="BB25" s="1221" t="str">
        <f t="shared" si="16"/>
        <v/>
      </c>
      <c r="BC25" s="1221" t="str">
        <f t="shared" si="16"/>
        <v/>
      </c>
      <c r="BD25" s="1221" t="str">
        <f t="shared" si="16"/>
        <v/>
      </c>
      <c r="BE25" s="1222" t="str">
        <f t="shared" si="16"/>
        <v/>
      </c>
      <c r="BF25" s="1221" t="str">
        <f t="shared" si="16"/>
        <v/>
      </c>
      <c r="BG25" s="1223" t="str">
        <f t="shared" si="16"/>
        <v/>
      </c>
      <c r="BH25" s="286">
        <f t="shared" si="35"/>
        <v>0</v>
      </c>
      <c r="BI25" s="286">
        <f t="shared" si="36"/>
        <v>0</v>
      </c>
      <c r="BJ25" s="287" t="str">
        <f t="shared" si="37"/>
        <v>cukup</v>
      </c>
      <c r="BK25" s="287" t="str">
        <f t="shared" si="37"/>
        <v>cukup</v>
      </c>
      <c r="BL25" s="286" t="e">
        <f t="shared" si="38"/>
        <v>#N/A</v>
      </c>
      <c r="BM25" s="288" t="e">
        <f t="shared" si="39"/>
        <v>#N/A</v>
      </c>
      <c r="BN25" s="289" t="str">
        <f t="shared" si="40"/>
        <v/>
      </c>
      <c r="BO25" s="67"/>
    </row>
    <row r="26" spans="1:67" ht="33" customHeight="1">
      <c r="A26" s="67"/>
      <c r="B26" s="272">
        <f t="shared" si="23"/>
        <v>13</v>
      </c>
      <c r="C26" s="273">
        <f>IF(Data!F17="","",Data!F17)</f>
        <v>0</v>
      </c>
      <c r="D26" s="274" t="str">
        <f>IF(Data!H17="","",Data!H17)</f>
        <v>Feli Tipnoni</v>
      </c>
      <c r="E26" s="275" t="str">
        <f>IF(Data!I17="","",Data!I17)</f>
        <v>P</v>
      </c>
      <c r="F26" s="276"/>
      <c r="G26" s="277"/>
      <c r="H26" s="277"/>
      <c r="I26" s="277"/>
      <c r="J26" s="277"/>
      <c r="K26" s="277"/>
      <c r="L26" s="277"/>
      <c r="M26" s="280"/>
      <c r="N26" s="277"/>
      <c r="O26" s="278"/>
      <c r="P26" s="279" t="str">
        <f t="shared" si="24"/>
        <v/>
      </c>
      <c r="Q26" s="277"/>
      <c r="R26" s="280"/>
      <c r="S26" s="281" t="str">
        <f t="shared" si="25"/>
        <v/>
      </c>
      <c r="T26" s="295" t="str">
        <f t="shared" si="26"/>
        <v/>
      </c>
      <c r="U26" s="1215" t="str">
        <f t="shared" si="7"/>
        <v/>
      </c>
      <c r="V26" s="1216" t="str">
        <f t="shared" si="7"/>
        <v/>
      </c>
      <c r="W26" s="1216" t="str">
        <f t="shared" si="7"/>
        <v/>
      </c>
      <c r="X26" s="1216" t="str">
        <f t="shared" si="7"/>
        <v/>
      </c>
      <c r="Y26" s="1216" t="str">
        <f t="shared" si="7"/>
        <v/>
      </c>
      <c r="Z26" s="1216" t="str">
        <f t="shared" si="7"/>
        <v/>
      </c>
      <c r="AA26" s="1216" t="str">
        <f t="shared" si="7"/>
        <v/>
      </c>
      <c r="AB26" s="1217" t="str">
        <f t="shared" si="7"/>
        <v/>
      </c>
      <c r="AC26" s="1216" t="str">
        <f t="shared" si="7"/>
        <v/>
      </c>
      <c r="AD26" s="1218" t="str">
        <f t="shared" si="7"/>
        <v/>
      </c>
      <c r="AE26" s="1219">
        <f t="shared" si="27"/>
        <v>0</v>
      </c>
      <c r="AF26" s="282">
        <f t="shared" si="28"/>
        <v>0</v>
      </c>
      <c r="AG26" s="282" t="str">
        <f t="shared" si="29"/>
        <v>cukup</v>
      </c>
      <c r="AH26" s="282" t="str">
        <f t="shared" si="10"/>
        <v>cukup</v>
      </c>
      <c r="AI26" s="282" t="str">
        <f t="shared" si="30"/>
        <v/>
      </c>
      <c r="AJ26" s="283" t="str">
        <f t="shared" si="31"/>
        <v/>
      </c>
      <c r="AK26" s="284" t="str">
        <f t="shared" si="32"/>
        <v/>
      </c>
      <c r="AL26" s="276"/>
      <c r="AM26" s="277"/>
      <c r="AN26" s="277"/>
      <c r="AO26" s="277"/>
      <c r="AP26" s="277"/>
      <c r="AQ26" s="277"/>
      <c r="AR26" s="277"/>
      <c r="AS26" s="280"/>
      <c r="AT26" s="277"/>
      <c r="AU26" s="278"/>
      <c r="AV26" s="285" t="str">
        <f t="shared" si="33"/>
        <v/>
      </c>
      <c r="AW26" s="296" t="str">
        <f t="shared" si="34"/>
        <v/>
      </c>
      <c r="AX26" s="1220" t="str">
        <f t="shared" si="16"/>
        <v/>
      </c>
      <c r="AY26" s="1221" t="str">
        <f t="shared" si="16"/>
        <v/>
      </c>
      <c r="AZ26" s="1221" t="str">
        <f t="shared" si="16"/>
        <v/>
      </c>
      <c r="BA26" s="1221" t="str">
        <f t="shared" si="16"/>
        <v/>
      </c>
      <c r="BB26" s="1221" t="str">
        <f t="shared" si="16"/>
        <v/>
      </c>
      <c r="BC26" s="1221" t="str">
        <f t="shared" si="16"/>
        <v/>
      </c>
      <c r="BD26" s="1221" t="str">
        <f t="shared" si="16"/>
        <v/>
      </c>
      <c r="BE26" s="1222" t="str">
        <f t="shared" si="16"/>
        <v/>
      </c>
      <c r="BF26" s="1221" t="str">
        <f t="shared" si="16"/>
        <v/>
      </c>
      <c r="BG26" s="1223" t="str">
        <f t="shared" si="16"/>
        <v/>
      </c>
      <c r="BH26" s="286">
        <f t="shared" si="35"/>
        <v>0</v>
      </c>
      <c r="BI26" s="286">
        <f t="shared" si="36"/>
        <v>0</v>
      </c>
      <c r="BJ26" s="287" t="str">
        <f t="shared" si="37"/>
        <v>cukup</v>
      </c>
      <c r="BK26" s="287" t="str">
        <f t="shared" si="37"/>
        <v>cukup</v>
      </c>
      <c r="BL26" s="286" t="e">
        <f t="shared" si="38"/>
        <v>#N/A</v>
      </c>
      <c r="BM26" s="288" t="e">
        <f t="shared" si="39"/>
        <v>#N/A</v>
      </c>
      <c r="BN26" s="289" t="str">
        <f t="shared" si="40"/>
        <v/>
      </c>
      <c r="BO26" s="67"/>
    </row>
    <row r="27" spans="1:67" ht="33" customHeight="1">
      <c r="A27" s="67"/>
      <c r="B27" s="272">
        <f t="shared" si="23"/>
        <v>14</v>
      </c>
      <c r="C27" s="273">
        <f>IF(Data!F18="","",Data!F18)</f>
        <v>0</v>
      </c>
      <c r="D27" s="274" t="str">
        <f>IF(Data!H18="","",Data!H18)</f>
        <v xml:space="preserve">Ferdinandes Sakbana </v>
      </c>
      <c r="E27" s="275" t="str">
        <f>IF(Data!I18="","",Data!I18)</f>
        <v>L</v>
      </c>
      <c r="F27" s="276"/>
      <c r="G27" s="277"/>
      <c r="H27" s="277"/>
      <c r="I27" s="277"/>
      <c r="J27" s="277"/>
      <c r="K27" s="277"/>
      <c r="L27" s="277"/>
      <c r="M27" s="280"/>
      <c r="N27" s="277"/>
      <c r="O27" s="278"/>
      <c r="P27" s="279" t="str">
        <f t="shared" si="24"/>
        <v/>
      </c>
      <c r="Q27" s="277"/>
      <c r="R27" s="280"/>
      <c r="S27" s="281" t="str">
        <f t="shared" si="25"/>
        <v/>
      </c>
      <c r="T27" s="295" t="str">
        <f t="shared" si="26"/>
        <v/>
      </c>
      <c r="U27" s="1215" t="str">
        <f t="shared" si="7"/>
        <v/>
      </c>
      <c r="V27" s="1216" t="str">
        <f t="shared" si="7"/>
        <v/>
      </c>
      <c r="W27" s="1216" t="str">
        <f t="shared" si="7"/>
        <v/>
      </c>
      <c r="X27" s="1216" t="str">
        <f t="shared" si="7"/>
        <v/>
      </c>
      <c r="Y27" s="1216" t="str">
        <f t="shared" si="7"/>
        <v/>
      </c>
      <c r="Z27" s="1216" t="str">
        <f t="shared" si="7"/>
        <v/>
      </c>
      <c r="AA27" s="1216" t="str">
        <f t="shared" si="7"/>
        <v/>
      </c>
      <c r="AB27" s="1217" t="str">
        <f t="shared" si="7"/>
        <v/>
      </c>
      <c r="AC27" s="1216" t="str">
        <f t="shared" si="7"/>
        <v/>
      </c>
      <c r="AD27" s="1218" t="str">
        <f t="shared" si="7"/>
        <v/>
      </c>
      <c r="AE27" s="1219">
        <f t="shared" si="27"/>
        <v>0</v>
      </c>
      <c r="AF27" s="282">
        <f t="shared" si="28"/>
        <v>0</v>
      </c>
      <c r="AG27" s="282" t="str">
        <f t="shared" si="29"/>
        <v>cukup</v>
      </c>
      <c r="AH27" s="282" t="str">
        <f t="shared" si="10"/>
        <v>cukup</v>
      </c>
      <c r="AI27" s="282" t="str">
        <f t="shared" si="30"/>
        <v/>
      </c>
      <c r="AJ27" s="283" t="str">
        <f t="shared" si="31"/>
        <v/>
      </c>
      <c r="AK27" s="284" t="str">
        <f t="shared" si="32"/>
        <v/>
      </c>
      <c r="AL27" s="276"/>
      <c r="AM27" s="277"/>
      <c r="AN27" s="277"/>
      <c r="AO27" s="277"/>
      <c r="AP27" s="277"/>
      <c r="AQ27" s="277"/>
      <c r="AR27" s="277"/>
      <c r="AS27" s="280"/>
      <c r="AT27" s="277"/>
      <c r="AU27" s="278"/>
      <c r="AV27" s="285" t="str">
        <f t="shared" si="33"/>
        <v/>
      </c>
      <c r="AW27" s="296" t="str">
        <f t="shared" si="34"/>
        <v/>
      </c>
      <c r="AX27" s="1220" t="str">
        <f t="shared" si="16"/>
        <v/>
      </c>
      <c r="AY27" s="1221" t="str">
        <f t="shared" si="16"/>
        <v/>
      </c>
      <c r="AZ27" s="1221" t="str">
        <f t="shared" si="16"/>
        <v/>
      </c>
      <c r="BA27" s="1221" t="str">
        <f t="shared" si="16"/>
        <v/>
      </c>
      <c r="BB27" s="1221" t="str">
        <f t="shared" si="16"/>
        <v/>
      </c>
      <c r="BC27" s="1221" t="str">
        <f t="shared" si="16"/>
        <v/>
      </c>
      <c r="BD27" s="1221" t="str">
        <f t="shared" si="16"/>
        <v/>
      </c>
      <c r="BE27" s="1222" t="str">
        <f t="shared" si="16"/>
        <v/>
      </c>
      <c r="BF27" s="1221" t="str">
        <f t="shared" si="16"/>
        <v/>
      </c>
      <c r="BG27" s="1223" t="str">
        <f t="shared" si="16"/>
        <v/>
      </c>
      <c r="BH27" s="286">
        <f t="shared" si="35"/>
        <v>0</v>
      </c>
      <c r="BI27" s="286">
        <f t="shared" si="36"/>
        <v>0</v>
      </c>
      <c r="BJ27" s="287" t="str">
        <f t="shared" si="37"/>
        <v>cukup</v>
      </c>
      <c r="BK27" s="287" t="str">
        <f t="shared" si="37"/>
        <v>cukup</v>
      </c>
      <c r="BL27" s="286" t="e">
        <f t="shared" si="38"/>
        <v>#N/A</v>
      </c>
      <c r="BM27" s="288" t="e">
        <f t="shared" si="39"/>
        <v>#N/A</v>
      </c>
      <c r="BN27" s="289" t="str">
        <f t="shared" si="40"/>
        <v/>
      </c>
      <c r="BO27" s="67"/>
    </row>
    <row r="28" spans="1:67" ht="33" customHeight="1">
      <c r="A28" s="67"/>
      <c r="B28" s="272">
        <f t="shared" si="23"/>
        <v>15</v>
      </c>
      <c r="C28" s="273">
        <f>IF(Data!F19="","",Data!F19)</f>
        <v>0</v>
      </c>
      <c r="D28" s="274" t="str">
        <f>IF(Data!H19="","",Data!H19)</f>
        <v>Fitri Novani Nitbani</v>
      </c>
      <c r="E28" s="275" t="str">
        <f>IF(Data!I19="","",Data!I19)</f>
        <v>P</v>
      </c>
      <c r="F28" s="276"/>
      <c r="G28" s="277"/>
      <c r="H28" s="277"/>
      <c r="I28" s="277"/>
      <c r="J28" s="277"/>
      <c r="K28" s="277"/>
      <c r="L28" s="277"/>
      <c r="M28" s="280"/>
      <c r="N28" s="277"/>
      <c r="O28" s="278"/>
      <c r="P28" s="279" t="str">
        <f t="shared" si="24"/>
        <v/>
      </c>
      <c r="Q28" s="277"/>
      <c r="R28" s="280"/>
      <c r="S28" s="281" t="str">
        <f t="shared" si="25"/>
        <v/>
      </c>
      <c r="T28" s="295" t="str">
        <f t="shared" si="26"/>
        <v/>
      </c>
      <c r="U28" s="1215" t="str">
        <f t="shared" si="7"/>
        <v/>
      </c>
      <c r="V28" s="1216" t="str">
        <f t="shared" si="7"/>
        <v/>
      </c>
      <c r="W28" s="1216" t="str">
        <f t="shared" si="7"/>
        <v/>
      </c>
      <c r="X28" s="1216" t="str">
        <f t="shared" si="7"/>
        <v/>
      </c>
      <c r="Y28" s="1216" t="str">
        <f t="shared" si="7"/>
        <v/>
      </c>
      <c r="Z28" s="1216" t="str">
        <f t="shared" si="7"/>
        <v/>
      </c>
      <c r="AA28" s="1216" t="str">
        <f t="shared" si="7"/>
        <v/>
      </c>
      <c r="AB28" s="1217" t="str">
        <f t="shared" si="7"/>
        <v/>
      </c>
      <c r="AC28" s="1216" t="str">
        <f t="shared" si="7"/>
        <v/>
      </c>
      <c r="AD28" s="1218" t="str">
        <f t="shared" si="7"/>
        <v/>
      </c>
      <c r="AE28" s="1219">
        <f t="shared" si="27"/>
        <v>0</v>
      </c>
      <c r="AF28" s="282">
        <f t="shared" si="28"/>
        <v>0</v>
      </c>
      <c r="AG28" s="282" t="str">
        <f t="shared" si="29"/>
        <v>cukup</v>
      </c>
      <c r="AH28" s="282" t="str">
        <f t="shared" si="10"/>
        <v>cukup</v>
      </c>
      <c r="AI28" s="282" t="str">
        <f t="shared" si="30"/>
        <v/>
      </c>
      <c r="AJ28" s="283" t="str">
        <f t="shared" si="31"/>
        <v/>
      </c>
      <c r="AK28" s="284" t="str">
        <f t="shared" si="32"/>
        <v/>
      </c>
      <c r="AL28" s="276"/>
      <c r="AM28" s="277"/>
      <c r="AN28" s="277"/>
      <c r="AO28" s="277"/>
      <c r="AP28" s="277"/>
      <c r="AQ28" s="277"/>
      <c r="AR28" s="277"/>
      <c r="AS28" s="280"/>
      <c r="AT28" s="277"/>
      <c r="AU28" s="278"/>
      <c r="AV28" s="285" t="str">
        <f t="shared" si="33"/>
        <v/>
      </c>
      <c r="AW28" s="296" t="str">
        <f t="shared" si="34"/>
        <v/>
      </c>
      <c r="AX28" s="1220" t="str">
        <f t="shared" si="16"/>
        <v/>
      </c>
      <c r="AY28" s="1221" t="str">
        <f t="shared" si="16"/>
        <v/>
      </c>
      <c r="AZ28" s="1221" t="str">
        <f t="shared" si="16"/>
        <v/>
      </c>
      <c r="BA28" s="1221" t="str">
        <f t="shared" si="16"/>
        <v/>
      </c>
      <c r="BB28" s="1221" t="str">
        <f t="shared" si="16"/>
        <v/>
      </c>
      <c r="BC28" s="1221" t="str">
        <f t="shared" si="16"/>
        <v/>
      </c>
      <c r="BD28" s="1221" t="str">
        <f t="shared" si="16"/>
        <v/>
      </c>
      <c r="BE28" s="1222" t="str">
        <f t="shared" si="16"/>
        <v/>
      </c>
      <c r="BF28" s="1221" t="str">
        <f t="shared" si="16"/>
        <v/>
      </c>
      <c r="BG28" s="1223" t="str">
        <f t="shared" si="16"/>
        <v/>
      </c>
      <c r="BH28" s="286">
        <f t="shared" si="35"/>
        <v>0</v>
      </c>
      <c r="BI28" s="286">
        <f t="shared" si="36"/>
        <v>0</v>
      </c>
      <c r="BJ28" s="287" t="str">
        <f t="shared" si="37"/>
        <v>cukup</v>
      </c>
      <c r="BK28" s="287" t="str">
        <f t="shared" si="37"/>
        <v>cukup</v>
      </c>
      <c r="BL28" s="286" t="e">
        <f t="shared" si="38"/>
        <v>#N/A</v>
      </c>
      <c r="BM28" s="288" t="e">
        <f t="shared" si="39"/>
        <v>#N/A</v>
      </c>
      <c r="BN28" s="289" t="str">
        <f t="shared" si="40"/>
        <v/>
      </c>
      <c r="BO28" s="67"/>
    </row>
    <row r="29" spans="1:67" ht="33" customHeight="1">
      <c r="A29" s="67"/>
      <c r="B29" s="272">
        <f t="shared" si="23"/>
        <v>16</v>
      </c>
      <c r="C29" s="273">
        <f>IF(Data!F20="","",Data!F20)</f>
        <v>0</v>
      </c>
      <c r="D29" s="274" t="str">
        <f>IF(Data!H20="","",Data!H20)</f>
        <v>Helsina Benu</v>
      </c>
      <c r="E29" s="275" t="str">
        <f>IF(Data!I20="","",Data!I20)</f>
        <v>P</v>
      </c>
      <c r="F29" s="276"/>
      <c r="G29" s="277"/>
      <c r="H29" s="277"/>
      <c r="I29" s="277"/>
      <c r="J29" s="277"/>
      <c r="K29" s="277"/>
      <c r="L29" s="277"/>
      <c r="M29" s="280"/>
      <c r="N29" s="277"/>
      <c r="O29" s="278"/>
      <c r="P29" s="279" t="str">
        <f t="shared" si="24"/>
        <v/>
      </c>
      <c r="Q29" s="277"/>
      <c r="R29" s="280"/>
      <c r="S29" s="281" t="str">
        <f t="shared" si="25"/>
        <v/>
      </c>
      <c r="T29" s="295" t="str">
        <f t="shared" si="26"/>
        <v/>
      </c>
      <c r="U29" s="1215" t="str">
        <f t="shared" si="7"/>
        <v/>
      </c>
      <c r="V29" s="1216" t="str">
        <f t="shared" si="7"/>
        <v/>
      </c>
      <c r="W29" s="1216" t="str">
        <f t="shared" si="7"/>
        <v/>
      </c>
      <c r="X29" s="1216" t="str">
        <f t="shared" si="7"/>
        <v/>
      </c>
      <c r="Y29" s="1216" t="str">
        <f t="shared" si="7"/>
        <v/>
      </c>
      <c r="Z29" s="1216" t="str">
        <f t="shared" si="7"/>
        <v/>
      </c>
      <c r="AA29" s="1216" t="str">
        <f t="shared" si="7"/>
        <v/>
      </c>
      <c r="AB29" s="1217" t="str">
        <f t="shared" si="7"/>
        <v/>
      </c>
      <c r="AC29" s="1216" t="str">
        <f t="shared" si="7"/>
        <v/>
      </c>
      <c r="AD29" s="1218" t="str">
        <f t="shared" si="7"/>
        <v/>
      </c>
      <c r="AE29" s="1219">
        <f t="shared" si="27"/>
        <v>0</v>
      </c>
      <c r="AF29" s="282">
        <f t="shared" si="28"/>
        <v>0</v>
      </c>
      <c r="AG29" s="282" t="str">
        <f t="shared" si="29"/>
        <v>cukup</v>
      </c>
      <c r="AH29" s="282" t="str">
        <f t="shared" si="10"/>
        <v>cukup</v>
      </c>
      <c r="AI29" s="282" t="str">
        <f t="shared" si="30"/>
        <v/>
      </c>
      <c r="AJ29" s="283" t="str">
        <f t="shared" si="31"/>
        <v/>
      </c>
      <c r="AK29" s="284" t="str">
        <f t="shared" si="32"/>
        <v/>
      </c>
      <c r="AL29" s="276"/>
      <c r="AM29" s="277"/>
      <c r="AN29" s="277"/>
      <c r="AO29" s="277"/>
      <c r="AP29" s="277"/>
      <c r="AQ29" s="277"/>
      <c r="AR29" s="277"/>
      <c r="AS29" s="280"/>
      <c r="AT29" s="277"/>
      <c r="AU29" s="278"/>
      <c r="AV29" s="285" t="str">
        <f t="shared" si="33"/>
        <v/>
      </c>
      <c r="AW29" s="296" t="str">
        <f t="shared" si="34"/>
        <v/>
      </c>
      <c r="AX29" s="1220" t="str">
        <f t="shared" si="16"/>
        <v/>
      </c>
      <c r="AY29" s="1221" t="str">
        <f t="shared" si="16"/>
        <v/>
      </c>
      <c r="AZ29" s="1221" t="str">
        <f t="shared" si="16"/>
        <v/>
      </c>
      <c r="BA29" s="1221" t="str">
        <f t="shared" si="16"/>
        <v/>
      </c>
      <c r="BB29" s="1221" t="str">
        <f t="shared" si="16"/>
        <v/>
      </c>
      <c r="BC29" s="1221" t="str">
        <f t="shared" si="16"/>
        <v/>
      </c>
      <c r="BD29" s="1221" t="str">
        <f t="shared" si="16"/>
        <v/>
      </c>
      <c r="BE29" s="1222" t="str">
        <f t="shared" si="16"/>
        <v/>
      </c>
      <c r="BF29" s="1221" t="str">
        <f t="shared" si="16"/>
        <v/>
      </c>
      <c r="BG29" s="1223" t="str">
        <f t="shared" si="16"/>
        <v/>
      </c>
      <c r="BH29" s="286">
        <f t="shared" si="35"/>
        <v>0</v>
      </c>
      <c r="BI29" s="286">
        <f t="shared" si="36"/>
        <v>0</v>
      </c>
      <c r="BJ29" s="287" t="str">
        <f t="shared" si="37"/>
        <v>cukup</v>
      </c>
      <c r="BK29" s="287" t="str">
        <f t="shared" si="37"/>
        <v>cukup</v>
      </c>
      <c r="BL29" s="286" t="e">
        <f t="shared" si="38"/>
        <v>#N/A</v>
      </c>
      <c r="BM29" s="288" t="e">
        <f t="shared" si="39"/>
        <v>#N/A</v>
      </c>
      <c r="BN29" s="289" t="str">
        <f t="shared" si="40"/>
        <v/>
      </c>
      <c r="BO29" s="67"/>
    </row>
    <row r="30" spans="1:67" ht="33" customHeight="1">
      <c r="A30" s="67"/>
      <c r="B30" s="272">
        <f t="shared" si="23"/>
        <v>17</v>
      </c>
      <c r="C30" s="273">
        <f>IF(Data!F21="","",Data!F21)</f>
        <v>0</v>
      </c>
      <c r="D30" s="274" t="str">
        <f>IF(Data!H21="","",Data!H21)</f>
        <v xml:space="preserve">Hezron Nubatonis </v>
      </c>
      <c r="E30" s="275" t="str">
        <f>IF(Data!I21="","",Data!I21)</f>
        <v>L</v>
      </c>
      <c r="F30" s="276"/>
      <c r="G30" s="277"/>
      <c r="H30" s="277"/>
      <c r="I30" s="277"/>
      <c r="J30" s="277"/>
      <c r="K30" s="277"/>
      <c r="L30" s="277"/>
      <c r="M30" s="280"/>
      <c r="N30" s="277"/>
      <c r="O30" s="278"/>
      <c r="P30" s="279" t="str">
        <f t="shared" si="24"/>
        <v/>
      </c>
      <c r="Q30" s="277"/>
      <c r="R30" s="280"/>
      <c r="S30" s="281" t="str">
        <f t="shared" si="25"/>
        <v/>
      </c>
      <c r="T30" s="295" t="str">
        <f t="shared" si="26"/>
        <v/>
      </c>
      <c r="U30" s="1215" t="str">
        <f t="shared" ref="U30:AD55" si="41">IF(F30="","",F30+U$13)</f>
        <v/>
      </c>
      <c r="V30" s="1216" t="str">
        <f t="shared" si="41"/>
        <v/>
      </c>
      <c r="W30" s="1216" t="str">
        <f t="shared" si="41"/>
        <v/>
      </c>
      <c r="X30" s="1216" t="str">
        <f t="shared" si="41"/>
        <v/>
      </c>
      <c r="Y30" s="1216" t="str">
        <f t="shared" si="41"/>
        <v/>
      </c>
      <c r="Z30" s="1216" t="str">
        <f t="shared" si="41"/>
        <v/>
      </c>
      <c r="AA30" s="1216" t="str">
        <f t="shared" si="41"/>
        <v/>
      </c>
      <c r="AB30" s="1217" t="str">
        <f t="shared" si="41"/>
        <v/>
      </c>
      <c r="AC30" s="1216" t="str">
        <f t="shared" si="41"/>
        <v/>
      </c>
      <c r="AD30" s="1218" t="str">
        <f t="shared" si="41"/>
        <v/>
      </c>
      <c r="AE30" s="1219">
        <f t="shared" si="27"/>
        <v>0</v>
      </c>
      <c r="AF30" s="282">
        <f t="shared" si="28"/>
        <v>0</v>
      </c>
      <c r="AG30" s="282" t="str">
        <f t="shared" si="29"/>
        <v>cukup</v>
      </c>
      <c r="AH30" s="282" t="str">
        <f t="shared" si="29"/>
        <v>cukup</v>
      </c>
      <c r="AI30" s="282" t="str">
        <f t="shared" si="30"/>
        <v/>
      </c>
      <c r="AJ30" s="283" t="str">
        <f t="shared" si="31"/>
        <v/>
      </c>
      <c r="AK30" s="284" t="str">
        <f t="shared" si="32"/>
        <v/>
      </c>
      <c r="AL30" s="276"/>
      <c r="AM30" s="277"/>
      <c r="AN30" s="277"/>
      <c r="AO30" s="277"/>
      <c r="AP30" s="277"/>
      <c r="AQ30" s="277"/>
      <c r="AR30" s="277"/>
      <c r="AS30" s="280"/>
      <c r="AT30" s="277"/>
      <c r="AU30" s="278"/>
      <c r="AV30" s="285" t="str">
        <f t="shared" si="33"/>
        <v/>
      </c>
      <c r="AW30" s="296" t="str">
        <f t="shared" si="34"/>
        <v/>
      </c>
      <c r="AX30" s="1220" t="str">
        <f t="shared" ref="AX30:BG55" si="42">IF(AL30="","",AL30+AX$12)</f>
        <v/>
      </c>
      <c r="AY30" s="1221" t="str">
        <f t="shared" si="42"/>
        <v/>
      </c>
      <c r="AZ30" s="1221" t="str">
        <f t="shared" si="42"/>
        <v/>
      </c>
      <c r="BA30" s="1221" t="str">
        <f t="shared" si="42"/>
        <v/>
      </c>
      <c r="BB30" s="1221" t="str">
        <f t="shared" si="42"/>
        <v/>
      </c>
      <c r="BC30" s="1221" t="str">
        <f t="shared" si="42"/>
        <v/>
      </c>
      <c r="BD30" s="1221" t="str">
        <f t="shared" si="42"/>
        <v/>
      </c>
      <c r="BE30" s="1222" t="str">
        <f t="shared" si="42"/>
        <v/>
      </c>
      <c r="BF30" s="1221" t="str">
        <f t="shared" si="42"/>
        <v/>
      </c>
      <c r="BG30" s="1223" t="str">
        <f t="shared" si="42"/>
        <v/>
      </c>
      <c r="BH30" s="286">
        <f t="shared" si="35"/>
        <v>0</v>
      </c>
      <c r="BI30" s="286">
        <f t="shared" si="36"/>
        <v>0</v>
      </c>
      <c r="BJ30" s="287" t="str">
        <f t="shared" si="37"/>
        <v>cukup</v>
      </c>
      <c r="BK30" s="287" t="str">
        <f t="shared" si="37"/>
        <v>cukup</v>
      </c>
      <c r="BL30" s="286" t="e">
        <f t="shared" si="38"/>
        <v>#N/A</v>
      </c>
      <c r="BM30" s="288" t="e">
        <f t="shared" si="39"/>
        <v>#N/A</v>
      </c>
      <c r="BN30" s="289" t="str">
        <f t="shared" si="40"/>
        <v/>
      </c>
      <c r="BO30" s="67"/>
    </row>
    <row r="31" spans="1:67" ht="33" customHeight="1">
      <c r="A31" s="67"/>
      <c r="B31" s="272">
        <f t="shared" si="23"/>
        <v>18</v>
      </c>
      <c r="C31" s="273">
        <f>IF(Data!F22="","",Data!F22)</f>
        <v>0</v>
      </c>
      <c r="D31" s="274" t="str">
        <f>IF(Data!H22="","",Data!H22)</f>
        <v>Jelita Anita Boimau</v>
      </c>
      <c r="E31" s="275" t="str">
        <f>IF(Data!I22="","",Data!I22)</f>
        <v>P</v>
      </c>
      <c r="F31" s="276"/>
      <c r="G31" s="277"/>
      <c r="H31" s="277"/>
      <c r="I31" s="277"/>
      <c r="J31" s="277"/>
      <c r="K31" s="277"/>
      <c r="L31" s="277"/>
      <c r="M31" s="280"/>
      <c r="N31" s="277"/>
      <c r="O31" s="278"/>
      <c r="P31" s="279" t="str">
        <f t="shared" si="24"/>
        <v/>
      </c>
      <c r="Q31" s="277"/>
      <c r="R31" s="280"/>
      <c r="S31" s="281" t="str">
        <f t="shared" si="25"/>
        <v/>
      </c>
      <c r="T31" s="295" t="str">
        <f t="shared" si="26"/>
        <v/>
      </c>
      <c r="U31" s="1215" t="str">
        <f t="shared" si="41"/>
        <v/>
      </c>
      <c r="V31" s="1216" t="str">
        <f t="shared" si="41"/>
        <v/>
      </c>
      <c r="W31" s="1216" t="str">
        <f t="shared" si="41"/>
        <v/>
      </c>
      <c r="X31" s="1216" t="str">
        <f t="shared" si="41"/>
        <v/>
      </c>
      <c r="Y31" s="1216" t="str">
        <f t="shared" si="41"/>
        <v/>
      </c>
      <c r="Z31" s="1216" t="str">
        <f t="shared" si="41"/>
        <v/>
      </c>
      <c r="AA31" s="1216" t="str">
        <f t="shared" si="41"/>
        <v/>
      </c>
      <c r="AB31" s="1217" t="str">
        <f t="shared" si="41"/>
        <v/>
      </c>
      <c r="AC31" s="1216" t="str">
        <f t="shared" si="41"/>
        <v/>
      </c>
      <c r="AD31" s="1218" t="str">
        <f t="shared" si="41"/>
        <v/>
      </c>
      <c r="AE31" s="1219">
        <f t="shared" si="27"/>
        <v>0</v>
      </c>
      <c r="AF31" s="282">
        <f t="shared" si="28"/>
        <v>0</v>
      </c>
      <c r="AG31" s="282" t="str">
        <f t="shared" si="29"/>
        <v>cukup</v>
      </c>
      <c r="AH31" s="282" t="str">
        <f t="shared" si="29"/>
        <v>cukup</v>
      </c>
      <c r="AI31" s="282" t="str">
        <f t="shared" si="30"/>
        <v/>
      </c>
      <c r="AJ31" s="283" t="str">
        <f t="shared" si="31"/>
        <v/>
      </c>
      <c r="AK31" s="284" t="str">
        <f t="shared" si="32"/>
        <v/>
      </c>
      <c r="AL31" s="276"/>
      <c r="AM31" s="277"/>
      <c r="AN31" s="277"/>
      <c r="AO31" s="277"/>
      <c r="AP31" s="277"/>
      <c r="AQ31" s="277"/>
      <c r="AR31" s="277"/>
      <c r="AS31" s="280"/>
      <c r="AT31" s="277"/>
      <c r="AU31" s="278"/>
      <c r="AV31" s="285" t="str">
        <f t="shared" si="33"/>
        <v/>
      </c>
      <c r="AW31" s="296" t="str">
        <f t="shared" si="34"/>
        <v/>
      </c>
      <c r="AX31" s="1220" t="str">
        <f t="shared" si="42"/>
        <v/>
      </c>
      <c r="AY31" s="1221" t="str">
        <f t="shared" si="42"/>
        <v/>
      </c>
      <c r="AZ31" s="1221" t="str">
        <f t="shared" si="42"/>
        <v/>
      </c>
      <c r="BA31" s="1221" t="str">
        <f t="shared" si="42"/>
        <v/>
      </c>
      <c r="BB31" s="1221" t="str">
        <f t="shared" si="42"/>
        <v/>
      </c>
      <c r="BC31" s="1221" t="str">
        <f t="shared" si="42"/>
        <v/>
      </c>
      <c r="BD31" s="1221" t="str">
        <f t="shared" si="42"/>
        <v/>
      </c>
      <c r="BE31" s="1222" t="str">
        <f t="shared" si="42"/>
        <v/>
      </c>
      <c r="BF31" s="1221" t="str">
        <f t="shared" si="42"/>
        <v/>
      </c>
      <c r="BG31" s="1223" t="str">
        <f t="shared" si="42"/>
        <v/>
      </c>
      <c r="BH31" s="286">
        <f t="shared" si="35"/>
        <v>0</v>
      </c>
      <c r="BI31" s="286">
        <f t="shared" si="36"/>
        <v>0</v>
      </c>
      <c r="BJ31" s="287" t="str">
        <f t="shared" si="37"/>
        <v>cukup</v>
      </c>
      <c r="BK31" s="287" t="str">
        <f t="shared" si="37"/>
        <v>cukup</v>
      </c>
      <c r="BL31" s="286" t="e">
        <f t="shared" si="38"/>
        <v>#N/A</v>
      </c>
      <c r="BM31" s="288" t="e">
        <f t="shared" si="39"/>
        <v>#N/A</v>
      </c>
      <c r="BN31" s="289" t="str">
        <f t="shared" si="40"/>
        <v/>
      </c>
      <c r="BO31" s="67"/>
    </row>
    <row r="32" spans="1:67" ht="33" customHeight="1">
      <c r="A32" s="67"/>
      <c r="B32" s="272">
        <f t="shared" si="23"/>
        <v>19</v>
      </c>
      <c r="C32" s="273">
        <f>IF(Data!F23="","",Data!F23)</f>
        <v>0</v>
      </c>
      <c r="D32" s="274" t="str">
        <f>IF(Data!H23="","",Data!H23)</f>
        <v>Jidon Nubatonis</v>
      </c>
      <c r="E32" s="275" t="str">
        <f>IF(Data!I23="","",Data!I23)</f>
        <v>L</v>
      </c>
      <c r="F32" s="276"/>
      <c r="G32" s="277"/>
      <c r="H32" s="277"/>
      <c r="I32" s="277"/>
      <c r="J32" s="277"/>
      <c r="K32" s="277"/>
      <c r="L32" s="277"/>
      <c r="M32" s="280"/>
      <c r="N32" s="277"/>
      <c r="O32" s="278"/>
      <c r="P32" s="279" t="str">
        <f t="shared" si="24"/>
        <v/>
      </c>
      <c r="Q32" s="277"/>
      <c r="R32" s="280"/>
      <c r="S32" s="281" t="str">
        <f t="shared" si="25"/>
        <v/>
      </c>
      <c r="T32" s="295" t="str">
        <f t="shared" si="26"/>
        <v/>
      </c>
      <c r="U32" s="1215" t="str">
        <f t="shared" si="41"/>
        <v/>
      </c>
      <c r="V32" s="1216" t="str">
        <f t="shared" si="41"/>
        <v/>
      </c>
      <c r="W32" s="1216" t="str">
        <f t="shared" si="41"/>
        <v/>
      </c>
      <c r="X32" s="1216" t="str">
        <f t="shared" si="41"/>
        <v/>
      </c>
      <c r="Y32" s="1216" t="str">
        <f t="shared" si="41"/>
        <v/>
      </c>
      <c r="Z32" s="1216" t="str">
        <f t="shared" si="41"/>
        <v/>
      </c>
      <c r="AA32" s="1216" t="str">
        <f t="shared" si="41"/>
        <v/>
      </c>
      <c r="AB32" s="1217" t="str">
        <f t="shared" si="41"/>
        <v/>
      </c>
      <c r="AC32" s="1216" t="str">
        <f t="shared" si="41"/>
        <v/>
      </c>
      <c r="AD32" s="1218" t="str">
        <f t="shared" si="41"/>
        <v/>
      </c>
      <c r="AE32" s="1219">
        <f t="shared" si="27"/>
        <v>0</v>
      </c>
      <c r="AF32" s="282">
        <f t="shared" si="28"/>
        <v>0</v>
      </c>
      <c r="AG32" s="282" t="str">
        <f t="shared" si="29"/>
        <v>cukup</v>
      </c>
      <c r="AH32" s="282" t="str">
        <f t="shared" si="29"/>
        <v>cukup</v>
      </c>
      <c r="AI32" s="282" t="str">
        <f t="shared" si="30"/>
        <v/>
      </c>
      <c r="AJ32" s="283" t="str">
        <f t="shared" si="31"/>
        <v/>
      </c>
      <c r="AK32" s="284" t="str">
        <f t="shared" si="32"/>
        <v/>
      </c>
      <c r="AL32" s="276"/>
      <c r="AM32" s="277"/>
      <c r="AN32" s="277"/>
      <c r="AO32" s="277"/>
      <c r="AP32" s="277"/>
      <c r="AQ32" s="277"/>
      <c r="AR32" s="277"/>
      <c r="AS32" s="280"/>
      <c r="AT32" s="277"/>
      <c r="AU32" s="278"/>
      <c r="AV32" s="285" t="str">
        <f t="shared" si="33"/>
        <v/>
      </c>
      <c r="AW32" s="296" t="str">
        <f t="shared" si="34"/>
        <v/>
      </c>
      <c r="AX32" s="1220" t="str">
        <f t="shared" si="42"/>
        <v/>
      </c>
      <c r="AY32" s="1221" t="str">
        <f t="shared" si="42"/>
        <v/>
      </c>
      <c r="AZ32" s="1221" t="str">
        <f t="shared" si="42"/>
        <v/>
      </c>
      <c r="BA32" s="1221" t="str">
        <f t="shared" si="42"/>
        <v/>
      </c>
      <c r="BB32" s="1221" t="str">
        <f t="shared" si="42"/>
        <v/>
      </c>
      <c r="BC32" s="1221" t="str">
        <f t="shared" si="42"/>
        <v/>
      </c>
      <c r="BD32" s="1221" t="str">
        <f t="shared" si="42"/>
        <v/>
      </c>
      <c r="BE32" s="1222" t="str">
        <f t="shared" si="42"/>
        <v/>
      </c>
      <c r="BF32" s="1221" t="str">
        <f t="shared" si="42"/>
        <v/>
      </c>
      <c r="BG32" s="1223" t="str">
        <f t="shared" si="42"/>
        <v/>
      </c>
      <c r="BH32" s="286">
        <f t="shared" si="35"/>
        <v>0</v>
      </c>
      <c r="BI32" s="286">
        <f t="shared" si="36"/>
        <v>0</v>
      </c>
      <c r="BJ32" s="287" t="str">
        <f t="shared" si="37"/>
        <v>cukup</v>
      </c>
      <c r="BK32" s="287" t="str">
        <f t="shared" si="37"/>
        <v>cukup</v>
      </c>
      <c r="BL32" s="286" t="e">
        <f t="shared" si="38"/>
        <v>#N/A</v>
      </c>
      <c r="BM32" s="288" t="e">
        <f t="shared" si="39"/>
        <v>#N/A</v>
      </c>
      <c r="BN32" s="289" t="str">
        <f t="shared" si="40"/>
        <v/>
      </c>
      <c r="BO32" s="67"/>
    </row>
    <row r="33" spans="1:67" ht="33" customHeight="1">
      <c r="A33" s="67"/>
      <c r="B33" s="272">
        <f t="shared" si="23"/>
        <v>20</v>
      </c>
      <c r="C33" s="273">
        <f>IF(Data!F24="","",Data!F24)</f>
        <v>0</v>
      </c>
      <c r="D33" s="274" t="str">
        <f>IF(Data!H24="","",Data!H24)</f>
        <v>Jitro Andro Baran</v>
      </c>
      <c r="E33" s="275" t="str">
        <f>IF(Data!I24="","",Data!I24)</f>
        <v>L</v>
      </c>
      <c r="F33" s="276"/>
      <c r="G33" s="277"/>
      <c r="H33" s="277"/>
      <c r="I33" s="277"/>
      <c r="J33" s="277"/>
      <c r="K33" s="277"/>
      <c r="L33" s="277"/>
      <c r="M33" s="280"/>
      <c r="N33" s="277"/>
      <c r="O33" s="278"/>
      <c r="P33" s="279" t="str">
        <f t="shared" si="24"/>
        <v/>
      </c>
      <c r="Q33" s="277"/>
      <c r="R33" s="280"/>
      <c r="S33" s="281" t="str">
        <f t="shared" si="25"/>
        <v/>
      </c>
      <c r="T33" s="295" t="str">
        <f t="shared" si="26"/>
        <v/>
      </c>
      <c r="U33" s="1215" t="str">
        <f t="shared" si="41"/>
        <v/>
      </c>
      <c r="V33" s="1216" t="str">
        <f t="shared" si="41"/>
        <v/>
      </c>
      <c r="W33" s="1216" t="str">
        <f t="shared" si="41"/>
        <v/>
      </c>
      <c r="X33" s="1216" t="str">
        <f t="shared" si="41"/>
        <v/>
      </c>
      <c r="Y33" s="1216" t="str">
        <f t="shared" si="41"/>
        <v/>
      </c>
      <c r="Z33" s="1216" t="str">
        <f t="shared" si="41"/>
        <v/>
      </c>
      <c r="AA33" s="1216" t="str">
        <f t="shared" si="41"/>
        <v/>
      </c>
      <c r="AB33" s="1217" t="str">
        <f t="shared" si="41"/>
        <v/>
      </c>
      <c r="AC33" s="1216" t="str">
        <f t="shared" si="41"/>
        <v/>
      </c>
      <c r="AD33" s="1218" t="str">
        <f t="shared" si="41"/>
        <v/>
      </c>
      <c r="AE33" s="1219">
        <f t="shared" si="27"/>
        <v>0</v>
      </c>
      <c r="AF33" s="282">
        <f t="shared" si="28"/>
        <v>0</v>
      </c>
      <c r="AG33" s="282" t="str">
        <f t="shared" si="29"/>
        <v>cukup</v>
      </c>
      <c r="AH33" s="282" t="str">
        <f t="shared" si="29"/>
        <v>cukup</v>
      </c>
      <c r="AI33" s="282" t="str">
        <f t="shared" si="30"/>
        <v/>
      </c>
      <c r="AJ33" s="283" t="str">
        <f t="shared" si="31"/>
        <v/>
      </c>
      <c r="AK33" s="284" t="str">
        <f t="shared" si="32"/>
        <v/>
      </c>
      <c r="AL33" s="276"/>
      <c r="AM33" s="277"/>
      <c r="AN33" s="277"/>
      <c r="AO33" s="277"/>
      <c r="AP33" s="277"/>
      <c r="AQ33" s="277"/>
      <c r="AR33" s="277"/>
      <c r="AS33" s="280"/>
      <c r="AT33" s="277"/>
      <c r="AU33" s="278"/>
      <c r="AV33" s="285" t="str">
        <f t="shared" si="33"/>
        <v/>
      </c>
      <c r="AW33" s="296" t="str">
        <f t="shared" si="34"/>
        <v/>
      </c>
      <c r="AX33" s="1220" t="str">
        <f t="shared" si="42"/>
        <v/>
      </c>
      <c r="AY33" s="1221" t="str">
        <f t="shared" si="42"/>
        <v/>
      </c>
      <c r="AZ33" s="1221" t="str">
        <f t="shared" si="42"/>
        <v/>
      </c>
      <c r="BA33" s="1221" t="str">
        <f t="shared" si="42"/>
        <v/>
      </c>
      <c r="BB33" s="1221" t="str">
        <f t="shared" si="42"/>
        <v/>
      </c>
      <c r="BC33" s="1221" t="str">
        <f t="shared" si="42"/>
        <v/>
      </c>
      <c r="BD33" s="1221" t="str">
        <f t="shared" si="42"/>
        <v/>
      </c>
      <c r="BE33" s="1222" t="str">
        <f t="shared" si="42"/>
        <v/>
      </c>
      <c r="BF33" s="1221" t="str">
        <f t="shared" si="42"/>
        <v/>
      </c>
      <c r="BG33" s="1223" t="str">
        <f t="shared" si="42"/>
        <v/>
      </c>
      <c r="BH33" s="286">
        <f t="shared" si="35"/>
        <v>0</v>
      </c>
      <c r="BI33" s="286">
        <f t="shared" si="36"/>
        <v>0</v>
      </c>
      <c r="BJ33" s="287" t="str">
        <f t="shared" si="37"/>
        <v>cukup</v>
      </c>
      <c r="BK33" s="287" t="str">
        <f t="shared" si="37"/>
        <v>cukup</v>
      </c>
      <c r="BL33" s="286" t="e">
        <f t="shared" si="38"/>
        <v>#N/A</v>
      </c>
      <c r="BM33" s="288" t="e">
        <f t="shared" si="39"/>
        <v>#N/A</v>
      </c>
      <c r="BN33" s="289" t="str">
        <f t="shared" si="40"/>
        <v/>
      </c>
      <c r="BO33" s="67"/>
    </row>
    <row r="34" spans="1:67" ht="33" customHeight="1">
      <c r="A34" s="67"/>
      <c r="B34" s="272">
        <f t="shared" si="23"/>
        <v>21</v>
      </c>
      <c r="C34" s="273">
        <f>IF(Data!F25="","",Data!F25)</f>
        <v>0</v>
      </c>
      <c r="D34" s="274" t="str">
        <f>IF(Data!H25="","",Data!H25)</f>
        <v>Juan Manuel Boys</v>
      </c>
      <c r="E34" s="275" t="str">
        <f>IF(Data!I25="","",Data!I25)</f>
        <v>L</v>
      </c>
      <c r="F34" s="276"/>
      <c r="G34" s="277"/>
      <c r="H34" s="277"/>
      <c r="I34" s="277"/>
      <c r="J34" s="277"/>
      <c r="K34" s="277"/>
      <c r="L34" s="277"/>
      <c r="M34" s="280"/>
      <c r="N34" s="277"/>
      <c r="O34" s="278"/>
      <c r="P34" s="279" t="str">
        <f t="shared" si="24"/>
        <v/>
      </c>
      <c r="Q34" s="277"/>
      <c r="R34" s="280"/>
      <c r="S34" s="281" t="str">
        <f t="shared" si="25"/>
        <v/>
      </c>
      <c r="T34" s="295" t="str">
        <f t="shared" si="26"/>
        <v/>
      </c>
      <c r="U34" s="1215" t="str">
        <f t="shared" si="41"/>
        <v/>
      </c>
      <c r="V34" s="1216" t="str">
        <f t="shared" si="41"/>
        <v/>
      </c>
      <c r="W34" s="1216" t="str">
        <f t="shared" si="41"/>
        <v/>
      </c>
      <c r="X34" s="1216" t="str">
        <f t="shared" si="41"/>
        <v/>
      </c>
      <c r="Y34" s="1216" t="str">
        <f t="shared" si="41"/>
        <v/>
      </c>
      <c r="Z34" s="1216" t="str">
        <f t="shared" si="41"/>
        <v/>
      </c>
      <c r="AA34" s="1216" t="str">
        <f t="shared" si="41"/>
        <v/>
      </c>
      <c r="AB34" s="1217" t="str">
        <f t="shared" si="41"/>
        <v/>
      </c>
      <c r="AC34" s="1216" t="str">
        <f t="shared" si="41"/>
        <v/>
      </c>
      <c r="AD34" s="1218" t="str">
        <f t="shared" si="41"/>
        <v/>
      </c>
      <c r="AE34" s="1219">
        <f t="shared" si="27"/>
        <v>0</v>
      </c>
      <c r="AF34" s="282">
        <f t="shared" si="28"/>
        <v>0</v>
      </c>
      <c r="AG34" s="282" t="str">
        <f t="shared" si="29"/>
        <v>cukup</v>
      </c>
      <c r="AH34" s="282" t="str">
        <f t="shared" si="29"/>
        <v>cukup</v>
      </c>
      <c r="AI34" s="282" t="str">
        <f t="shared" si="30"/>
        <v/>
      </c>
      <c r="AJ34" s="283" t="str">
        <f t="shared" si="31"/>
        <v/>
      </c>
      <c r="AK34" s="284" t="str">
        <f t="shared" si="32"/>
        <v/>
      </c>
      <c r="AL34" s="276"/>
      <c r="AM34" s="277"/>
      <c r="AN34" s="277"/>
      <c r="AO34" s="277"/>
      <c r="AP34" s="277"/>
      <c r="AQ34" s="277"/>
      <c r="AR34" s="277"/>
      <c r="AS34" s="280"/>
      <c r="AT34" s="277"/>
      <c r="AU34" s="278"/>
      <c r="AV34" s="285" t="str">
        <f t="shared" si="33"/>
        <v/>
      </c>
      <c r="AW34" s="296" t="str">
        <f t="shared" si="34"/>
        <v/>
      </c>
      <c r="AX34" s="1220" t="str">
        <f t="shared" si="42"/>
        <v/>
      </c>
      <c r="AY34" s="1221" t="str">
        <f t="shared" si="42"/>
        <v/>
      </c>
      <c r="AZ34" s="1221" t="str">
        <f t="shared" si="42"/>
        <v/>
      </c>
      <c r="BA34" s="1221" t="str">
        <f t="shared" si="42"/>
        <v/>
      </c>
      <c r="BB34" s="1221" t="str">
        <f t="shared" si="42"/>
        <v/>
      </c>
      <c r="BC34" s="1221" t="str">
        <f t="shared" si="42"/>
        <v/>
      </c>
      <c r="BD34" s="1221" t="str">
        <f t="shared" si="42"/>
        <v/>
      </c>
      <c r="BE34" s="1222" t="str">
        <f t="shared" si="42"/>
        <v/>
      </c>
      <c r="BF34" s="1221" t="str">
        <f t="shared" si="42"/>
        <v/>
      </c>
      <c r="BG34" s="1223" t="str">
        <f t="shared" si="42"/>
        <v/>
      </c>
      <c r="BH34" s="286">
        <f t="shared" si="35"/>
        <v>0</v>
      </c>
      <c r="BI34" s="286">
        <f t="shared" si="36"/>
        <v>0</v>
      </c>
      <c r="BJ34" s="287" t="str">
        <f t="shared" si="37"/>
        <v>cukup</v>
      </c>
      <c r="BK34" s="287" t="str">
        <f t="shared" si="37"/>
        <v>cukup</v>
      </c>
      <c r="BL34" s="286" t="e">
        <f t="shared" si="38"/>
        <v>#N/A</v>
      </c>
      <c r="BM34" s="288" t="e">
        <f t="shared" si="39"/>
        <v>#N/A</v>
      </c>
      <c r="BN34" s="289" t="str">
        <f t="shared" si="40"/>
        <v/>
      </c>
      <c r="BO34" s="67"/>
    </row>
    <row r="35" spans="1:67" ht="33" customHeight="1">
      <c r="A35" s="67"/>
      <c r="B35" s="272">
        <f t="shared" si="23"/>
        <v>22</v>
      </c>
      <c r="C35" s="273">
        <f>IF(Data!F26="","",Data!F26)</f>
        <v>0</v>
      </c>
      <c r="D35" s="274" t="str">
        <f>IF(Data!H26="","",Data!H26)</f>
        <v>Krisyanti Ernela Kesnay</v>
      </c>
      <c r="E35" s="275" t="str">
        <f>IF(Data!I26="","",Data!I26)</f>
        <v>P</v>
      </c>
      <c r="F35" s="276"/>
      <c r="G35" s="277"/>
      <c r="H35" s="277"/>
      <c r="I35" s="277"/>
      <c r="J35" s="277"/>
      <c r="K35" s="277"/>
      <c r="L35" s="277"/>
      <c r="M35" s="280"/>
      <c r="N35" s="277"/>
      <c r="O35" s="278"/>
      <c r="P35" s="279" t="str">
        <f t="shared" si="24"/>
        <v/>
      </c>
      <c r="Q35" s="277"/>
      <c r="R35" s="280"/>
      <c r="S35" s="281" t="str">
        <f t="shared" si="25"/>
        <v/>
      </c>
      <c r="T35" s="295" t="str">
        <f t="shared" si="26"/>
        <v/>
      </c>
      <c r="U35" s="1215" t="str">
        <f t="shared" si="41"/>
        <v/>
      </c>
      <c r="V35" s="1216" t="str">
        <f t="shared" si="41"/>
        <v/>
      </c>
      <c r="W35" s="1216" t="str">
        <f t="shared" si="41"/>
        <v/>
      </c>
      <c r="X35" s="1216" t="str">
        <f t="shared" si="41"/>
        <v/>
      </c>
      <c r="Y35" s="1216" t="str">
        <f t="shared" si="41"/>
        <v/>
      </c>
      <c r="Z35" s="1216" t="str">
        <f t="shared" si="41"/>
        <v/>
      </c>
      <c r="AA35" s="1216" t="str">
        <f t="shared" si="41"/>
        <v/>
      </c>
      <c r="AB35" s="1217" t="str">
        <f t="shared" si="41"/>
        <v/>
      </c>
      <c r="AC35" s="1216" t="str">
        <f t="shared" si="41"/>
        <v/>
      </c>
      <c r="AD35" s="1218" t="str">
        <f t="shared" si="41"/>
        <v/>
      </c>
      <c r="AE35" s="1219">
        <f t="shared" si="27"/>
        <v>0</v>
      </c>
      <c r="AF35" s="282">
        <f t="shared" si="28"/>
        <v>0</v>
      </c>
      <c r="AG35" s="282" t="str">
        <f t="shared" si="29"/>
        <v>cukup</v>
      </c>
      <c r="AH35" s="282" t="str">
        <f t="shared" si="29"/>
        <v>cukup</v>
      </c>
      <c r="AI35" s="282" t="str">
        <f t="shared" si="30"/>
        <v/>
      </c>
      <c r="AJ35" s="283" t="str">
        <f t="shared" si="31"/>
        <v/>
      </c>
      <c r="AK35" s="284" t="str">
        <f t="shared" si="32"/>
        <v/>
      </c>
      <c r="AL35" s="276"/>
      <c r="AM35" s="277"/>
      <c r="AN35" s="277"/>
      <c r="AO35" s="277"/>
      <c r="AP35" s="277"/>
      <c r="AQ35" s="277"/>
      <c r="AR35" s="277"/>
      <c r="AS35" s="280"/>
      <c r="AT35" s="277"/>
      <c r="AU35" s="278"/>
      <c r="AV35" s="285" t="str">
        <f t="shared" si="33"/>
        <v/>
      </c>
      <c r="AW35" s="296" t="str">
        <f t="shared" si="34"/>
        <v/>
      </c>
      <c r="AX35" s="1220" t="str">
        <f t="shared" si="42"/>
        <v/>
      </c>
      <c r="AY35" s="1221" t="str">
        <f t="shared" si="42"/>
        <v/>
      </c>
      <c r="AZ35" s="1221" t="str">
        <f t="shared" si="42"/>
        <v/>
      </c>
      <c r="BA35" s="1221" t="str">
        <f t="shared" si="42"/>
        <v/>
      </c>
      <c r="BB35" s="1221" t="str">
        <f t="shared" si="42"/>
        <v/>
      </c>
      <c r="BC35" s="1221" t="str">
        <f t="shared" si="42"/>
        <v/>
      </c>
      <c r="BD35" s="1221" t="str">
        <f t="shared" si="42"/>
        <v/>
      </c>
      <c r="BE35" s="1222" t="str">
        <f t="shared" si="42"/>
        <v/>
      </c>
      <c r="BF35" s="1221" t="str">
        <f t="shared" si="42"/>
        <v/>
      </c>
      <c r="BG35" s="1223" t="str">
        <f t="shared" si="42"/>
        <v/>
      </c>
      <c r="BH35" s="286">
        <f t="shared" si="35"/>
        <v>0</v>
      </c>
      <c r="BI35" s="286">
        <f t="shared" si="36"/>
        <v>0</v>
      </c>
      <c r="BJ35" s="287" t="str">
        <f t="shared" si="37"/>
        <v>cukup</v>
      </c>
      <c r="BK35" s="287" t="str">
        <f t="shared" si="37"/>
        <v>cukup</v>
      </c>
      <c r="BL35" s="286" t="e">
        <f t="shared" si="38"/>
        <v>#N/A</v>
      </c>
      <c r="BM35" s="288" t="e">
        <f t="shared" si="39"/>
        <v>#N/A</v>
      </c>
      <c r="BN35" s="289" t="str">
        <f t="shared" si="40"/>
        <v/>
      </c>
      <c r="BO35" s="67"/>
    </row>
    <row r="36" spans="1:67" ht="33" customHeight="1">
      <c r="A36" s="67"/>
      <c r="B36" s="272">
        <f t="shared" si="23"/>
        <v>23</v>
      </c>
      <c r="C36" s="273">
        <f>IF(Data!F27="","",Data!F27)</f>
        <v>0</v>
      </c>
      <c r="D36" s="274" t="str">
        <f>IF(Data!H27="","",Data!H27)</f>
        <v>Leni Aknesia Knoan</v>
      </c>
      <c r="E36" s="275" t="str">
        <f>IF(Data!I27="","",Data!I27)</f>
        <v>P</v>
      </c>
      <c r="F36" s="276"/>
      <c r="G36" s="277"/>
      <c r="H36" s="277"/>
      <c r="I36" s="277"/>
      <c r="J36" s="277"/>
      <c r="K36" s="277"/>
      <c r="L36" s="277"/>
      <c r="M36" s="280"/>
      <c r="N36" s="277"/>
      <c r="O36" s="278"/>
      <c r="P36" s="279" t="str">
        <f t="shared" si="24"/>
        <v/>
      </c>
      <c r="Q36" s="277"/>
      <c r="R36" s="280"/>
      <c r="S36" s="281" t="str">
        <f t="shared" si="25"/>
        <v/>
      </c>
      <c r="T36" s="295" t="str">
        <f t="shared" si="26"/>
        <v/>
      </c>
      <c r="U36" s="1215" t="str">
        <f t="shared" si="41"/>
        <v/>
      </c>
      <c r="V36" s="1216" t="str">
        <f t="shared" si="41"/>
        <v/>
      </c>
      <c r="W36" s="1216" t="str">
        <f t="shared" si="41"/>
        <v/>
      </c>
      <c r="X36" s="1216" t="str">
        <f t="shared" si="41"/>
        <v/>
      </c>
      <c r="Y36" s="1216" t="str">
        <f t="shared" si="41"/>
        <v/>
      </c>
      <c r="Z36" s="1216" t="str">
        <f t="shared" si="41"/>
        <v/>
      </c>
      <c r="AA36" s="1216" t="str">
        <f t="shared" si="41"/>
        <v/>
      </c>
      <c r="AB36" s="1217" t="str">
        <f t="shared" si="41"/>
        <v/>
      </c>
      <c r="AC36" s="1216" t="str">
        <f t="shared" si="41"/>
        <v/>
      </c>
      <c r="AD36" s="1218" t="str">
        <f t="shared" si="41"/>
        <v/>
      </c>
      <c r="AE36" s="1219">
        <f t="shared" si="27"/>
        <v>0</v>
      </c>
      <c r="AF36" s="282">
        <f t="shared" si="28"/>
        <v>0</v>
      </c>
      <c r="AG36" s="282" t="str">
        <f t="shared" si="29"/>
        <v>cukup</v>
      </c>
      <c r="AH36" s="282" t="str">
        <f t="shared" si="29"/>
        <v>cukup</v>
      </c>
      <c r="AI36" s="282" t="str">
        <f t="shared" si="30"/>
        <v/>
      </c>
      <c r="AJ36" s="283" t="str">
        <f t="shared" si="31"/>
        <v/>
      </c>
      <c r="AK36" s="284" t="str">
        <f t="shared" si="32"/>
        <v/>
      </c>
      <c r="AL36" s="276"/>
      <c r="AM36" s="277"/>
      <c r="AN36" s="277"/>
      <c r="AO36" s="277"/>
      <c r="AP36" s="277"/>
      <c r="AQ36" s="277"/>
      <c r="AR36" s="277"/>
      <c r="AS36" s="280"/>
      <c r="AT36" s="277"/>
      <c r="AU36" s="278"/>
      <c r="AV36" s="285" t="str">
        <f t="shared" si="33"/>
        <v/>
      </c>
      <c r="AW36" s="296" t="str">
        <f t="shared" si="34"/>
        <v/>
      </c>
      <c r="AX36" s="1220" t="str">
        <f t="shared" si="42"/>
        <v/>
      </c>
      <c r="AY36" s="1221" t="str">
        <f t="shared" si="42"/>
        <v/>
      </c>
      <c r="AZ36" s="1221" t="str">
        <f t="shared" si="42"/>
        <v/>
      </c>
      <c r="BA36" s="1221" t="str">
        <f t="shared" si="42"/>
        <v/>
      </c>
      <c r="BB36" s="1221" t="str">
        <f t="shared" si="42"/>
        <v/>
      </c>
      <c r="BC36" s="1221" t="str">
        <f t="shared" si="42"/>
        <v/>
      </c>
      <c r="BD36" s="1221" t="str">
        <f t="shared" si="42"/>
        <v/>
      </c>
      <c r="BE36" s="1222" t="str">
        <f t="shared" si="42"/>
        <v/>
      </c>
      <c r="BF36" s="1221" t="str">
        <f t="shared" si="42"/>
        <v/>
      </c>
      <c r="BG36" s="1223" t="str">
        <f t="shared" si="42"/>
        <v/>
      </c>
      <c r="BH36" s="286">
        <f t="shared" si="35"/>
        <v>0</v>
      </c>
      <c r="BI36" s="286">
        <f t="shared" si="36"/>
        <v>0</v>
      </c>
      <c r="BJ36" s="287" t="str">
        <f t="shared" si="37"/>
        <v>cukup</v>
      </c>
      <c r="BK36" s="287" t="str">
        <f t="shared" si="37"/>
        <v>cukup</v>
      </c>
      <c r="BL36" s="286" t="e">
        <f t="shared" si="38"/>
        <v>#N/A</v>
      </c>
      <c r="BM36" s="288" t="e">
        <f t="shared" si="39"/>
        <v>#N/A</v>
      </c>
      <c r="BN36" s="289" t="str">
        <f t="shared" si="40"/>
        <v/>
      </c>
      <c r="BO36" s="67"/>
    </row>
    <row r="37" spans="1:67" ht="33" customHeight="1">
      <c r="A37" s="67"/>
      <c r="B37" s="272">
        <f t="shared" si="23"/>
        <v>24</v>
      </c>
      <c r="C37" s="273">
        <f>IF(Data!F28="","",Data!F28)</f>
        <v>0</v>
      </c>
      <c r="D37" s="274" t="str">
        <f>IF(Data!H28="","",Data!H28)</f>
        <v>Marlon Dioninsius Lalus</v>
      </c>
      <c r="E37" s="275" t="str">
        <f>IF(Data!I28="","",Data!I28)</f>
        <v>L</v>
      </c>
      <c r="F37" s="276"/>
      <c r="G37" s="277"/>
      <c r="H37" s="277"/>
      <c r="I37" s="277"/>
      <c r="J37" s="277"/>
      <c r="K37" s="277"/>
      <c r="L37" s="277"/>
      <c r="M37" s="280"/>
      <c r="N37" s="277"/>
      <c r="O37" s="278"/>
      <c r="P37" s="279" t="str">
        <f t="shared" si="24"/>
        <v/>
      </c>
      <c r="Q37" s="277"/>
      <c r="R37" s="280"/>
      <c r="S37" s="281" t="str">
        <f t="shared" si="25"/>
        <v/>
      </c>
      <c r="T37" s="295" t="str">
        <f t="shared" si="26"/>
        <v/>
      </c>
      <c r="U37" s="1215" t="str">
        <f t="shared" si="41"/>
        <v/>
      </c>
      <c r="V37" s="1216" t="str">
        <f t="shared" si="41"/>
        <v/>
      </c>
      <c r="W37" s="1216" t="str">
        <f t="shared" si="41"/>
        <v/>
      </c>
      <c r="X37" s="1216" t="str">
        <f t="shared" si="41"/>
        <v/>
      </c>
      <c r="Y37" s="1216" t="str">
        <f t="shared" si="41"/>
        <v/>
      </c>
      <c r="Z37" s="1216" t="str">
        <f t="shared" si="41"/>
        <v/>
      </c>
      <c r="AA37" s="1216" t="str">
        <f t="shared" si="41"/>
        <v/>
      </c>
      <c r="AB37" s="1217" t="str">
        <f t="shared" si="41"/>
        <v/>
      </c>
      <c r="AC37" s="1216" t="str">
        <f t="shared" si="41"/>
        <v/>
      </c>
      <c r="AD37" s="1218" t="str">
        <f t="shared" si="41"/>
        <v/>
      </c>
      <c r="AE37" s="1219">
        <f t="shared" si="27"/>
        <v>0</v>
      </c>
      <c r="AF37" s="282">
        <f t="shared" si="28"/>
        <v>0</v>
      </c>
      <c r="AG37" s="282" t="str">
        <f t="shared" si="29"/>
        <v>cukup</v>
      </c>
      <c r="AH37" s="282" t="str">
        <f t="shared" si="29"/>
        <v>cukup</v>
      </c>
      <c r="AI37" s="282" t="str">
        <f t="shared" si="30"/>
        <v/>
      </c>
      <c r="AJ37" s="283" t="str">
        <f t="shared" si="31"/>
        <v/>
      </c>
      <c r="AK37" s="284" t="str">
        <f t="shared" si="32"/>
        <v/>
      </c>
      <c r="AL37" s="276"/>
      <c r="AM37" s="277"/>
      <c r="AN37" s="277"/>
      <c r="AO37" s="277"/>
      <c r="AP37" s="277"/>
      <c r="AQ37" s="277"/>
      <c r="AR37" s="277"/>
      <c r="AS37" s="280"/>
      <c r="AT37" s="277"/>
      <c r="AU37" s="278"/>
      <c r="AV37" s="285" t="str">
        <f t="shared" si="33"/>
        <v/>
      </c>
      <c r="AW37" s="296" t="str">
        <f t="shared" si="34"/>
        <v/>
      </c>
      <c r="AX37" s="1220" t="str">
        <f t="shared" si="42"/>
        <v/>
      </c>
      <c r="AY37" s="1221" t="str">
        <f t="shared" si="42"/>
        <v/>
      </c>
      <c r="AZ37" s="1221" t="str">
        <f t="shared" si="42"/>
        <v/>
      </c>
      <c r="BA37" s="1221" t="str">
        <f t="shared" si="42"/>
        <v/>
      </c>
      <c r="BB37" s="1221" t="str">
        <f t="shared" si="42"/>
        <v/>
      </c>
      <c r="BC37" s="1221" t="str">
        <f t="shared" si="42"/>
        <v/>
      </c>
      <c r="BD37" s="1221" t="str">
        <f t="shared" si="42"/>
        <v/>
      </c>
      <c r="BE37" s="1222" t="str">
        <f t="shared" si="42"/>
        <v/>
      </c>
      <c r="BF37" s="1221" t="str">
        <f t="shared" si="42"/>
        <v/>
      </c>
      <c r="BG37" s="1223" t="str">
        <f t="shared" si="42"/>
        <v/>
      </c>
      <c r="BH37" s="286">
        <f t="shared" si="35"/>
        <v>0</v>
      </c>
      <c r="BI37" s="286">
        <f t="shared" si="36"/>
        <v>0</v>
      </c>
      <c r="BJ37" s="287" t="str">
        <f t="shared" si="37"/>
        <v>cukup</v>
      </c>
      <c r="BK37" s="287" t="str">
        <f t="shared" si="37"/>
        <v>cukup</v>
      </c>
      <c r="BL37" s="286" t="e">
        <f t="shared" si="38"/>
        <v>#N/A</v>
      </c>
      <c r="BM37" s="288" t="e">
        <f t="shared" si="39"/>
        <v>#N/A</v>
      </c>
      <c r="BN37" s="289" t="str">
        <f t="shared" si="40"/>
        <v/>
      </c>
      <c r="BO37" s="67"/>
    </row>
    <row r="38" spans="1:67" ht="33" customHeight="1">
      <c r="A38" s="67"/>
      <c r="B38" s="272">
        <f t="shared" si="23"/>
        <v>25</v>
      </c>
      <c r="C38" s="273">
        <f>IF(Data!F29="","",Data!F29)</f>
        <v>0</v>
      </c>
      <c r="D38" s="274" t="str">
        <f>IF(Data!H29="","",Data!H29)</f>
        <v>Maya Trifena Niobe</v>
      </c>
      <c r="E38" s="275" t="str">
        <f>IF(Data!I29="","",Data!I29)</f>
        <v>P</v>
      </c>
      <c r="F38" s="276"/>
      <c r="G38" s="277"/>
      <c r="H38" s="277"/>
      <c r="I38" s="277"/>
      <c r="J38" s="277"/>
      <c r="K38" s="277"/>
      <c r="L38" s="277"/>
      <c r="M38" s="280"/>
      <c r="N38" s="277"/>
      <c r="O38" s="278"/>
      <c r="P38" s="279" t="str">
        <f t="shared" si="24"/>
        <v/>
      </c>
      <c r="Q38" s="277"/>
      <c r="R38" s="280"/>
      <c r="S38" s="281" t="str">
        <f t="shared" si="25"/>
        <v/>
      </c>
      <c r="T38" s="295" t="str">
        <f t="shared" si="26"/>
        <v/>
      </c>
      <c r="U38" s="1215" t="str">
        <f t="shared" si="41"/>
        <v/>
      </c>
      <c r="V38" s="1216" t="str">
        <f t="shared" si="41"/>
        <v/>
      </c>
      <c r="W38" s="1216" t="str">
        <f t="shared" si="41"/>
        <v/>
      </c>
      <c r="X38" s="1216" t="str">
        <f t="shared" si="41"/>
        <v/>
      </c>
      <c r="Y38" s="1216" t="str">
        <f t="shared" si="41"/>
        <v/>
      </c>
      <c r="Z38" s="1216" t="str">
        <f t="shared" si="41"/>
        <v/>
      </c>
      <c r="AA38" s="1216" t="str">
        <f t="shared" si="41"/>
        <v/>
      </c>
      <c r="AB38" s="1217" t="str">
        <f t="shared" si="41"/>
        <v/>
      </c>
      <c r="AC38" s="1216" t="str">
        <f t="shared" si="41"/>
        <v/>
      </c>
      <c r="AD38" s="1218" t="str">
        <f t="shared" si="41"/>
        <v/>
      </c>
      <c r="AE38" s="1219">
        <f t="shared" si="27"/>
        <v>0</v>
      </c>
      <c r="AF38" s="282">
        <f t="shared" si="28"/>
        <v>0</v>
      </c>
      <c r="AG38" s="282" t="str">
        <f t="shared" si="29"/>
        <v>cukup</v>
      </c>
      <c r="AH38" s="282" t="str">
        <f t="shared" si="29"/>
        <v>cukup</v>
      </c>
      <c r="AI38" s="282" t="str">
        <f t="shared" si="30"/>
        <v/>
      </c>
      <c r="AJ38" s="283" t="str">
        <f t="shared" si="31"/>
        <v/>
      </c>
      <c r="AK38" s="284" t="str">
        <f t="shared" si="32"/>
        <v/>
      </c>
      <c r="AL38" s="276"/>
      <c r="AM38" s="277"/>
      <c r="AN38" s="277"/>
      <c r="AO38" s="277"/>
      <c r="AP38" s="277"/>
      <c r="AQ38" s="277"/>
      <c r="AR38" s="277"/>
      <c r="AS38" s="280"/>
      <c r="AT38" s="277"/>
      <c r="AU38" s="278"/>
      <c r="AV38" s="285" t="str">
        <f t="shared" si="33"/>
        <v/>
      </c>
      <c r="AW38" s="296" t="str">
        <f t="shared" si="34"/>
        <v/>
      </c>
      <c r="AX38" s="1220" t="str">
        <f t="shared" si="42"/>
        <v/>
      </c>
      <c r="AY38" s="1221" t="str">
        <f t="shared" si="42"/>
        <v/>
      </c>
      <c r="AZ38" s="1221" t="str">
        <f t="shared" si="42"/>
        <v/>
      </c>
      <c r="BA38" s="1221" t="str">
        <f t="shared" si="42"/>
        <v/>
      </c>
      <c r="BB38" s="1221" t="str">
        <f t="shared" si="42"/>
        <v/>
      </c>
      <c r="BC38" s="1221" t="str">
        <f t="shared" si="42"/>
        <v/>
      </c>
      <c r="BD38" s="1221" t="str">
        <f t="shared" si="42"/>
        <v/>
      </c>
      <c r="BE38" s="1222" t="str">
        <f t="shared" si="42"/>
        <v/>
      </c>
      <c r="BF38" s="1221" t="str">
        <f t="shared" si="42"/>
        <v/>
      </c>
      <c r="BG38" s="1223" t="str">
        <f t="shared" si="42"/>
        <v/>
      </c>
      <c r="BH38" s="286">
        <f t="shared" si="35"/>
        <v>0</v>
      </c>
      <c r="BI38" s="286">
        <f t="shared" si="36"/>
        <v>0</v>
      </c>
      <c r="BJ38" s="287" t="str">
        <f t="shared" si="37"/>
        <v>cukup</v>
      </c>
      <c r="BK38" s="287" t="str">
        <f t="shared" si="37"/>
        <v>cukup</v>
      </c>
      <c r="BL38" s="286" t="e">
        <f t="shared" si="38"/>
        <v>#N/A</v>
      </c>
      <c r="BM38" s="288" t="e">
        <f t="shared" si="39"/>
        <v>#N/A</v>
      </c>
      <c r="BN38" s="289" t="str">
        <f t="shared" si="40"/>
        <v/>
      </c>
      <c r="BO38" s="67"/>
    </row>
    <row r="39" spans="1:67" ht="33" customHeight="1">
      <c r="A39" s="67"/>
      <c r="B39" s="272">
        <f t="shared" si="23"/>
        <v>26</v>
      </c>
      <c r="C39" s="273">
        <f>IF(Data!F30="","",Data!F30)</f>
        <v>0</v>
      </c>
      <c r="D39" s="274" t="str">
        <f>IF(Data!H30="","",Data!H30)</f>
        <v>Misel Miranda Sora</v>
      </c>
      <c r="E39" s="275" t="str">
        <f>IF(Data!I30="","",Data!I30)</f>
        <v>P</v>
      </c>
      <c r="F39" s="276"/>
      <c r="G39" s="277"/>
      <c r="H39" s="277"/>
      <c r="I39" s="277"/>
      <c r="J39" s="277"/>
      <c r="K39" s="277"/>
      <c r="L39" s="277"/>
      <c r="M39" s="280"/>
      <c r="N39" s="277"/>
      <c r="O39" s="278"/>
      <c r="P39" s="279" t="str">
        <f t="shared" si="24"/>
        <v/>
      </c>
      <c r="Q39" s="277"/>
      <c r="R39" s="280"/>
      <c r="S39" s="281" t="str">
        <f t="shared" si="25"/>
        <v/>
      </c>
      <c r="T39" s="295" t="str">
        <f t="shared" si="26"/>
        <v/>
      </c>
      <c r="U39" s="1215" t="str">
        <f t="shared" si="41"/>
        <v/>
      </c>
      <c r="V39" s="1216" t="str">
        <f t="shared" si="41"/>
        <v/>
      </c>
      <c r="W39" s="1216" t="str">
        <f t="shared" si="41"/>
        <v/>
      </c>
      <c r="X39" s="1216" t="str">
        <f t="shared" si="41"/>
        <v/>
      </c>
      <c r="Y39" s="1216" t="str">
        <f t="shared" si="41"/>
        <v/>
      </c>
      <c r="Z39" s="1216" t="str">
        <f t="shared" si="41"/>
        <v/>
      </c>
      <c r="AA39" s="1216" t="str">
        <f t="shared" si="41"/>
        <v/>
      </c>
      <c r="AB39" s="1217" t="str">
        <f t="shared" si="41"/>
        <v/>
      </c>
      <c r="AC39" s="1216" t="str">
        <f t="shared" si="41"/>
        <v/>
      </c>
      <c r="AD39" s="1218" t="str">
        <f t="shared" si="41"/>
        <v/>
      </c>
      <c r="AE39" s="1219">
        <f t="shared" si="27"/>
        <v>0</v>
      </c>
      <c r="AF39" s="282">
        <f t="shared" si="28"/>
        <v>0</v>
      </c>
      <c r="AG39" s="282" t="str">
        <f t="shared" si="29"/>
        <v>cukup</v>
      </c>
      <c r="AH39" s="282" t="str">
        <f t="shared" si="29"/>
        <v>cukup</v>
      </c>
      <c r="AI39" s="282" t="str">
        <f t="shared" si="30"/>
        <v/>
      </c>
      <c r="AJ39" s="283" t="str">
        <f t="shared" si="31"/>
        <v/>
      </c>
      <c r="AK39" s="284" t="str">
        <f t="shared" si="32"/>
        <v/>
      </c>
      <c r="AL39" s="276"/>
      <c r="AM39" s="277"/>
      <c r="AN39" s="277"/>
      <c r="AO39" s="277"/>
      <c r="AP39" s="277"/>
      <c r="AQ39" s="277"/>
      <c r="AR39" s="277"/>
      <c r="AS39" s="280"/>
      <c r="AT39" s="277"/>
      <c r="AU39" s="278"/>
      <c r="AV39" s="285" t="str">
        <f t="shared" si="33"/>
        <v/>
      </c>
      <c r="AW39" s="296" t="str">
        <f t="shared" si="34"/>
        <v/>
      </c>
      <c r="AX39" s="1220" t="str">
        <f t="shared" si="42"/>
        <v/>
      </c>
      <c r="AY39" s="1221" t="str">
        <f t="shared" si="42"/>
        <v/>
      </c>
      <c r="AZ39" s="1221" t="str">
        <f t="shared" si="42"/>
        <v/>
      </c>
      <c r="BA39" s="1221" t="str">
        <f t="shared" si="42"/>
        <v/>
      </c>
      <c r="BB39" s="1221" t="str">
        <f t="shared" si="42"/>
        <v/>
      </c>
      <c r="BC39" s="1221" t="str">
        <f t="shared" si="42"/>
        <v/>
      </c>
      <c r="BD39" s="1221" t="str">
        <f t="shared" si="42"/>
        <v/>
      </c>
      <c r="BE39" s="1222" t="str">
        <f t="shared" si="42"/>
        <v/>
      </c>
      <c r="BF39" s="1221" t="str">
        <f t="shared" si="42"/>
        <v/>
      </c>
      <c r="BG39" s="1223" t="str">
        <f t="shared" si="42"/>
        <v/>
      </c>
      <c r="BH39" s="286">
        <f t="shared" si="35"/>
        <v>0</v>
      </c>
      <c r="BI39" s="286">
        <f t="shared" si="36"/>
        <v>0</v>
      </c>
      <c r="BJ39" s="287" t="str">
        <f t="shared" si="37"/>
        <v>cukup</v>
      </c>
      <c r="BK39" s="287" t="str">
        <f t="shared" si="37"/>
        <v>cukup</v>
      </c>
      <c r="BL39" s="286" t="e">
        <f t="shared" si="38"/>
        <v>#N/A</v>
      </c>
      <c r="BM39" s="288" t="e">
        <f t="shared" si="39"/>
        <v>#N/A</v>
      </c>
      <c r="BN39" s="289" t="str">
        <f t="shared" si="40"/>
        <v/>
      </c>
      <c r="BO39" s="67"/>
    </row>
    <row r="40" spans="1:67" ht="33" customHeight="1">
      <c r="A40" s="67"/>
      <c r="B40" s="272">
        <f t="shared" si="23"/>
        <v>27</v>
      </c>
      <c r="C40" s="273">
        <f>IF(Data!F31="","",Data!F31)</f>
        <v>0</v>
      </c>
      <c r="D40" s="274" t="str">
        <f>IF(Data!H31="","",Data!H31)</f>
        <v>Nofianti Tainmeta</v>
      </c>
      <c r="E40" s="275" t="str">
        <f>IF(Data!I31="","",Data!I31)</f>
        <v>P</v>
      </c>
      <c r="F40" s="276"/>
      <c r="G40" s="277"/>
      <c r="H40" s="277"/>
      <c r="I40" s="277"/>
      <c r="J40" s="277"/>
      <c r="K40" s="277"/>
      <c r="L40" s="277"/>
      <c r="M40" s="280"/>
      <c r="N40" s="277"/>
      <c r="O40" s="278"/>
      <c r="P40" s="279" t="str">
        <f t="shared" si="24"/>
        <v/>
      </c>
      <c r="Q40" s="277"/>
      <c r="R40" s="280"/>
      <c r="S40" s="281" t="str">
        <f t="shared" si="25"/>
        <v/>
      </c>
      <c r="T40" s="295" t="str">
        <f t="shared" si="26"/>
        <v/>
      </c>
      <c r="U40" s="1215" t="str">
        <f t="shared" si="41"/>
        <v/>
      </c>
      <c r="V40" s="1216" t="str">
        <f t="shared" si="41"/>
        <v/>
      </c>
      <c r="W40" s="1216" t="str">
        <f t="shared" si="41"/>
        <v/>
      </c>
      <c r="X40" s="1216" t="str">
        <f t="shared" si="41"/>
        <v/>
      </c>
      <c r="Y40" s="1216" t="str">
        <f t="shared" si="41"/>
        <v/>
      </c>
      <c r="Z40" s="1216" t="str">
        <f t="shared" si="41"/>
        <v/>
      </c>
      <c r="AA40" s="1216" t="str">
        <f t="shared" si="41"/>
        <v/>
      </c>
      <c r="AB40" s="1217" t="str">
        <f t="shared" si="41"/>
        <v/>
      </c>
      <c r="AC40" s="1216" t="str">
        <f t="shared" si="41"/>
        <v/>
      </c>
      <c r="AD40" s="1218" t="str">
        <f t="shared" si="41"/>
        <v/>
      </c>
      <c r="AE40" s="1219">
        <f t="shared" si="27"/>
        <v>0</v>
      </c>
      <c r="AF40" s="282">
        <f t="shared" si="28"/>
        <v>0</v>
      </c>
      <c r="AG40" s="282" t="str">
        <f t="shared" si="29"/>
        <v>cukup</v>
      </c>
      <c r="AH40" s="282" t="str">
        <f t="shared" si="29"/>
        <v>cukup</v>
      </c>
      <c r="AI40" s="282" t="str">
        <f t="shared" si="30"/>
        <v/>
      </c>
      <c r="AJ40" s="283" t="str">
        <f t="shared" si="31"/>
        <v/>
      </c>
      <c r="AK40" s="284" t="str">
        <f t="shared" si="32"/>
        <v/>
      </c>
      <c r="AL40" s="276"/>
      <c r="AM40" s="277"/>
      <c r="AN40" s="277"/>
      <c r="AO40" s="277"/>
      <c r="AP40" s="277"/>
      <c r="AQ40" s="277"/>
      <c r="AR40" s="277"/>
      <c r="AS40" s="280"/>
      <c r="AT40" s="277"/>
      <c r="AU40" s="278"/>
      <c r="AV40" s="285" t="str">
        <f t="shared" si="33"/>
        <v/>
      </c>
      <c r="AW40" s="296" t="str">
        <f t="shared" si="34"/>
        <v/>
      </c>
      <c r="AX40" s="1220" t="str">
        <f t="shared" si="42"/>
        <v/>
      </c>
      <c r="AY40" s="1221" t="str">
        <f t="shared" si="42"/>
        <v/>
      </c>
      <c r="AZ40" s="1221" t="str">
        <f t="shared" si="42"/>
        <v/>
      </c>
      <c r="BA40" s="1221" t="str">
        <f t="shared" si="42"/>
        <v/>
      </c>
      <c r="BB40" s="1221" t="str">
        <f t="shared" si="42"/>
        <v/>
      </c>
      <c r="BC40" s="1221" t="str">
        <f t="shared" si="42"/>
        <v/>
      </c>
      <c r="BD40" s="1221" t="str">
        <f t="shared" si="42"/>
        <v/>
      </c>
      <c r="BE40" s="1222" t="str">
        <f t="shared" si="42"/>
        <v/>
      </c>
      <c r="BF40" s="1221" t="str">
        <f t="shared" si="42"/>
        <v/>
      </c>
      <c r="BG40" s="1223" t="str">
        <f t="shared" si="42"/>
        <v/>
      </c>
      <c r="BH40" s="286">
        <f t="shared" si="35"/>
        <v>0</v>
      </c>
      <c r="BI40" s="286">
        <f t="shared" si="36"/>
        <v>0</v>
      </c>
      <c r="BJ40" s="287" t="str">
        <f t="shared" si="37"/>
        <v>cukup</v>
      </c>
      <c r="BK40" s="287" t="str">
        <f t="shared" si="37"/>
        <v>cukup</v>
      </c>
      <c r="BL40" s="286" t="e">
        <f t="shared" si="38"/>
        <v>#N/A</v>
      </c>
      <c r="BM40" s="288" t="e">
        <f t="shared" si="39"/>
        <v>#N/A</v>
      </c>
      <c r="BN40" s="289" t="str">
        <f t="shared" si="40"/>
        <v/>
      </c>
      <c r="BO40" s="67"/>
    </row>
    <row r="41" spans="1:67" ht="33" customHeight="1">
      <c r="A41" s="67"/>
      <c r="B41" s="272">
        <f t="shared" si="23"/>
        <v>28</v>
      </c>
      <c r="C41" s="273">
        <f>IF(Data!F32="","",Data!F32)</f>
        <v>0</v>
      </c>
      <c r="D41" s="274" t="str">
        <f>IF(Data!H32="","",Data!H32)</f>
        <v>Ofni Antrikus Banun</v>
      </c>
      <c r="E41" s="275" t="str">
        <f>IF(Data!I32="","",Data!I32)</f>
        <v>L</v>
      </c>
      <c r="F41" s="276"/>
      <c r="G41" s="277"/>
      <c r="H41" s="277"/>
      <c r="I41" s="277"/>
      <c r="J41" s="277"/>
      <c r="K41" s="277"/>
      <c r="L41" s="277"/>
      <c r="M41" s="280"/>
      <c r="N41" s="277"/>
      <c r="O41" s="278"/>
      <c r="P41" s="279" t="str">
        <f t="shared" si="24"/>
        <v/>
      </c>
      <c r="Q41" s="277"/>
      <c r="R41" s="280"/>
      <c r="S41" s="281" t="str">
        <f t="shared" si="25"/>
        <v/>
      </c>
      <c r="T41" s="295" t="str">
        <f t="shared" si="26"/>
        <v/>
      </c>
      <c r="U41" s="1215" t="str">
        <f t="shared" si="41"/>
        <v/>
      </c>
      <c r="V41" s="1216" t="str">
        <f t="shared" si="41"/>
        <v/>
      </c>
      <c r="W41" s="1216" t="str">
        <f t="shared" si="41"/>
        <v/>
      </c>
      <c r="X41" s="1216" t="str">
        <f t="shared" si="41"/>
        <v/>
      </c>
      <c r="Y41" s="1216" t="str">
        <f t="shared" si="41"/>
        <v/>
      </c>
      <c r="Z41" s="1216" t="str">
        <f t="shared" si="41"/>
        <v/>
      </c>
      <c r="AA41" s="1216" t="str">
        <f t="shared" si="41"/>
        <v/>
      </c>
      <c r="AB41" s="1217" t="str">
        <f t="shared" si="41"/>
        <v/>
      </c>
      <c r="AC41" s="1216" t="str">
        <f t="shared" si="41"/>
        <v/>
      </c>
      <c r="AD41" s="1218" t="str">
        <f t="shared" si="41"/>
        <v/>
      </c>
      <c r="AE41" s="1219">
        <f t="shared" si="27"/>
        <v>0</v>
      </c>
      <c r="AF41" s="282">
        <f t="shared" si="28"/>
        <v>0</v>
      </c>
      <c r="AG41" s="282" t="str">
        <f t="shared" si="29"/>
        <v>cukup</v>
      </c>
      <c r="AH41" s="282" t="str">
        <f t="shared" si="29"/>
        <v>cukup</v>
      </c>
      <c r="AI41" s="282" t="str">
        <f t="shared" si="30"/>
        <v/>
      </c>
      <c r="AJ41" s="283" t="str">
        <f t="shared" si="31"/>
        <v/>
      </c>
      <c r="AK41" s="284" t="str">
        <f t="shared" si="32"/>
        <v/>
      </c>
      <c r="AL41" s="276"/>
      <c r="AM41" s="277"/>
      <c r="AN41" s="277"/>
      <c r="AO41" s="277"/>
      <c r="AP41" s="277"/>
      <c r="AQ41" s="277"/>
      <c r="AR41" s="277"/>
      <c r="AS41" s="280"/>
      <c r="AT41" s="277"/>
      <c r="AU41" s="278"/>
      <c r="AV41" s="285" t="str">
        <f t="shared" si="33"/>
        <v/>
      </c>
      <c r="AW41" s="296" t="str">
        <f t="shared" si="34"/>
        <v/>
      </c>
      <c r="AX41" s="1220" t="str">
        <f t="shared" si="42"/>
        <v/>
      </c>
      <c r="AY41" s="1221" t="str">
        <f t="shared" si="42"/>
        <v/>
      </c>
      <c r="AZ41" s="1221" t="str">
        <f t="shared" si="42"/>
        <v/>
      </c>
      <c r="BA41" s="1221" t="str">
        <f t="shared" si="42"/>
        <v/>
      </c>
      <c r="BB41" s="1221" t="str">
        <f t="shared" si="42"/>
        <v/>
      </c>
      <c r="BC41" s="1221" t="str">
        <f t="shared" si="42"/>
        <v/>
      </c>
      <c r="BD41" s="1221" t="str">
        <f t="shared" si="42"/>
        <v/>
      </c>
      <c r="BE41" s="1222" t="str">
        <f t="shared" si="42"/>
        <v/>
      </c>
      <c r="BF41" s="1221" t="str">
        <f t="shared" si="42"/>
        <v/>
      </c>
      <c r="BG41" s="1223" t="str">
        <f t="shared" si="42"/>
        <v/>
      </c>
      <c r="BH41" s="286">
        <f t="shared" si="35"/>
        <v>0</v>
      </c>
      <c r="BI41" s="286">
        <f t="shared" si="36"/>
        <v>0</v>
      </c>
      <c r="BJ41" s="287" t="str">
        <f t="shared" si="37"/>
        <v>cukup</v>
      </c>
      <c r="BK41" s="287" t="str">
        <f t="shared" si="37"/>
        <v>cukup</v>
      </c>
      <c r="BL41" s="286" t="e">
        <f t="shared" si="38"/>
        <v>#N/A</v>
      </c>
      <c r="BM41" s="288" t="e">
        <f t="shared" si="39"/>
        <v>#N/A</v>
      </c>
      <c r="BN41" s="289" t="str">
        <f t="shared" si="40"/>
        <v/>
      </c>
      <c r="BO41" s="67"/>
    </row>
    <row r="42" spans="1:67" ht="33" customHeight="1">
      <c r="A42" s="67"/>
      <c r="B42" s="272">
        <f t="shared" si="23"/>
        <v>29</v>
      </c>
      <c r="C42" s="273">
        <f>IF(Data!F33="","",Data!F33)</f>
        <v>0</v>
      </c>
      <c r="D42" s="274" t="str">
        <f>IF(Data!H33="","",Data!H33)</f>
        <v>Roiyandi Saebesi</v>
      </c>
      <c r="E42" s="275" t="str">
        <f>IF(Data!I33="","",Data!I33)</f>
        <v>L</v>
      </c>
      <c r="F42" s="276"/>
      <c r="G42" s="277"/>
      <c r="H42" s="277"/>
      <c r="I42" s="277"/>
      <c r="J42" s="277"/>
      <c r="K42" s="277"/>
      <c r="L42" s="277"/>
      <c r="M42" s="280"/>
      <c r="N42" s="277"/>
      <c r="O42" s="278"/>
      <c r="P42" s="279" t="str">
        <f t="shared" si="24"/>
        <v/>
      </c>
      <c r="Q42" s="277"/>
      <c r="R42" s="280"/>
      <c r="S42" s="281" t="str">
        <f t="shared" si="25"/>
        <v/>
      </c>
      <c r="T42" s="295" t="str">
        <f t="shared" si="26"/>
        <v/>
      </c>
      <c r="U42" s="1215" t="str">
        <f t="shared" si="41"/>
        <v/>
      </c>
      <c r="V42" s="1216" t="str">
        <f t="shared" si="41"/>
        <v/>
      </c>
      <c r="W42" s="1216" t="str">
        <f t="shared" si="41"/>
        <v/>
      </c>
      <c r="X42" s="1216" t="str">
        <f t="shared" si="41"/>
        <v/>
      </c>
      <c r="Y42" s="1216" t="str">
        <f t="shared" si="41"/>
        <v/>
      </c>
      <c r="Z42" s="1216" t="str">
        <f t="shared" si="41"/>
        <v/>
      </c>
      <c r="AA42" s="1216" t="str">
        <f t="shared" si="41"/>
        <v/>
      </c>
      <c r="AB42" s="1217" t="str">
        <f t="shared" si="41"/>
        <v/>
      </c>
      <c r="AC42" s="1216" t="str">
        <f t="shared" si="41"/>
        <v/>
      </c>
      <c r="AD42" s="1218" t="str">
        <f t="shared" si="41"/>
        <v/>
      </c>
      <c r="AE42" s="1219">
        <f t="shared" si="27"/>
        <v>0</v>
      </c>
      <c r="AF42" s="282">
        <f t="shared" si="28"/>
        <v>0</v>
      </c>
      <c r="AG42" s="282" t="str">
        <f t="shared" si="29"/>
        <v>cukup</v>
      </c>
      <c r="AH42" s="282" t="str">
        <f t="shared" si="29"/>
        <v>cukup</v>
      </c>
      <c r="AI42" s="282" t="str">
        <f t="shared" si="30"/>
        <v/>
      </c>
      <c r="AJ42" s="283" t="str">
        <f t="shared" si="31"/>
        <v/>
      </c>
      <c r="AK42" s="284" t="str">
        <f t="shared" si="32"/>
        <v/>
      </c>
      <c r="AL42" s="276"/>
      <c r="AM42" s="277"/>
      <c r="AN42" s="277"/>
      <c r="AO42" s="277"/>
      <c r="AP42" s="277"/>
      <c r="AQ42" s="277"/>
      <c r="AR42" s="277"/>
      <c r="AS42" s="280"/>
      <c r="AT42" s="277"/>
      <c r="AU42" s="278"/>
      <c r="AV42" s="285" t="str">
        <f t="shared" si="33"/>
        <v/>
      </c>
      <c r="AW42" s="296" t="str">
        <f t="shared" si="34"/>
        <v/>
      </c>
      <c r="AX42" s="1220" t="str">
        <f t="shared" si="42"/>
        <v/>
      </c>
      <c r="AY42" s="1221" t="str">
        <f t="shared" si="42"/>
        <v/>
      </c>
      <c r="AZ42" s="1221" t="str">
        <f t="shared" si="42"/>
        <v/>
      </c>
      <c r="BA42" s="1221" t="str">
        <f t="shared" si="42"/>
        <v/>
      </c>
      <c r="BB42" s="1221" t="str">
        <f t="shared" si="42"/>
        <v/>
      </c>
      <c r="BC42" s="1221" t="str">
        <f t="shared" si="42"/>
        <v/>
      </c>
      <c r="BD42" s="1221" t="str">
        <f t="shared" si="42"/>
        <v/>
      </c>
      <c r="BE42" s="1222" t="str">
        <f t="shared" si="42"/>
        <v/>
      </c>
      <c r="BF42" s="1221" t="str">
        <f t="shared" si="42"/>
        <v/>
      </c>
      <c r="BG42" s="1223" t="str">
        <f t="shared" si="42"/>
        <v/>
      </c>
      <c r="BH42" s="286">
        <f t="shared" si="35"/>
        <v>0</v>
      </c>
      <c r="BI42" s="286">
        <f t="shared" si="36"/>
        <v>0</v>
      </c>
      <c r="BJ42" s="287" t="str">
        <f t="shared" si="37"/>
        <v>cukup</v>
      </c>
      <c r="BK42" s="287" t="str">
        <f t="shared" si="37"/>
        <v>cukup</v>
      </c>
      <c r="BL42" s="286" t="e">
        <f t="shared" si="38"/>
        <v>#N/A</v>
      </c>
      <c r="BM42" s="288" t="e">
        <f t="shared" si="39"/>
        <v>#N/A</v>
      </c>
      <c r="BN42" s="289" t="str">
        <f t="shared" si="40"/>
        <v/>
      </c>
      <c r="BO42" s="67"/>
    </row>
    <row r="43" spans="1:67" ht="33" customHeight="1">
      <c r="A43" s="67"/>
      <c r="B43" s="272">
        <f t="shared" si="23"/>
        <v>30</v>
      </c>
      <c r="C43" s="273">
        <f>IF(Data!F34="","",Data!F34)</f>
        <v>0</v>
      </c>
      <c r="D43" s="274" t="str">
        <f>IF(Data!H34="","",Data!H34)</f>
        <v>Roni Yohanis Bira</v>
      </c>
      <c r="E43" s="275" t="str">
        <f>IF(Data!I34="","",Data!I34)</f>
        <v>L</v>
      </c>
      <c r="F43" s="276"/>
      <c r="G43" s="277"/>
      <c r="H43" s="277"/>
      <c r="I43" s="277"/>
      <c r="J43" s="277"/>
      <c r="K43" s="277"/>
      <c r="L43" s="277"/>
      <c r="M43" s="280"/>
      <c r="N43" s="277"/>
      <c r="O43" s="278"/>
      <c r="P43" s="279" t="str">
        <f t="shared" si="24"/>
        <v/>
      </c>
      <c r="Q43" s="277"/>
      <c r="R43" s="280"/>
      <c r="S43" s="281" t="str">
        <f t="shared" si="25"/>
        <v/>
      </c>
      <c r="T43" s="295" t="str">
        <f t="shared" si="26"/>
        <v/>
      </c>
      <c r="U43" s="1215" t="str">
        <f t="shared" si="41"/>
        <v/>
      </c>
      <c r="V43" s="1216" t="str">
        <f t="shared" si="41"/>
        <v/>
      </c>
      <c r="W43" s="1216" t="str">
        <f t="shared" si="41"/>
        <v/>
      </c>
      <c r="X43" s="1216" t="str">
        <f t="shared" si="41"/>
        <v/>
      </c>
      <c r="Y43" s="1216" t="str">
        <f t="shared" si="41"/>
        <v/>
      </c>
      <c r="Z43" s="1216" t="str">
        <f t="shared" si="41"/>
        <v/>
      </c>
      <c r="AA43" s="1216" t="str">
        <f t="shared" si="41"/>
        <v/>
      </c>
      <c r="AB43" s="1217" t="str">
        <f t="shared" si="41"/>
        <v/>
      </c>
      <c r="AC43" s="1216" t="str">
        <f t="shared" si="41"/>
        <v/>
      </c>
      <c r="AD43" s="1218" t="str">
        <f t="shared" si="41"/>
        <v/>
      </c>
      <c r="AE43" s="1219">
        <f t="shared" si="27"/>
        <v>0</v>
      </c>
      <c r="AF43" s="282">
        <f t="shared" si="28"/>
        <v>0</v>
      </c>
      <c r="AG43" s="282" t="str">
        <f t="shared" si="29"/>
        <v>cukup</v>
      </c>
      <c r="AH43" s="282" t="str">
        <f t="shared" si="29"/>
        <v>cukup</v>
      </c>
      <c r="AI43" s="282" t="str">
        <f t="shared" si="30"/>
        <v/>
      </c>
      <c r="AJ43" s="283" t="str">
        <f t="shared" si="31"/>
        <v/>
      </c>
      <c r="AK43" s="284" t="str">
        <f t="shared" si="32"/>
        <v/>
      </c>
      <c r="AL43" s="276"/>
      <c r="AM43" s="277"/>
      <c r="AN43" s="277"/>
      <c r="AO43" s="277"/>
      <c r="AP43" s="277"/>
      <c r="AQ43" s="277"/>
      <c r="AR43" s="277"/>
      <c r="AS43" s="280"/>
      <c r="AT43" s="277"/>
      <c r="AU43" s="278"/>
      <c r="AV43" s="285" t="str">
        <f t="shared" si="33"/>
        <v/>
      </c>
      <c r="AW43" s="296" t="str">
        <f t="shared" si="34"/>
        <v/>
      </c>
      <c r="AX43" s="1220" t="str">
        <f t="shared" si="42"/>
        <v/>
      </c>
      <c r="AY43" s="1221" t="str">
        <f t="shared" si="42"/>
        <v/>
      </c>
      <c r="AZ43" s="1221" t="str">
        <f t="shared" si="42"/>
        <v/>
      </c>
      <c r="BA43" s="1221" t="str">
        <f t="shared" si="42"/>
        <v/>
      </c>
      <c r="BB43" s="1221" t="str">
        <f t="shared" si="42"/>
        <v/>
      </c>
      <c r="BC43" s="1221" t="str">
        <f t="shared" si="42"/>
        <v/>
      </c>
      <c r="BD43" s="1221" t="str">
        <f t="shared" si="42"/>
        <v/>
      </c>
      <c r="BE43" s="1222" t="str">
        <f t="shared" si="42"/>
        <v/>
      </c>
      <c r="BF43" s="1221" t="str">
        <f t="shared" si="42"/>
        <v/>
      </c>
      <c r="BG43" s="1223" t="str">
        <f t="shared" si="42"/>
        <v/>
      </c>
      <c r="BH43" s="286">
        <f t="shared" si="35"/>
        <v>0</v>
      </c>
      <c r="BI43" s="286">
        <f t="shared" si="36"/>
        <v>0</v>
      </c>
      <c r="BJ43" s="287" t="str">
        <f t="shared" si="37"/>
        <v>cukup</v>
      </c>
      <c r="BK43" s="287" t="str">
        <f t="shared" si="37"/>
        <v>cukup</v>
      </c>
      <c r="BL43" s="286" t="e">
        <f t="shared" si="38"/>
        <v>#N/A</v>
      </c>
      <c r="BM43" s="288" t="e">
        <f t="shared" si="39"/>
        <v>#N/A</v>
      </c>
      <c r="BN43" s="289" t="str">
        <f t="shared" si="40"/>
        <v/>
      </c>
      <c r="BO43" s="67"/>
    </row>
    <row r="44" spans="1:67" ht="33" customHeight="1">
      <c r="A44" s="67"/>
      <c r="B44" s="272">
        <f t="shared" si="23"/>
        <v>31</v>
      </c>
      <c r="C44" s="273">
        <f>IF(Data!F35="","",Data!F35)</f>
        <v>0</v>
      </c>
      <c r="D44" s="274" t="str">
        <f>IF(Data!H35="","",Data!H35)</f>
        <v>Sinta Norliana Funan</v>
      </c>
      <c r="E44" s="275" t="str">
        <f>IF(Data!I35="","",Data!I35)</f>
        <v>P</v>
      </c>
      <c r="F44" s="276"/>
      <c r="G44" s="277"/>
      <c r="H44" s="277"/>
      <c r="I44" s="277"/>
      <c r="J44" s="277"/>
      <c r="K44" s="277"/>
      <c r="L44" s="277"/>
      <c r="M44" s="280"/>
      <c r="N44" s="277"/>
      <c r="O44" s="278"/>
      <c r="P44" s="279" t="str">
        <f t="shared" si="24"/>
        <v/>
      </c>
      <c r="Q44" s="277"/>
      <c r="R44" s="280"/>
      <c r="S44" s="281" t="str">
        <f t="shared" si="25"/>
        <v/>
      </c>
      <c r="T44" s="295" t="str">
        <f t="shared" si="26"/>
        <v/>
      </c>
      <c r="U44" s="1215" t="str">
        <f t="shared" si="41"/>
        <v/>
      </c>
      <c r="V44" s="1216" t="str">
        <f t="shared" si="41"/>
        <v/>
      </c>
      <c r="W44" s="1216" t="str">
        <f t="shared" si="41"/>
        <v/>
      </c>
      <c r="X44" s="1216" t="str">
        <f t="shared" si="41"/>
        <v/>
      </c>
      <c r="Y44" s="1216" t="str">
        <f t="shared" si="41"/>
        <v/>
      </c>
      <c r="Z44" s="1216" t="str">
        <f t="shared" si="41"/>
        <v/>
      </c>
      <c r="AA44" s="1216" t="str">
        <f t="shared" si="41"/>
        <v/>
      </c>
      <c r="AB44" s="1217" t="str">
        <f t="shared" si="41"/>
        <v/>
      </c>
      <c r="AC44" s="1216" t="str">
        <f t="shared" si="41"/>
        <v/>
      </c>
      <c r="AD44" s="1218" t="str">
        <f t="shared" si="41"/>
        <v/>
      </c>
      <c r="AE44" s="1219">
        <f t="shared" si="27"/>
        <v>0</v>
      </c>
      <c r="AF44" s="282">
        <f t="shared" si="28"/>
        <v>0</v>
      </c>
      <c r="AG44" s="282" t="str">
        <f t="shared" si="29"/>
        <v>cukup</v>
      </c>
      <c r="AH44" s="282" t="str">
        <f t="shared" si="29"/>
        <v>cukup</v>
      </c>
      <c r="AI44" s="282" t="str">
        <f t="shared" si="30"/>
        <v/>
      </c>
      <c r="AJ44" s="283" t="str">
        <f t="shared" si="31"/>
        <v/>
      </c>
      <c r="AK44" s="284" t="str">
        <f t="shared" si="32"/>
        <v/>
      </c>
      <c r="AL44" s="276"/>
      <c r="AM44" s="277"/>
      <c r="AN44" s="277"/>
      <c r="AO44" s="277"/>
      <c r="AP44" s="277"/>
      <c r="AQ44" s="277"/>
      <c r="AR44" s="277"/>
      <c r="AS44" s="280"/>
      <c r="AT44" s="277"/>
      <c r="AU44" s="278"/>
      <c r="AV44" s="285" t="str">
        <f t="shared" si="33"/>
        <v/>
      </c>
      <c r="AW44" s="296" t="str">
        <f t="shared" si="34"/>
        <v/>
      </c>
      <c r="AX44" s="1220" t="str">
        <f t="shared" si="42"/>
        <v/>
      </c>
      <c r="AY44" s="1221" t="str">
        <f t="shared" si="42"/>
        <v/>
      </c>
      <c r="AZ44" s="1221" t="str">
        <f t="shared" si="42"/>
        <v/>
      </c>
      <c r="BA44" s="1221" t="str">
        <f t="shared" si="42"/>
        <v/>
      </c>
      <c r="BB44" s="1221" t="str">
        <f t="shared" si="42"/>
        <v/>
      </c>
      <c r="BC44" s="1221" t="str">
        <f t="shared" si="42"/>
        <v/>
      </c>
      <c r="BD44" s="1221" t="str">
        <f t="shared" si="42"/>
        <v/>
      </c>
      <c r="BE44" s="1222" t="str">
        <f t="shared" si="42"/>
        <v/>
      </c>
      <c r="BF44" s="1221" t="str">
        <f t="shared" si="42"/>
        <v/>
      </c>
      <c r="BG44" s="1223" t="str">
        <f t="shared" si="42"/>
        <v/>
      </c>
      <c r="BH44" s="286">
        <f t="shared" si="35"/>
        <v>0</v>
      </c>
      <c r="BI44" s="286">
        <f t="shared" si="36"/>
        <v>0</v>
      </c>
      <c r="BJ44" s="287" t="str">
        <f t="shared" si="37"/>
        <v>cukup</v>
      </c>
      <c r="BK44" s="287" t="str">
        <f t="shared" si="37"/>
        <v>cukup</v>
      </c>
      <c r="BL44" s="286" t="e">
        <f t="shared" si="38"/>
        <v>#N/A</v>
      </c>
      <c r="BM44" s="288" t="e">
        <f t="shared" si="39"/>
        <v>#N/A</v>
      </c>
      <c r="BN44" s="289" t="str">
        <f t="shared" si="40"/>
        <v/>
      </c>
      <c r="BO44" s="67"/>
    </row>
    <row r="45" spans="1:67" ht="33" customHeight="1">
      <c r="A45" s="67"/>
      <c r="B45" s="272">
        <f t="shared" si="23"/>
        <v>32</v>
      </c>
      <c r="C45" s="273">
        <f>IF(Data!F36="","",Data!F36)</f>
        <v>0</v>
      </c>
      <c r="D45" s="274" t="str">
        <f>IF(Data!H36="","",Data!H36)</f>
        <v>Stevi Otnial Loemnanu</v>
      </c>
      <c r="E45" s="275" t="str">
        <f>IF(Data!I36="","",Data!I36)</f>
        <v>L</v>
      </c>
      <c r="F45" s="276"/>
      <c r="G45" s="277"/>
      <c r="H45" s="277"/>
      <c r="I45" s="277"/>
      <c r="J45" s="277"/>
      <c r="K45" s="277"/>
      <c r="L45" s="277"/>
      <c r="M45" s="280"/>
      <c r="N45" s="277"/>
      <c r="O45" s="278"/>
      <c r="P45" s="279" t="str">
        <f t="shared" si="24"/>
        <v/>
      </c>
      <c r="Q45" s="277"/>
      <c r="R45" s="280"/>
      <c r="S45" s="281" t="str">
        <f t="shared" si="25"/>
        <v/>
      </c>
      <c r="T45" s="295" t="str">
        <f t="shared" si="26"/>
        <v/>
      </c>
      <c r="U45" s="1215" t="str">
        <f t="shared" si="41"/>
        <v/>
      </c>
      <c r="V45" s="1216" t="str">
        <f t="shared" si="41"/>
        <v/>
      </c>
      <c r="W45" s="1216" t="str">
        <f t="shared" si="41"/>
        <v/>
      </c>
      <c r="X45" s="1216" t="str">
        <f t="shared" si="41"/>
        <v/>
      </c>
      <c r="Y45" s="1216" t="str">
        <f t="shared" si="41"/>
        <v/>
      </c>
      <c r="Z45" s="1216" t="str">
        <f t="shared" si="41"/>
        <v/>
      </c>
      <c r="AA45" s="1216" t="str">
        <f t="shared" si="41"/>
        <v/>
      </c>
      <c r="AB45" s="1217" t="str">
        <f t="shared" si="41"/>
        <v/>
      </c>
      <c r="AC45" s="1216" t="str">
        <f t="shared" si="41"/>
        <v/>
      </c>
      <c r="AD45" s="1218" t="str">
        <f t="shared" si="41"/>
        <v/>
      </c>
      <c r="AE45" s="1219">
        <f t="shared" si="27"/>
        <v>0</v>
      </c>
      <c r="AF45" s="282">
        <f t="shared" si="28"/>
        <v>0</v>
      </c>
      <c r="AG45" s="282" t="str">
        <f t="shared" si="29"/>
        <v>cukup</v>
      </c>
      <c r="AH45" s="282" t="str">
        <f t="shared" si="29"/>
        <v>cukup</v>
      </c>
      <c r="AI45" s="282" t="str">
        <f t="shared" si="30"/>
        <v/>
      </c>
      <c r="AJ45" s="283" t="str">
        <f t="shared" si="31"/>
        <v/>
      </c>
      <c r="AK45" s="284" t="str">
        <f t="shared" si="32"/>
        <v/>
      </c>
      <c r="AL45" s="276"/>
      <c r="AM45" s="277"/>
      <c r="AN45" s="277"/>
      <c r="AO45" s="277"/>
      <c r="AP45" s="277"/>
      <c r="AQ45" s="277"/>
      <c r="AR45" s="277"/>
      <c r="AS45" s="280"/>
      <c r="AT45" s="277"/>
      <c r="AU45" s="278"/>
      <c r="AV45" s="285" t="str">
        <f t="shared" si="33"/>
        <v/>
      </c>
      <c r="AW45" s="296" t="str">
        <f t="shared" si="34"/>
        <v/>
      </c>
      <c r="AX45" s="1220" t="str">
        <f t="shared" si="42"/>
        <v/>
      </c>
      <c r="AY45" s="1221" t="str">
        <f t="shared" si="42"/>
        <v/>
      </c>
      <c r="AZ45" s="1221" t="str">
        <f t="shared" si="42"/>
        <v/>
      </c>
      <c r="BA45" s="1221" t="str">
        <f t="shared" si="42"/>
        <v/>
      </c>
      <c r="BB45" s="1221" t="str">
        <f t="shared" si="42"/>
        <v/>
      </c>
      <c r="BC45" s="1221" t="str">
        <f t="shared" si="42"/>
        <v/>
      </c>
      <c r="BD45" s="1221" t="str">
        <f t="shared" si="42"/>
        <v/>
      </c>
      <c r="BE45" s="1222" t="str">
        <f t="shared" si="42"/>
        <v/>
      </c>
      <c r="BF45" s="1221" t="str">
        <f t="shared" si="42"/>
        <v/>
      </c>
      <c r="BG45" s="1223" t="str">
        <f t="shared" si="42"/>
        <v/>
      </c>
      <c r="BH45" s="286">
        <f t="shared" si="35"/>
        <v>0</v>
      </c>
      <c r="BI45" s="286">
        <f t="shared" si="36"/>
        <v>0</v>
      </c>
      <c r="BJ45" s="287" t="str">
        <f t="shared" si="37"/>
        <v>cukup</v>
      </c>
      <c r="BK45" s="287" t="str">
        <f t="shared" si="37"/>
        <v>cukup</v>
      </c>
      <c r="BL45" s="286" t="e">
        <f t="shared" si="38"/>
        <v>#N/A</v>
      </c>
      <c r="BM45" s="288" t="e">
        <f t="shared" si="39"/>
        <v>#N/A</v>
      </c>
      <c r="BN45" s="289" t="str">
        <f t="shared" si="40"/>
        <v/>
      </c>
      <c r="BO45" s="67"/>
    </row>
    <row r="46" spans="1:67" ht="33" customHeight="1">
      <c r="A46" s="67"/>
      <c r="B46" s="272">
        <f t="shared" si="23"/>
        <v>33</v>
      </c>
      <c r="C46" s="273">
        <f>IF(Data!F37="","",Data!F37)</f>
        <v>0</v>
      </c>
      <c r="D46" s="274" t="str">
        <f>IF(Data!H37="","",Data!H37)</f>
        <v>Venciani Sefrianti Sufnera</v>
      </c>
      <c r="E46" s="275" t="str">
        <f>IF(Data!I37="","",Data!I37)</f>
        <v>P</v>
      </c>
      <c r="F46" s="276"/>
      <c r="G46" s="277"/>
      <c r="H46" s="277"/>
      <c r="I46" s="277"/>
      <c r="J46" s="277"/>
      <c r="K46" s="277"/>
      <c r="L46" s="277"/>
      <c r="M46" s="280"/>
      <c r="N46" s="277"/>
      <c r="O46" s="278"/>
      <c r="P46" s="279" t="str">
        <f t="shared" si="24"/>
        <v/>
      </c>
      <c r="Q46" s="277"/>
      <c r="R46" s="280"/>
      <c r="S46" s="281" t="str">
        <f t="shared" si="25"/>
        <v/>
      </c>
      <c r="T46" s="295" t="str">
        <f t="shared" si="26"/>
        <v/>
      </c>
      <c r="U46" s="1215" t="str">
        <f t="shared" si="41"/>
        <v/>
      </c>
      <c r="V46" s="1216" t="str">
        <f t="shared" si="41"/>
        <v/>
      </c>
      <c r="W46" s="1216" t="str">
        <f t="shared" si="41"/>
        <v/>
      </c>
      <c r="X46" s="1216" t="str">
        <f t="shared" si="41"/>
        <v/>
      </c>
      <c r="Y46" s="1216" t="str">
        <f t="shared" si="41"/>
        <v/>
      </c>
      <c r="Z46" s="1216" t="str">
        <f t="shared" si="41"/>
        <v/>
      </c>
      <c r="AA46" s="1216" t="str">
        <f t="shared" si="41"/>
        <v/>
      </c>
      <c r="AB46" s="1217" t="str">
        <f t="shared" si="41"/>
        <v/>
      </c>
      <c r="AC46" s="1216" t="str">
        <f t="shared" si="41"/>
        <v/>
      </c>
      <c r="AD46" s="1218" t="str">
        <f t="shared" si="41"/>
        <v/>
      </c>
      <c r="AE46" s="1219">
        <f t="shared" si="27"/>
        <v>0</v>
      </c>
      <c r="AF46" s="282">
        <f t="shared" si="28"/>
        <v>0</v>
      </c>
      <c r="AG46" s="282" t="str">
        <f t="shared" si="29"/>
        <v>cukup</v>
      </c>
      <c r="AH46" s="282" t="str">
        <f t="shared" si="29"/>
        <v>cukup</v>
      </c>
      <c r="AI46" s="282" t="str">
        <f t="shared" si="30"/>
        <v/>
      </c>
      <c r="AJ46" s="283" t="str">
        <f t="shared" si="31"/>
        <v/>
      </c>
      <c r="AK46" s="284" t="str">
        <f t="shared" si="32"/>
        <v/>
      </c>
      <c r="AL46" s="276"/>
      <c r="AM46" s="277"/>
      <c r="AN46" s="277"/>
      <c r="AO46" s="277"/>
      <c r="AP46" s="277"/>
      <c r="AQ46" s="277"/>
      <c r="AR46" s="277"/>
      <c r="AS46" s="280"/>
      <c r="AT46" s="277"/>
      <c r="AU46" s="278"/>
      <c r="AV46" s="285" t="str">
        <f t="shared" si="33"/>
        <v/>
      </c>
      <c r="AW46" s="296" t="str">
        <f t="shared" si="34"/>
        <v/>
      </c>
      <c r="AX46" s="1220" t="str">
        <f t="shared" si="42"/>
        <v/>
      </c>
      <c r="AY46" s="1221" t="str">
        <f t="shared" si="42"/>
        <v/>
      </c>
      <c r="AZ46" s="1221" t="str">
        <f t="shared" si="42"/>
        <v/>
      </c>
      <c r="BA46" s="1221" t="str">
        <f t="shared" si="42"/>
        <v/>
      </c>
      <c r="BB46" s="1221" t="str">
        <f t="shared" si="42"/>
        <v/>
      </c>
      <c r="BC46" s="1221" t="str">
        <f t="shared" si="42"/>
        <v/>
      </c>
      <c r="BD46" s="1221" t="str">
        <f t="shared" si="42"/>
        <v/>
      </c>
      <c r="BE46" s="1222" t="str">
        <f t="shared" si="42"/>
        <v/>
      </c>
      <c r="BF46" s="1221" t="str">
        <f t="shared" si="42"/>
        <v/>
      </c>
      <c r="BG46" s="1223" t="str">
        <f t="shared" si="42"/>
        <v/>
      </c>
      <c r="BH46" s="286">
        <f t="shared" si="35"/>
        <v>0</v>
      </c>
      <c r="BI46" s="286">
        <f t="shared" si="36"/>
        <v>0</v>
      </c>
      <c r="BJ46" s="287" t="str">
        <f t="shared" si="37"/>
        <v>cukup</v>
      </c>
      <c r="BK46" s="287" t="str">
        <f t="shared" si="37"/>
        <v>cukup</v>
      </c>
      <c r="BL46" s="286" t="e">
        <f t="shared" si="38"/>
        <v>#N/A</v>
      </c>
      <c r="BM46" s="288" t="e">
        <f t="shared" si="39"/>
        <v>#N/A</v>
      </c>
      <c r="BN46" s="289" t="str">
        <f t="shared" si="40"/>
        <v/>
      </c>
      <c r="BO46" s="67"/>
    </row>
    <row r="47" spans="1:67" ht="33" customHeight="1">
      <c r="A47" s="67"/>
      <c r="B47" s="272">
        <f t="shared" si="23"/>
        <v>34</v>
      </c>
      <c r="C47" s="273">
        <f>IF(Data!F38="","",Data!F38)</f>
        <v>0</v>
      </c>
      <c r="D47" s="274" t="str">
        <f>IF(Data!H38="","",Data!H38)</f>
        <v>Yangres Nitti</v>
      </c>
      <c r="E47" s="275" t="str">
        <f>IF(Data!I38="","",Data!I38)</f>
        <v>L</v>
      </c>
      <c r="F47" s="276"/>
      <c r="G47" s="277"/>
      <c r="H47" s="277"/>
      <c r="I47" s="277"/>
      <c r="J47" s="277"/>
      <c r="K47" s="277"/>
      <c r="L47" s="277"/>
      <c r="M47" s="280"/>
      <c r="N47" s="277"/>
      <c r="O47" s="278"/>
      <c r="P47" s="279" t="str">
        <f t="shared" si="24"/>
        <v/>
      </c>
      <c r="Q47" s="277"/>
      <c r="R47" s="280"/>
      <c r="S47" s="281" t="str">
        <f t="shared" si="25"/>
        <v/>
      </c>
      <c r="T47" s="295" t="str">
        <f t="shared" si="26"/>
        <v/>
      </c>
      <c r="U47" s="1215" t="str">
        <f t="shared" si="41"/>
        <v/>
      </c>
      <c r="V47" s="1216" t="str">
        <f t="shared" si="41"/>
        <v/>
      </c>
      <c r="W47" s="1216" t="str">
        <f t="shared" si="41"/>
        <v/>
      </c>
      <c r="X47" s="1216" t="str">
        <f t="shared" si="41"/>
        <v/>
      </c>
      <c r="Y47" s="1216" t="str">
        <f t="shared" si="41"/>
        <v/>
      </c>
      <c r="Z47" s="1216" t="str">
        <f t="shared" si="41"/>
        <v/>
      </c>
      <c r="AA47" s="1216" t="str">
        <f t="shared" si="41"/>
        <v/>
      </c>
      <c r="AB47" s="1217" t="str">
        <f t="shared" si="41"/>
        <v/>
      </c>
      <c r="AC47" s="1216" t="str">
        <f t="shared" si="41"/>
        <v/>
      </c>
      <c r="AD47" s="1218" t="str">
        <f t="shared" si="41"/>
        <v/>
      </c>
      <c r="AE47" s="1219">
        <f t="shared" si="27"/>
        <v>0</v>
      </c>
      <c r="AF47" s="282">
        <f t="shared" si="28"/>
        <v>0</v>
      </c>
      <c r="AG47" s="282" t="str">
        <f t="shared" si="29"/>
        <v>cukup</v>
      </c>
      <c r="AH47" s="282" t="str">
        <f t="shared" si="29"/>
        <v>cukup</v>
      </c>
      <c r="AI47" s="282" t="str">
        <f t="shared" si="30"/>
        <v/>
      </c>
      <c r="AJ47" s="283" t="str">
        <f t="shared" si="31"/>
        <v/>
      </c>
      <c r="AK47" s="284" t="str">
        <f t="shared" si="32"/>
        <v/>
      </c>
      <c r="AL47" s="276"/>
      <c r="AM47" s="277"/>
      <c r="AN47" s="277"/>
      <c r="AO47" s="277"/>
      <c r="AP47" s="277"/>
      <c r="AQ47" s="277"/>
      <c r="AR47" s="277"/>
      <c r="AS47" s="280"/>
      <c r="AT47" s="277"/>
      <c r="AU47" s="278"/>
      <c r="AV47" s="285" t="str">
        <f t="shared" si="33"/>
        <v/>
      </c>
      <c r="AW47" s="296" t="str">
        <f t="shared" si="34"/>
        <v/>
      </c>
      <c r="AX47" s="1220" t="str">
        <f t="shared" si="42"/>
        <v/>
      </c>
      <c r="AY47" s="1221" t="str">
        <f t="shared" si="42"/>
        <v/>
      </c>
      <c r="AZ47" s="1221" t="str">
        <f t="shared" si="42"/>
        <v/>
      </c>
      <c r="BA47" s="1221" t="str">
        <f t="shared" si="42"/>
        <v/>
      </c>
      <c r="BB47" s="1221" t="str">
        <f t="shared" si="42"/>
        <v/>
      </c>
      <c r="BC47" s="1221" t="str">
        <f t="shared" si="42"/>
        <v/>
      </c>
      <c r="BD47" s="1221" t="str">
        <f t="shared" si="42"/>
        <v/>
      </c>
      <c r="BE47" s="1222" t="str">
        <f t="shared" si="42"/>
        <v/>
      </c>
      <c r="BF47" s="1221" t="str">
        <f t="shared" si="42"/>
        <v/>
      </c>
      <c r="BG47" s="1223" t="str">
        <f t="shared" si="42"/>
        <v/>
      </c>
      <c r="BH47" s="286">
        <f t="shared" si="35"/>
        <v>0</v>
      </c>
      <c r="BI47" s="286">
        <f t="shared" si="36"/>
        <v>0</v>
      </c>
      <c r="BJ47" s="287" t="str">
        <f t="shared" si="37"/>
        <v>cukup</v>
      </c>
      <c r="BK47" s="287" t="str">
        <f t="shared" si="37"/>
        <v>cukup</v>
      </c>
      <c r="BL47" s="286" t="e">
        <f t="shared" si="38"/>
        <v>#N/A</v>
      </c>
      <c r="BM47" s="288" t="e">
        <f t="shared" si="39"/>
        <v>#N/A</v>
      </c>
      <c r="BN47" s="289" t="str">
        <f t="shared" si="40"/>
        <v/>
      </c>
      <c r="BO47" s="67"/>
    </row>
    <row r="48" spans="1:67" ht="33" customHeight="1">
      <c r="A48" s="67"/>
      <c r="B48" s="272">
        <f t="shared" si="23"/>
        <v>35</v>
      </c>
      <c r="C48" s="273">
        <f>IF(Data!F39="","",Data!F39)</f>
        <v>0</v>
      </c>
      <c r="D48" s="274" t="str">
        <f>IF(Data!H39="","",Data!H39)</f>
        <v>Yefta Trianus Mau</v>
      </c>
      <c r="E48" s="275" t="str">
        <f>IF(Data!I39="","",Data!I39)</f>
        <v>L</v>
      </c>
      <c r="F48" s="276"/>
      <c r="G48" s="277"/>
      <c r="H48" s="277"/>
      <c r="I48" s="277"/>
      <c r="J48" s="277"/>
      <c r="K48" s="277"/>
      <c r="L48" s="277"/>
      <c r="M48" s="280"/>
      <c r="N48" s="277"/>
      <c r="O48" s="278"/>
      <c r="P48" s="279" t="str">
        <f t="shared" si="24"/>
        <v/>
      </c>
      <c r="Q48" s="277"/>
      <c r="R48" s="280"/>
      <c r="S48" s="281" t="str">
        <f t="shared" si="25"/>
        <v/>
      </c>
      <c r="T48" s="295" t="str">
        <f t="shared" si="26"/>
        <v/>
      </c>
      <c r="U48" s="1215" t="str">
        <f t="shared" si="41"/>
        <v/>
      </c>
      <c r="V48" s="1216" t="str">
        <f t="shared" si="41"/>
        <v/>
      </c>
      <c r="W48" s="1216" t="str">
        <f t="shared" si="41"/>
        <v/>
      </c>
      <c r="X48" s="1216" t="str">
        <f t="shared" si="41"/>
        <v/>
      </c>
      <c r="Y48" s="1216" t="str">
        <f t="shared" si="41"/>
        <v/>
      </c>
      <c r="Z48" s="1216" t="str">
        <f t="shared" si="41"/>
        <v/>
      </c>
      <c r="AA48" s="1216" t="str">
        <f t="shared" si="41"/>
        <v/>
      </c>
      <c r="AB48" s="1217" t="str">
        <f t="shared" si="41"/>
        <v/>
      </c>
      <c r="AC48" s="1216" t="str">
        <f t="shared" si="41"/>
        <v/>
      </c>
      <c r="AD48" s="1218" t="str">
        <f t="shared" si="41"/>
        <v/>
      </c>
      <c r="AE48" s="1219">
        <f t="shared" si="27"/>
        <v>0</v>
      </c>
      <c r="AF48" s="282">
        <f t="shared" si="28"/>
        <v>0</v>
      </c>
      <c r="AG48" s="282" t="str">
        <f t="shared" si="29"/>
        <v>cukup</v>
      </c>
      <c r="AH48" s="282" t="str">
        <f t="shared" si="29"/>
        <v>cukup</v>
      </c>
      <c r="AI48" s="282" t="str">
        <f t="shared" si="30"/>
        <v/>
      </c>
      <c r="AJ48" s="283" t="str">
        <f t="shared" si="31"/>
        <v/>
      </c>
      <c r="AK48" s="284" t="str">
        <f t="shared" si="32"/>
        <v/>
      </c>
      <c r="AL48" s="276"/>
      <c r="AM48" s="277"/>
      <c r="AN48" s="277"/>
      <c r="AO48" s="277"/>
      <c r="AP48" s="277"/>
      <c r="AQ48" s="277"/>
      <c r="AR48" s="277"/>
      <c r="AS48" s="280"/>
      <c r="AT48" s="277"/>
      <c r="AU48" s="278"/>
      <c r="AV48" s="285" t="str">
        <f t="shared" si="33"/>
        <v/>
      </c>
      <c r="AW48" s="296" t="str">
        <f t="shared" si="34"/>
        <v/>
      </c>
      <c r="AX48" s="1220" t="str">
        <f t="shared" si="42"/>
        <v/>
      </c>
      <c r="AY48" s="1221" t="str">
        <f t="shared" si="42"/>
        <v/>
      </c>
      <c r="AZ48" s="1221" t="str">
        <f t="shared" si="42"/>
        <v/>
      </c>
      <c r="BA48" s="1221" t="str">
        <f t="shared" si="42"/>
        <v/>
      </c>
      <c r="BB48" s="1221" t="str">
        <f t="shared" si="42"/>
        <v/>
      </c>
      <c r="BC48" s="1221" t="str">
        <f t="shared" si="42"/>
        <v/>
      </c>
      <c r="BD48" s="1221" t="str">
        <f t="shared" si="42"/>
        <v/>
      </c>
      <c r="BE48" s="1222" t="str">
        <f t="shared" si="42"/>
        <v/>
      </c>
      <c r="BF48" s="1221" t="str">
        <f t="shared" si="42"/>
        <v/>
      </c>
      <c r="BG48" s="1223" t="str">
        <f t="shared" si="42"/>
        <v/>
      </c>
      <c r="BH48" s="286">
        <f t="shared" si="35"/>
        <v>0</v>
      </c>
      <c r="BI48" s="286">
        <f t="shared" si="36"/>
        <v>0</v>
      </c>
      <c r="BJ48" s="287" t="str">
        <f t="shared" si="37"/>
        <v>cukup</v>
      </c>
      <c r="BK48" s="287" t="str">
        <f t="shared" si="37"/>
        <v>cukup</v>
      </c>
      <c r="BL48" s="286" t="e">
        <f t="shared" si="38"/>
        <v>#N/A</v>
      </c>
      <c r="BM48" s="288" t="e">
        <f t="shared" si="39"/>
        <v>#N/A</v>
      </c>
      <c r="BN48" s="289" t="str">
        <f t="shared" si="40"/>
        <v/>
      </c>
      <c r="BO48" s="67"/>
    </row>
    <row r="49" spans="1:67" ht="33" customHeight="1">
      <c r="A49" s="67"/>
      <c r="B49" s="272">
        <f t="shared" si="23"/>
        <v>36</v>
      </c>
      <c r="C49" s="273">
        <f>IF(Data!F40="","",Data!F40)</f>
        <v>0</v>
      </c>
      <c r="D49" s="274" t="str">
        <f>IF(Data!H40="","",Data!H40)</f>
        <v>Yuliana Febriyanti Nggeon</v>
      </c>
      <c r="E49" s="275" t="str">
        <f>IF(Data!I40="","",Data!I40)</f>
        <v>P</v>
      </c>
      <c r="F49" s="276"/>
      <c r="G49" s="277"/>
      <c r="H49" s="277"/>
      <c r="I49" s="277"/>
      <c r="J49" s="277"/>
      <c r="K49" s="277"/>
      <c r="L49" s="277"/>
      <c r="M49" s="280"/>
      <c r="N49" s="277"/>
      <c r="O49" s="278"/>
      <c r="P49" s="279" t="str">
        <f t="shared" si="24"/>
        <v/>
      </c>
      <c r="Q49" s="277"/>
      <c r="R49" s="280"/>
      <c r="S49" s="281" t="str">
        <f t="shared" si="25"/>
        <v/>
      </c>
      <c r="T49" s="295" t="str">
        <f t="shared" si="26"/>
        <v/>
      </c>
      <c r="U49" s="1215" t="str">
        <f t="shared" si="41"/>
        <v/>
      </c>
      <c r="V49" s="1216" t="str">
        <f t="shared" si="41"/>
        <v/>
      </c>
      <c r="W49" s="1216" t="str">
        <f t="shared" si="41"/>
        <v/>
      </c>
      <c r="X49" s="1216" t="str">
        <f t="shared" si="41"/>
        <v/>
      </c>
      <c r="Y49" s="1216" t="str">
        <f t="shared" si="41"/>
        <v/>
      </c>
      <c r="Z49" s="1216" t="str">
        <f t="shared" si="41"/>
        <v/>
      </c>
      <c r="AA49" s="1216" t="str">
        <f t="shared" si="41"/>
        <v/>
      </c>
      <c r="AB49" s="1217" t="str">
        <f t="shared" si="41"/>
        <v/>
      </c>
      <c r="AC49" s="1216" t="str">
        <f t="shared" si="41"/>
        <v/>
      </c>
      <c r="AD49" s="1218" t="str">
        <f t="shared" si="41"/>
        <v/>
      </c>
      <c r="AE49" s="1219">
        <f t="shared" si="27"/>
        <v>0</v>
      </c>
      <c r="AF49" s="282">
        <f t="shared" si="28"/>
        <v>0</v>
      </c>
      <c r="AG49" s="282" t="str">
        <f t="shared" si="29"/>
        <v>cukup</v>
      </c>
      <c r="AH49" s="282" t="str">
        <f t="shared" si="29"/>
        <v>cukup</v>
      </c>
      <c r="AI49" s="282" t="str">
        <f t="shared" si="30"/>
        <v/>
      </c>
      <c r="AJ49" s="283" t="str">
        <f t="shared" si="31"/>
        <v/>
      </c>
      <c r="AK49" s="284" t="str">
        <f t="shared" si="32"/>
        <v/>
      </c>
      <c r="AL49" s="276"/>
      <c r="AM49" s="277"/>
      <c r="AN49" s="277"/>
      <c r="AO49" s="277"/>
      <c r="AP49" s="277"/>
      <c r="AQ49" s="277"/>
      <c r="AR49" s="277"/>
      <c r="AS49" s="280"/>
      <c r="AT49" s="277"/>
      <c r="AU49" s="278"/>
      <c r="AV49" s="285" t="str">
        <f t="shared" si="33"/>
        <v/>
      </c>
      <c r="AW49" s="296" t="str">
        <f t="shared" si="34"/>
        <v/>
      </c>
      <c r="AX49" s="1220" t="str">
        <f t="shared" si="42"/>
        <v/>
      </c>
      <c r="AY49" s="1221" t="str">
        <f t="shared" si="42"/>
        <v/>
      </c>
      <c r="AZ49" s="1221" t="str">
        <f t="shared" si="42"/>
        <v/>
      </c>
      <c r="BA49" s="1221" t="str">
        <f t="shared" si="42"/>
        <v/>
      </c>
      <c r="BB49" s="1221" t="str">
        <f t="shared" si="42"/>
        <v/>
      </c>
      <c r="BC49" s="1221" t="str">
        <f t="shared" si="42"/>
        <v/>
      </c>
      <c r="BD49" s="1221" t="str">
        <f t="shared" si="42"/>
        <v/>
      </c>
      <c r="BE49" s="1222" t="str">
        <f t="shared" si="42"/>
        <v/>
      </c>
      <c r="BF49" s="1221" t="str">
        <f t="shared" si="42"/>
        <v/>
      </c>
      <c r="BG49" s="1223" t="str">
        <f t="shared" si="42"/>
        <v/>
      </c>
      <c r="BH49" s="286">
        <f t="shared" si="35"/>
        <v>0</v>
      </c>
      <c r="BI49" s="286">
        <f t="shared" si="36"/>
        <v>0</v>
      </c>
      <c r="BJ49" s="287" t="str">
        <f t="shared" si="37"/>
        <v>cukup</v>
      </c>
      <c r="BK49" s="287" t="str">
        <f t="shared" si="37"/>
        <v>cukup</v>
      </c>
      <c r="BL49" s="286" t="e">
        <f t="shared" si="38"/>
        <v>#N/A</v>
      </c>
      <c r="BM49" s="288" t="e">
        <f t="shared" si="39"/>
        <v>#N/A</v>
      </c>
      <c r="BN49" s="289" t="str">
        <f t="shared" si="40"/>
        <v/>
      </c>
      <c r="BO49" s="67"/>
    </row>
    <row r="50" spans="1:67" ht="33" customHeight="1">
      <c r="A50" s="67"/>
      <c r="B50" s="272">
        <f t="shared" si="23"/>
        <v>37</v>
      </c>
      <c r="C50" s="273">
        <f>IF(Data!F41="","",Data!F41)</f>
        <v>0</v>
      </c>
      <c r="D50" s="274" t="str">
        <f>IF(Data!H41="","",Data!H41)</f>
        <v>Yuninda Pono</v>
      </c>
      <c r="E50" s="275" t="str">
        <f>IF(Data!I41="","",Data!I41)</f>
        <v>P</v>
      </c>
      <c r="F50" s="276"/>
      <c r="G50" s="277"/>
      <c r="H50" s="277"/>
      <c r="I50" s="277"/>
      <c r="J50" s="277"/>
      <c r="K50" s="277"/>
      <c r="L50" s="277"/>
      <c r="M50" s="280"/>
      <c r="N50" s="277"/>
      <c r="O50" s="278"/>
      <c r="P50" s="279" t="str">
        <f t="shared" si="24"/>
        <v/>
      </c>
      <c r="Q50" s="277"/>
      <c r="R50" s="280"/>
      <c r="S50" s="281" t="str">
        <f t="shared" si="25"/>
        <v/>
      </c>
      <c r="T50" s="295" t="str">
        <f t="shared" si="26"/>
        <v/>
      </c>
      <c r="U50" s="1215" t="str">
        <f t="shared" si="41"/>
        <v/>
      </c>
      <c r="V50" s="1216" t="str">
        <f t="shared" si="41"/>
        <v/>
      </c>
      <c r="W50" s="1216" t="str">
        <f t="shared" si="41"/>
        <v/>
      </c>
      <c r="X50" s="1216" t="str">
        <f t="shared" si="41"/>
        <v/>
      </c>
      <c r="Y50" s="1216" t="str">
        <f t="shared" si="41"/>
        <v/>
      </c>
      <c r="Z50" s="1216" t="str">
        <f t="shared" si="41"/>
        <v/>
      </c>
      <c r="AA50" s="1216" t="str">
        <f t="shared" si="41"/>
        <v/>
      </c>
      <c r="AB50" s="1217" t="str">
        <f t="shared" si="41"/>
        <v/>
      </c>
      <c r="AC50" s="1216" t="str">
        <f t="shared" si="41"/>
        <v/>
      </c>
      <c r="AD50" s="1218" t="str">
        <f t="shared" si="41"/>
        <v/>
      </c>
      <c r="AE50" s="1219">
        <f t="shared" si="27"/>
        <v>0</v>
      </c>
      <c r="AF50" s="282">
        <f t="shared" si="28"/>
        <v>0</v>
      </c>
      <c r="AG50" s="282" t="str">
        <f t="shared" si="29"/>
        <v>cukup</v>
      </c>
      <c r="AH50" s="282" t="str">
        <f t="shared" si="29"/>
        <v>cukup</v>
      </c>
      <c r="AI50" s="282" t="str">
        <f t="shared" si="30"/>
        <v/>
      </c>
      <c r="AJ50" s="283" t="str">
        <f t="shared" si="31"/>
        <v/>
      </c>
      <c r="AK50" s="284" t="str">
        <f t="shared" si="32"/>
        <v/>
      </c>
      <c r="AL50" s="276"/>
      <c r="AM50" s="277"/>
      <c r="AN50" s="277"/>
      <c r="AO50" s="277"/>
      <c r="AP50" s="277"/>
      <c r="AQ50" s="277"/>
      <c r="AR50" s="277"/>
      <c r="AS50" s="280"/>
      <c r="AT50" s="277"/>
      <c r="AU50" s="278"/>
      <c r="AV50" s="285" t="str">
        <f t="shared" si="33"/>
        <v/>
      </c>
      <c r="AW50" s="296" t="str">
        <f t="shared" si="34"/>
        <v/>
      </c>
      <c r="AX50" s="1220" t="str">
        <f t="shared" si="42"/>
        <v/>
      </c>
      <c r="AY50" s="1221" t="str">
        <f t="shared" si="42"/>
        <v/>
      </c>
      <c r="AZ50" s="1221" t="str">
        <f t="shared" si="42"/>
        <v/>
      </c>
      <c r="BA50" s="1221" t="str">
        <f t="shared" si="42"/>
        <v/>
      </c>
      <c r="BB50" s="1221" t="str">
        <f t="shared" si="42"/>
        <v/>
      </c>
      <c r="BC50" s="1221" t="str">
        <f t="shared" si="42"/>
        <v/>
      </c>
      <c r="BD50" s="1221" t="str">
        <f t="shared" si="42"/>
        <v/>
      </c>
      <c r="BE50" s="1222" t="str">
        <f t="shared" si="42"/>
        <v/>
      </c>
      <c r="BF50" s="1221" t="str">
        <f t="shared" si="42"/>
        <v/>
      </c>
      <c r="BG50" s="1223" t="str">
        <f t="shared" si="42"/>
        <v/>
      </c>
      <c r="BH50" s="286">
        <f t="shared" si="35"/>
        <v>0</v>
      </c>
      <c r="BI50" s="286">
        <f t="shared" si="36"/>
        <v>0</v>
      </c>
      <c r="BJ50" s="287" t="str">
        <f t="shared" si="37"/>
        <v>cukup</v>
      </c>
      <c r="BK50" s="287" t="str">
        <f t="shared" si="37"/>
        <v>cukup</v>
      </c>
      <c r="BL50" s="286" t="e">
        <f t="shared" si="38"/>
        <v>#N/A</v>
      </c>
      <c r="BM50" s="288" t="e">
        <f t="shared" si="39"/>
        <v>#N/A</v>
      </c>
      <c r="BN50" s="289" t="str">
        <f t="shared" si="40"/>
        <v/>
      </c>
      <c r="BO50" s="67"/>
    </row>
    <row r="51" spans="1:67" ht="33" customHeight="1">
      <c r="A51" s="67"/>
      <c r="B51" s="272" t="str">
        <f t="shared" si="23"/>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cukup</v>
      </c>
      <c r="AH51" s="282" t="str">
        <f t="shared" si="29"/>
        <v>cukup</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cukup</v>
      </c>
      <c r="BK51" s="287" t="str">
        <f t="shared" si="37"/>
        <v>cukup</v>
      </c>
      <c r="BL51" s="286" t="e">
        <f t="shared" si="38"/>
        <v>#N/A</v>
      </c>
      <c r="BM51" s="288" t="e">
        <f t="shared" si="39"/>
        <v>#N/A</v>
      </c>
      <c r="BN51" s="289" t="str">
        <f t="shared" si="40"/>
        <v/>
      </c>
      <c r="BO51" s="67"/>
    </row>
    <row r="52" spans="1:67" ht="33" customHeight="1">
      <c r="A52" s="67"/>
      <c r="B52" s="272" t="str">
        <f t="shared" si="23"/>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cukup</v>
      </c>
      <c r="AH52" s="282" t="str">
        <f t="shared" si="29"/>
        <v>cukup</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cukup</v>
      </c>
      <c r="BK52" s="287" t="str">
        <f t="shared" si="37"/>
        <v>cukup</v>
      </c>
      <c r="BL52" s="286" t="e">
        <f t="shared" si="38"/>
        <v>#N/A</v>
      </c>
      <c r="BM52" s="288" t="e">
        <f t="shared" si="39"/>
        <v>#N/A</v>
      </c>
      <c r="BN52" s="289" t="str">
        <f t="shared" si="40"/>
        <v/>
      </c>
      <c r="BO52" s="67"/>
    </row>
    <row r="53" spans="1:67" ht="33" customHeight="1">
      <c r="A53" s="67"/>
      <c r="B53" s="272" t="str">
        <f t="shared" si="23"/>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cukup</v>
      </c>
      <c r="AH53" s="282" t="str">
        <f t="shared" si="29"/>
        <v>cukup</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cukup</v>
      </c>
      <c r="BK53" s="287" t="str">
        <f t="shared" si="37"/>
        <v>cukup</v>
      </c>
      <c r="BL53" s="286" t="e">
        <f t="shared" si="38"/>
        <v>#N/A</v>
      </c>
      <c r="BM53" s="288" t="e">
        <f t="shared" si="39"/>
        <v>#N/A</v>
      </c>
      <c r="BN53" s="289" t="str">
        <f t="shared" si="40"/>
        <v/>
      </c>
      <c r="BO53" s="67"/>
    </row>
    <row r="54" spans="1:67" ht="33" customHeight="1">
      <c r="A54" s="67"/>
      <c r="B54" s="272" t="str">
        <f t="shared" si="23"/>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cukup</v>
      </c>
      <c r="AH54" s="282" t="str">
        <f t="shared" si="29"/>
        <v>cukup</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cukup</v>
      </c>
      <c r="BK54" s="287" t="str">
        <f t="shared" si="37"/>
        <v>cukup</v>
      </c>
      <c r="BL54" s="286" t="e">
        <f t="shared" si="38"/>
        <v>#N/A</v>
      </c>
      <c r="BM54" s="288" t="e">
        <f t="shared" si="39"/>
        <v>#N/A</v>
      </c>
      <c r="BN54" s="289" t="str">
        <f t="shared" si="40"/>
        <v/>
      </c>
      <c r="BO54" s="67"/>
    </row>
    <row r="55" spans="1:67" ht="33" customHeight="1">
      <c r="A55" s="67"/>
      <c r="B55" s="272" t="str">
        <f t="shared" si="23"/>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3">IF(K55="","",K55+Z$13)</f>
        <v/>
      </c>
      <c r="AA55" s="1216" t="str">
        <f t="shared" si="43"/>
        <v/>
      </c>
      <c r="AB55" s="1217" t="str">
        <f t="shared" si="43"/>
        <v/>
      </c>
      <c r="AC55" s="1216" t="str">
        <f t="shared" si="43"/>
        <v/>
      </c>
      <c r="AD55" s="1218" t="str">
        <f t="shared" si="43"/>
        <v/>
      </c>
      <c r="AE55" s="1219">
        <f t="shared" si="27"/>
        <v>0</v>
      </c>
      <c r="AF55" s="282">
        <f t="shared" si="28"/>
        <v>0</v>
      </c>
      <c r="AG55" s="282" t="str">
        <f t="shared" si="29"/>
        <v>cukup</v>
      </c>
      <c r="AH55" s="282" t="str">
        <f t="shared" si="29"/>
        <v>cukup</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4">IF(AQ55="","",AQ55+BC$12)</f>
        <v/>
      </c>
      <c r="BD55" s="1221" t="str">
        <f t="shared" si="44"/>
        <v/>
      </c>
      <c r="BE55" s="1222" t="str">
        <f t="shared" si="44"/>
        <v/>
      </c>
      <c r="BF55" s="1221" t="str">
        <f t="shared" si="44"/>
        <v/>
      </c>
      <c r="BG55" s="1223" t="str">
        <f t="shared" si="44"/>
        <v/>
      </c>
      <c r="BH55" s="286">
        <f t="shared" si="35"/>
        <v>0</v>
      </c>
      <c r="BI55" s="286">
        <f t="shared" si="36"/>
        <v>0</v>
      </c>
      <c r="BJ55" s="287" t="str">
        <f t="shared" si="37"/>
        <v>cukup</v>
      </c>
      <c r="BK55" s="287" t="str">
        <f t="shared" si="37"/>
        <v>cukup</v>
      </c>
      <c r="BL55" s="286" t="e">
        <f t="shared" si="38"/>
        <v>#N/A</v>
      </c>
      <c r="BM55" s="288" t="e">
        <f t="shared" si="39"/>
        <v>#N/A</v>
      </c>
      <c r="BN55" s="289" t="str">
        <f t="shared" si="40"/>
        <v/>
      </c>
      <c r="BO55" s="67"/>
    </row>
    <row r="56" spans="1:67" ht="33" customHeight="1">
      <c r="A56" s="67"/>
      <c r="B56" s="272" t="str">
        <f t="shared" si="23"/>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5">IF(F56="","",F56+U$13)</f>
        <v/>
      </c>
      <c r="V56" s="1216" t="str">
        <f t="shared" si="45"/>
        <v/>
      </c>
      <c r="W56" s="1216" t="str">
        <f t="shared" si="45"/>
        <v/>
      </c>
      <c r="X56" s="1216" t="str">
        <f t="shared" si="45"/>
        <v/>
      </c>
      <c r="Y56" s="1216" t="str">
        <f t="shared" si="45"/>
        <v/>
      </c>
      <c r="Z56" s="1216" t="str">
        <f t="shared" si="43"/>
        <v/>
      </c>
      <c r="AA56" s="1216" t="str">
        <f t="shared" si="43"/>
        <v/>
      </c>
      <c r="AB56" s="1217" t="str">
        <f t="shared" si="43"/>
        <v/>
      </c>
      <c r="AC56" s="1216" t="str">
        <f t="shared" si="43"/>
        <v/>
      </c>
      <c r="AD56" s="1218" t="str">
        <f t="shared" si="43"/>
        <v/>
      </c>
      <c r="AE56" s="1219">
        <f t="shared" si="27"/>
        <v>0</v>
      </c>
      <c r="AF56" s="282">
        <f t="shared" si="28"/>
        <v>0</v>
      </c>
      <c r="AG56" s="282" t="str">
        <f t="shared" si="29"/>
        <v>cukup</v>
      </c>
      <c r="AH56" s="282" t="str">
        <f t="shared" si="29"/>
        <v>cukup</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6">IF(AL56="","",AL56+AX$12)</f>
        <v/>
      </c>
      <c r="AY56" s="1221" t="str">
        <f t="shared" si="46"/>
        <v/>
      </c>
      <c r="AZ56" s="1221" t="str">
        <f t="shared" si="46"/>
        <v/>
      </c>
      <c r="BA56" s="1221" t="str">
        <f t="shared" si="46"/>
        <v/>
      </c>
      <c r="BB56" s="1221" t="str">
        <f t="shared" si="46"/>
        <v/>
      </c>
      <c r="BC56" s="1221" t="str">
        <f t="shared" si="44"/>
        <v/>
      </c>
      <c r="BD56" s="1221" t="str">
        <f t="shared" si="44"/>
        <v/>
      </c>
      <c r="BE56" s="1222" t="str">
        <f t="shared" si="44"/>
        <v/>
      </c>
      <c r="BF56" s="1221" t="str">
        <f t="shared" si="44"/>
        <v/>
      </c>
      <c r="BG56" s="1223" t="str">
        <f t="shared" si="44"/>
        <v/>
      </c>
      <c r="BH56" s="286">
        <f t="shared" si="35"/>
        <v>0</v>
      </c>
      <c r="BI56" s="286">
        <f t="shared" si="36"/>
        <v>0</v>
      </c>
      <c r="BJ56" s="287" t="str">
        <f t="shared" si="37"/>
        <v>cukup</v>
      </c>
      <c r="BK56" s="287" t="str">
        <f t="shared" si="37"/>
        <v>cukup</v>
      </c>
      <c r="BL56" s="286" t="e">
        <f t="shared" si="38"/>
        <v>#N/A</v>
      </c>
      <c r="BM56" s="288" t="e">
        <f t="shared" si="39"/>
        <v>#N/A</v>
      </c>
      <c r="BN56" s="289" t="str">
        <f t="shared" si="40"/>
        <v/>
      </c>
      <c r="BO56" s="67"/>
    </row>
    <row r="57" spans="1:67" ht="33" customHeight="1">
      <c r="A57" s="67"/>
      <c r="B57" s="272" t="str">
        <f t="shared" si="23"/>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5"/>
        <v/>
      </c>
      <c r="V57" s="1216" t="str">
        <f t="shared" si="45"/>
        <v/>
      </c>
      <c r="W57" s="1216" t="str">
        <f t="shared" si="45"/>
        <v/>
      </c>
      <c r="X57" s="1216" t="str">
        <f t="shared" si="45"/>
        <v/>
      </c>
      <c r="Y57" s="1216" t="str">
        <f t="shared" si="45"/>
        <v/>
      </c>
      <c r="Z57" s="1216" t="str">
        <f t="shared" si="43"/>
        <v/>
      </c>
      <c r="AA57" s="1216" t="str">
        <f t="shared" si="43"/>
        <v/>
      </c>
      <c r="AB57" s="1217" t="str">
        <f t="shared" si="43"/>
        <v/>
      </c>
      <c r="AC57" s="1216" t="str">
        <f t="shared" si="43"/>
        <v/>
      </c>
      <c r="AD57" s="1218" t="str">
        <f t="shared" si="43"/>
        <v/>
      </c>
      <c r="AE57" s="1219">
        <f t="shared" si="27"/>
        <v>0</v>
      </c>
      <c r="AF57" s="282">
        <f t="shared" si="28"/>
        <v>0</v>
      </c>
      <c r="AG57" s="282" t="str">
        <f t="shared" si="29"/>
        <v>cukup</v>
      </c>
      <c r="AH57" s="282" t="str">
        <f t="shared" si="29"/>
        <v>cukup</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6"/>
        <v/>
      </c>
      <c r="AY57" s="1221" t="str">
        <f t="shared" si="46"/>
        <v/>
      </c>
      <c r="AZ57" s="1221" t="str">
        <f t="shared" si="46"/>
        <v/>
      </c>
      <c r="BA57" s="1221" t="str">
        <f t="shared" si="46"/>
        <v/>
      </c>
      <c r="BB57" s="1221" t="str">
        <f t="shared" si="46"/>
        <v/>
      </c>
      <c r="BC57" s="1221" t="str">
        <f t="shared" si="44"/>
        <v/>
      </c>
      <c r="BD57" s="1221" t="str">
        <f t="shared" si="44"/>
        <v/>
      </c>
      <c r="BE57" s="1222" t="str">
        <f t="shared" si="44"/>
        <v/>
      </c>
      <c r="BF57" s="1221" t="str">
        <f t="shared" si="44"/>
        <v/>
      </c>
      <c r="BG57" s="1223" t="str">
        <f t="shared" si="44"/>
        <v/>
      </c>
      <c r="BH57" s="286">
        <f t="shared" si="35"/>
        <v>0</v>
      </c>
      <c r="BI57" s="286">
        <f t="shared" si="36"/>
        <v>0</v>
      </c>
      <c r="BJ57" s="287" t="str">
        <f t="shared" si="37"/>
        <v>cukup</v>
      </c>
      <c r="BK57" s="287" t="str">
        <f t="shared" si="37"/>
        <v>cukup</v>
      </c>
      <c r="BL57" s="286" t="e">
        <f t="shared" si="38"/>
        <v>#N/A</v>
      </c>
      <c r="BM57" s="288" t="e">
        <f t="shared" si="39"/>
        <v>#N/A</v>
      </c>
      <c r="BN57" s="289" t="str">
        <f t="shared" si="40"/>
        <v/>
      </c>
      <c r="BO57" s="67"/>
    </row>
    <row r="58" spans="1:67" ht="33" customHeight="1">
      <c r="A58" s="67"/>
      <c r="B58" s="272" t="str">
        <f t="shared" si="23"/>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5"/>
        <v/>
      </c>
      <c r="V58" s="1216" t="str">
        <f t="shared" si="45"/>
        <v/>
      </c>
      <c r="W58" s="1216" t="str">
        <f t="shared" si="45"/>
        <v/>
      </c>
      <c r="X58" s="1216" t="str">
        <f t="shared" si="45"/>
        <v/>
      </c>
      <c r="Y58" s="1216" t="str">
        <f t="shared" si="45"/>
        <v/>
      </c>
      <c r="Z58" s="1216" t="str">
        <f t="shared" si="43"/>
        <v/>
      </c>
      <c r="AA58" s="1216" t="str">
        <f t="shared" si="43"/>
        <v/>
      </c>
      <c r="AB58" s="1217" t="str">
        <f t="shared" si="43"/>
        <v/>
      </c>
      <c r="AC58" s="1216" t="str">
        <f t="shared" si="43"/>
        <v/>
      </c>
      <c r="AD58" s="1218" t="str">
        <f t="shared" si="43"/>
        <v/>
      </c>
      <c r="AE58" s="1219">
        <f t="shared" si="27"/>
        <v>0</v>
      </c>
      <c r="AF58" s="282">
        <f t="shared" si="28"/>
        <v>0</v>
      </c>
      <c r="AG58" s="282" t="str">
        <f t="shared" si="29"/>
        <v>cukup</v>
      </c>
      <c r="AH58" s="282" t="str">
        <f t="shared" si="29"/>
        <v>cukup</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6"/>
        <v/>
      </c>
      <c r="AY58" s="1221" t="str">
        <f t="shared" si="46"/>
        <v/>
      </c>
      <c r="AZ58" s="1221" t="str">
        <f t="shared" si="46"/>
        <v/>
      </c>
      <c r="BA58" s="1221" t="str">
        <f t="shared" si="46"/>
        <v/>
      </c>
      <c r="BB58" s="1221" t="str">
        <f t="shared" si="46"/>
        <v/>
      </c>
      <c r="BC58" s="1221" t="str">
        <f t="shared" si="44"/>
        <v/>
      </c>
      <c r="BD58" s="1221" t="str">
        <f t="shared" si="44"/>
        <v/>
      </c>
      <c r="BE58" s="1222" t="str">
        <f t="shared" si="44"/>
        <v/>
      </c>
      <c r="BF58" s="1221" t="str">
        <f t="shared" si="44"/>
        <v/>
      </c>
      <c r="BG58" s="1223" t="str">
        <f t="shared" si="44"/>
        <v/>
      </c>
      <c r="BH58" s="286">
        <f t="shared" si="35"/>
        <v>0</v>
      </c>
      <c r="BI58" s="286">
        <f t="shared" si="36"/>
        <v>0</v>
      </c>
      <c r="BJ58" s="287" t="str">
        <f t="shared" si="37"/>
        <v>cukup</v>
      </c>
      <c r="BK58" s="287" t="str">
        <f t="shared" si="37"/>
        <v>cukup</v>
      </c>
      <c r="BL58" s="286" t="e">
        <f t="shared" si="38"/>
        <v>#N/A</v>
      </c>
      <c r="BM58" s="288" t="e">
        <f t="shared" si="39"/>
        <v>#N/A</v>
      </c>
      <c r="BN58" s="289" t="str">
        <f t="shared" si="40"/>
        <v/>
      </c>
      <c r="BO58" s="67"/>
    </row>
    <row r="59" spans="1:67" ht="33" customHeight="1">
      <c r="A59" s="67"/>
      <c r="B59" s="272" t="str">
        <f t="shared" si="23"/>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5"/>
        <v/>
      </c>
      <c r="V59" s="1216" t="str">
        <f t="shared" si="45"/>
        <v/>
      </c>
      <c r="W59" s="1216" t="str">
        <f t="shared" si="45"/>
        <v/>
      </c>
      <c r="X59" s="1216" t="str">
        <f t="shared" si="45"/>
        <v/>
      </c>
      <c r="Y59" s="1216" t="str">
        <f t="shared" si="45"/>
        <v/>
      </c>
      <c r="Z59" s="1216" t="str">
        <f t="shared" si="43"/>
        <v/>
      </c>
      <c r="AA59" s="1216" t="str">
        <f t="shared" si="43"/>
        <v/>
      </c>
      <c r="AB59" s="1217" t="str">
        <f t="shared" si="43"/>
        <v/>
      </c>
      <c r="AC59" s="1216" t="str">
        <f t="shared" si="43"/>
        <v/>
      </c>
      <c r="AD59" s="1218" t="str">
        <f t="shared" si="43"/>
        <v/>
      </c>
      <c r="AE59" s="1219">
        <f t="shared" si="27"/>
        <v>0</v>
      </c>
      <c r="AF59" s="282">
        <f t="shared" si="28"/>
        <v>0</v>
      </c>
      <c r="AG59" s="282" t="str">
        <f t="shared" si="29"/>
        <v>cukup</v>
      </c>
      <c r="AH59" s="282" t="str">
        <f t="shared" si="29"/>
        <v>cukup</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6"/>
        <v/>
      </c>
      <c r="AY59" s="1221" t="str">
        <f t="shared" si="46"/>
        <v/>
      </c>
      <c r="AZ59" s="1221" t="str">
        <f t="shared" si="46"/>
        <v/>
      </c>
      <c r="BA59" s="1221" t="str">
        <f t="shared" si="46"/>
        <v/>
      </c>
      <c r="BB59" s="1221" t="str">
        <f t="shared" si="46"/>
        <v/>
      </c>
      <c r="BC59" s="1221" t="str">
        <f t="shared" si="44"/>
        <v/>
      </c>
      <c r="BD59" s="1221" t="str">
        <f t="shared" si="44"/>
        <v/>
      </c>
      <c r="BE59" s="1222" t="str">
        <f t="shared" si="44"/>
        <v/>
      </c>
      <c r="BF59" s="1221" t="str">
        <f t="shared" si="44"/>
        <v/>
      </c>
      <c r="BG59" s="1223" t="str">
        <f t="shared" si="44"/>
        <v/>
      </c>
      <c r="BH59" s="286">
        <f t="shared" si="35"/>
        <v>0</v>
      </c>
      <c r="BI59" s="286">
        <f t="shared" si="36"/>
        <v>0</v>
      </c>
      <c r="BJ59" s="287" t="str">
        <f t="shared" si="37"/>
        <v>cukup</v>
      </c>
      <c r="BK59" s="287" t="str">
        <f t="shared" si="37"/>
        <v>cukup</v>
      </c>
      <c r="BL59" s="286" t="e">
        <f t="shared" si="38"/>
        <v>#N/A</v>
      </c>
      <c r="BM59" s="288" t="e">
        <f t="shared" si="39"/>
        <v>#N/A</v>
      </c>
      <c r="BN59" s="289" t="str">
        <f t="shared" si="40"/>
        <v/>
      </c>
      <c r="BO59" s="67"/>
    </row>
    <row r="60" spans="1:67" ht="33" customHeight="1">
      <c r="A60" s="67"/>
      <c r="B60" s="272" t="str">
        <f t="shared" si="23"/>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5"/>
        <v/>
      </c>
      <c r="V60" s="1216" t="str">
        <f t="shared" si="45"/>
        <v/>
      </c>
      <c r="W60" s="1216" t="str">
        <f t="shared" si="45"/>
        <v/>
      </c>
      <c r="X60" s="1216" t="str">
        <f t="shared" si="45"/>
        <v/>
      </c>
      <c r="Y60" s="1216" t="str">
        <f t="shared" si="45"/>
        <v/>
      </c>
      <c r="Z60" s="1216" t="str">
        <f t="shared" si="43"/>
        <v/>
      </c>
      <c r="AA60" s="1216" t="str">
        <f t="shared" si="43"/>
        <v/>
      </c>
      <c r="AB60" s="1217" t="str">
        <f t="shared" si="43"/>
        <v/>
      </c>
      <c r="AC60" s="1216" t="str">
        <f t="shared" si="43"/>
        <v/>
      </c>
      <c r="AD60" s="1218" t="str">
        <f t="shared" si="43"/>
        <v/>
      </c>
      <c r="AE60" s="1219">
        <f t="shared" si="27"/>
        <v>0</v>
      </c>
      <c r="AF60" s="282">
        <f t="shared" si="28"/>
        <v>0</v>
      </c>
      <c r="AG60" s="282" t="str">
        <f t="shared" si="29"/>
        <v>cukup</v>
      </c>
      <c r="AH60" s="282" t="str">
        <f t="shared" si="29"/>
        <v>cukup</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6"/>
        <v/>
      </c>
      <c r="AY60" s="1221" t="str">
        <f t="shared" si="46"/>
        <v/>
      </c>
      <c r="AZ60" s="1221" t="str">
        <f t="shared" si="46"/>
        <v/>
      </c>
      <c r="BA60" s="1221" t="str">
        <f t="shared" si="46"/>
        <v/>
      </c>
      <c r="BB60" s="1221" t="str">
        <f t="shared" si="46"/>
        <v/>
      </c>
      <c r="BC60" s="1221" t="str">
        <f t="shared" si="44"/>
        <v/>
      </c>
      <c r="BD60" s="1221" t="str">
        <f t="shared" si="44"/>
        <v/>
      </c>
      <c r="BE60" s="1222" t="str">
        <f t="shared" si="44"/>
        <v/>
      </c>
      <c r="BF60" s="1221" t="str">
        <f t="shared" si="44"/>
        <v/>
      </c>
      <c r="BG60" s="1223" t="str">
        <f t="shared" si="44"/>
        <v/>
      </c>
      <c r="BH60" s="286">
        <f t="shared" si="35"/>
        <v>0</v>
      </c>
      <c r="BI60" s="286">
        <f t="shared" si="36"/>
        <v>0</v>
      </c>
      <c r="BJ60" s="287" t="str">
        <f t="shared" si="37"/>
        <v>cukup</v>
      </c>
      <c r="BK60" s="287" t="str">
        <f t="shared" si="37"/>
        <v>cukup</v>
      </c>
      <c r="BL60" s="286" t="e">
        <f t="shared" si="38"/>
        <v>#N/A</v>
      </c>
      <c r="BM60" s="288" t="e">
        <f t="shared" si="39"/>
        <v>#N/A</v>
      </c>
      <c r="BN60" s="289" t="str">
        <f t="shared" si="40"/>
        <v/>
      </c>
      <c r="BO60" s="67"/>
    </row>
    <row r="61" spans="1:67" ht="33" customHeight="1">
      <c r="A61" s="67"/>
      <c r="B61" s="272" t="str">
        <f t="shared" si="23"/>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5"/>
        <v/>
      </c>
      <c r="V61" s="1216" t="str">
        <f t="shared" si="45"/>
        <v/>
      </c>
      <c r="W61" s="1216" t="str">
        <f t="shared" si="45"/>
        <v/>
      </c>
      <c r="X61" s="1216" t="str">
        <f t="shared" si="45"/>
        <v/>
      </c>
      <c r="Y61" s="1216" t="str">
        <f t="shared" si="45"/>
        <v/>
      </c>
      <c r="Z61" s="1216" t="str">
        <f t="shared" si="43"/>
        <v/>
      </c>
      <c r="AA61" s="1216" t="str">
        <f t="shared" si="43"/>
        <v/>
      </c>
      <c r="AB61" s="1217" t="str">
        <f t="shared" si="43"/>
        <v/>
      </c>
      <c r="AC61" s="1216" t="str">
        <f t="shared" si="43"/>
        <v/>
      </c>
      <c r="AD61" s="1218" t="str">
        <f t="shared" si="43"/>
        <v/>
      </c>
      <c r="AE61" s="1219">
        <f t="shared" si="27"/>
        <v>0</v>
      </c>
      <c r="AF61" s="282">
        <f t="shared" si="28"/>
        <v>0</v>
      </c>
      <c r="AG61" s="282" t="str">
        <f t="shared" si="29"/>
        <v>cukup</v>
      </c>
      <c r="AH61" s="282" t="str">
        <f t="shared" si="29"/>
        <v>cukup</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6"/>
        <v/>
      </c>
      <c r="AY61" s="1221" t="str">
        <f t="shared" si="46"/>
        <v/>
      </c>
      <c r="AZ61" s="1221" t="str">
        <f t="shared" si="46"/>
        <v/>
      </c>
      <c r="BA61" s="1221" t="str">
        <f t="shared" si="46"/>
        <v/>
      </c>
      <c r="BB61" s="1221" t="str">
        <f t="shared" si="46"/>
        <v/>
      </c>
      <c r="BC61" s="1221" t="str">
        <f t="shared" si="44"/>
        <v/>
      </c>
      <c r="BD61" s="1221" t="str">
        <f t="shared" si="44"/>
        <v/>
      </c>
      <c r="BE61" s="1222" t="str">
        <f t="shared" si="44"/>
        <v/>
      </c>
      <c r="BF61" s="1221" t="str">
        <f t="shared" si="44"/>
        <v/>
      </c>
      <c r="BG61" s="1223" t="str">
        <f t="shared" si="44"/>
        <v/>
      </c>
      <c r="BH61" s="286">
        <f t="shared" si="35"/>
        <v>0</v>
      </c>
      <c r="BI61" s="286">
        <f t="shared" si="36"/>
        <v>0</v>
      </c>
      <c r="BJ61" s="287" t="str">
        <f t="shared" si="37"/>
        <v>cukup</v>
      </c>
      <c r="BK61" s="287" t="str">
        <f t="shared" si="37"/>
        <v>cukup</v>
      </c>
      <c r="BL61" s="286" t="e">
        <f t="shared" si="38"/>
        <v>#N/A</v>
      </c>
      <c r="BM61" s="288" t="e">
        <f t="shared" si="39"/>
        <v>#N/A</v>
      </c>
      <c r="BN61" s="289" t="str">
        <f t="shared" si="40"/>
        <v/>
      </c>
      <c r="BO61" s="67"/>
    </row>
    <row r="62" spans="1:67" ht="33" customHeight="1">
      <c r="A62" s="67"/>
      <c r="B62" s="272" t="str">
        <f t="shared" si="23"/>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5"/>
        <v/>
      </c>
      <c r="V62" s="1216" t="str">
        <f t="shared" si="45"/>
        <v/>
      </c>
      <c r="W62" s="1216" t="str">
        <f t="shared" si="45"/>
        <v/>
      </c>
      <c r="X62" s="1216" t="str">
        <f t="shared" si="45"/>
        <v/>
      </c>
      <c r="Y62" s="1216" t="str">
        <f t="shared" si="45"/>
        <v/>
      </c>
      <c r="Z62" s="1216" t="str">
        <f t="shared" si="43"/>
        <v/>
      </c>
      <c r="AA62" s="1216" t="str">
        <f t="shared" si="43"/>
        <v/>
      </c>
      <c r="AB62" s="1217" t="str">
        <f t="shared" si="43"/>
        <v/>
      </c>
      <c r="AC62" s="1216" t="str">
        <f t="shared" si="43"/>
        <v/>
      </c>
      <c r="AD62" s="1218" t="str">
        <f t="shared" si="43"/>
        <v/>
      </c>
      <c r="AE62" s="1219">
        <f t="shared" si="27"/>
        <v>0</v>
      </c>
      <c r="AF62" s="282">
        <f t="shared" si="28"/>
        <v>0</v>
      </c>
      <c r="AG62" s="282" t="str">
        <f t="shared" si="29"/>
        <v>cukup</v>
      </c>
      <c r="AH62" s="282" t="str">
        <f t="shared" si="29"/>
        <v>cukup</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6"/>
        <v/>
      </c>
      <c r="AY62" s="1221" t="str">
        <f t="shared" si="46"/>
        <v/>
      </c>
      <c r="AZ62" s="1221" t="str">
        <f t="shared" si="46"/>
        <v/>
      </c>
      <c r="BA62" s="1221" t="str">
        <f t="shared" si="46"/>
        <v/>
      </c>
      <c r="BB62" s="1221" t="str">
        <f t="shared" si="46"/>
        <v/>
      </c>
      <c r="BC62" s="1221" t="str">
        <f t="shared" si="44"/>
        <v/>
      </c>
      <c r="BD62" s="1221" t="str">
        <f t="shared" si="44"/>
        <v/>
      </c>
      <c r="BE62" s="1222" t="str">
        <f t="shared" si="44"/>
        <v/>
      </c>
      <c r="BF62" s="1221" t="str">
        <f t="shared" si="44"/>
        <v/>
      </c>
      <c r="BG62" s="1223" t="str">
        <f t="shared" si="44"/>
        <v/>
      </c>
      <c r="BH62" s="286">
        <f t="shared" si="35"/>
        <v>0</v>
      </c>
      <c r="BI62" s="286">
        <f t="shared" si="36"/>
        <v>0</v>
      </c>
      <c r="BJ62" s="287" t="str">
        <f t="shared" si="37"/>
        <v>cukup</v>
      </c>
      <c r="BK62" s="287" t="str">
        <f t="shared" si="37"/>
        <v>cukup</v>
      </c>
      <c r="BL62" s="286" t="e">
        <f t="shared" si="38"/>
        <v>#N/A</v>
      </c>
      <c r="BM62" s="288" t="e">
        <f t="shared" si="39"/>
        <v>#N/A</v>
      </c>
      <c r="BN62" s="289" t="str">
        <f t="shared" si="40"/>
        <v/>
      </c>
      <c r="BO62" s="67"/>
    </row>
    <row r="63" spans="1:67" ht="33" customHeight="1">
      <c r="A63" s="67"/>
      <c r="B63" s="272" t="str">
        <f t="shared" si="23"/>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5"/>
        <v/>
      </c>
      <c r="V63" s="1216" t="str">
        <f t="shared" si="45"/>
        <v/>
      </c>
      <c r="W63" s="1216" t="str">
        <f t="shared" si="45"/>
        <v/>
      </c>
      <c r="X63" s="1216" t="str">
        <f t="shared" si="45"/>
        <v/>
      </c>
      <c r="Y63" s="1216" t="str">
        <f t="shared" si="45"/>
        <v/>
      </c>
      <c r="Z63" s="1216" t="str">
        <f t="shared" si="43"/>
        <v/>
      </c>
      <c r="AA63" s="1216" t="str">
        <f t="shared" si="43"/>
        <v/>
      </c>
      <c r="AB63" s="1217" t="str">
        <f t="shared" si="43"/>
        <v/>
      </c>
      <c r="AC63" s="1216" t="str">
        <f t="shared" si="43"/>
        <v/>
      </c>
      <c r="AD63" s="1218" t="str">
        <f t="shared" si="43"/>
        <v/>
      </c>
      <c r="AE63" s="1219">
        <f t="shared" si="27"/>
        <v>0</v>
      </c>
      <c r="AF63" s="282">
        <f t="shared" si="28"/>
        <v>0</v>
      </c>
      <c r="AG63" s="282" t="str">
        <f t="shared" si="29"/>
        <v>cukup</v>
      </c>
      <c r="AH63" s="282" t="str">
        <f t="shared" si="29"/>
        <v>cukup</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6"/>
        <v/>
      </c>
      <c r="AY63" s="1221" t="str">
        <f t="shared" si="46"/>
        <v/>
      </c>
      <c r="AZ63" s="1221" t="str">
        <f t="shared" si="46"/>
        <v/>
      </c>
      <c r="BA63" s="1221" t="str">
        <f t="shared" si="46"/>
        <v/>
      </c>
      <c r="BB63" s="1221" t="str">
        <f t="shared" si="46"/>
        <v/>
      </c>
      <c r="BC63" s="1221" t="str">
        <f t="shared" si="44"/>
        <v/>
      </c>
      <c r="BD63" s="1221" t="str">
        <f t="shared" si="44"/>
        <v/>
      </c>
      <c r="BE63" s="1222" t="str">
        <f t="shared" si="44"/>
        <v/>
      </c>
      <c r="BF63" s="1221" t="str">
        <f t="shared" si="44"/>
        <v/>
      </c>
      <c r="BG63" s="1223" t="str">
        <f t="shared" si="44"/>
        <v/>
      </c>
      <c r="BH63" s="286">
        <f t="shared" si="35"/>
        <v>0</v>
      </c>
      <c r="BI63" s="286">
        <f t="shared" si="36"/>
        <v>0</v>
      </c>
      <c r="BJ63" s="287" t="str">
        <f t="shared" si="37"/>
        <v>cukup</v>
      </c>
      <c r="BK63" s="287" t="str">
        <f t="shared" si="37"/>
        <v>cukup</v>
      </c>
      <c r="BL63" s="286" t="e">
        <f t="shared" si="38"/>
        <v>#N/A</v>
      </c>
      <c r="BM63" s="288" t="e">
        <f t="shared" si="39"/>
        <v>#N/A</v>
      </c>
      <c r="BN63" s="289" t="str">
        <f t="shared" si="40"/>
        <v/>
      </c>
      <c r="BO63" s="67"/>
    </row>
    <row r="64" spans="1:67">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5">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2.75" hidden="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2.75" hidden="1">
      <c r="A68" s="67"/>
      <c r="B68" s="81"/>
      <c r="C68" s="85"/>
      <c r="D68" s="81"/>
      <c r="E68" s="81"/>
      <c r="F68" s="347">
        <f>H69+1</f>
        <v>68</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7">F68</f>
        <v>68</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2.75" hidden="1">
      <c r="A69" s="67"/>
      <c r="B69" s="81"/>
      <c r="C69" s="85"/>
      <c r="D69" s="81"/>
      <c r="E69" s="81"/>
      <c r="F69" s="347">
        <f>H70+1</f>
        <v>34</v>
      </c>
      <c r="G69" s="348" t="s">
        <v>5</v>
      </c>
      <c r="H69" s="347">
        <f>ROUNDDOWN(F69+(H68-F69)/2,0)</f>
        <v>67</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7"/>
        <v>34</v>
      </c>
      <c r="AM69" s="349" t="s">
        <v>5</v>
      </c>
      <c r="AN69" s="347">
        <f t="shared" ref="AN69" si="48">H69</f>
        <v>67</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 r="A70" s="67"/>
      <c r="B70" s="81"/>
      <c r="C70" s="87"/>
      <c r="D70" s="81"/>
      <c r="E70" s="81"/>
      <c r="F70" s="347">
        <f>Data2!G14</f>
        <v>0</v>
      </c>
      <c r="G70" s="348" t="s">
        <v>5</v>
      </c>
      <c r="H70" s="347">
        <f>ROUNDDOWN(F70+(H68-F70)/3,0)</f>
        <v>33</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0</v>
      </c>
      <c r="AM70" s="349" t="s">
        <v>5</v>
      </c>
      <c r="AN70" s="347">
        <f>H70</f>
        <v>33</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-1</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49">H71</f>
        <v>-1</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2.75" hidden="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 r="C75" s="2"/>
      <c r="F75" s="1360">
        <f>IF($F$65="KKM TUNGGAL",Data2!I6,F68)</f>
        <v>68</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68</v>
      </c>
      <c r="AM75" s="7" t="s">
        <v>5</v>
      </c>
      <c r="AN75" s="9">
        <f>H75</f>
        <v>100</v>
      </c>
      <c r="AO75" s="1357" t="str">
        <f t="shared" ref="AO75" si="50">I75</f>
        <v>sangat baik</v>
      </c>
      <c r="AP75" s="1358"/>
      <c r="AQ75" s="1358"/>
      <c r="AR75" s="1358"/>
      <c r="AS75" s="1358"/>
      <c r="AT75" s="1358"/>
      <c r="AU75" s="1359"/>
      <c r="AV75" s="9" t="str">
        <f>Data2!L12</f>
        <v>A</v>
      </c>
    </row>
    <row r="76" spans="1:67" ht="12.75" hidden="1">
      <c r="C76" s="2"/>
      <c r="F76" s="1360">
        <f>IF($F$65="KKM TUNGGAL",Data2!I7,F69)</f>
        <v>34</v>
      </c>
      <c r="G76" s="1361" t="s">
        <v>5</v>
      </c>
      <c r="H76" s="1360">
        <f>IF($F$65="KKM TUNGGAL",Data2!K7,H69)+0.5</f>
        <v>67.5</v>
      </c>
      <c r="I76" s="1697" t="str">
        <f>IF($F$65="KKM TUNGGAL",Data2!L7,I69)</f>
        <v>baik</v>
      </c>
      <c r="J76" s="1698"/>
      <c r="K76" s="1698"/>
      <c r="L76" s="1698"/>
      <c r="M76" s="1698"/>
      <c r="N76" s="1698"/>
      <c r="O76" s="1698"/>
      <c r="P76" s="1699"/>
      <c r="Q76" s="9" t="str">
        <f>Data2!L13</f>
        <v>B</v>
      </c>
      <c r="AL76" s="9">
        <f t="shared" ref="AL76:AN78" si="51">F76</f>
        <v>34</v>
      </c>
      <c r="AM76" s="7" t="s">
        <v>5</v>
      </c>
      <c r="AN76" s="9">
        <f t="shared" si="51"/>
        <v>67.5</v>
      </c>
      <c r="AO76" s="1357" t="str">
        <f>I76</f>
        <v>baik</v>
      </c>
      <c r="AP76" s="1358"/>
      <c r="AQ76" s="1358"/>
      <c r="AR76" s="1358"/>
      <c r="AS76" s="1358"/>
      <c r="AT76" s="1358"/>
      <c r="AU76" s="1359"/>
      <c r="AV76" s="9" t="str">
        <f>Data2!L13</f>
        <v>B</v>
      </c>
    </row>
    <row r="77" spans="1:67" ht="12.75" hidden="1">
      <c r="C77" s="2"/>
      <c r="F77" s="1360">
        <f>IF($F$65="KKM TUNGGAL",Data2!I8,F70)</f>
        <v>0</v>
      </c>
      <c r="G77" s="1361" t="s">
        <v>5</v>
      </c>
      <c r="H77" s="1360">
        <f>IF($F$65="KKM TUNGGAL",Data2!K8,H70)+0.5</f>
        <v>33.5</v>
      </c>
      <c r="I77" s="1697" t="str">
        <f>IF($F$65="KKM TUNGGAL",Data2!L8,I70)</f>
        <v>cukup</v>
      </c>
      <c r="J77" s="1698"/>
      <c r="K77" s="1698"/>
      <c r="L77" s="1698"/>
      <c r="M77" s="1698"/>
      <c r="N77" s="1698"/>
      <c r="O77" s="1698"/>
      <c r="P77" s="1699"/>
      <c r="Q77" s="9" t="str">
        <f>Data2!L14</f>
        <v>C</v>
      </c>
      <c r="AL77" s="9">
        <f t="shared" si="51"/>
        <v>0</v>
      </c>
      <c r="AM77" s="7" t="s">
        <v>5</v>
      </c>
      <c r="AN77" s="9">
        <f t="shared" si="51"/>
        <v>33.5</v>
      </c>
      <c r="AO77" s="1357" t="str">
        <f t="shared" ref="AO77:AO78" si="52">I77</f>
        <v>cukup</v>
      </c>
      <c r="AP77" s="1358"/>
      <c r="AQ77" s="1358"/>
      <c r="AR77" s="1358"/>
      <c r="AS77" s="1358"/>
      <c r="AT77" s="1358"/>
      <c r="AU77" s="1359"/>
      <c r="AV77" s="9" t="str">
        <f>Data2!L14</f>
        <v>C</v>
      </c>
    </row>
    <row r="78" spans="1:67" ht="12.75" hidden="1">
      <c r="C78" s="2"/>
      <c r="F78" s="1360">
        <f>IF($F$65="KKM TUNGGAL",Data2!I9,F71)</f>
        <v>0</v>
      </c>
      <c r="G78" s="1361" t="s">
        <v>5</v>
      </c>
      <c r="H78" s="1360">
        <f>IF($F$65="KKM TUNGGAL",Data2!K9,H71)+0.5</f>
        <v>-0.5</v>
      </c>
      <c r="I78" s="1697" t="str">
        <f>IF($F$65="KKM TUNGGAL",Data2!L9,I71)</f>
        <v>perlu dimaksimalkan</v>
      </c>
      <c r="J78" s="1698"/>
      <c r="K78" s="1698"/>
      <c r="L78" s="1698"/>
      <c r="M78" s="1698"/>
      <c r="N78" s="1698"/>
      <c r="O78" s="1698"/>
      <c r="P78" s="1699"/>
      <c r="Q78" s="9" t="str">
        <f>Data2!L15</f>
        <v>D</v>
      </c>
      <c r="AL78" s="9">
        <f t="shared" si="51"/>
        <v>0</v>
      </c>
      <c r="AM78" s="7" t="s">
        <v>5</v>
      </c>
      <c r="AN78" s="9">
        <f t="shared" si="51"/>
        <v>-0.5</v>
      </c>
      <c r="AO78" s="1357" t="str">
        <f t="shared" si="52"/>
        <v>perlu dimaksimalkan</v>
      </c>
      <c r="AP78" s="1358"/>
      <c r="AQ78" s="1358"/>
      <c r="AR78" s="1358"/>
      <c r="AS78" s="1358"/>
      <c r="AT78" s="1358"/>
      <c r="AU78" s="1359"/>
      <c r="AV78" s="9" t="str">
        <f>Data2!L15</f>
        <v>D</v>
      </c>
    </row>
    <row r="79" spans="1:67" hidden="1"/>
    <row r="80" spans="1:67" hidden="1">
      <c r="N80" s="1"/>
      <c r="O80" s="1"/>
      <c r="P80" s="1"/>
      <c r="Q80" s="1"/>
      <c r="AT80" s="1"/>
      <c r="AU80" s="1"/>
      <c r="AV80" s="1"/>
    </row>
    <row r="81" spans="3:48" hidden="1"/>
    <row r="82" spans="3:48" ht="12.75" hidden="1">
      <c r="C82" s="2"/>
      <c r="AL82" s="10"/>
      <c r="AM82" s="8"/>
      <c r="AN82" s="10"/>
      <c r="AO82" s="1657"/>
      <c r="AP82" s="1657"/>
      <c r="AQ82" s="1657"/>
      <c r="AR82" s="1657"/>
      <c r="AS82" s="1657"/>
      <c r="AT82" s="1657"/>
      <c r="AU82" s="1657"/>
      <c r="AV82" s="1657"/>
    </row>
    <row r="83" spans="3:48" ht="12.75" hidden="1">
      <c r="C83" s="2"/>
      <c r="AL83" s="10"/>
      <c r="AM83" s="8"/>
      <c r="AN83" s="10"/>
      <c r="AO83" s="1657"/>
      <c r="AP83" s="1657"/>
      <c r="AQ83" s="1657"/>
      <c r="AR83" s="1657"/>
      <c r="AS83" s="1657"/>
      <c r="AT83" s="1657"/>
      <c r="AU83" s="1657"/>
      <c r="AV83" s="1657"/>
    </row>
    <row r="84" spans="3:48" ht="12.75" hidden="1">
      <c r="C84" s="2"/>
      <c r="AL84" s="10"/>
      <c r="AM84" s="8"/>
      <c r="AN84" s="10"/>
      <c r="AO84" s="1102"/>
      <c r="AP84" s="1102"/>
      <c r="AQ84" s="1102"/>
      <c r="AR84" s="1159"/>
      <c r="AS84" s="1159"/>
      <c r="AT84" s="1102"/>
      <c r="AU84" s="1102"/>
      <c r="AV84" s="1102"/>
    </row>
    <row r="85" spans="3:48" ht="12.75" hidden="1">
      <c r="C85" s="2"/>
      <c r="AL85" s="10"/>
      <c r="AM85" s="8"/>
      <c r="AN85" s="10"/>
      <c r="AO85" s="1102"/>
      <c r="AP85" s="1102"/>
      <c r="AQ85" s="1102"/>
      <c r="AR85" s="1159"/>
      <c r="AS85" s="1159"/>
      <c r="AT85" s="1102"/>
      <c r="AU85" s="1102"/>
      <c r="AV85" s="1102"/>
    </row>
    <row r="86" spans="3:48" hidden="1"/>
    <row r="87" spans="3:48" hidden="1"/>
    <row r="88" spans="3:48" hidden="1"/>
    <row r="89" spans="3:48" hidden="1"/>
    <row r="90" spans="3:48" hidden="1"/>
    <row r="91" spans="3:48" hidden="1">
      <c r="C91" s="2"/>
      <c r="F91" s="2"/>
      <c r="G91" s="2"/>
      <c r="H91" s="2"/>
      <c r="I91" s="2"/>
      <c r="J91" s="2"/>
      <c r="K91" s="2"/>
      <c r="L91" s="2"/>
      <c r="M91" s="2"/>
      <c r="S91" s="2"/>
      <c r="AL91" s="2"/>
      <c r="AM91" s="2"/>
      <c r="AN91" s="2"/>
      <c r="AO91" s="2"/>
      <c r="AP91" s="2"/>
      <c r="AQ91" s="2"/>
      <c r="AR91" s="2"/>
      <c r="AS91" s="2"/>
    </row>
    <row r="92" spans="3:48" hidden="1">
      <c r="C92" s="2"/>
      <c r="F92" s="2"/>
      <c r="G92" s="2"/>
      <c r="H92" s="2"/>
      <c r="I92" s="2"/>
      <c r="J92" s="2"/>
      <c r="K92" s="2"/>
      <c r="L92" s="2"/>
      <c r="M92" s="2"/>
      <c r="S92" s="2"/>
      <c r="AL92" s="2"/>
      <c r="AM92" s="2"/>
      <c r="AN92" s="2"/>
      <c r="AO92" s="2"/>
      <c r="AP92" s="2"/>
      <c r="AQ92" s="2"/>
      <c r="AR92" s="2"/>
      <c r="AS92" s="2"/>
    </row>
    <row r="93" spans="3:48" hidden="1"/>
    <row r="94" spans="3:48" hidden="1"/>
    <row r="95" spans="3:48" hidden="1"/>
    <row r="96" spans="3:48" hidden="1"/>
    <row r="97" hidden="1"/>
    <row r="98" hidden="1"/>
    <row r="99" hidden="1"/>
    <row r="100" hidden="1"/>
    <row r="101" hidden="1"/>
    <row r="102" hidden="1"/>
    <row r="103" hidden="1"/>
  </sheetData>
  <mergeCells count="70">
    <mergeCell ref="B1:C2"/>
    <mergeCell ref="D1:E2"/>
    <mergeCell ref="B3:C4"/>
    <mergeCell ref="D3:E6"/>
    <mergeCell ref="B6:C6"/>
    <mergeCell ref="G7:R10"/>
    <mergeCell ref="AL8:AL11"/>
    <mergeCell ref="AM8:AU11"/>
    <mergeCell ref="G11:R11"/>
    <mergeCell ref="B10:C11"/>
    <mergeCell ref="D10:E11"/>
    <mergeCell ref="B7:C7"/>
    <mergeCell ref="D7:E9"/>
    <mergeCell ref="B8:C8"/>
    <mergeCell ref="B9:C9"/>
    <mergeCell ref="F74:H74"/>
    <mergeCell ref="I74:Q74"/>
    <mergeCell ref="AL74:AN74"/>
    <mergeCell ref="AO74:AV74"/>
    <mergeCell ref="G1:R1"/>
    <mergeCell ref="AM1:AU1"/>
    <mergeCell ref="G2:R2"/>
    <mergeCell ref="AL2:AL3"/>
    <mergeCell ref="AM2:AU3"/>
    <mergeCell ref="F3:F6"/>
    <mergeCell ref="G3:R6"/>
    <mergeCell ref="AL4:AL5"/>
    <mergeCell ref="AM4:AU5"/>
    <mergeCell ref="AL6:AL7"/>
    <mergeCell ref="AM6:AU7"/>
    <mergeCell ref="F7:F10"/>
    <mergeCell ref="I68:Q68"/>
    <mergeCell ref="AO68:AV68"/>
    <mergeCell ref="I69:Q69"/>
    <mergeCell ref="AO83:AV83"/>
    <mergeCell ref="I75:P75"/>
    <mergeCell ref="I76:P76"/>
    <mergeCell ref="I77:P77"/>
    <mergeCell ref="AO69:AV69"/>
    <mergeCell ref="I70:Q70"/>
    <mergeCell ref="AO70:AV70"/>
    <mergeCell ref="I78:P78"/>
    <mergeCell ref="AO82:AV82"/>
    <mergeCell ref="I71:Q71"/>
    <mergeCell ref="AO71:AV71"/>
    <mergeCell ref="F73:Q73"/>
    <mergeCell ref="AL73:AV73"/>
    <mergeCell ref="F65:Q65"/>
    <mergeCell ref="AL65:AV65"/>
    <mergeCell ref="F66:Q66"/>
    <mergeCell ref="AL66:AV66"/>
    <mergeCell ref="F67:H67"/>
    <mergeCell ref="I67:Q67"/>
    <mergeCell ref="AL67:AN67"/>
    <mergeCell ref="AO67:AV67"/>
    <mergeCell ref="BN12:BN13"/>
    <mergeCell ref="AG13:AH13"/>
    <mergeCell ref="AI13:AJ13"/>
    <mergeCell ref="BJ13:BK13"/>
    <mergeCell ref="BL13:BM13"/>
    <mergeCell ref="B12:B13"/>
    <mergeCell ref="C12:C13"/>
    <mergeCell ref="D12:D13"/>
    <mergeCell ref="E12:E13"/>
    <mergeCell ref="F12:O12"/>
    <mergeCell ref="T12:T13"/>
    <mergeCell ref="AK12:AK13"/>
    <mergeCell ref="S12:S13"/>
    <mergeCell ref="AV12:AV13"/>
    <mergeCell ref="AW12:AW13"/>
  </mergeCells>
  <conditionalFormatting sqref="B14:E63">
    <cfRule type="expression" dxfId="3591" priority="235">
      <formula>AND($B14&lt;&gt;"",$B15="")</formula>
    </cfRule>
    <cfRule type="expression" dxfId="3590" priority="236">
      <formula>$B14=""</formula>
    </cfRule>
  </conditionalFormatting>
  <conditionalFormatting sqref="B56:E56">
    <cfRule type="expression" dxfId="3589" priority="237">
      <formula>AND($B56&lt;&gt;"",$B63="")</formula>
    </cfRule>
    <cfRule type="expression" dxfId="3588" priority="238">
      <formula>$B56=""</formula>
    </cfRule>
  </conditionalFormatting>
  <conditionalFormatting sqref="B50:E50">
    <cfRule type="expression" dxfId="3587" priority="239">
      <formula>AND($B50&lt;&gt;"",$B63="")</formula>
    </cfRule>
    <cfRule type="expression" dxfId="3586" priority="240">
      <formula>$B50=""</formula>
    </cfRule>
  </conditionalFormatting>
  <conditionalFormatting sqref="B43:E44">
    <cfRule type="expression" dxfId="3585" priority="241">
      <formula>AND($B43&lt;&gt;"",$B62="")</formula>
    </cfRule>
    <cfRule type="expression" dxfId="3584" priority="242">
      <formula>$B43=""</formula>
    </cfRule>
  </conditionalFormatting>
  <conditionalFormatting sqref="B63:E63">
    <cfRule type="expression" dxfId="3583" priority="243">
      <formula>AND($B63&lt;&gt;"",#REF!="")</formula>
    </cfRule>
    <cfRule type="expression" dxfId="3582" priority="244">
      <formula>$B63=""</formula>
    </cfRule>
  </conditionalFormatting>
  <conditionalFormatting sqref="B61:E61">
    <cfRule type="expression" dxfId="3581" priority="245">
      <formula>AND($B61&lt;&gt;"",$B64="")</formula>
    </cfRule>
    <cfRule type="expression" dxfId="3580" priority="246">
      <formula>$B61=""</formula>
    </cfRule>
  </conditionalFormatting>
  <conditionalFormatting sqref="B57:E60">
    <cfRule type="expression" dxfId="3579" priority="247">
      <formula>AND($B57&lt;&gt;"",#REF!="")</formula>
    </cfRule>
    <cfRule type="expression" dxfId="3578" priority="248">
      <formula>$B57=""</formula>
    </cfRule>
  </conditionalFormatting>
  <conditionalFormatting sqref="B55:E55">
    <cfRule type="expression" dxfId="3577" priority="249">
      <formula>AND($B55&lt;&gt;"",$B64="")</formula>
    </cfRule>
    <cfRule type="expression" dxfId="3576" priority="250">
      <formula>$B55=""</formula>
    </cfRule>
  </conditionalFormatting>
  <conditionalFormatting sqref="B51:E54">
    <cfRule type="expression" dxfId="3575" priority="251">
      <formula>AND($B51&lt;&gt;"",#REF!="")</formula>
    </cfRule>
    <cfRule type="expression" dxfId="3574" priority="252">
      <formula>$B51=""</formula>
    </cfRule>
  </conditionalFormatting>
  <conditionalFormatting sqref="B49:E49">
    <cfRule type="expression" dxfId="3573" priority="253">
      <formula>AND($B49&lt;&gt;"",$B64="")</formula>
    </cfRule>
    <cfRule type="expression" dxfId="3572" priority="254">
      <formula>$B49=""</formula>
    </cfRule>
  </conditionalFormatting>
  <conditionalFormatting sqref="B45:E63">
    <cfRule type="expression" dxfId="3571" priority="255">
      <formula>AND($B45&lt;&gt;"",#REF!="")</formula>
    </cfRule>
    <cfRule type="expression" dxfId="3570" priority="256">
      <formula>$B45=""</formula>
    </cfRule>
  </conditionalFormatting>
  <conditionalFormatting sqref="R70 F66:Q71">
    <cfRule type="expression" dxfId="3569" priority="257">
      <formula>$F$65="SAMA DENGAN DATA"</formula>
    </cfRule>
  </conditionalFormatting>
  <conditionalFormatting sqref="F66:Q71">
    <cfRule type="expression" dxfId="3568" priority="258">
      <formula>$F$65="kkm tunggal"</formula>
    </cfRule>
  </conditionalFormatting>
  <conditionalFormatting sqref="AW70:BG70 AL66:AV71">
    <cfRule type="expression" dxfId="3567" priority="259">
      <formula>$AL$65="SAMA DENGAN DATA"</formula>
    </cfRule>
  </conditionalFormatting>
  <conditionalFormatting sqref="AL66:AV71">
    <cfRule type="expression" dxfId="3566" priority="260">
      <formula>$AL$65="KKM TUNGGAL"</formula>
    </cfRule>
  </conditionalFormatting>
  <conditionalFormatting sqref="B61:E63">
    <cfRule type="expression" dxfId="3565" priority="2718">
      <formula>AND($B61&lt;&gt;"",$B65="")</formula>
    </cfRule>
    <cfRule type="expression" dxfId="3564" priority="2719">
      <formula>$B61=""</formula>
    </cfRule>
  </conditionalFormatting>
  <conditionalFormatting sqref="B50:E60">
    <cfRule type="expression" dxfId="3563" priority="2720">
      <formula>AND($B50&lt;&gt;"",#REF!="")</formula>
    </cfRule>
    <cfRule type="expression" dxfId="3562" priority="2721">
      <formula>$B50=""</formula>
    </cfRule>
  </conditionalFormatting>
  <conditionalFormatting sqref="U14:AB63 P14:S63 AV14:BE63 AE14:AK63 BH14:BN63">
    <cfRule type="expression" dxfId="3561" priority="148">
      <formula>AND($B14&lt;&gt;"",$B15="")</formula>
    </cfRule>
    <cfRule type="expression" dxfId="3560" priority="149">
      <formula>$B14=""</formula>
    </cfRule>
  </conditionalFormatting>
  <conditionalFormatting sqref="T14:T63">
    <cfRule type="expression" dxfId="3559" priority="146">
      <formula>AND($B14&lt;&gt;"",$B15="")</formula>
    </cfRule>
    <cfRule type="expression" dxfId="3558" priority="147">
      <formula>$B14=""</formula>
    </cfRule>
  </conditionalFormatting>
  <conditionalFormatting sqref="AV14">
    <cfRule type="expression" dxfId="3557" priority="144">
      <formula>AND($B14&lt;&gt;"",$B15="")</formula>
    </cfRule>
    <cfRule type="expression" dxfId="3556" priority="145">
      <formula>$B14=""</formula>
    </cfRule>
  </conditionalFormatting>
  <conditionalFormatting sqref="P56:S56 U56:AB56 BH56:BN56 AE56:AK56 AV56:BE56">
    <cfRule type="expression" dxfId="3555" priority="150">
      <formula>AND($B56&lt;&gt;"",$B63="")</formula>
    </cfRule>
    <cfRule type="expression" dxfId="3554" priority="151">
      <formula>$B56=""</formula>
    </cfRule>
  </conditionalFormatting>
  <conditionalFormatting sqref="P50:S50 U50:AB50 BH50:BN50 AE50:AK50 AV50:BE50">
    <cfRule type="expression" dxfId="3553" priority="152">
      <formula>AND($B50&lt;&gt;"",$B63="")</formula>
    </cfRule>
    <cfRule type="expression" dxfId="3552" priority="153">
      <formula>$B50=""</formula>
    </cfRule>
  </conditionalFormatting>
  <conditionalFormatting sqref="P43:S44 U43:AB44 BH43:BN44 AE43:AK44 AV43:BE44">
    <cfRule type="expression" dxfId="3551" priority="154">
      <formula>AND($B43&lt;&gt;"",$B62="")</formula>
    </cfRule>
    <cfRule type="expression" dxfId="3550" priority="155">
      <formula>$B43=""</formula>
    </cfRule>
  </conditionalFormatting>
  <conditionalFormatting sqref="P63:S63 U63:AB63 BH63:BN63 AE63:AK63 AV63:BE63">
    <cfRule type="expression" dxfId="3549" priority="156">
      <formula>AND($B63&lt;&gt;"",#REF!="")</formula>
    </cfRule>
    <cfRule type="expression" dxfId="3548" priority="157">
      <formula>$B63=""</formula>
    </cfRule>
  </conditionalFormatting>
  <conditionalFormatting sqref="P61:S61 U61:AB61 BH61:BN61 AE61:AK61 AV61:BE61">
    <cfRule type="expression" dxfId="3547" priority="158">
      <formula>AND($B61&lt;&gt;"",$B64="")</formula>
    </cfRule>
    <cfRule type="expression" dxfId="3546" priority="159">
      <formula>$B61=""</formula>
    </cfRule>
  </conditionalFormatting>
  <conditionalFormatting sqref="P57:S60 U57:AB60 BH57:BN60 AE57:AK60 AV57:BE60">
    <cfRule type="expression" dxfId="3545" priority="160">
      <formula>AND($B57&lt;&gt;"",#REF!="")</formula>
    </cfRule>
    <cfRule type="expression" dxfId="3544" priority="161">
      <formula>$B57=""</formula>
    </cfRule>
  </conditionalFormatting>
  <conditionalFormatting sqref="P55:S55 U55:AB55 BH55:BN55 AE55:AK55 AV55:BE55">
    <cfRule type="expression" dxfId="3543" priority="162">
      <formula>AND($B55&lt;&gt;"",$B64="")</formula>
    </cfRule>
    <cfRule type="expression" dxfId="3542" priority="163">
      <formula>$B55=""</formula>
    </cfRule>
  </conditionalFormatting>
  <conditionalFormatting sqref="P51:S54 U51:AB54 BH51:BN54 AE51:AK54 AV51:BE54">
    <cfRule type="expression" dxfId="3541" priority="164">
      <formula>AND($B51&lt;&gt;"",#REF!="")</formula>
    </cfRule>
    <cfRule type="expression" dxfId="3540" priority="165">
      <formula>$B51=""</formula>
    </cfRule>
  </conditionalFormatting>
  <conditionalFormatting sqref="F49:S49 U49:BN49">
    <cfRule type="expression" dxfId="3539" priority="166">
      <formula>AND($B49&lt;&gt;"",$B64="")</formula>
    </cfRule>
    <cfRule type="expression" dxfId="3538" priority="167">
      <formula>$B49=""</formula>
    </cfRule>
  </conditionalFormatting>
  <conditionalFormatting sqref="P45:S63 U45:AB63 BH45:BN63 AE45:AK63 AV45:BE63">
    <cfRule type="expression" dxfId="3537" priority="168">
      <formula>AND($B45&lt;&gt;"",#REF!="")</formula>
    </cfRule>
    <cfRule type="expression" dxfId="3536" priority="169">
      <formula>$B45=""</formula>
    </cfRule>
  </conditionalFormatting>
  <conditionalFormatting sqref="T16:T63">
    <cfRule type="expression" dxfId="3535" priority="142">
      <formula>AND($B16&lt;&gt;"",$B17="")</formula>
    </cfRule>
    <cfRule type="expression" dxfId="3534" priority="143">
      <formula>$B16=""</formula>
    </cfRule>
  </conditionalFormatting>
  <conditionalFormatting sqref="U13:AB13 AX12:BG12">
    <cfRule type="expression" dxfId="3533" priority="141">
      <formula>COUNTA(U$14:U$63)&gt;0</formula>
    </cfRule>
  </conditionalFormatting>
  <conditionalFormatting sqref="F14:M63">
    <cfRule type="expression" dxfId="3532" priority="120">
      <formula>AND($B14&lt;&gt;"",$B15="")</formula>
    </cfRule>
    <cfRule type="expression" dxfId="3531" priority="121">
      <formula>$B14=""</formula>
    </cfRule>
  </conditionalFormatting>
  <conditionalFormatting sqref="F56:M56">
    <cfRule type="expression" dxfId="3530" priority="122">
      <formula>AND($B56&lt;&gt;"",$B63="")</formula>
    </cfRule>
    <cfRule type="expression" dxfId="3529" priority="123">
      <formula>$B56=""</formula>
    </cfRule>
  </conditionalFormatting>
  <conditionalFormatting sqref="F50:M50">
    <cfRule type="expression" dxfId="3528" priority="124">
      <formula>AND($B50&lt;&gt;"",$B63="")</formula>
    </cfRule>
    <cfRule type="expression" dxfId="3527" priority="125">
      <formula>$B50=""</formula>
    </cfRule>
  </conditionalFormatting>
  <conditionalFormatting sqref="F43:M44">
    <cfRule type="expression" dxfId="3526" priority="126">
      <formula>AND($B43&lt;&gt;"",$B62="")</formula>
    </cfRule>
    <cfRule type="expression" dxfId="3525" priority="127">
      <formula>$B43=""</formula>
    </cfRule>
  </conditionalFormatting>
  <conditionalFormatting sqref="F63:M63">
    <cfRule type="expression" dxfId="3524" priority="128">
      <formula>AND($B63&lt;&gt;"",#REF!="")</formula>
    </cfRule>
    <cfRule type="expression" dxfId="3523" priority="129">
      <formula>$B63=""</formula>
    </cfRule>
  </conditionalFormatting>
  <conditionalFormatting sqref="F61:M61">
    <cfRule type="expression" dxfId="3522" priority="130">
      <formula>AND($B61&lt;&gt;"",$B64="")</formula>
    </cfRule>
    <cfRule type="expression" dxfId="3521" priority="131">
      <formula>$B61=""</formula>
    </cfRule>
  </conditionalFormatting>
  <conditionalFormatting sqref="F57:M60">
    <cfRule type="expression" dxfId="3520" priority="132">
      <formula>AND($B57&lt;&gt;"",#REF!="")</formula>
    </cfRule>
    <cfRule type="expression" dxfId="3519" priority="133">
      <formula>$B57=""</formula>
    </cfRule>
  </conditionalFormatting>
  <conditionalFormatting sqref="F55:M55">
    <cfRule type="expression" dxfId="3518" priority="134">
      <formula>AND($B55&lt;&gt;"",$B64="")</formula>
    </cfRule>
    <cfRule type="expression" dxfId="3517" priority="135">
      <formula>$B55=""</formula>
    </cfRule>
  </conditionalFormatting>
  <conditionalFormatting sqref="F51:M54">
    <cfRule type="expression" dxfId="3516" priority="136">
      <formula>AND($B51&lt;&gt;"",#REF!="")</formula>
    </cfRule>
    <cfRule type="expression" dxfId="3515" priority="137">
      <formula>$B51=""</formula>
    </cfRule>
  </conditionalFormatting>
  <conditionalFormatting sqref="F45:M63">
    <cfRule type="expression" dxfId="3514" priority="138">
      <formula>AND($B45&lt;&gt;"",#REF!="")</formula>
    </cfRule>
    <cfRule type="expression" dxfId="3513" priority="139">
      <formula>$B45=""</formula>
    </cfRule>
  </conditionalFormatting>
  <conditionalFormatting sqref="F13:M13">
    <cfRule type="expression" dxfId="3512" priority="119">
      <formula>COUNTA(F$14:F$63)&gt;0</formula>
    </cfRule>
  </conditionalFormatting>
  <conditionalFormatting sqref="F14:M63">
    <cfRule type="expression" dxfId="3511" priority="140">
      <formula>COUNTIF($U14:$AB14,F14)&gt;1</formula>
    </cfRule>
  </conditionalFormatting>
  <conditionalFormatting sqref="AC14:AD63">
    <cfRule type="expression" dxfId="3510" priority="99">
      <formula>AND($B14&lt;&gt;"",$B15="")</formula>
    </cfRule>
    <cfRule type="expression" dxfId="3509" priority="100">
      <formula>$B14=""</formula>
    </cfRule>
  </conditionalFormatting>
  <conditionalFormatting sqref="AC56:AD56">
    <cfRule type="expression" dxfId="3508" priority="101">
      <formula>AND($B56&lt;&gt;"",$B63="")</formula>
    </cfRule>
    <cfRule type="expression" dxfId="3507" priority="102">
      <formula>$B56=""</formula>
    </cfRule>
  </conditionalFormatting>
  <conditionalFormatting sqref="AC50:AD50">
    <cfRule type="expression" dxfId="3506" priority="103">
      <formula>AND($B50&lt;&gt;"",$B63="")</formula>
    </cfRule>
    <cfRule type="expression" dxfId="3505" priority="104">
      <formula>$B50=""</formula>
    </cfRule>
  </conditionalFormatting>
  <conditionalFormatting sqref="AC43:AD44">
    <cfRule type="expression" dxfId="3504" priority="105">
      <formula>AND($B43&lt;&gt;"",$B62="")</formula>
    </cfRule>
    <cfRule type="expression" dxfId="3503" priority="106">
      <formula>$B43=""</formula>
    </cfRule>
  </conditionalFormatting>
  <conditionalFormatting sqref="AC63:AD63">
    <cfRule type="expression" dxfId="3502" priority="107">
      <formula>AND($B63&lt;&gt;"",#REF!="")</formula>
    </cfRule>
    <cfRule type="expression" dxfId="3501" priority="108">
      <formula>$B63=""</formula>
    </cfRule>
  </conditionalFormatting>
  <conditionalFormatting sqref="AC61:AD61">
    <cfRule type="expression" dxfId="3500" priority="109">
      <formula>AND($B61&lt;&gt;"",$B64="")</formula>
    </cfRule>
    <cfRule type="expression" dxfId="3499" priority="110">
      <formula>$B61=""</formula>
    </cfRule>
  </conditionalFormatting>
  <conditionalFormatting sqref="AC57:AD60">
    <cfRule type="expression" dxfId="3498" priority="111">
      <formula>AND($B57&lt;&gt;"",#REF!="")</formula>
    </cfRule>
    <cfRule type="expression" dxfId="3497" priority="112">
      <formula>$B57=""</formula>
    </cfRule>
  </conditionalFormatting>
  <conditionalFormatting sqref="AC55:AD55">
    <cfRule type="expression" dxfId="3496" priority="113">
      <formula>AND($B55&lt;&gt;"",$B64="")</formula>
    </cfRule>
    <cfRule type="expression" dxfId="3495" priority="114">
      <formula>$B55=""</formula>
    </cfRule>
  </conditionalFormatting>
  <conditionalFormatting sqref="AC51:AD54">
    <cfRule type="expression" dxfId="3494" priority="115">
      <formula>AND($B51&lt;&gt;"",#REF!="")</formula>
    </cfRule>
    <cfRule type="expression" dxfId="3493" priority="116">
      <formula>$B51=""</formula>
    </cfRule>
  </conditionalFormatting>
  <conditionalFormatting sqref="AC45:AD63">
    <cfRule type="expression" dxfId="3492" priority="117">
      <formula>AND($B45&lt;&gt;"",#REF!="")</formula>
    </cfRule>
    <cfRule type="expression" dxfId="3491" priority="118">
      <formula>$B45=""</formula>
    </cfRule>
  </conditionalFormatting>
  <conditionalFormatting sqref="AC13:AD13">
    <cfRule type="expression" dxfId="3490" priority="98">
      <formula>COUNTA(AC$14:AC$63)&gt;0</formula>
    </cfRule>
  </conditionalFormatting>
  <conditionalFormatting sqref="N14:O63">
    <cfRule type="expression" dxfId="3489" priority="77">
      <formula>AND($B14&lt;&gt;"",$B15="")</formula>
    </cfRule>
    <cfRule type="expression" dxfId="3488" priority="78">
      <formula>$B14=""</formula>
    </cfRule>
  </conditionalFormatting>
  <conditionalFormatting sqref="N56:O56">
    <cfRule type="expression" dxfId="3487" priority="79">
      <formula>AND($B56&lt;&gt;"",$B63="")</formula>
    </cfRule>
    <cfRule type="expression" dxfId="3486" priority="80">
      <formula>$B56=""</formula>
    </cfRule>
  </conditionalFormatting>
  <conditionalFormatting sqref="N50:O50">
    <cfRule type="expression" dxfId="3485" priority="81">
      <formula>AND($B50&lt;&gt;"",$B63="")</formula>
    </cfRule>
    <cfRule type="expression" dxfId="3484" priority="82">
      <formula>$B50=""</formula>
    </cfRule>
  </conditionalFormatting>
  <conditionalFormatting sqref="N43:O44">
    <cfRule type="expression" dxfId="3483" priority="83">
      <formula>AND($B43&lt;&gt;"",$B62="")</formula>
    </cfRule>
    <cfRule type="expression" dxfId="3482" priority="84">
      <formula>$B43=""</formula>
    </cfRule>
  </conditionalFormatting>
  <conditionalFormatting sqref="N63:O63">
    <cfRule type="expression" dxfId="3481" priority="85">
      <formula>AND($B63&lt;&gt;"",#REF!="")</formula>
    </cfRule>
    <cfRule type="expression" dxfId="3480" priority="86">
      <formula>$B63=""</formula>
    </cfRule>
  </conditionalFormatting>
  <conditionalFormatting sqref="N61:O61">
    <cfRule type="expression" dxfId="3479" priority="87">
      <formula>AND($B61&lt;&gt;"",$B64="")</formula>
    </cfRule>
    <cfRule type="expression" dxfId="3478" priority="88">
      <formula>$B61=""</formula>
    </cfRule>
  </conditionalFormatting>
  <conditionalFormatting sqref="N57:O60">
    <cfRule type="expression" dxfId="3477" priority="89">
      <formula>AND($B57&lt;&gt;"",#REF!="")</formula>
    </cfRule>
    <cfRule type="expression" dxfId="3476" priority="90">
      <formula>$B57=""</formula>
    </cfRule>
  </conditionalFormatting>
  <conditionalFormatting sqref="N55:O55">
    <cfRule type="expression" dxfId="3475" priority="91">
      <formula>AND($B55&lt;&gt;"",$B64="")</formula>
    </cfRule>
    <cfRule type="expression" dxfId="3474" priority="92">
      <formula>$B55=""</formula>
    </cfRule>
  </conditionalFormatting>
  <conditionalFormatting sqref="N51:O54">
    <cfRule type="expression" dxfId="3473" priority="93">
      <formula>AND($B51&lt;&gt;"",#REF!="")</formula>
    </cfRule>
    <cfRule type="expression" dxfId="3472" priority="94">
      <formula>$B51=""</formula>
    </cfRule>
  </conditionalFormatting>
  <conditionalFormatting sqref="N45:O63">
    <cfRule type="expression" dxfId="3471" priority="95">
      <formula>AND($B45&lt;&gt;"",#REF!="")</formula>
    </cfRule>
    <cfRule type="expression" dxfId="3470" priority="96">
      <formula>$B45=""</formula>
    </cfRule>
  </conditionalFormatting>
  <conditionalFormatting sqref="N13:O13">
    <cfRule type="expression" dxfId="3469" priority="76">
      <formula>COUNTA(N$14:N$63)&gt;0</formula>
    </cfRule>
  </conditionalFormatting>
  <conditionalFormatting sqref="N14:O63">
    <cfRule type="expression" dxfId="3468" priority="97">
      <formula>COUNTIF($U14:$AB14,N14)&gt;1</formula>
    </cfRule>
  </conditionalFormatting>
  <conditionalFormatting sqref="BF14:BG63">
    <cfRule type="expression" dxfId="3467" priority="56">
      <formula>AND($B14&lt;&gt;"",$B15="")</formula>
    </cfRule>
    <cfRule type="expression" dxfId="3466" priority="57">
      <formula>$B14=""</formula>
    </cfRule>
  </conditionalFormatting>
  <conditionalFormatting sqref="BF56:BG56">
    <cfRule type="expression" dxfId="3465" priority="58">
      <formula>AND($B56&lt;&gt;"",$B63="")</formula>
    </cfRule>
    <cfRule type="expression" dxfId="3464" priority="59">
      <formula>$B56=""</formula>
    </cfRule>
  </conditionalFormatting>
  <conditionalFormatting sqref="BF50:BG50">
    <cfRule type="expression" dxfId="3463" priority="60">
      <formula>AND($B50&lt;&gt;"",$B63="")</formula>
    </cfRule>
    <cfRule type="expression" dxfId="3462" priority="61">
      <formula>$B50=""</formula>
    </cfRule>
  </conditionalFormatting>
  <conditionalFormatting sqref="BF43:BG44">
    <cfRule type="expression" dxfId="3461" priority="62">
      <formula>AND($B43&lt;&gt;"",$B62="")</formula>
    </cfRule>
    <cfRule type="expression" dxfId="3460" priority="63">
      <formula>$B43=""</formula>
    </cfRule>
  </conditionalFormatting>
  <conditionalFormatting sqref="BF63:BG63">
    <cfRule type="expression" dxfId="3459" priority="64">
      <formula>AND($B63&lt;&gt;"",#REF!="")</formula>
    </cfRule>
    <cfRule type="expression" dxfId="3458" priority="65">
      <formula>$B63=""</formula>
    </cfRule>
  </conditionalFormatting>
  <conditionalFormatting sqref="BF61:BG61">
    <cfRule type="expression" dxfId="3457" priority="66">
      <formula>AND($B61&lt;&gt;"",$B64="")</formula>
    </cfRule>
    <cfRule type="expression" dxfId="3456" priority="67">
      <formula>$B61=""</formula>
    </cfRule>
  </conditionalFormatting>
  <conditionalFormatting sqref="BF57:BG60">
    <cfRule type="expression" dxfId="3455" priority="68">
      <formula>AND($B57&lt;&gt;"",#REF!="")</formula>
    </cfRule>
    <cfRule type="expression" dxfId="3454" priority="69">
      <formula>$B57=""</formula>
    </cfRule>
  </conditionalFormatting>
  <conditionalFormatting sqref="BF55:BG55">
    <cfRule type="expression" dxfId="3453" priority="70">
      <formula>AND($B55&lt;&gt;"",$B64="")</formula>
    </cfRule>
    <cfRule type="expression" dxfId="3452" priority="71">
      <formula>$B55=""</formula>
    </cfRule>
  </conditionalFormatting>
  <conditionalFormatting sqref="BF51:BG54">
    <cfRule type="expression" dxfId="3451" priority="72">
      <formula>AND($B51&lt;&gt;"",#REF!="")</formula>
    </cfRule>
    <cfRule type="expression" dxfId="3450" priority="73">
      <formula>$B51=""</formula>
    </cfRule>
  </conditionalFormatting>
  <conditionalFormatting sqref="BF45:BG63">
    <cfRule type="expression" dxfId="3449" priority="74">
      <formula>AND($B45&lt;&gt;"",#REF!="")</formula>
    </cfRule>
    <cfRule type="expression" dxfId="3448" priority="75">
      <formula>$B45=""</formula>
    </cfRule>
  </conditionalFormatting>
  <conditionalFormatting sqref="AL14:AS63">
    <cfRule type="expression" dxfId="3447" priority="35">
      <formula>AND($B14&lt;&gt;"",$B15="")</formula>
    </cfRule>
    <cfRule type="expression" dxfId="3446" priority="36">
      <formula>$B14=""</formula>
    </cfRule>
  </conditionalFormatting>
  <conditionalFormatting sqref="AL56:AS56">
    <cfRule type="expression" dxfId="3445" priority="37">
      <formula>AND($B56&lt;&gt;"",$B63="")</formula>
    </cfRule>
    <cfRule type="expression" dxfId="3444" priority="38">
      <formula>$B56=""</formula>
    </cfRule>
  </conditionalFormatting>
  <conditionalFormatting sqref="AL50:AS50">
    <cfRule type="expression" dxfId="3443" priority="39">
      <formula>AND($B50&lt;&gt;"",$B63="")</formula>
    </cfRule>
    <cfRule type="expression" dxfId="3442" priority="40">
      <formula>$B50=""</formula>
    </cfRule>
  </conditionalFormatting>
  <conditionalFormatting sqref="AL43:AS44">
    <cfRule type="expression" dxfId="3441" priority="41">
      <formula>AND($B43&lt;&gt;"",$B62="")</formula>
    </cfRule>
    <cfRule type="expression" dxfId="3440" priority="42">
      <formula>$B43=""</formula>
    </cfRule>
  </conditionalFormatting>
  <conditionalFormatting sqref="AL63:AS63">
    <cfRule type="expression" dxfId="3439" priority="43">
      <formula>AND($B63&lt;&gt;"",#REF!="")</formula>
    </cfRule>
    <cfRule type="expression" dxfId="3438" priority="44">
      <formula>$B63=""</formula>
    </cfRule>
  </conditionalFormatting>
  <conditionalFormatting sqref="AL61:AS61">
    <cfRule type="expression" dxfId="3437" priority="45">
      <formula>AND($B61&lt;&gt;"",$B64="")</formula>
    </cfRule>
    <cfRule type="expression" dxfId="3436" priority="46">
      <formula>$B61=""</formula>
    </cfRule>
  </conditionalFormatting>
  <conditionalFormatting sqref="AL57:AS60">
    <cfRule type="expression" dxfId="3435" priority="47">
      <formula>AND($B57&lt;&gt;"",#REF!="")</formula>
    </cfRule>
    <cfRule type="expression" dxfId="3434" priority="48">
      <formula>$B57=""</formula>
    </cfRule>
  </conditionalFormatting>
  <conditionalFormatting sqref="AL55:AS55">
    <cfRule type="expression" dxfId="3433" priority="49">
      <formula>AND($B55&lt;&gt;"",$B64="")</formula>
    </cfRule>
    <cfRule type="expression" dxfId="3432" priority="50">
      <formula>$B55=""</formula>
    </cfRule>
  </conditionalFormatting>
  <conditionalFormatting sqref="AL51:AS54">
    <cfRule type="expression" dxfId="3431" priority="51">
      <formula>AND($B51&lt;&gt;"",#REF!="")</formula>
    </cfRule>
    <cfRule type="expression" dxfId="3430" priority="52">
      <formula>$B51=""</formula>
    </cfRule>
  </conditionalFormatting>
  <conditionalFormatting sqref="AL45:AS63">
    <cfRule type="expression" dxfId="3429" priority="53">
      <formula>AND($B45&lt;&gt;"",#REF!="")</formula>
    </cfRule>
    <cfRule type="expression" dxfId="3428" priority="54">
      <formula>$B45=""</formula>
    </cfRule>
  </conditionalFormatting>
  <conditionalFormatting sqref="AL12:AU12">
    <cfRule type="expression" dxfId="3427" priority="34">
      <formula>COUNTA(AL$14:AL$63)&gt;0</formula>
    </cfRule>
  </conditionalFormatting>
  <conditionalFormatting sqref="AT14:AU63">
    <cfRule type="expression" dxfId="3426" priority="14">
      <formula>AND($B14&lt;&gt;"",$B15="")</formula>
    </cfRule>
    <cfRule type="expression" dxfId="3425" priority="15">
      <formula>$B14=""</formula>
    </cfRule>
  </conditionalFormatting>
  <conditionalFormatting sqref="AT56:AU56">
    <cfRule type="expression" dxfId="3424" priority="16">
      <formula>AND($B56&lt;&gt;"",$B63="")</formula>
    </cfRule>
    <cfRule type="expression" dxfId="3423" priority="17">
      <formula>$B56=""</formula>
    </cfRule>
  </conditionalFormatting>
  <conditionalFormatting sqref="AT50:AU50">
    <cfRule type="expression" dxfId="3422" priority="18">
      <formula>AND($B50&lt;&gt;"",$B63="")</formula>
    </cfRule>
    <cfRule type="expression" dxfId="3421" priority="19">
      <formula>$B50=""</formula>
    </cfRule>
  </conditionalFormatting>
  <conditionalFormatting sqref="AT43:AU44">
    <cfRule type="expression" dxfId="3420" priority="20">
      <formula>AND($B43&lt;&gt;"",$B62="")</formula>
    </cfRule>
    <cfRule type="expression" dxfId="3419" priority="21">
      <formula>$B43=""</formula>
    </cfRule>
  </conditionalFormatting>
  <conditionalFormatting sqref="AT63:AU63">
    <cfRule type="expression" dxfId="3418" priority="22">
      <formula>AND($B63&lt;&gt;"",#REF!="")</formula>
    </cfRule>
    <cfRule type="expression" dxfId="3417" priority="23">
      <formula>$B63=""</formula>
    </cfRule>
  </conditionalFormatting>
  <conditionalFormatting sqref="AT61:AU61">
    <cfRule type="expression" dxfId="3416" priority="24">
      <formula>AND($B61&lt;&gt;"",$B64="")</formula>
    </cfRule>
    <cfRule type="expression" dxfId="3415" priority="25">
      <formula>$B61=""</formula>
    </cfRule>
  </conditionalFormatting>
  <conditionalFormatting sqref="AT57:AU60">
    <cfRule type="expression" dxfId="3414" priority="26">
      <formula>AND($B57&lt;&gt;"",#REF!="")</formula>
    </cfRule>
    <cfRule type="expression" dxfId="3413" priority="27">
      <formula>$B57=""</formula>
    </cfRule>
  </conditionalFormatting>
  <conditionalFormatting sqref="AT55:AU55">
    <cfRule type="expression" dxfId="3412" priority="28">
      <formula>AND($B55&lt;&gt;"",$B64="")</formula>
    </cfRule>
    <cfRule type="expression" dxfId="3411" priority="29">
      <formula>$B55=""</formula>
    </cfRule>
  </conditionalFormatting>
  <conditionalFormatting sqref="AT51:AU54">
    <cfRule type="expression" dxfId="3410" priority="30">
      <formula>AND($B51&lt;&gt;"",#REF!="")</formula>
    </cfRule>
    <cfRule type="expression" dxfId="3409" priority="31">
      <formula>$B51=""</formula>
    </cfRule>
  </conditionalFormatting>
  <conditionalFormatting sqref="AT45:AU63">
    <cfRule type="expression" dxfId="3408" priority="32">
      <formula>AND($B45&lt;&gt;"",#REF!="")</formula>
    </cfRule>
    <cfRule type="expression" dxfId="3407" priority="33">
      <formula>$B45=""</formula>
    </cfRule>
  </conditionalFormatting>
  <conditionalFormatting sqref="AL14:AU63">
    <cfRule type="expression" dxfId="3406" priority="55">
      <formula>COUNTIF($AX14:$BE14,AL14)&gt;1</formula>
    </cfRule>
  </conditionalFormatting>
  <conditionalFormatting sqref="F61:S63 U61:BN63">
    <cfRule type="expression" dxfId="3405" priority="170">
      <formula>AND($B61&lt;&gt;"",$B65="")</formula>
    </cfRule>
    <cfRule type="expression" dxfId="3404" priority="171">
      <formula>$B61=""</formula>
    </cfRule>
  </conditionalFormatting>
  <conditionalFormatting sqref="F50:S60 U50:BN60">
    <cfRule type="expression" dxfId="3403" priority="172">
      <formula>AND($B50&lt;&gt;"",#REF!="")</formula>
    </cfRule>
    <cfRule type="expression" dxfId="3402" priority="173">
      <formula>$B50=""</formula>
    </cfRule>
  </conditionalFormatting>
  <conditionalFormatting sqref="T2">
    <cfRule type="expression" dxfId="3401" priority="13">
      <formula>COUNTA(F$14:F$63)&gt;0</formula>
    </cfRule>
  </conditionalFormatting>
  <conditionalFormatting sqref="T3">
    <cfRule type="expression" dxfId="3400" priority="174">
      <formula>COUNTA(G$14:G$63)&gt;0</formula>
    </cfRule>
  </conditionalFormatting>
  <conditionalFormatting sqref="T4">
    <cfRule type="expression" dxfId="3399" priority="175">
      <formula>COUNTA(H$14:H$63)&gt;0</formula>
    </cfRule>
  </conditionalFormatting>
  <conditionalFormatting sqref="T5">
    <cfRule type="expression" dxfId="3398" priority="176">
      <formula>COUNTA(I$14:I$63)&gt;0</formula>
    </cfRule>
  </conditionalFormatting>
  <conditionalFormatting sqref="T7">
    <cfRule type="expression" dxfId="3397" priority="12">
      <formula>COUNTA(K$14:K$63)&gt;0</formula>
    </cfRule>
  </conditionalFormatting>
  <conditionalFormatting sqref="T11">
    <cfRule type="expression" dxfId="3396" priority="177">
      <formula>COUNTA(O$14:O$63)&gt;0</formula>
    </cfRule>
  </conditionalFormatting>
  <conditionalFormatting sqref="T10">
    <cfRule type="expression" dxfId="3395" priority="178">
      <formula>COUNTA(N$14:N$63)&gt;0</formula>
    </cfRule>
  </conditionalFormatting>
  <conditionalFormatting sqref="T9">
    <cfRule type="expression" dxfId="3394" priority="179">
      <formula>COUNTA(M$14:M$63)&gt;0</formula>
    </cfRule>
  </conditionalFormatting>
  <conditionalFormatting sqref="T8">
    <cfRule type="expression" dxfId="3393" priority="180">
      <formula>COUNTA(L$14:L$63)&gt;0</formula>
    </cfRule>
  </conditionalFormatting>
  <conditionalFormatting sqref="T6">
    <cfRule type="expression" dxfId="3392" priority="11">
      <formula>COUNTA(J$14:J$63)&gt;0</formula>
    </cfRule>
  </conditionalFormatting>
  <conditionalFormatting sqref="AW2">
    <cfRule type="expression" dxfId="3391" priority="10">
      <formula>COUNTA(AL$14:AL$63)&gt;0</formula>
    </cfRule>
  </conditionalFormatting>
  <conditionalFormatting sqref="AW3">
    <cfRule type="expression" dxfId="3390" priority="9">
      <formula>COUNTA(AM$14:AM$63)&gt;0</formula>
    </cfRule>
  </conditionalFormatting>
  <conditionalFormatting sqref="AW4">
    <cfRule type="expression" dxfId="3389" priority="8">
      <formula>COUNTA(AN$14:AN$63)&gt;0</formula>
    </cfRule>
  </conditionalFormatting>
  <conditionalFormatting sqref="AW5">
    <cfRule type="expression" dxfId="3388" priority="7">
      <formula>COUNTA(AO$14:AO$63)&gt;0</formula>
    </cfRule>
  </conditionalFormatting>
  <conditionalFormatting sqref="AW6">
    <cfRule type="expression" dxfId="3387" priority="6">
      <formula>COUNTA(AP$14:AP$63)&gt;0</formula>
    </cfRule>
  </conditionalFormatting>
  <conditionalFormatting sqref="AW7">
    <cfRule type="expression" dxfId="3386" priority="5">
      <formula>COUNTA(AQ$14:AQ$63)&gt;0</formula>
    </cfRule>
  </conditionalFormatting>
  <conditionalFormatting sqref="AW8">
    <cfRule type="expression" dxfId="3385" priority="4">
      <formula>COUNTA(AR$14:AR$63)&gt;0</formula>
    </cfRule>
  </conditionalFormatting>
  <conditionalFormatting sqref="AW9">
    <cfRule type="expression" dxfId="3384" priority="3">
      <formula>COUNTA(AS$14:AS$63)&gt;0</formula>
    </cfRule>
  </conditionalFormatting>
  <conditionalFormatting sqref="AW10">
    <cfRule type="expression" dxfId="3383" priority="2">
      <formula>COUNTA(AT$14:AT$63)&gt;0</formula>
    </cfRule>
  </conditionalFormatting>
  <conditionalFormatting sqref="AW11">
    <cfRule type="expression" dxfId="3382" priority="1">
      <formula>COUNTA(AU$14:AU$63)&gt;0</formula>
    </cfRule>
  </conditionalFormatting>
  <dataValidations count="6">
    <dataValidation allowBlank="1" showInputMessage="1" showErrorMessage="1" prompt="Bobot Nilai" sqref="P13:R13 BH11 AE12:AF12"/>
    <dataValidation allowBlank="1" showInputMessage="1" showErrorMessage="1" promptTitle="Tulis Bobot Nilai" prompt="Berupa Nilai Praktik, Portofolio atau Proyek._x000a_Bobot Praktik disarankan lebih tinggi" sqref="AL13:AU13 AX13:BG13"/>
    <dataValidation allowBlank="1" showInputMessage="1" showErrorMessage="1" prompt="Rata-rata Harian" sqref="P12 AV12"/>
    <dataValidation type="whole" allowBlank="1" showInputMessage="1" showErrorMessage="1" errorTitle="Petunjuk" error="Nilai 0-100" sqref="Q14:R63 F14:O63 AL14:AU63">
      <formula1>0</formula1>
      <formula2>100</formula2>
    </dataValidation>
    <dataValidation allowBlank="1" showInputMessage="1" showErrorMessage="1" prompt="KKM" sqref="H69:H70"/>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00FF"/>
  </sheetPr>
  <dimension ref="A1:DG103"/>
  <sheetViews>
    <sheetView showGridLines="0" showRowColHeaders="0" workbookViewId="0">
      <pane xSplit="5" ySplit="13" topLeftCell="F47" activePane="bottomRight" state="frozen"/>
      <selection activeCell="AW5" sqref="AW5:BN7"/>
      <selection pane="topRight" activeCell="AW5" sqref="AW5:BN7"/>
      <selection pane="bottomLeft" activeCell="AW5" sqref="AW5:BN7"/>
      <selection pane="bottomRight" activeCell="AL14" sqref="AL14:AM50"/>
    </sheetView>
  </sheetViews>
  <sheetFormatPr defaultColWidth="0" defaultRowHeight="12"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t="str">
        <f>Data2!C15</f>
        <v>Sosiologi</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74" t="s">
        <v>1656</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79" t="s">
        <v>1658</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1657</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1659</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1057</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1181</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t="s">
        <v>1058</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1182</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1059</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1183</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1060</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1184</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1061</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1185</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1062</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1186</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1063</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1187</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1064</v>
      </c>
      <c r="AL11" s="1800"/>
      <c r="AM11" s="1803"/>
      <c r="AN11" s="1803"/>
      <c r="AO11" s="1803"/>
      <c r="AP11" s="1803"/>
      <c r="AQ11" s="1803"/>
      <c r="AR11" s="1803"/>
      <c r="AS11" s="1803"/>
      <c r="AT11" s="1803"/>
      <c r="AU11" s="1804"/>
      <c r="AV11" s="1196">
        <v>10</v>
      </c>
      <c r="AW11" s="1197" t="s">
        <v>929</v>
      </c>
      <c r="AX11" s="1198">
        <f t="shared" ref="AX11:BG11" si="1">IF(COUNT(AX14:AX63)&gt;0,AX13,"")</f>
        <v>1</v>
      </c>
      <c r="AY11" s="1198">
        <f t="shared" si="1"/>
        <v>1</v>
      </c>
      <c r="AZ11" s="1198" t="str">
        <f t="shared" si="1"/>
        <v/>
      </c>
      <c r="BA11" s="1198" t="str">
        <f t="shared" si="1"/>
        <v/>
      </c>
      <c r="BB11" s="1198" t="str">
        <f t="shared" si="1"/>
        <v/>
      </c>
      <c r="BC11" s="1198" t="str">
        <f t="shared" si="1"/>
        <v/>
      </c>
      <c r="BD11" s="1198" t="str">
        <f t="shared" si="1"/>
        <v/>
      </c>
      <c r="BE11" s="1198" t="str">
        <f t="shared" si="1"/>
        <v/>
      </c>
      <c r="BF11" s="1198" t="str">
        <f t="shared" si="1"/>
        <v/>
      </c>
      <c r="BG11" s="1198" t="str">
        <f t="shared" si="1"/>
        <v/>
      </c>
      <c r="BH11" s="1198">
        <f>SUM(AX11:BG11)</f>
        <v>2</v>
      </c>
      <c r="BI11" s="1199"/>
      <c r="BJ11" s="1199"/>
      <c r="BK11" s="1199"/>
      <c r="BL11" s="1199"/>
      <c r="BM11" s="1199"/>
      <c r="BN11" s="1186" t="s">
        <v>1188</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f t="shared" ref="U12:AD12" si="2">IF(COUNT(U14:U63)&gt;0,1,"")</f>
        <v>1</v>
      </c>
      <c r="V12" s="1201">
        <f t="shared" si="2"/>
        <v>1</v>
      </c>
      <c r="W12" s="1201" t="str">
        <f t="shared" si="2"/>
        <v/>
      </c>
      <c r="X12" s="1201" t="str">
        <f t="shared" si="2"/>
        <v/>
      </c>
      <c r="Y12" s="1201" t="str">
        <f t="shared" si="2"/>
        <v/>
      </c>
      <c r="Z12" s="1201" t="str">
        <f t="shared" si="2"/>
        <v/>
      </c>
      <c r="AA12" s="1201" t="str">
        <f t="shared" si="2"/>
        <v/>
      </c>
      <c r="AB12" s="1201" t="str">
        <f t="shared" si="2"/>
        <v/>
      </c>
      <c r="AC12" s="1201" t="str">
        <f t="shared" si="2"/>
        <v/>
      </c>
      <c r="AD12" s="1201" t="str">
        <f t="shared" si="2"/>
        <v/>
      </c>
      <c r="AE12" s="1202">
        <f>SUM(U12:AD12)</f>
        <v>2</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v>90</v>
      </c>
      <c r="G14" s="277">
        <v>90</v>
      </c>
      <c r="H14" s="277"/>
      <c r="I14" s="277"/>
      <c r="J14" s="277"/>
      <c r="K14" s="277"/>
      <c r="L14" s="277"/>
      <c r="M14" s="280"/>
      <c r="N14" s="277"/>
      <c r="O14" s="278"/>
      <c r="P14" s="279">
        <f t="shared" ref="P14" si="4">IF(COUNT(U14:AD14)&lt;2,"",ROUND(SUM(U14:AD14)/$AE$12,0))</f>
        <v>90</v>
      </c>
      <c r="Q14" s="1480">
        <v>90</v>
      </c>
      <c r="R14" s="1481">
        <v>90</v>
      </c>
      <c r="S14" s="281">
        <f t="shared" ref="S14" si="5">IFERROR(ROUND(((P14*$P$13)+(Q14*$Q$13)+(R14*$R$13))/$AF$12,0),"")</f>
        <v>90</v>
      </c>
      <c r="T14" s="295" t="str">
        <f t="shared" ref="T14" si="6">IF(S14="","",IF(S14&gt;$H$76,$Q$75,IF(S14&gt;$H$77,$Q$76,IF(S14&gt;$H$78,$Q$77,$Q$78))))</f>
        <v>B</v>
      </c>
      <c r="U14" s="1215">
        <f t="shared" ref="U14:AD29" si="7">IF(F14="","",F14+U$13)</f>
        <v>90.01</v>
      </c>
      <c r="V14" s="1216">
        <f t="shared" si="7"/>
        <v>90.02</v>
      </c>
      <c r="W14" s="1216" t="str">
        <f t="shared" si="7"/>
        <v/>
      </c>
      <c r="X14" s="1216" t="str">
        <f t="shared" si="7"/>
        <v/>
      </c>
      <c r="Y14" s="1216" t="str">
        <f t="shared" si="7"/>
        <v/>
      </c>
      <c r="Z14" s="1216" t="str">
        <f t="shared" si="7"/>
        <v/>
      </c>
      <c r="AA14" s="1216" t="str">
        <f t="shared" si="7"/>
        <v/>
      </c>
      <c r="AB14" s="1217" t="str">
        <f t="shared" si="7"/>
        <v/>
      </c>
      <c r="AC14" s="1216" t="str">
        <f t="shared" si="7"/>
        <v/>
      </c>
      <c r="AD14" s="1218" t="str">
        <f t="shared" si="7"/>
        <v/>
      </c>
      <c r="AE14" s="1219">
        <f t="shared" ref="AE14" si="8">MAX(U14:AD14)</f>
        <v>90.02</v>
      </c>
      <c r="AF14" s="282">
        <f t="shared" ref="AF14" si="9">MIN(U14:AD14)</f>
        <v>90.01</v>
      </c>
      <c r="AG14" s="282" t="str">
        <f t="shared" ref="AG14:AH29" si="10">IF(AE14&gt;$H$76,$I$75,IF(AE14&gt;$H$77,$I$76,IF(AE14&gt;$H$78,$I$77,$I$78)))</f>
        <v>baik</v>
      </c>
      <c r="AH14" s="282" t="str">
        <f t="shared" si="10"/>
        <v>baik</v>
      </c>
      <c r="AI14" s="282">
        <f t="shared" ref="AI14" si="11">IFERROR(MATCH(AE14,U14:AD14,0),"")</f>
        <v>2</v>
      </c>
      <c r="AJ14" s="283">
        <f t="shared" ref="AJ14" si="12">IFERROR(MATCH(AF14,U14:AD14,0),"")</f>
        <v>1</v>
      </c>
      <c r="AK14" s="284" t="str">
        <f t="shared" ref="AK14" si="13">IF(S14="","",IFERROR("Memiliki kemampuan "&amp;IF(AG14=AH14,AG14&amp;" dalam "&amp;VLOOKUP(AI14,$S$2:$AK$11,19)&amp;" dan "&amp;VLOOKUP(AJ14,$S$2:$AK$11,19),AG14&amp;" dalam "&amp;VLOOKUP(AI14,$S$2:$AK$11,19)&amp;", "&amp;AH14&amp;" kemampuan dalam "&amp;VLOOKUP(AJ14,$S$2:$AK$11,19)),""))</f>
        <v xml:space="preserve">Memiliki kemampuan baik dalam memahami berbagai metode penelitian di masyarakat dan menganalisis permasalahan sosial di masyarakat </v>
      </c>
      <c r="AL14" s="276">
        <v>85</v>
      </c>
      <c r="AM14" s="277">
        <v>85</v>
      </c>
      <c r="AN14" s="277"/>
      <c r="AO14" s="277"/>
      <c r="AP14" s="277"/>
      <c r="AQ14" s="277"/>
      <c r="AR14" s="277"/>
      <c r="AS14" s="280"/>
      <c r="AT14" s="277"/>
      <c r="AU14" s="278"/>
      <c r="AV14" s="285">
        <f t="shared" ref="AV14" si="14">IF(COUNT(AL14:AU14)&lt;2,"",ROUND(((AL14*$AX$13)+(AM14*$AY$13)+(AN14*$AZ$13)+(AO14*$BA$13)+(AP14*$BB$13)+(AQ14*$BC$13)+(AR14*$BD$13)+(AS14*$BE$13)+(AT14*$BF$13)+(AU14*$BG$13))/$BH$11,0))</f>
        <v>85</v>
      </c>
      <c r="AW14" s="296" t="str">
        <f t="shared" ref="AW14" si="15">IF(AV14="","",IF(AV14&gt;$AN$76,$AV$75,IF(AV14&gt;$AN$77,$AV$76,IF(AV14&gt;$AN$78,$AV$77,$AV$78))))</f>
        <v>B</v>
      </c>
      <c r="AX14" s="1220">
        <f t="shared" ref="AX14:BG29" si="16">IF(AL14="","",AL14+AX$12)</f>
        <v>85.01</v>
      </c>
      <c r="AY14" s="1221">
        <f t="shared" si="16"/>
        <v>85.02</v>
      </c>
      <c r="AZ14" s="1221" t="str">
        <f t="shared" si="16"/>
        <v/>
      </c>
      <c r="BA14" s="1221" t="str">
        <f t="shared" si="16"/>
        <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85.02</v>
      </c>
      <c r="BI14" s="286">
        <f t="shared" ref="BI14" si="18">MIN(AX14:BG14)</f>
        <v>85.01</v>
      </c>
      <c r="BJ14" s="287" t="str">
        <f t="shared" ref="BJ14:BK14" si="19">IF(BH14&gt;$H$76,$AO$75,IF(BH14&gt;$H$77,$AO$76,IF(BH14&gt;$H$78,$AO$77,$AO$78)))</f>
        <v>baik</v>
      </c>
      <c r="BK14" s="287" t="str">
        <f t="shared" si="19"/>
        <v>baik</v>
      </c>
      <c r="BL14" s="286">
        <f t="shared" ref="BL14" si="20">MATCH(BH14,AX14:BG14,0)</f>
        <v>2</v>
      </c>
      <c r="BM14" s="288">
        <f t="shared" ref="BM14" si="21">MATCH(BI14,AX14:BG14,0)</f>
        <v>1</v>
      </c>
      <c r="BN14" s="289" t="str">
        <f t="shared" ref="BN14" si="22">IF(AV14="","",IFERROR("Memiliki keterampilan "&amp;IF(BJ14=BK14,BJ14&amp;" dalam "&amp;VLOOKUP(BL14,$AV$2:$BN$11,19)&amp;" dan "&amp;VLOOKUP(BM14,$AV$2:$BN$11,19),BJ14&amp;" dalam "&amp;VLOOKUP(BL14,$AV$2:$BN$11,19)&amp;", "&amp;BK14&amp;" keterampilan dalam "&amp;VLOOKUP(BM14,$AV$2:$BN$11,19)),""))</f>
        <v>Memiliki keterampilan baik dalam melakukan penelitian sederhana yang terjadi di masyarakat dan memberiakan respon dalam mengatasi permasalahan sosial</v>
      </c>
      <c r="BO14" s="67"/>
    </row>
    <row r="15" spans="1:67" ht="33" customHeight="1">
      <c r="A15" s="67"/>
      <c r="B15" s="272">
        <f>IF(D15="","",B14+1)</f>
        <v>2</v>
      </c>
      <c r="C15" s="273">
        <f>IF(Data!F6="","",Data!F6)</f>
        <v>0</v>
      </c>
      <c r="D15" s="274" t="str">
        <f>IF(Data!H6="","",Data!H6)</f>
        <v>Aprianus Bira</v>
      </c>
      <c r="E15" s="275" t="str">
        <f>IF(Data!I6="","",Data!I6)</f>
        <v>L</v>
      </c>
      <c r="F15" s="276">
        <v>90</v>
      </c>
      <c r="G15" s="277">
        <v>85</v>
      </c>
      <c r="H15" s="277"/>
      <c r="I15" s="277"/>
      <c r="J15" s="277"/>
      <c r="K15" s="277"/>
      <c r="L15" s="277"/>
      <c r="M15" s="280"/>
      <c r="N15" s="277"/>
      <c r="O15" s="278"/>
      <c r="P15" s="279">
        <f>IF(COUNT(U15:AD15)&lt;2,"",ROUND(SUM(U15:AD15)/$AE$12,0))</f>
        <v>88</v>
      </c>
      <c r="Q15" s="277">
        <v>90</v>
      </c>
      <c r="R15" s="280">
        <v>82</v>
      </c>
      <c r="S15" s="281">
        <f>IFERROR(ROUND(((P15*$P$13)+(Q15*$Q$13)+(R15*$R$13))/$AF$12,0),"")</f>
        <v>87</v>
      </c>
      <c r="T15" s="295" t="str">
        <f>IF(S15="","",IF(S15&gt;$H$76,$Q$75,IF(S15&gt;$H$77,$Q$76,IF(S15&gt;$H$78,$Q$77,$Q$78))))</f>
        <v>B</v>
      </c>
      <c r="U15" s="1215">
        <f t="shared" si="7"/>
        <v>90.01</v>
      </c>
      <c r="V15" s="1216">
        <f t="shared" si="7"/>
        <v>85.02</v>
      </c>
      <c r="W15" s="1216" t="str">
        <f t="shared" si="7"/>
        <v/>
      </c>
      <c r="X15" s="1216" t="str">
        <f t="shared" si="7"/>
        <v/>
      </c>
      <c r="Y15" s="1216" t="str">
        <f t="shared" si="7"/>
        <v/>
      </c>
      <c r="Z15" s="1216" t="str">
        <f t="shared" si="7"/>
        <v/>
      </c>
      <c r="AA15" s="1216" t="str">
        <f t="shared" si="7"/>
        <v/>
      </c>
      <c r="AB15" s="1217" t="str">
        <f t="shared" si="7"/>
        <v/>
      </c>
      <c r="AC15" s="1216" t="str">
        <f t="shared" si="7"/>
        <v/>
      </c>
      <c r="AD15" s="1218" t="str">
        <f t="shared" si="7"/>
        <v/>
      </c>
      <c r="AE15" s="1219">
        <f>MAX(U15:AD15)</f>
        <v>90.01</v>
      </c>
      <c r="AF15" s="282">
        <f>MIN(U15:AD15)</f>
        <v>85.02</v>
      </c>
      <c r="AG15" s="282" t="str">
        <f>IF(AE15&gt;$H$76,$I$75,IF(AE15&gt;$H$77,$I$76,IF(AE15&gt;$H$78,$I$77,$I$78)))</f>
        <v>baik</v>
      </c>
      <c r="AH15" s="282" t="str">
        <f t="shared" si="10"/>
        <v>baik</v>
      </c>
      <c r="AI15" s="282">
        <f>IFERROR(MATCH(AE15,U15:AD15,0),"")</f>
        <v>1</v>
      </c>
      <c r="AJ15" s="283">
        <f>IFERROR(MATCH(AF15,U15:AD15,0),"")</f>
        <v>2</v>
      </c>
      <c r="AK15" s="284" t="str">
        <f>IF(S15="","",IFERROR("Memiliki kemampuan "&amp;IF(AG15=AH15,AG15&amp;" dalam "&amp;VLOOKUP(AI15,$S$2:$AK$11,19)&amp;" dan "&amp;VLOOKUP(AJ15,$S$2:$AK$11,19),AG15&amp;" dalam "&amp;VLOOKUP(AI15,$S$2:$AK$11,19)&amp;", "&amp;AH15&amp;" kemampuan dalam "&amp;VLOOKUP(AJ15,$S$2:$AK$11,19)),""))</f>
        <v>Memiliki kemampuan baik dalam menganalisis permasalahan sosial di masyarakat  dan memahami berbagai metode penelitian di masyarakat</v>
      </c>
      <c r="AL15" s="276">
        <v>85</v>
      </c>
      <c r="AM15" s="277">
        <v>85</v>
      </c>
      <c r="AN15" s="277"/>
      <c r="AO15" s="277"/>
      <c r="AP15" s="277"/>
      <c r="AQ15" s="277"/>
      <c r="AR15" s="277"/>
      <c r="AS15" s="280"/>
      <c r="AT15" s="277"/>
      <c r="AU15" s="278"/>
      <c r="AV15" s="285">
        <f>IF(COUNT(AL15:AU15)&lt;2,"",ROUND(((AL15*$AX$13)+(AM15*$AY$13)+(AN15*$AZ$13)+(AO15*$BA$13)+(AP15*$BB$13)+(AQ15*$BC$13)+(AR15*$BD$13)+(AS15*$BE$13)+(AT15*$BF$13)+(AU15*$BG$13))/$BH$11,0))</f>
        <v>85</v>
      </c>
      <c r="AW15" s="296" t="str">
        <f>IF(AV15="","",IF(AV15&gt;$AN$76,$AV$75,IF(AV15&gt;$AN$77,$AV$76,IF(AV15&gt;$AN$78,$AV$77,$AV$78))))</f>
        <v>B</v>
      </c>
      <c r="AX15" s="1220">
        <f t="shared" si="16"/>
        <v>85.01</v>
      </c>
      <c r="AY15" s="1221">
        <f t="shared" si="16"/>
        <v>85.02</v>
      </c>
      <c r="AZ15" s="1221" t="str">
        <f>IF(AN15="","",AN15+AZ$12)</f>
        <v/>
      </c>
      <c r="BA15" s="1221" t="str">
        <f t="shared" si="16"/>
        <v/>
      </c>
      <c r="BB15" s="1221" t="str">
        <f t="shared" si="16"/>
        <v/>
      </c>
      <c r="BC15" s="1221" t="str">
        <f t="shared" si="16"/>
        <v/>
      </c>
      <c r="BD15" s="1221" t="str">
        <f t="shared" si="16"/>
        <v/>
      </c>
      <c r="BE15" s="1222" t="str">
        <f t="shared" si="16"/>
        <v/>
      </c>
      <c r="BF15" s="1221" t="str">
        <f t="shared" si="16"/>
        <v/>
      </c>
      <c r="BG15" s="1223" t="str">
        <f t="shared" si="16"/>
        <v/>
      </c>
      <c r="BH15" s="286">
        <f>MAX(AX15:BG15)</f>
        <v>85.02</v>
      </c>
      <c r="BI15" s="286">
        <f>MIN(AX15:BG15)</f>
        <v>85.01</v>
      </c>
      <c r="BJ15" s="287" t="str">
        <f>IF(BH15&gt;$H$76,$AO$75,IF(BH15&gt;$H$77,$AO$76,IF(BH15&gt;$H$78,$AO$77,$AO$78)))</f>
        <v>baik</v>
      </c>
      <c r="BK15" s="287" t="str">
        <f>IF(BI15&gt;$H$76,$AO$75,IF(BI15&gt;$H$77,$AO$76,IF(BI15&gt;$H$78,$AO$77,$AO$78)))</f>
        <v>baik</v>
      </c>
      <c r="BL15" s="286">
        <f>MATCH(BH15,AX15:BG15,0)</f>
        <v>2</v>
      </c>
      <c r="BM15" s="288">
        <f>MATCH(BI15,AX15:BG15,0)</f>
        <v>1</v>
      </c>
      <c r="BN15" s="289" t="str">
        <f>IF(AV15="","",IFERROR("Memiliki keterampilan "&amp;IF(BJ15=BK15,BJ15&amp;" dalam "&amp;VLOOKUP(BL15,$AV$2:$BN$11,19)&amp;" dan "&amp;VLOOKUP(BM15,$AV$2:$BN$11,19),BJ15&amp;" dalam "&amp;VLOOKUP(BL15,$AV$2:$BN$11,19)&amp;", "&amp;BK15&amp;" keterampilan dalam "&amp;VLOOKUP(BM15,$AV$2:$BN$11,19)),""))</f>
        <v>Memiliki keterampilan baik dalam melakukan penelitian sederhana yang terjadi di masyarakat dan memberiakan respon dalam mengatasi permasalahan sosial</v>
      </c>
      <c r="BO15" s="67"/>
    </row>
    <row r="16" spans="1:67" ht="33" customHeight="1">
      <c r="A16" s="67"/>
      <c r="B16" s="272">
        <f t="shared" ref="B16:B63" si="23">IF(D16="","",B15+1)</f>
        <v>3</v>
      </c>
      <c r="C16" s="273">
        <f>IF(Data!F7="","",Data!F7)</f>
        <v>0</v>
      </c>
      <c r="D16" s="274" t="str">
        <f>IF(Data!H7="","",Data!H7)</f>
        <v>Asri Aldina Baksuni</v>
      </c>
      <c r="E16" s="275" t="str">
        <f>IF(Data!I7="","",Data!I7)</f>
        <v>P</v>
      </c>
      <c r="F16" s="276">
        <v>90</v>
      </c>
      <c r="G16" s="277">
        <v>95</v>
      </c>
      <c r="H16" s="277"/>
      <c r="I16" s="277"/>
      <c r="J16" s="277"/>
      <c r="K16" s="277"/>
      <c r="L16" s="277"/>
      <c r="M16" s="280"/>
      <c r="N16" s="277"/>
      <c r="O16" s="278"/>
      <c r="P16" s="279">
        <f t="shared" ref="P16:P63" si="24">IF(COUNT(U16:AD16)&lt;2,"",ROUND(SUM(U16:AD16)/$AE$12,0))</f>
        <v>93</v>
      </c>
      <c r="Q16" s="277">
        <v>90</v>
      </c>
      <c r="R16" s="280">
        <v>94</v>
      </c>
      <c r="S16" s="281">
        <f t="shared" ref="S16:S63" si="25">IFERROR(ROUND(((P16*$P$13)+(Q16*$Q$13)+(R16*$R$13))/$AF$12,0),"")</f>
        <v>93</v>
      </c>
      <c r="T16" s="295" t="str">
        <f t="shared" ref="T16:T63" si="26">IF(S16="","",IF(S16&gt;$H$76,$Q$75,IF(S16&gt;$H$77,$Q$76,IF(S16&gt;$H$78,$Q$77,$Q$78))))</f>
        <v>A</v>
      </c>
      <c r="U16" s="1215">
        <f t="shared" si="7"/>
        <v>90.01</v>
      </c>
      <c r="V16" s="1216">
        <f t="shared" si="7"/>
        <v>95.02</v>
      </c>
      <c r="W16" s="1216" t="str">
        <f t="shared" si="7"/>
        <v/>
      </c>
      <c r="X16" s="1216" t="str">
        <f t="shared" si="7"/>
        <v/>
      </c>
      <c r="Y16" s="1216" t="str">
        <f t="shared" si="7"/>
        <v/>
      </c>
      <c r="Z16" s="1216" t="str">
        <f t="shared" si="7"/>
        <v/>
      </c>
      <c r="AA16" s="1216" t="str">
        <f t="shared" si="7"/>
        <v/>
      </c>
      <c r="AB16" s="1217" t="str">
        <f t="shared" si="7"/>
        <v/>
      </c>
      <c r="AC16" s="1216" t="str">
        <f t="shared" si="7"/>
        <v/>
      </c>
      <c r="AD16" s="1218" t="str">
        <f t="shared" si="7"/>
        <v/>
      </c>
      <c r="AE16" s="1219">
        <f t="shared" ref="AE16:AE63" si="27">MAX(U16:AD16)</f>
        <v>95.02</v>
      </c>
      <c r="AF16" s="282">
        <f t="shared" ref="AF16:AF63" si="28">MIN(U16:AD16)</f>
        <v>90.01</v>
      </c>
      <c r="AG16" s="282" t="str">
        <f t="shared" ref="AG16:AH63" si="29">IF(AE16&gt;$H$76,$I$75,IF(AE16&gt;$H$77,$I$76,IF(AE16&gt;$H$78,$I$77,$I$78)))</f>
        <v>sangat baik</v>
      </c>
      <c r="AH16" s="282" t="str">
        <f t="shared" si="10"/>
        <v>baik</v>
      </c>
      <c r="AI16" s="282">
        <f t="shared" ref="AI16:AI63" si="30">IFERROR(MATCH(AE16,U16:AD16,0),"")</f>
        <v>2</v>
      </c>
      <c r="AJ16" s="283">
        <f t="shared" ref="AJ16:AJ63" si="31">IFERROR(MATCH(AF16,U16:AD16,0),"")</f>
        <v>1</v>
      </c>
      <c r="AK16" s="284" t="str">
        <f t="shared" ref="AK16:AK63" si="32">IF(S16="","",IFERROR("Memiliki kemampuan "&amp;IF(AG16=AH16,AG16&amp;" dalam "&amp;VLOOKUP(AI16,$S$2:$AK$11,19)&amp;" dan "&amp;VLOOKUP(AJ16,$S$2:$AK$11,19),AG16&amp;" dalam "&amp;VLOOKUP(AI16,$S$2:$AK$11,19)&amp;", "&amp;AH16&amp;" kemampuan dalam "&amp;VLOOKUP(AJ16,$S$2:$AK$11,19)),""))</f>
        <v xml:space="preserve">Memiliki kemampuan sangat baik dalam memahami berbagai metode penelitian di masyarakat, baik kemampuan dalam menganalisis permasalahan sosial di masyarakat </v>
      </c>
      <c r="AL16" s="276">
        <v>85</v>
      </c>
      <c r="AM16" s="277">
        <v>85</v>
      </c>
      <c r="AN16" s="277"/>
      <c r="AO16" s="277"/>
      <c r="AP16" s="277"/>
      <c r="AQ16" s="277"/>
      <c r="AR16" s="277"/>
      <c r="AS16" s="280"/>
      <c r="AT16" s="277"/>
      <c r="AU16" s="278"/>
      <c r="AV16" s="285">
        <f t="shared" ref="AV16:AV63" si="33">IF(COUNT(AL16:AU16)&lt;2,"",ROUND(((AL16*$AX$13)+(AM16*$AY$13)+(AN16*$AZ$13)+(AO16*$BA$13)+(AP16*$BB$13)+(AQ16*$BC$13)+(AR16*$BD$13)+(AS16*$BE$13)+(AT16*$BF$13)+(AU16*$BG$13))/$BH$11,0))</f>
        <v>85</v>
      </c>
      <c r="AW16" s="296" t="str">
        <f t="shared" ref="AW16:AW63" si="34">IF(AV16="","",IF(AV16&gt;$AN$76,$AV$75,IF(AV16&gt;$AN$77,$AV$76,IF(AV16&gt;$AN$78,$AV$77,$AV$78))))</f>
        <v>B</v>
      </c>
      <c r="AX16" s="1220">
        <f t="shared" si="16"/>
        <v>85.01</v>
      </c>
      <c r="AY16" s="1221">
        <f t="shared" si="16"/>
        <v>85.02</v>
      </c>
      <c r="AZ16" s="1221" t="str">
        <f t="shared" si="16"/>
        <v/>
      </c>
      <c r="BA16" s="1221" t="str">
        <f t="shared" si="16"/>
        <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85.02</v>
      </c>
      <c r="BI16" s="286">
        <f t="shared" ref="BI16:BI63" si="36">MIN(AX16:BG16)</f>
        <v>85.01</v>
      </c>
      <c r="BJ16" s="287" t="str">
        <f t="shared" ref="BJ16:BK63" si="37">IF(BH16&gt;$H$76,$AO$75,IF(BH16&gt;$H$77,$AO$76,IF(BH16&gt;$H$78,$AO$77,$AO$78)))</f>
        <v>baik</v>
      </c>
      <c r="BK16" s="287" t="str">
        <f t="shared" si="37"/>
        <v>baik</v>
      </c>
      <c r="BL16" s="286">
        <f t="shared" ref="BL16:BL63" si="38">MATCH(BH16,AX16:BG16,0)</f>
        <v>2</v>
      </c>
      <c r="BM16" s="288">
        <f t="shared" ref="BM16:BM63" si="39">MATCH(BI16,AX16:BG16,0)</f>
        <v>1</v>
      </c>
      <c r="BN16" s="289" t="str">
        <f t="shared" ref="BN16:BN63" si="40">IF(AV16="","",IFERROR("Memiliki keterampilan "&amp;IF(BJ16=BK16,BJ16&amp;" dalam "&amp;VLOOKUP(BL16,$AV$2:$BN$11,19)&amp;" dan "&amp;VLOOKUP(BM16,$AV$2:$BN$11,19),BJ16&amp;" dalam "&amp;VLOOKUP(BL16,$AV$2:$BN$11,19)&amp;", "&amp;BK16&amp;" keterampilan dalam "&amp;VLOOKUP(BM16,$AV$2:$BN$11,19)),""))</f>
        <v>Memiliki keterampilan baik dalam melakukan penelitian sederhana yang terjadi di masyarakat dan memberiakan respon dalam mengatasi permasalahan sosial</v>
      </c>
      <c r="BO16" s="67"/>
    </row>
    <row r="17" spans="1:67" ht="33" customHeight="1">
      <c r="A17" s="67"/>
      <c r="B17" s="272">
        <f t="shared" si="23"/>
        <v>4</v>
      </c>
      <c r="C17" s="273">
        <f>IF(Data!F8="","",Data!F8)</f>
        <v>0</v>
      </c>
      <c r="D17" s="274" t="str">
        <f>IF(Data!H8="","",Data!H8)</f>
        <v>Asti Welmince Welkis</v>
      </c>
      <c r="E17" s="275" t="str">
        <f>IF(Data!I8="","",Data!I8)</f>
        <v>P</v>
      </c>
      <c r="F17" s="276">
        <v>90</v>
      </c>
      <c r="G17" s="277">
        <v>88</v>
      </c>
      <c r="H17" s="277"/>
      <c r="I17" s="277"/>
      <c r="J17" s="277"/>
      <c r="K17" s="277"/>
      <c r="L17" s="277"/>
      <c r="M17" s="280"/>
      <c r="N17" s="277"/>
      <c r="O17" s="278"/>
      <c r="P17" s="279">
        <f t="shared" si="24"/>
        <v>89</v>
      </c>
      <c r="Q17" s="277">
        <v>90</v>
      </c>
      <c r="R17" s="280">
        <v>84</v>
      </c>
      <c r="S17" s="281">
        <f t="shared" si="25"/>
        <v>88</v>
      </c>
      <c r="T17" s="295" t="str">
        <f t="shared" si="26"/>
        <v>B</v>
      </c>
      <c r="U17" s="1215">
        <f t="shared" si="7"/>
        <v>90.01</v>
      </c>
      <c r="V17" s="1216">
        <f t="shared" si="7"/>
        <v>88.02</v>
      </c>
      <c r="W17" s="1216" t="str">
        <f t="shared" si="7"/>
        <v/>
      </c>
      <c r="X17" s="1216" t="str">
        <f t="shared" si="7"/>
        <v/>
      </c>
      <c r="Y17" s="1216" t="str">
        <f t="shared" si="7"/>
        <v/>
      </c>
      <c r="Z17" s="1216" t="str">
        <f t="shared" si="7"/>
        <v/>
      </c>
      <c r="AA17" s="1216" t="str">
        <f t="shared" si="7"/>
        <v/>
      </c>
      <c r="AB17" s="1217" t="str">
        <f t="shared" si="7"/>
        <v/>
      </c>
      <c r="AC17" s="1216" t="str">
        <f t="shared" si="7"/>
        <v/>
      </c>
      <c r="AD17" s="1218" t="str">
        <f t="shared" si="7"/>
        <v/>
      </c>
      <c r="AE17" s="1219">
        <f t="shared" si="27"/>
        <v>90.01</v>
      </c>
      <c r="AF17" s="282">
        <f t="shared" si="28"/>
        <v>88.02</v>
      </c>
      <c r="AG17" s="282" t="str">
        <f t="shared" si="29"/>
        <v>baik</v>
      </c>
      <c r="AH17" s="282" t="str">
        <f t="shared" si="10"/>
        <v>baik</v>
      </c>
      <c r="AI17" s="282">
        <f t="shared" si="30"/>
        <v>1</v>
      </c>
      <c r="AJ17" s="283">
        <f t="shared" si="31"/>
        <v>2</v>
      </c>
      <c r="AK17" s="284" t="str">
        <f t="shared" si="32"/>
        <v>Memiliki kemampuan baik dalam menganalisis permasalahan sosial di masyarakat  dan memahami berbagai metode penelitian di masyarakat</v>
      </c>
      <c r="AL17" s="276">
        <v>85</v>
      </c>
      <c r="AM17" s="277">
        <v>85</v>
      </c>
      <c r="AN17" s="277"/>
      <c r="AO17" s="277"/>
      <c r="AP17" s="277"/>
      <c r="AQ17" s="277"/>
      <c r="AR17" s="277"/>
      <c r="AS17" s="280"/>
      <c r="AT17" s="277"/>
      <c r="AU17" s="278"/>
      <c r="AV17" s="285">
        <f t="shared" si="33"/>
        <v>85</v>
      </c>
      <c r="AW17" s="296" t="str">
        <f t="shared" si="34"/>
        <v>B</v>
      </c>
      <c r="AX17" s="1220">
        <f t="shared" si="16"/>
        <v>85.01</v>
      </c>
      <c r="AY17" s="1221">
        <f t="shared" si="16"/>
        <v>85.02</v>
      </c>
      <c r="AZ17" s="1221" t="str">
        <f t="shared" si="16"/>
        <v/>
      </c>
      <c r="BA17" s="1221" t="str">
        <f t="shared" si="16"/>
        <v/>
      </c>
      <c r="BB17" s="1221" t="str">
        <f t="shared" si="16"/>
        <v/>
      </c>
      <c r="BC17" s="1221" t="str">
        <f t="shared" si="16"/>
        <v/>
      </c>
      <c r="BD17" s="1221" t="str">
        <f t="shared" si="16"/>
        <v/>
      </c>
      <c r="BE17" s="1222" t="str">
        <f t="shared" si="16"/>
        <v/>
      </c>
      <c r="BF17" s="1221" t="str">
        <f t="shared" si="16"/>
        <v/>
      </c>
      <c r="BG17" s="1223" t="str">
        <f t="shared" si="16"/>
        <v/>
      </c>
      <c r="BH17" s="286">
        <f t="shared" si="35"/>
        <v>85.02</v>
      </c>
      <c r="BI17" s="286">
        <f t="shared" si="36"/>
        <v>85.01</v>
      </c>
      <c r="BJ17" s="287" t="str">
        <f t="shared" si="37"/>
        <v>baik</v>
      </c>
      <c r="BK17" s="287" t="str">
        <f t="shared" si="37"/>
        <v>baik</v>
      </c>
      <c r="BL17" s="286">
        <f t="shared" si="38"/>
        <v>2</v>
      </c>
      <c r="BM17" s="288">
        <f t="shared" si="39"/>
        <v>1</v>
      </c>
      <c r="BN17" s="289" t="str">
        <f t="shared" si="40"/>
        <v>Memiliki keterampilan baik dalam melakukan penelitian sederhana yang terjadi di masyarakat dan memberiakan respon dalam mengatasi permasalahan sosial</v>
      </c>
      <c r="BO17" s="67"/>
    </row>
    <row r="18" spans="1:67" ht="33" customHeight="1">
      <c r="A18" s="67"/>
      <c r="B18" s="272">
        <f t="shared" si="23"/>
        <v>5</v>
      </c>
      <c r="C18" s="273">
        <f>IF(Data!F9="","",Data!F9)</f>
        <v>0</v>
      </c>
      <c r="D18" s="274" t="str">
        <f>IF(Data!H9="","",Data!H9)</f>
        <v>Aulya Noviyanti Mbura</v>
      </c>
      <c r="E18" s="275" t="str">
        <f>IF(Data!I9="","",Data!I9)</f>
        <v>P</v>
      </c>
      <c r="F18" s="276">
        <v>90</v>
      </c>
      <c r="G18" s="277">
        <v>95</v>
      </c>
      <c r="H18" s="277"/>
      <c r="I18" s="277"/>
      <c r="J18" s="277"/>
      <c r="K18" s="277"/>
      <c r="L18" s="277"/>
      <c r="M18" s="280"/>
      <c r="N18" s="277"/>
      <c r="O18" s="278"/>
      <c r="P18" s="279">
        <f t="shared" si="24"/>
        <v>93</v>
      </c>
      <c r="Q18" s="277">
        <v>90</v>
      </c>
      <c r="R18" s="280">
        <v>90</v>
      </c>
      <c r="S18" s="281">
        <f t="shared" si="25"/>
        <v>92</v>
      </c>
      <c r="T18" s="295" t="str">
        <f t="shared" si="26"/>
        <v>B</v>
      </c>
      <c r="U18" s="1215">
        <f t="shared" si="7"/>
        <v>90.01</v>
      </c>
      <c r="V18" s="1216">
        <f t="shared" si="7"/>
        <v>95.02</v>
      </c>
      <c r="W18" s="1216" t="str">
        <f t="shared" si="7"/>
        <v/>
      </c>
      <c r="X18" s="1216" t="str">
        <f t="shared" si="7"/>
        <v/>
      </c>
      <c r="Y18" s="1216" t="str">
        <f t="shared" si="7"/>
        <v/>
      </c>
      <c r="Z18" s="1216" t="str">
        <f t="shared" si="7"/>
        <v/>
      </c>
      <c r="AA18" s="1216" t="str">
        <f t="shared" si="7"/>
        <v/>
      </c>
      <c r="AB18" s="1217" t="str">
        <f t="shared" si="7"/>
        <v/>
      </c>
      <c r="AC18" s="1216" t="str">
        <f t="shared" si="7"/>
        <v/>
      </c>
      <c r="AD18" s="1218" t="str">
        <f t="shared" si="7"/>
        <v/>
      </c>
      <c r="AE18" s="1219">
        <f t="shared" si="27"/>
        <v>95.02</v>
      </c>
      <c r="AF18" s="282">
        <f t="shared" si="28"/>
        <v>90.01</v>
      </c>
      <c r="AG18" s="282" t="str">
        <f t="shared" si="29"/>
        <v>sangat baik</v>
      </c>
      <c r="AH18" s="282" t="str">
        <f t="shared" si="10"/>
        <v>baik</v>
      </c>
      <c r="AI18" s="282">
        <f t="shared" si="30"/>
        <v>2</v>
      </c>
      <c r="AJ18" s="283">
        <f t="shared" si="31"/>
        <v>1</v>
      </c>
      <c r="AK18" s="284" t="str">
        <f t="shared" si="32"/>
        <v xml:space="preserve">Memiliki kemampuan sangat baik dalam memahami berbagai metode penelitian di masyarakat, baik kemampuan dalam menganalisis permasalahan sosial di masyarakat </v>
      </c>
      <c r="AL18" s="276">
        <v>85</v>
      </c>
      <c r="AM18" s="277">
        <v>85</v>
      </c>
      <c r="AN18" s="277"/>
      <c r="AO18" s="277"/>
      <c r="AP18" s="277"/>
      <c r="AQ18" s="277"/>
      <c r="AR18" s="277"/>
      <c r="AS18" s="280"/>
      <c r="AT18" s="277"/>
      <c r="AU18" s="278"/>
      <c r="AV18" s="285">
        <f t="shared" si="33"/>
        <v>85</v>
      </c>
      <c r="AW18" s="296" t="str">
        <f t="shared" si="34"/>
        <v>B</v>
      </c>
      <c r="AX18" s="1220">
        <f t="shared" si="16"/>
        <v>85.01</v>
      </c>
      <c r="AY18" s="1221">
        <f t="shared" si="16"/>
        <v>85.02</v>
      </c>
      <c r="AZ18" s="1221" t="str">
        <f t="shared" si="16"/>
        <v/>
      </c>
      <c r="BA18" s="1221" t="str">
        <f t="shared" si="16"/>
        <v/>
      </c>
      <c r="BB18" s="1221" t="str">
        <f t="shared" si="16"/>
        <v/>
      </c>
      <c r="BC18" s="1221" t="str">
        <f t="shared" si="16"/>
        <v/>
      </c>
      <c r="BD18" s="1221" t="str">
        <f t="shared" si="16"/>
        <v/>
      </c>
      <c r="BE18" s="1222" t="str">
        <f t="shared" si="16"/>
        <v/>
      </c>
      <c r="BF18" s="1221" t="str">
        <f t="shared" si="16"/>
        <v/>
      </c>
      <c r="BG18" s="1223" t="str">
        <f t="shared" si="16"/>
        <v/>
      </c>
      <c r="BH18" s="286">
        <f t="shared" si="35"/>
        <v>85.02</v>
      </c>
      <c r="BI18" s="286">
        <f t="shared" si="36"/>
        <v>85.01</v>
      </c>
      <c r="BJ18" s="287" t="str">
        <f t="shared" si="37"/>
        <v>baik</v>
      </c>
      <c r="BK18" s="287" t="str">
        <f t="shared" si="37"/>
        <v>baik</v>
      </c>
      <c r="BL18" s="286">
        <f t="shared" si="38"/>
        <v>2</v>
      </c>
      <c r="BM18" s="288">
        <f t="shared" si="39"/>
        <v>1</v>
      </c>
      <c r="BN18" s="289" t="str">
        <f t="shared" si="40"/>
        <v>Memiliki keterampilan baik dalam melakukan penelitian sederhana yang terjadi di masyarakat dan memberiakan respon dalam mengatasi permasalahan sosial</v>
      </c>
      <c r="BO18" s="67"/>
    </row>
    <row r="19" spans="1:67" ht="33" customHeight="1">
      <c r="A19" s="67"/>
      <c r="B19" s="272">
        <f t="shared" si="23"/>
        <v>6</v>
      </c>
      <c r="C19" s="273">
        <f>IF(Data!F10="","",Data!F10)</f>
        <v>0</v>
      </c>
      <c r="D19" s="274" t="str">
        <f>IF(Data!H10="","",Data!H10)</f>
        <v>Ayu Oliberta Ranboki</v>
      </c>
      <c r="E19" s="275" t="str">
        <f>IF(Data!I10="","",Data!I10)</f>
        <v>P</v>
      </c>
      <c r="F19" s="276">
        <v>90</v>
      </c>
      <c r="G19" s="277">
        <v>95</v>
      </c>
      <c r="H19" s="277"/>
      <c r="I19" s="277"/>
      <c r="J19" s="277"/>
      <c r="K19" s="277"/>
      <c r="L19" s="277"/>
      <c r="M19" s="280"/>
      <c r="N19" s="277"/>
      <c r="O19" s="278"/>
      <c r="P19" s="279">
        <f t="shared" si="24"/>
        <v>93</v>
      </c>
      <c r="Q19" s="277">
        <v>90</v>
      </c>
      <c r="R19" s="280">
        <v>93</v>
      </c>
      <c r="S19" s="281">
        <f t="shared" si="25"/>
        <v>92</v>
      </c>
      <c r="T19" s="295" t="str">
        <f t="shared" si="26"/>
        <v>B</v>
      </c>
      <c r="U19" s="1215">
        <f t="shared" si="7"/>
        <v>90.01</v>
      </c>
      <c r="V19" s="1216">
        <f t="shared" si="7"/>
        <v>95.02</v>
      </c>
      <c r="W19" s="1216" t="str">
        <f t="shared" si="7"/>
        <v/>
      </c>
      <c r="X19" s="1216" t="str">
        <f t="shared" si="7"/>
        <v/>
      </c>
      <c r="Y19" s="1216" t="str">
        <f t="shared" si="7"/>
        <v/>
      </c>
      <c r="Z19" s="1216" t="str">
        <f t="shared" si="7"/>
        <v/>
      </c>
      <c r="AA19" s="1216" t="str">
        <f t="shared" si="7"/>
        <v/>
      </c>
      <c r="AB19" s="1217" t="str">
        <f t="shared" si="7"/>
        <v/>
      </c>
      <c r="AC19" s="1216" t="str">
        <f t="shared" si="7"/>
        <v/>
      </c>
      <c r="AD19" s="1218" t="str">
        <f t="shared" si="7"/>
        <v/>
      </c>
      <c r="AE19" s="1219">
        <f t="shared" si="27"/>
        <v>95.02</v>
      </c>
      <c r="AF19" s="282">
        <f t="shared" si="28"/>
        <v>90.01</v>
      </c>
      <c r="AG19" s="282" t="str">
        <f t="shared" si="29"/>
        <v>sangat baik</v>
      </c>
      <c r="AH19" s="282" t="str">
        <f t="shared" si="10"/>
        <v>baik</v>
      </c>
      <c r="AI19" s="282">
        <f t="shared" si="30"/>
        <v>2</v>
      </c>
      <c r="AJ19" s="283">
        <f t="shared" si="31"/>
        <v>1</v>
      </c>
      <c r="AK19" s="284" t="str">
        <f t="shared" si="32"/>
        <v xml:space="preserve">Memiliki kemampuan sangat baik dalam memahami berbagai metode penelitian di masyarakat, baik kemampuan dalam menganalisis permasalahan sosial di masyarakat </v>
      </c>
      <c r="AL19" s="276">
        <v>85</v>
      </c>
      <c r="AM19" s="277">
        <v>85</v>
      </c>
      <c r="AN19" s="277"/>
      <c r="AO19" s="277"/>
      <c r="AP19" s="277"/>
      <c r="AQ19" s="277"/>
      <c r="AR19" s="277"/>
      <c r="AS19" s="280"/>
      <c r="AT19" s="277"/>
      <c r="AU19" s="278"/>
      <c r="AV19" s="285">
        <f t="shared" si="33"/>
        <v>85</v>
      </c>
      <c r="AW19" s="296" t="str">
        <f t="shared" si="34"/>
        <v>B</v>
      </c>
      <c r="AX19" s="1220">
        <f t="shared" si="16"/>
        <v>85.01</v>
      </c>
      <c r="AY19" s="1221">
        <f t="shared" si="16"/>
        <v>85.02</v>
      </c>
      <c r="AZ19" s="1221" t="str">
        <f t="shared" si="16"/>
        <v/>
      </c>
      <c r="BA19" s="1221" t="str">
        <f t="shared" si="16"/>
        <v/>
      </c>
      <c r="BB19" s="1221" t="str">
        <f t="shared" si="16"/>
        <v/>
      </c>
      <c r="BC19" s="1221" t="str">
        <f t="shared" si="16"/>
        <v/>
      </c>
      <c r="BD19" s="1221" t="str">
        <f t="shared" si="16"/>
        <v/>
      </c>
      <c r="BE19" s="1222" t="str">
        <f t="shared" si="16"/>
        <v/>
      </c>
      <c r="BF19" s="1221" t="str">
        <f t="shared" si="16"/>
        <v/>
      </c>
      <c r="BG19" s="1223" t="str">
        <f t="shared" si="16"/>
        <v/>
      </c>
      <c r="BH19" s="286">
        <f t="shared" si="35"/>
        <v>85.02</v>
      </c>
      <c r="BI19" s="286">
        <f t="shared" si="36"/>
        <v>85.01</v>
      </c>
      <c r="BJ19" s="287" t="str">
        <f t="shared" si="37"/>
        <v>baik</v>
      </c>
      <c r="BK19" s="287" t="str">
        <f t="shared" si="37"/>
        <v>baik</v>
      </c>
      <c r="BL19" s="286">
        <f t="shared" si="38"/>
        <v>2</v>
      </c>
      <c r="BM19" s="288">
        <f t="shared" si="39"/>
        <v>1</v>
      </c>
      <c r="BN19" s="289" t="str">
        <f t="shared" si="40"/>
        <v>Memiliki keterampilan baik dalam melakukan penelitian sederhana yang terjadi di masyarakat dan memberiakan respon dalam mengatasi permasalahan sosial</v>
      </c>
      <c r="BO19" s="67"/>
    </row>
    <row r="20" spans="1:67" ht="33" customHeight="1">
      <c r="A20" s="67"/>
      <c r="B20" s="272">
        <f t="shared" si="23"/>
        <v>7</v>
      </c>
      <c r="C20" s="273">
        <f>IF(Data!F11="","",Data!F11)</f>
        <v>0</v>
      </c>
      <c r="D20" s="274" t="str">
        <f>IF(Data!H11="","",Data!H11)</f>
        <v>Benediktus Faot</v>
      </c>
      <c r="E20" s="275" t="str">
        <f>IF(Data!I11="","",Data!I11)</f>
        <v>L</v>
      </c>
      <c r="F20" s="276">
        <v>90</v>
      </c>
      <c r="G20" s="277">
        <v>88</v>
      </c>
      <c r="H20" s="277"/>
      <c r="I20" s="277"/>
      <c r="J20" s="277"/>
      <c r="K20" s="277"/>
      <c r="L20" s="277"/>
      <c r="M20" s="280"/>
      <c r="N20" s="277"/>
      <c r="O20" s="278"/>
      <c r="P20" s="279">
        <f t="shared" si="24"/>
        <v>89</v>
      </c>
      <c r="Q20" s="277">
        <v>90</v>
      </c>
      <c r="R20" s="280">
        <v>88</v>
      </c>
      <c r="S20" s="281">
        <f t="shared" si="25"/>
        <v>89</v>
      </c>
      <c r="T20" s="295" t="str">
        <f t="shared" si="26"/>
        <v>B</v>
      </c>
      <c r="U20" s="1215">
        <f t="shared" si="7"/>
        <v>90.01</v>
      </c>
      <c r="V20" s="1216">
        <f t="shared" si="7"/>
        <v>88.02</v>
      </c>
      <c r="W20" s="1216" t="str">
        <f t="shared" si="7"/>
        <v/>
      </c>
      <c r="X20" s="1216" t="str">
        <f t="shared" si="7"/>
        <v/>
      </c>
      <c r="Y20" s="1216" t="str">
        <f t="shared" si="7"/>
        <v/>
      </c>
      <c r="Z20" s="1216" t="str">
        <f t="shared" si="7"/>
        <v/>
      </c>
      <c r="AA20" s="1216" t="str">
        <f t="shared" si="7"/>
        <v/>
      </c>
      <c r="AB20" s="1217" t="str">
        <f t="shared" si="7"/>
        <v/>
      </c>
      <c r="AC20" s="1216" t="str">
        <f t="shared" si="7"/>
        <v/>
      </c>
      <c r="AD20" s="1218" t="str">
        <f t="shared" si="7"/>
        <v/>
      </c>
      <c r="AE20" s="1219">
        <f t="shared" si="27"/>
        <v>90.01</v>
      </c>
      <c r="AF20" s="282">
        <f t="shared" si="28"/>
        <v>88.02</v>
      </c>
      <c r="AG20" s="282" t="str">
        <f t="shared" si="29"/>
        <v>baik</v>
      </c>
      <c r="AH20" s="282" t="str">
        <f t="shared" si="10"/>
        <v>baik</v>
      </c>
      <c r="AI20" s="282">
        <f t="shared" si="30"/>
        <v>1</v>
      </c>
      <c r="AJ20" s="283">
        <f t="shared" si="31"/>
        <v>2</v>
      </c>
      <c r="AK20" s="284" t="str">
        <f t="shared" si="32"/>
        <v>Memiliki kemampuan baik dalam menganalisis permasalahan sosial di masyarakat  dan memahami berbagai metode penelitian di masyarakat</v>
      </c>
      <c r="AL20" s="276">
        <v>85</v>
      </c>
      <c r="AM20" s="277">
        <v>85</v>
      </c>
      <c r="AN20" s="277"/>
      <c r="AO20" s="277"/>
      <c r="AP20" s="277"/>
      <c r="AQ20" s="277"/>
      <c r="AR20" s="277"/>
      <c r="AS20" s="280"/>
      <c r="AT20" s="277"/>
      <c r="AU20" s="278"/>
      <c r="AV20" s="285">
        <f t="shared" si="33"/>
        <v>85</v>
      </c>
      <c r="AW20" s="296" t="str">
        <f t="shared" si="34"/>
        <v>B</v>
      </c>
      <c r="AX20" s="1220">
        <f t="shared" si="16"/>
        <v>85.01</v>
      </c>
      <c r="AY20" s="1221">
        <f t="shared" si="16"/>
        <v>85.02</v>
      </c>
      <c r="AZ20" s="1221" t="str">
        <f t="shared" si="16"/>
        <v/>
      </c>
      <c r="BA20" s="1221" t="str">
        <f t="shared" si="16"/>
        <v/>
      </c>
      <c r="BB20" s="1221" t="str">
        <f t="shared" si="16"/>
        <v/>
      </c>
      <c r="BC20" s="1221" t="str">
        <f t="shared" si="16"/>
        <v/>
      </c>
      <c r="BD20" s="1221" t="str">
        <f t="shared" si="16"/>
        <v/>
      </c>
      <c r="BE20" s="1222" t="str">
        <f t="shared" si="16"/>
        <v/>
      </c>
      <c r="BF20" s="1221" t="str">
        <f t="shared" si="16"/>
        <v/>
      </c>
      <c r="BG20" s="1223" t="str">
        <f t="shared" si="16"/>
        <v/>
      </c>
      <c r="BH20" s="286">
        <f t="shared" si="35"/>
        <v>85.02</v>
      </c>
      <c r="BI20" s="286">
        <f t="shared" si="36"/>
        <v>85.01</v>
      </c>
      <c r="BJ20" s="287" t="str">
        <f t="shared" si="37"/>
        <v>baik</v>
      </c>
      <c r="BK20" s="287" t="str">
        <f t="shared" si="37"/>
        <v>baik</v>
      </c>
      <c r="BL20" s="286">
        <f t="shared" si="38"/>
        <v>2</v>
      </c>
      <c r="BM20" s="288">
        <f t="shared" si="39"/>
        <v>1</v>
      </c>
      <c r="BN20" s="289" t="str">
        <f t="shared" si="40"/>
        <v>Memiliki keterampilan baik dalam melakukan penelitian sederhana yang terjadi di masyarakat dan memberiakan respon dalam mengatasi permasalahan sosial</v>
      </c>
      <c r="BO20" s="67"/>
    </row>
    <row r="21" spans="1:67" ht="33" customHeight="1">
      <c r="A21" s="67"/>
      <c r="B21" s="272">
        <f t="shared" si="23"/>
        <v>8</v>
      </c>
      <c r="C21" s="273">
        <f>IF(Data!F12="","",Data!F12)</f>
        <v>0</v>
      </c>
      <c r="D21" s="274" t="str">
        <f>IF(Data!H12="","",Data!H12)</f>
        <v>Betron Imanuel Kuni</v>
      </c>
      <c r="E21" s="275" t="str">
        <f>IF(Data!I12="","",Data!I12)</f>
        <v>L</v>
      </c>
      <c r="F21" s="276">
        <v>78</v>
      </c>
      <c r="G21" s="277">
        <v>80</v>
      </c>
      <c r="H21" s="277"/>
      <c r="I21" s="277"/>
      <c r="J21" s="277"/>
      <c r="K21" s="277"/>
      <c r="L21" s="277"/>
      <c r="M21" s="280"/>
      <c r="N21" s="277"/>
      <c r="O21" s="278"/>
      <c r="P21" s="279">
        <f t="shared" si="24"/>
        <v>79</v>
      </c>
      <c r="Q21" s="277">
        <v>78</v>
      </c>
      <c r="R21" s="280">
        <v>79</v>
      </c>
      <c r="S21" s="281">
        <f t="shared" si="25"/>
        <v>79</v>
      </c>
      <c r="T21" s="295" t="str">
        <f t="shared" si="26"/>
        <v>C</v>
      </c>
      <c r="U21" s="1215">
        <f t="shared" si="7"/>
        <v>78.010000000000005</v>
      </c>
      <c r="V21" s="1216">
        <f t="shared" si="7"/>
        <v>80.02</v>
      </c>
      <c r="W21" s="1216" t="str">
        <f t="shared" si="7"/>
        <v/>
      </c>
      <c r="X21" s="1216" t="str">
        <f t="shared" si="7"/>
        <v/>
      </c>
      <c r="Y21" s="1216" t="str">
        <f t="shared" si="7"/>
        <v/>
      </c>
      <c r="Z21" s="1216" t="str">
        <f t="shared" si="7"/>
        <v/>
      </c>
      <c r="AA21" s="1216" t="str">
        <f t="shared" si="7"/>
        <v/>
      </c>
      <c r="AB21" s="1217" t="str">
        <f t="shared" si="7"/>
        <v/>
      </c>
      <c r="AC21" s="1216" t="str">
        <f t="shared" si="7"/>
        <v/>
      </c>
      <c r="AD21" s="1218" t="str">
        <f t="shared" si="7"/>
        <v/>
      </c>
      <c r="AE21" s="1219">
        <f t="shared" si="27"/>
        <v>80.02</v>
      </c>
      <c r="AF21" s="282">
        <f t="shared" si="28"/>
        <v>78.010000000000005</v>
      </c>
      <c r="AG21" s="282" t="str">
        <f t="shared" si="29"/>
        <v>cukup</v>
      </c>
      <c r="AH21" s="282" t="str">
        <f t="shared" si="10"/>
        <v>cukup</v>
      </c>
      <c r="AI21" s="282">
        <f t="shared" si="30"/>
        <v>2</v>
      </c>
      <c r="AJ21" s="283">
        <f t="shared" si="31"/>
        <v>1</v>
      </c>
      <c r="AK21" s="284" t="str">
        <f t="shared" si="32"/>
        <v xml:space="preserve">Memiliki kemampuan cukup dalam memahami berbagai metode penelitian di masyarakat dan menganalisis permasalahan sosial di masyarakat </v>
      </c>
      <c r="AL21" s="276">
        <v>80</v>
      </c>
      <c r="AM21" s="277">
        <v>80</v>
      </c>
      <c r="AN21" s="277"/>
      <c r="AO21" s="277"/>
      <c r="AP21" s="277"/>
      <c r="AQ21" s="277"/>
      <c r="AR21" s="277"/>
      <c r="AS21" s="280"/>
      <c r="AT21" s="277"/>
      <c r="AU21" s="278"/>
      <c r="AV21" s="285">
        <f t="shared" si="33"/>
        <v>80</v>
      </c>
      <c r="AW21" s="296" t="str">
        <f t="shared" si="34"/>
        <v>C</v>
      </c>
      <c r="AX21" s="1220">
        <f t="shared" si="16"/>
        <v>80.010000000000005</v>
      </c>
      <c r="AY21" s="1221">
        <f t="shared" si="16"/>
        <v>80.02</v>
      </c>
      <c r="AZ21" s="1221" t="str">
        <f t="shared" si="16"/>
        <v/>
      </c>
      <c r="BA21" s="1221" t="str">
        <f t="shared" si="16"/>
        <v/>
      </c>
      <c r="BB21" s="1221" t="str">
        <f t="shared" si="16"/>
        <v/>
      </c>
      <c r="BC21" s="1221" t="str">
        <f t="shared" si="16"/>
        <v/>
      </c>
      <c r="BD21" s="1221" t="str">
        <f t="shared" si="16"/>
        <v/>
      </c>
      <c r="BE21" s="1222" t="str">
        <f t="shared" si="16"/>
        <v/>
      </c>
      <c r="BF21" s="1221" t="str">
        <f t="shared" si="16"/>
        <v/>
      </c>
      <c r="BG21" s="1223" t="str">
        <f t="shared" si="16"/>
        <v/>
      </c>
      <c r="BH21" s="286">
        <f t="shared" si="35"/>
        <v>80.02</v>
      </c>
      <c r="BI21" s="286">
        <f t="shared" si="36"/>
        <v>80.010000000000005</v>
      </c>
      <c r="BJ21" s="287" t="str">
        <f t="shared" si="37"/>
        <v>cukup</v>
      </c>
      <c r="BK21" s="287" t="str">
        <f t="shared" si="37"/>
        <v>cukup</v>
      </c>
      <c r="BL21" s="286">
        <f t="shared" si="38"/>
        <v>2</v>
      </c>
      <c r="BM21" s="288">
        <f t="shared" si="39"/>
        <v>1</v>
      </c>
      <c r="BN21" s="289" t="str">
        <f t="shared" si="40"/>
        <v>Memiliki keterampilan cukup dalam melakukan penelitian sederhana yang terjadi di masyarakat dan memberiakan respon dalam mengatasi permasalahan sosial</v>
      </c>
      <c r="BO21" s="67"/>
    </row>
    <row r="22" spans="1:67" ht="33" customHeight="1">
      <c r="A22" s="67"/>
      <c r="B22" s="272">
        <f t="shared" si="23"/>
        <v>9</v>
      </c>
      <c r="C22" s="273">
        <f>IF(Data!F13="","",Data!F13)</f>
        <v>0</v>
      </c>
      <c r="D22" s="274" t="str">
        <f>IF(Data!H13="","",Data!H13)</f>
        <v>Demrianus Ton</v>
      </c>
      <c r="E22" s="275" t="str">
        <f>IF(Data!I13="","",Data!I13)</f>
        <v>L</v>
      </c>
      <c r="F22" s="276">
        <v>77</v>
      </c>
      <c r="G22" s="277">
        <v>76</v>
      </c>
      <c r="H22" s="277"/>
      <c r="I22" s="277"/>
      <c r="J22" s="277"/>
      <c r="K22" s="277"/>
      <c r="L22" s="277"/>
      <c r="M22" s="280"/>
      <c r="N22" s="277"/>
      <c r="O22" s="278"/>
      <c r="P22" s="279">
        <f t="shared" si="24"/>
        <v>77</v>
      </c>
      <c r="Q22" s="277">
        <v>78</v>
      </c>
      <c r="R22" s="280">
        <v>78</v>
      </c>
      <c r="S22" s="281">
        <f t="shared" si="25"/>
        <v>78</v>
      </c>
      <c r="T22" s="295" t="str">
        <f t="shared" si="26"/>
        <v>C</v>
      </c>
      <c r="U22" s="1215">
        <f t="shared" si="7"/>
        <v>77.010000000000005</v>
      </c>
      <c r="V22" s="1216">
        <f t="shared" si="7"/>
        <v>76.02</v>
      </c>
      <c r="W22" s="1216" t="str">
        <f t="shared" si="7"/>
        <v/>
      </c>
      <c r="X22" s="1216" t="str">
        <f t="shared" si="7"/>
        <v/>
      </c>
      <c r="Y22" s="1216" t="str">
        <f t="shared" si="7"/>
        <v/>
      </c>
      <c r="Z22" s="1216" t="str">
        <f t="shared" si="7"/>
        <v/>
      </c>
      <c r="AA22" s="1216" t="str">
        <f t="shared" si="7"/>
        <v/>
      </c>
      <c r="AB22" s="1217" t="str">
        <f t="shared" si="7"/>
        <v/>
      </c>
      <c r="AC22" s="1216" t="str">
        <f t="shared" si="7"/>
        <v/>
      </c>
      <c r="AD22" s="1218" t="str">
        <f t="shared" si="7"/>
        <v/>
      </c>
      <c r="AE22" s="1219">
        <f t="shared" si="27"/>
        <v>77.010000000000005</v>
      </c>
      <c r="AF22" s="282">
        <f t="shared" si="28"/>
        <v>76.02</v>
      </c>
      <c r="AG22" s="282" t="str">
        <f t="shared" si="29"/>
        <v>cukup</v>
      </c>
      <c r="AH22" s="282" t="str">
        <f t="shared" si="10"/>
        <v>cukup</v>
      </c>
      <c r="AI22" s="282">
        <f t="shared" si="30"/>
        <v>1</v>
      </c>
      <c r="AJ22" s="283">
        <f t="shared" si="31"/>
        <v>2</v>
      </c>
      <c r="AK22" s="284" t="str">
        <f t="shared" si="32"/>
        <v>Memiliki kemampuan cukup dalam menganalisis permasalahan sosial di masyarakat  dan memahami berbagai metode penelitian di masyarakat</v>
      </c>
      <c r="AL22" s="276">
        <v>78</v>
      </c>
      <c r="AM22" s="277">
        <v>78</v>
      </c>
      <c r="AN22" s="277"/>
      <c r="AO22" s="277"/>
      <c r="AP22" s="277"/>
      <c r="AQ22" s="277"/>
      <c r="AR22" s="277"/>
      <c r="AS22" s="280"/>
      <c r="AT22" s="277"/>
      <c r="AU22" s="278"/>
      <c r="AV22" s="285">
        <f t="shared" si="33"/>
        <v>78</v>
      </c>
      <c r="AW22" s="296" t="str">
        <f t="shared" si="34"/>
        <v>C</v>
      </c>
      <c r="AX22" s="1220">
        <f t="shared" si="16"/>
        <v>78.010000000000005</v>
      </c>
      <c r="AY22" s="1221">
        <f t="shared" si="16"/>
        <v>78.02</v>
      </c>
      <c r="AZ22" s="1221" t="str">
        <f t="shared" si="16"/>
        <v/>
      </c>
      <c r="BA22" s="1221" t="str">
        <f t="shared" si="16"/>
        <v/>
      </c>
      <c r="BB22" s="1221" t="str">
        <f t="shared" si="16"/>
        <v/>
      </c>
      <c r="BC22" s="1221" t="str">
        <f t="shared" si="16"/>
        <v/>
      </c>
      <c r="BD22" s="1221" t="str">
        <f t="shared" si="16"/>
        <v/>
      </c>
      <c r="BE22" s="1222" t="str">
        <f t="shared" si="16"/>
        <v/>
      </c>
      <c r="BF22" s="1221" t="str">
        <f t="shared" si="16"/>
        <v/>
      </c>
      <c r="BG22" s="1223" t="str">
        <f t="shared" si="16"/>
        <v/>
      </c>
      <c r="BH22" s="286">
        <f t="shared" si="35"/>
        <v>78.02</v>
      </c>
      <c r="BI22" s="286">
        <f t="shared" si="36"/>
        <v>78.010000000000005</v>
      </c>
      <c r="BJ22" s="287" t="str">
        <f t="shared" si="37"/>
        <v>cukup</v>
      </c>
      <c r="BK22" s="287" t="str">
        <f t="shared" si="37"/>
        <v>cukup</v>
      </c>
      <c r="BL22" s="286">
        <f t="shared" si="38"/>
        <v>2</v>
      </c>
      <c r="BM22" s="288">
        <f t="shared" si="39"/>
        <v>1</v>
      </c>
      <c r="BN22" s="289" t="str">
        <f t="shared" si="40"/>
        <v>Memiliki keterampilan cukup dalam melakukan penelitian sederhana yang terjadi di masyarakat dan memberiakan respon dalam mengatasi permasalahan sosial</v>
      </c>
      <c r="BO22" s="67"/>
    </row>
    <row r="23" spans="1:67" ht="33" customHeight="1">
      <c r="A23" s="67"/>
      <c r="B23" s="272">
        <f t="shared" si="23"/>
        <v>10</v>
      </c>
      <c r="C23" s="273">
        <f>IF(Data!F14="","",Data!F14)</f>
        <v>0</v>
      </c>
      <c r="D23" s="274" t="str">
        <f>IF(Data!H14="","",Data!H14)</f>
        <v>Desti Manggoa</v>
      </c>
      <c r="E23" s="275" t="str">
        <f>IF(Data!I14="","",Data!I14)</f>
        <v>P</v>
      </c>
      <c r="F23" s="276">
        <v>90</v>
      </c>
      <c r="G23" s="277">
        <v>85</v>
      </c>
      <c r="H23" s="277"/>
      <c r="I23" s="277"/>
      <c r="J23" s="277"/>
      <c r="K23" s="277"/>
      <c r="L23" s="277"/>
      <c r="M23" s="280"/>
      <c r="N23" s="277"/>
      <c r="O23" s="278"/>
      <c r="P23" s="279">
        <f t="shared" si="24"/>
        <v>88</v>
      </c>
      <c r="Q23" s="277">
        <v>90</v>
      </c>
      <c r="R23" s="280">
        <v>85</v>
      </c>
      <c r="S23" s="281">
        <f t="shared" si="25"/>
        <v>88</v>
      </c>
      <c r="T23" s="295" t="str">
        <f t="shared" si="26"/>
        <v>B</v>
      </c>
      <c r="U23" s="1215">
        <f t="shared" si="7"/>
        <v>90.01</v>
      </c>
      <c r="V23" s="1216">
        <f t="shared" si="7"/>
        <v>85.02</v>
      </c>
      <c r="W23" s="1216" t="str">
        <f t="shared" si="7"/>
        <v/>
      </c>
      <c r="X23" s="1216" t="str">
        <f t="shared" si="7"/>
        <v/>
      </c>
      <c r="Y23" s="1216" t="str">
        <f t="shared" si="7"/>
        <v/>
      </c>
      <c r="Z23" s="1216" t="str">
        <f t="shared" si="7"/>
        <v/>
      </c>
      <c r="AA23" s="1216" t="str">
        <f t="shared" si="7"/>
        <v/>
      </c>
      <c r="AB23" s="1217" t="str">
        <f t="shared" si="7"/>
        <v/>
      </c>
      <c r="AC23" s="1216" t="str">
        <f t="shared" si="7"/>
        <v/>
      </c>
      <c r="AD23" s="1218" t="str">
        <f t="shared" si="7"/>
        <v/>
      </c>
      <c r="AE23" s="1219">
        <f t="shared" si="27"/>
        <v>90.01</v>
      </c>
      <c r="AF23" s="282">
        <f t="shared" si="28"/>
        <v>85.02</v>
      </c>
      <c r="AG23" s="282" t="str">
        <f t="shared" si="29"/>
        <v>baik</v>
      </c>
      <c r="AH23" s="282" t="str">
        <f t="shared" si="10"/>
        <v>baik</v>
      </c>
      <c r="AI23" s="282">
        <f t="shared" si="30"/>
        <v>1</v>
      </c>
      <c r="AJ23" s="283">
        <f t="shared" si="31"/>
        <v>2</v>
      </c>
      <c r="AK23" s="284" t="str">
        <f t="shared" si="32"/>
        <v>Memiliki kemampuan baik dalam menganalisis permasalahan sosial di masyarakat  dan memahami berbagai metode penelitian di masyarakat</v>
      </c>
      <c r="AL23" s="276">
        <v>85</v>
      </c>
      <c r="AM23" s="277">
        <v>85</v>
      </c>
      <c r="AN23" s="277"/>
      <c r="AO23" s="277"/>
      <c r="AP23" s="277"/>
      <c r="AQ23" s="277"/>
      <c r="AR23" s="277"/>
      <c r="AS23" s="280"/>
      <c r="AT23" s="277"/>
      <c r="AU23" s="278"/>
      <c r="AV23" s="285">
        <f t="shared" si="33"/>
        <v>85</v>
      </c>
      <c r="AW23" s="296" t="str">
        <f t="shared" si="34"/>
        <v>B</v>
      </c>
      <c r="AX23" s="1220">
        <f t="shared" si="16"/>
        <v>85.01</v>
      </c>
      <c r="AY23" s="1221">
        <f t="shared" si="16"/>
        <v>85.02</v>
      </c>
      <c r="AZ23" s="1221" t="str">
        <f t="shared" si="16"/>
        <v/>
      </c>
      <c r="BA23" s="1221" t="str">
        <f t="shared" si="16"/>
        <v/>
      </c>
      <c r="BB23" s="1221" t="str">
        <f t="shared" si="16"/>
        <v/>
      </c>
      <c r="BC23" s="1221" t="str">
        <f t="shared" si="16"/>
        <v/>
      </c>
      <c r="BD23" s="1221" t="str">
        <f t="shared" si="16"/>
        <v/>
      </c>
      <c r="BE23" s="1222" t="str">
        <f t="shared" si="16"/>
        <v/>
      </c>
      <c r="BF23" s="1221" t="str">
        <f t="shared" si="16"/>
        <v/>
      </c>
      <c r="BG23" s="1223" t="str">
        <f t="shared" si="16"/>
        <v/>
      </c>
      <c r="BH23" s="286">
        <f t="shared" si="35"/>
        <v>85.02</v>
      </c>
      <c r="BI23" s="286">
        <f t="shared" si="36"/>
        <v>85.01</v>
      </c>
      <c r="BJ23" s="287" t="str">
        <f t="shared" si="37"/>
        <v>baik</v>
      </c>
      <c r="BK23" s="287" t="str">
        <f t="shared" si="37"/>
        <v>baik</v>
      </c>
      <c r="BL23" s="286">
        <f t="shared" si="38"/>
        <v>2</v>
      </c>
      <c r="BM23" s="288">
        <f t="shared" si="39"/>
        <v>1</v>
      </c>
      <c r="BN23" s="289" t="str">
        <f t="shared" si="40"/>
        <v>Memiliki keterampilan baik dalam melakukan penelitian sederhana yang terjadi di masyarakat dan memberiakan respon dalam mengatasi permasalahan sosial</v>
      </c>
      <c r="BO23" s="67"/>
    </row>
    <row r="24" spans="1:67" ht="33" customHeight="1">
      <c r="A24" s="67"/>
      <c r="B24" s="272">
        <f t="shared" si="23"/>
        <v>11</v>
      </c>
      <c r="C24" s="273">
        <f>IF(Data!F15="","",Data!F15)</f>
        <v>0</v>
      </c>
      <c r="D24" s="274" t="str">
        <f>IF(Data!H15="","",Data!H15)</f>
        <v>Dorkas Meliana Talita Kesnay</v>
      </c>
      <c r="E24" s="275" t="str">
        <f>IF(Data!I15="","",Data!I15)</f>
        <v>P</v>
      </c>
      <c r="F24" s="276">
        <v>90</v>
      </c>
      <c r="G24" s="277">
        <v>88</v>
      </c>
      <c r="H24" s="277"/>
      <c r="I24" s="277"/>
      <c r="J24" s="277"/>
      <c r="K24" s="277"/>
      <c r="L24" s="277"/>
      <c r="M24" s="280"/>
      <c r="N24" s="277"/>
      <c r="O24" s="278"/>
      <c r="P24" s="279">
        <f t="shared" si="24"/>
        <v>89</v>
      </c>
      <c r="Q24" s="277">
        <v>90</v>
      </c>
      <c r="R24" s="280">
        <v>88</v>
      </c>
      <c r="S24" s="281">
        <f t="shared" si="25"/>
        <v>89</v>
      </c>
      <c r="T24" s="295" t="str">
        <f t="shared" si="26"/>
        <v>B</v>
      </c>
      <c r="U24" s="1215">
        <f t="shared" si="7"/>
        <v>90.01</v>
      </c>
      <c r="V24" s="1216">
        <f t="shared" si="7"/>
        <v>88.02</v>
      </c>
      <c r="W24" s="1216" t="str">
        <f t="shared" si="7"/>
        <v/>
      </c>
      <c r="X24" s="1216" t="str">
        <f t="shared" si="7"/>
        <v/>
      </c>
      <c r="Y24" s="1216" t="str">
        <f t="shared" si="7"/>
        <v/>
      </c>
      <c r="Z24" s="1216" t="str">
        <f t="shared" si="7"/>
        <v/>
      </c>
      <c r="AA24" s="1216" t="str">
        <f t="shared" si="7"/>
        <v/>
      </c>
      <c r="AB24" s="1217" t="str">
        <f t="shared" si="7"/>
        <v/>
      </c>
      <c r="AC24" s="1216" t="str">
        <f t="shared" si="7"/>
        <v/>
      </c>
      <c r="AD24" s="1218" t="str">
        <f t="shared" si="7"/>
        <v/>
      </c>
      <c r="AE24" s="1219">
        <f t="shared" si="27"/>
        <v>90.01</v>
      </c>
      <c r="AF24" s="282">
        <f t="shared" si="28"/>
        <v>88.02</v>
      </c>
      <c r="AG24" s="282" t="str">
        <f t="shared" si="29"/>
        <v>baik</v>
      </c>
      <c r="AH24" s="282" t="str">
        <f t="shared" si="10"/>
        <v>baik</v>
      </c>
      <c r="AI24" s="282">
        <f t="shared" si="30"/>
        <v>1</v>
      </c>
      <c r="AJ24" s="283">
        <f t="shared" si="31"/>
        <v>2</v>
      </c>
      <c r="AK24" s="284" t="str">
        <f t="shared" si="32"/>
        <v>Memiliki kemampuan baik dalam menganalisis permasalahan sosial di masyarakat  dan memahami berbagai metode penelitian di masyarakat</v>
      </c>
      <c r="AL24" s="276">
        <v>85</v>
      </c>
      <c r="AM24" s="277">
        <v>85</v>
      </c>
      <c r="AN24" s="277"/>
      <c r="AO24" s="277"/>
      <c r="AP24" s="277"/>
      <c r="AQ24" s="277"/>
      <c r="AR24" s="277"/>
      <c r="AS24" s="280"/>
      <c r="AT24" s="277"/>
      <c r="AU24" s="278"/>
      <c r="AV24" s="285">
        <f t="shared" si="33"/>
        <v>85</v>
      </c>
      <c r="AW24" s="296" t="str">
        <f t="shared" si="34"/>
        <v>B</v>
      </c>
      <c r="AX24" s="1220">
        <f t="shared" si="16"/>
        <v>85.01</v>
      </c>
      <c r="AY24" s="1221">
        <f t="shared" si="16"/>
        <v>85.02</v>
      </c>
      <c r="AZ24" s="1221" t="str">
        <f t="shared" si="16"/>
        <v/>
      </c>
      <c r="BA24" s="1221" t="str">
        <f t="shared" si="16"/>
        <v/>
      </c>
      <c r="BB24" s="1221" t="str">
        <f t="shared" si="16"/>
        <v/>
      </c>
      <c r="BC24" s="1221" t="str">
        <f t="shared" si="16"/>
        <v/>
      </c>
      <c r="BD24" s="1221" t="str">
        <f t="shared" si="16"/>
        <v/>
      </c>
      <c r="BE24" s="1222" t="str">
        <f t="shared" si="16"/>
        <v/>
      </c>
      <c r="BF24" s="1221" t="str">
        <f t="shared" si="16"/>
        <v/>
      </c>
      <c r="BG24" s="1223" t="str">
        <f t="shared" si="16"/>
        <v/>
      </c>
      <c r="BH24" s="286">
        <f t="shared" si="35"/>
        <v>85.02</v>
      </c>
      <c r="BI24" s="286">
        <f t="shared" si="36"/>
        <v>85.01</v>
      </c>
      <c r="BJ24" s="287" t="str">
        <f t="shared" si="37"/>
        <v>baik</v>
      </c>
      <c r="BK24" s="287" t="str">
        <f t="shared" si="37"/>
        <v>baik</v>
      </c>
      <c r="BL24" s="286">
        <f t="shared" si="38"/>
        <v>2</v>
      </c>
      <c r="BM24" s="288">
        <f t="shared" si="39"/>
        <v>1</v>
      </c>
      <c r="BN24" s="289" t="str">
        <f t="shared" si="40"/>
        <v>Memiliki keterampilan baik dalam melakukan penelitian sederhana yang terjadi di masyarakat dan memberiakan respon dalam mengatasi permasalahan sosial</v>
      </c>
      <c r="BO24" s="67"/>
    </row>
    <row r="25" spans="1:67" ht="33" customHeight="1">
      <c r="A25" s="67"/>
      <c r="B25" s="272">
        <f t="shared" si="23"/>
        <v>12</v>
      </c>
      <c r="C25" s="273">
        <f>IF(Data!F16="","",Data!F16)</f>
        <v>0</v>
      </c>
      <c r="D25" s="274" t="str">
        <f>IF(Data!H16="","",Data!H16)</f>
        <v>Erto Seprianto Leukune</v>
      </c>
      <c r="E25" s="275" t="str">
        <f>IF(Data!I16="","",Data!I16)</f>
        <v>L</v>
      </c>
      <c r="F25" s="276">
        <v>90</v>
      </c>
      <c r="G25" s="277">
        <v>87</v>
      </c>
      <c r="H25" s="277"/>
      <c r="I25" s="277"/>
      <c r="J25" s="277"/>
      <c r="K25" s="277"/>
      <c r="L25" s="277"/>
      <c r="M25" s="280"/>
      <c r="N25" s="277"/>
      <c r="O25" s="278"/>
      <c r="P25" s="279">
        <f t="shared" si="24"/>
        <v>89</v>
      </c>
      <c r="Q25" s="277">
        <v>90</v>
      </c>
      <c r="R25" s="280">
        <v>88</v>
      </c>
      <c r="S25" s="281">
        <f t="shared" si="25"/>
        <v>89</v>
      </c>
      <c r="T25" s="295" t="str">
        <f t="shared" si="26"/>
        <v>B</v>
      </c>
      <c r="U25" s="1215">
        <f t="shared" si="7"/>
        <v>90.01</v>
      </c>
      <c r="V25" s="1216">
        <f t="shared" si="7"/>
        <v>87.02</v>
      </c>
      <c r="W25" s="1216" t="str">
        <f t="shared" si="7"/>
        <v/>
      </c>
      <c r="X25" s="1216" t="str">
        <f t="shared" si="7"/>
        <v/>
      </c>
      <c r="Y25" s="1216" t="str">
        <f t="shared" si="7"/>
        <v/>
      </c>
      <c r="Z25" s="1216" t="str">
        <f t="shared" si="7"/>
        <v/>
      </c>
      <c r="AA25" s="1216" t="str">
        <f t="shared" si="7"/>
        <v/>
      </c>
      <c r="AB25" s="1217" t="str">
        <f t="shared" si="7"/>
        <v/>
      </c>
      <c r="AC25" s="1216" t="str">
        <f t="shared" si="7"/>
        <v/>
      </c>
      <c r="AD25" s="1218" t="str">
        <f t="shared" si="7"/>
        <v/>
      </c>
      <c r="AE25" s="1219">
        <f t="shared" si="27"/>
        <v>90.01</v>
      </c>
      <c r="AF25" s="282">
        <f t="shared" si="28"/>
        <v>87.02</v>
      </c>
      <c r="AG25" s="282" t="str">
        <f t="shared" si="29"/>
        <v>baik</v>
      </c>
      <c r="AH25" s="282" t="str">
        <f t="shared" si="10"/>
        <v>baik</v>
      </c>
      <c r="AI25" s="282">
        <f t="shared" si="30"/>
        <v>1</v>
      </c>
      <c r="AJ25" s="283">
        <f t="shared" si="31"/>
        <v>2</v>
      </c>
      <c r="AK25" s="284" t="str">
        <f t="shared" si="32"/>
        <v>Memiliki kemampuan baik dalam menganalisis permasalahan sosial di masyarakat  dan memahami berbagai metode penelitian di masyarakat</v>
      </c>
      <c r="AL25" s="276">
        <v>85</v>
      </c>
      <c r="AM25" s="277">
        <v>85</v>
      </c>
      <c r="AN25" s="277"/>
      <c r="AO25" s="277"/>
      <c r="AP25" s="277"/>
      <c r="AQ25" s="277"/>
      <c r="AR25" s="277"/>
      <c r="AS25" s="280"/>
      <c r="AT25" s="277"/>
      <c r="AU25" s="278"/>
      <c r="AV25" s="285">
        <f t="shared" si="33"/>
        <v>85</v>
      </c>
      <c r="AW25" s="296" t="str">
        <f t="shared" si="34"/>
        <v>B</v>
      </c>
      <c r="AX25" s="1220">
        <f t="shared" si="16"/>
        <v>85.01</v>
      </c>
      <c r="AY25" s="1221">
        <f t="shared" si="16"/>
        <v>85.02</v>
      </c>
      <c r="AZ25" s="1221" t="str">
        <f t="shared" si="16"/>
        <v/>
      </c>
      <c r="BA25" s="1221" t="str">
        <f t="shared" si="16"/>
        <v/>
      </c>
      <c r="BB25" s="1221" t="str">
        <f t="shared" si="16"/>
        <v/>
      </c>
      <c r="BC25" s="1221" t="str">
        <f t="shared" si="16"/>
        <v/>
      </c>
      <c r="BD25" s="1221" t="str">
        <f t="shared" si="16"/>
        <v/>
      </c>
      <c r="BE25" s="1222" t="str">
        <f t="shared" si="16"/>
        <v/>
      </c>
      <c r="BF25" s="1221" t="str">
        <f t="shared" si="16"/>
        <v/>
      </c>
      <c r="BG25" s="1223" t="str">
        <f t="shared" si="16"/>
        <v/>
      </c>
      <c r="BH25" s="286">
        <f t="shared" si="35"/>
        <v>85.02</v>
      </c>
      <c r="BI25" s="286">
        <f t="shared" si="36"/>
        <v>85.01</v>
      </c>
      <c r="BJ25" s="287" t="str">
        <f t="shared" si="37"/>
        <v>baik</v>
      </c>
      <c r="BK25" s="287" t="str">
        <f t="shared" si="37"/>
        <v>baik</v>
      </c>
      <c r="BL25" s="286">
        <f t="shared" si="38"/>
        <v>2</v>
      </c>
      <c r="BM25" s="288">
        <f t="shared" si="39"/>
        <v>1</v>
      </c>
      <c r="BN25" s="289" t="str">
        <f t="shared" si="40"/>
        <v>Memiliki keterampilan baik dalam melakukan penelitian sederhana yang terjadi di masyarakat dan memberiakan respon dalam mengatasi permasalahan sosial</v>
      </c>
      <c r="BO25" s="67"/>
    </row>
    <row r="26" spans="1:67" ht="33" customHeight="1">
      <c r="A26" s="67"/>
      <c r="B26" s="272">
        <f t="shared" si="23"/>
        <v>13</v>
      </c>
      <c r="C26" s="273">
        <f>IF(Data!F17="","",Data!F17)</f>
        <v>0</v>
      </c>
      <c r="D26" s="274" t="str">
        <f>IF(Data!H17="","",Data!H17)</f>
        <v>Feli Tipnoni</v>
      </c>
      <c r="E26" s="275" t="str">
        <f>IF(Data!I17="","",Data!I17)</f>
        <v>P</v>
      </c>
      <c r="F26" s="276">
        <v>90</v>
      </c>
      <c r="G26" s="277">
        <v>88</v>
      </c>
      <c r="H26" s="277"/>
      <c r="I26" s="277"/>
      <c r="J26" s="277"/>
      <c r="K26" s="277"/>
      <c r="L26" s="277"/>
      <c r="M26" s="280"/>
      <c r="N26" s="277"/>
      <c r="O26" s="278"/>
      <c r="P26" s="279">
        <f t="shared" si="24"/>
        <v>89</v>
      </c>
      <c r="Q26" s="277">
        <v>90</v>
      </c>
      <c r="R26" s="280">
        <v>88</v>
      </c>
      <c r="S26" s="281">
        <f t="shared" si="25"/>
        <v>89</v>
      </c>
      <c r="T26" s="295" t="str">
        <f t="shared" si="26"/>
        <v>B</v>
      </c>
      <c r="U26" s="1215">
        <f t="shared" si="7"/>
        <v>90.01</v>
      </c>
      <c r="V26" s="1216">
        <f t="shared" si="7"/>
        <v>88.02</v>
      </c>
      <c r="W26" s="1216" t="str">
        <f t="shared" si="7"/>
        <v/>
      </c>
      <c r="X26" s="1216" t="str">
        <f t="shared" si="7"/>
        <v/>
      </c>
      <c r="Y26" s="1216" t="str">
        <f t="shared" si="7"/>
        <v/>
      </c>
      <c r="Z26" s="1216" t="str">
        <f t="shared" si="7"/>
        <v/>
      </c>
      <c r="AA26" s="1216" t="str">
        <f t="shared" si="7"/>
        <v/>
      </c>
      <c r="AB26" s="1217" t="str">
        <f t="shared" si="7"/>
        <v/>
      </c>
      <c r="AC26" s="1216" t="str">
        <f t="shared" si="7"/>
        <v/>
      </c>
      <c r="AD26" s="1218" t="str">
        <f t="shared" si="7"/>
        <v/>
      </c>
      <c r="AE26" s="1219">
        <f t="shared" si="27"/>
        <v>90.01</v>
      </c>
      <c r="AF26" s="282">
        <f t="shared" si="28"/>
        <v>88.02</v>
      </c>
      <c r="AG26" s="282" t="str">
        <f t="shared" si="29"/>
        <v>baik</v>
      </c>
      <c r="AH26" s="282" t="str">
        <f t="shared" si="10"/>
        <v>baik</v>
      </c>
      <c r="AI26" s="282">
        <f t="shared" si="30"/>
        <v>1</v>
      </c>
      <c r="AJ26" s="283">
        <f t="shared" si="31"/>
        <v>2</v>
      </c>
      <c r="AK26" s="284" t="str">
        <f t="shared" si="32"/>
        <v>Memiliki kemampuan baik dalam menganalisis permasalahan sosial di masyarakat  dan memahami berbagai metode penelitian di masyarakat</v>
      </c>
      <c r="AL26" s="276">
        <v>85</v>
      </c>
      <c r="AM26" s="277">
        <v>85</v>
      </c>
      <c r="AN26" s="277"/>
      <c r="AO26" s="277"/>
      <c r="AP26" s="277"/>
      <c r="AQ26" s="277"/>
      <c r="AR26" s="277"/>
      <c r="AS26" s="280"/>
      <c r="AT26" s="277"/>
      <c r="AU26" s="278"/>
      <c r="AV26" s="285">
        <f t="shared" si="33"/>
        <v>85</v>
      </c>
      <c r="AW26" s="296" t="str">
        <f t="shared" si="34"/>
        <v>B</v>
      </c>
      <c r="AX26" s="1220">
        <f t="shared" si="16"/>
        <v>85.01</v>
      </c>
      <c r="AY26" s="1221">
        <f t="shared" si="16"/>
        <v>85.02</v>
      </c>
      <c r="AZ26" s="1221" t="str">
        <f t="shared" si="16"/>
        <v/>
      </c>
      <c r="BA26" s="1221" t="str">
        <f t="shared" si="16"/>
        <v/>
      </c>
      <c r="BB26" s="1221" t="str">
        <f t="shared" si="16"/>
        <v/>
      </c>
      <c r="BC26" s="1221" t="str">
        <f t="shared" si="16"/>
        <v/>
      </c>
      <c r="BD26" s="1221" t="str">
        <f t="shared" si="16"/>
        <v/>
      </c>
      <c r="BE26" s="1222" t="str">
        <f t="shared" si="16"/>
        <v/>
      </c>
      <c r="BF26" s="1221" t="str">
        <f t="shared" si="16"/>
        <v/>
      </c>
      <c r="BG26" s="1223" t="str">
        <f t="shared" si="16"/>
        <v/>
      </c>
      <c r="BH26" s="286">
        <f t="shared" si="35"/>
        <v>85.02</v>
      </c>
      <c r="BI26" s="286">
        <f t="shared" si="36"/>
        <v>85.01</v>
      </c>
      <c r="BJ26" s="287" t="str">
        <f t="shared" si="37"/>
        <v>baik</v>
      </c>
      <c r="BK26" s="287" t="str">
        <f t="shared" si="37"/>
        <v>baik</v>
      </c>
      <c r="BL26" s="286">
        <f t="shared" si="38"/>
        <v>2</v>
      </c>
      <c r="BM26" s="288">
        <f t="shared" si="39"/>
        <v>1</v>
      </c>
      <c r="BN26" s="289" t="str">
        <f t="shared" si="40"/>
        <v>Memiliki keterampilan baik dalam melakukan penelitian sederhana yang terjadi di masyarakat dan memberiakan respon dalam mengatasi permasalahan sosial</v>
      </c>
      <c r="BO26" s="67"/>
    </row>
    <row r="27" spans="1:67" ht="33" customHeight="1">
      <c r="A27" s="67"/>
      <c r="B27" s="272">
        <f t="shared" si="23"/>
        <v>14</v>
      </c>
      <c r="C27" s="273">
        <f>IF(Data!F18="","",Data!F18)</f>
        <v>0</v>
      </c>
      <c r="D27" s="274" t="str">
        <f>IF(Data!H18="","",Data!H18)</f>
        <v xml:space="preserve">Ferdinandes Sakbana </v>
      </c>
      <c r="E27" s="275" t="str">
        <f>IF(Data!I18="","",Data!I18)</f>
        <v>L</v>
      </c>
      <c r="F27" s="276">
        <v>90</v>
      </c>
      <c r="G27" s="277">
        <v>85</v>
      </c>
      <c r="H27" s="277"/>
      <c r="I27" s="277"/>
      <c r="J27" s="277"/>
      <c r="K27" s="277"/>
      <c r="L27" s="277"/>
      <c r="M27" s="280"/>
      <c r="N27" s="277"/>
      <c r="O27" s="278"/>
      <c r="P27" s="279">
        <f t="shared" si="24"/>
        <v>88</v>
      </c>
      <c r="Q27" s="277">
        <v>88</v>
      </c>
      <c r="R27" s="280">
        <v>84</v>
      </c>
      <c r="S27" s="281">
        <f t="shared" si="25"/>
        <v>87</v>
      </c>
      <c r="T27" s="295" t="str">
        <f t="shared" si="26"/>
        <v>B</v>
      </c>
      <c r="U27" s="1215">
        <f t="shared" si="7"/>
        <v>90.01</v>
      </c>
      <c r="V27" s="1216">
        <f t="shared" si="7"/>
        <v>85.02</v>
      </c>
      <c r="W27" s="1216" t="str">
        <f t="shared" si="7"/>
        <v/>
      </c>
      <c r="X27" s="1216" t="str">
        <f t="shared" si="7"/>
        <v/>
      </c>
      <c r="Y27" s="1216" t="str">
        <f t="shared" si="7"/>
        <v/>
      </c>
      <c r="Z27" s="1216" t="str">
        <f t="shared" si="7"/>
        <v/>
      </c>
      <c r="AA27" s="1216" t="str">
        <f t="shared" si="7"/>
        <v/>
      </c>
      <c r="AB27" s="1217" t="str">
        <f t="shared" si="7"/>
        <v/>
      </c>
      <c r="AC27" s="1216" t="str">
        <f t="shared" si="7"/>
        <v/>
      </c>
      <c r="AD27" s="1218" t="str">
        <f t="shared" si="7"/>
        <v/>
      </c>
      <c r="AE27" s="1219">
        <f t="shared" si="27"/>
        <v>90.01</v>
      </c>
      <c r="AF27" s="282">
        <f t="shared" si="28"/>
        <v>85.02</v>
      </c>
      <c r="AG27" s="282" t="str">
        <f t="shared" si="29"/>
        <v>baik</v>
      </c>
      <c r="AH27" s="282" t="str">
        <f t="shared" si="10"/>
        <v>baik</v>
      </c>
      <c r="AI27" s="282">
        <f t="shared" si="30"/>
        <v>1</v>
      </c>
      <c r="AJ27" s="283">
        <f t="shared" si="31"/>
        <v>2</v>
      </c>
      <c r="AK27" s="284" t="str">
        <f t="shared" si="32"/>
        <v>Memiliki kemampuan baik dalam menganalisis permasalahan sosial di masyarakat  dan memahami berbagai metode penelitian di masyarakat</v>
      </c>
      <c r="AL27" s="276">
        <v>80</v>
      </c>
      <c r="AM27" s="277">
        <v>80</v>
      </c>
      <c r="AN27" s="277"/>
      <c r="AO27" s="277"/>
      <c r="AP27" s="277"/>
      <c r="AQ27" s="277"/>
      <c r="AR27" s="277"/>
      <c r="AS27" s="280"/>
      <c r="AT27" s="277"/>
      <c r="AU27" s="278"/>
      <c r="AV27" s="285">
        <f t="shared" si="33"/>
        <v>80</v>
      </c>
      <c r="AW27" s="296" t="str">
        <f t="shared" si="34"/>
        <v>C</v>
      </c>
      <c r="AX27" s="1220">
        <f t="shared" si="16"/>
        <v>80.010000000000005</v>
      </c>
      <c r="AY27" s="1221">
        <f t="shared" si="16"/>
        <v>80.02</v>
      </c>
      <c r="AZ27" s="1221" t="str">
        <f t="shared" si="16"/>
        <v/>
      </c>
      <c r="BA27" s="1221" t="str">
        <f t="shared" si="16"/>
        <v/>
      </c>
      <c r="BB27" s="1221" t="str">
        <f t="shared" si="16"/>
        <v/>
      </c>
      <c r="BC27" s="1221" t="str">
        <f t="shared" si="16"/>
        <v/>
      </c>
      <c r="BD27" s="1221" t="str">
        <f t="shared" si="16"/>
        <v/>
      </c>
      <c r="BE27" s="1222" t="str">
        <f t="shared" si="16"/>
        <v/>
      </c>
      <c r="BF27" s="1221" t="str">
        <f t="shared" si="16"/>
        <v/>
      </c>
      <c r="BG27" s="1223" t="str">
        <f t="shared" si="16"/>
        <v/>
      </c>
      <c r="BH27" s="286">
        <f t="shared" si="35"/>
        <v>80.02</v>
      </c>
      <c r="BI27" s="286">
        <f t="shared" si="36"/>
        <v>80.010000000000005</v>
      </c>
      <c r="BJ27" s="287" t="str">
        <f t="shared" si="37"/>
        <v>cukup</v>
      </c>
      <c r="BK27" s="287" t="str">
        <f t="shared" si="37"/>
        <v>cukup</v>
      </c>
      <c r="BL27" s="286">
        <f t="shared" si="38"/>
        <v>2</v>
      </c>
      <c r="BM27" s="288">
        <f t="shared" si="39"/>
        <v>1</v>
      </c>
      <c r="BN27" s="289" t="str">
        <f t="shared" si="40"/>
        <v>Memiliki keterampilan cukup dalam melakukan penelitian sederhana yang terjadi di masyarakat dan memberiakan respon dalam mengatasi permasalahan sosial</v>
      </c>
      <c r="BO27" s="67"/>
    </row>
    <row r="28" spans="1:67" ht="33" customHeight="1">
      <c r="A28" s="67"/>
      <c r="B28" s="272">
        <f t="shared" si="23"/>
        <v>15</v>
      </c>
      <c r="C28" s="273">
        <f>IF(Data!F19="","",Data!F19)</f>
        <v>0</v>
      </c>
      <c r="D28" s="274" t="str">
        <f>IF(Data!H19="","",Data!H19)</f>
        <v>Fitri Novani Nitbani</v>
      </c>
      <c r="E28" s="275" t="str">
        <f>IF(Data!I19="","",Data!I19)</f>
        <v>P</v>
      </c>
      <c r="F28" s="276">
        <v>90</v>
      </c>
      <c r="G28" s="277">
        <v>88</v>
      </c>
      <c r="H28" s="277"/>
      <c r="I28" s="277"/>
      <c r="J28" s="277"/>
      <c r="K28" s="277"/>
      <c r="L28" s="277"/>
      <c r="M28" s="280"/>
      <c r="N28" s="277"/>
      <c r="O28" s="278"/>
      <c r="P28" s="279">
        <f t="shared" si="24"/>
        <v>89</v>
      </c>
      <c r="Q28" s="277">
        <v>90</v>
      </c>
      <c r="R28" s="280">
        <v>87</v>
      </c>
      <c r="S28" s="281">
        <f t="shared" si="25"/>
        <v>89</v>
      </c>
      <c r="T28" s="295" t="str">
        <f t="shared" si="26"/>
        <v>B</v>
      </c>
      <c r="U28" s="1215">
        <f t="shared" si="7"/>
        <v>90.01</v>
      </c>
      <c r="V28" s="1216">
        <f t="shared" si="7"/>
        <v>88.02</v>
      </c>
      <c r="W28" s="1216" t="str">
        <f t="shared" si="7"/>
        <v/>
      </c>
      <c r="X28" s="1216" t="str">
        <f t="shared" si="7"/>
        <v/>
      </c>
      <c r="Y28" s="1216" t="str">
        <f t="shared" si="7"/>
        <v/>
      </c>
      <c r="Z28" s="1216" t="str">
        <f t="shared" si="7"/>
        <v/>
      </c>
      <c r="AA28" s="1216" t="str">
        <f t="shared" si="7"/>
        <v/>
      </c>
      <c r="AB28" s="1217" t="str">
        <f t="shared" si="7"/>
        <v/>
      </c>
      <c r="AC28" s="1216" t="str">
        <f t="shared" si="7"/>
        <v/>
      </c>
      <c r="AD28" s="1218" t="str">
        <f t="shared" si="7"/>
        <v/>
      </c>
      <c r="AE28" s="1219">
        <f t="shared" si="27"/>
        <v>90.01</v>
      </c>
      <c r="AF28" s="282">
        <f t="shared" si="28"/>
        <v>88.02</v>
      </c>
      <c r="AG28" s="282" t="str">
        <f t="shared" si="29"/>
        <v>baik</v>
      </c>
      <c r="AH28" s="282" t="str">
        <f t="shared" si="10"/>
        <v>baik</v>
      </c>
      <c r="AI28" s="282">
        <f t="shared" si="30"/>
        <v>1</v>
      </c>
      <c r="AJ28" s="283">
        <f t="shared" si="31"/>
        <v>2</v>
      </c>
      <c r="AK28" s="284" t="str">
        <f t="shared" si="32"/>
        <v>Memiliki kemampuan baik dalam menganalisis permasalahan sosial di masyarakat  dan memahami berbagai metode penelitian di masyarakat</v>
      </c>
      <c r="AL28" s="276">
        <v>85</v>
      </c>
      <c r="AM28" s="277">
        <v>85</v>
      </c>
      <c r="AN28" s="277"/>
      <c r="AO28" s="277"/>
      <c r="AP28" s="277"/>
      <c r="AQ28" s="277"/>
      <c r="AR28" s="277"/>
      <c r="AS28" s="280"/>
      <c r="AT28" s="277"/>
      <c r="AU28" s="278"/>
      <c r="AV28" s="285">
        <f t="shared" si="33"/>
        <v>85</v>
      </c>
      <c r="AW28" s="296" t="str">
        <f t="shared" si="34"/>
        <v>B</v>
      </c>
      <c r="AX28" s="1220">
        <f t="shared" si="16"/>
        <v>85.01</v>
      </c>
      <c r="AY28" s="1221">
        <f t="shared" si="16"/>
        <v>85.02</v>
      </c>
      <c r="AZ28" s="1221" t="str">
        <f t="shared" si="16"/>
        <v/>
      </c>
      <c r="BA28" s="1221" t="str">
        <f t="shared" si="16"/>
        <v/>
      </c>
      <c r="BB28" s="1221" t="str">
        <f t="shared" si="16"/>
        <v/>
      </c>
      <c r="BC28" s="1221" t="str">
        <f t="shared" si="16"/>
        <v/>
      </c>
      <c r="BD28" s="1221" t="str">
        <f t="shared" si="16"/>
        <v/>
      </c>
      <c r="BE28" s="1222" t="str">
        <f t="shared" si="16"/>
        <v/>
      </c>
      <c r="BF28" s="1221" t="str">
        <f t="shared" si="16"/>
        <v/>
      </c>
      <c r="BG28" s="1223" t="str">
        <f t="shared" si="16"/>
        <v/>
      </c>
      <c r="BH28" s="286">
        <f t="shared" si="35"/>
        <v>85.02</v>
      </c>
      <c r="BI28" s="286">
        <f t="shared" si="36"/>
        <v>85.01</v>
      </c>
      <c r="BJ28" s="287" t="str">
        <f t="shared" si="37"/>
        <v>baik</v>
      </c>
      <c r="BK28" s="287" t="str">
        <f t="shared" si="37"/>
        <v>baik</v>
      </c>
      <c r="BL28" s="286">
        <f t="shared" si="38"/>
        <v>2</v>
      </c>
      <c r="BM28" s="288">
        <f t="shared" si="39"/>
        <v>1</v>
      </c>
      <c r="BN28" s="289" t="str">
        <f t="shared" si="40"/>
        <v>Memiliki keterampilan baik dalam melakukan penelitian sederhana yang terjadi di masyarakat dan memberiakan respon dalam mengatasi permasalahan sosial</v>
      </c>
      <c r="BO28" s="67"/>
    </row>
    <row r="29" spans="1:67" ht="33" customHeight="1">
      <c r="A29" s="67"/>
      <c r="B29" s="272">
        <f t="shared" si="23"/>
        <v>16</v>
      </c>
      <c r="C29" s="273">
        <f>IF(Data!F20="","",Data!F20)</f>
        <v>0</v>
      </c>
      <c r="D29" s="274" t="str">
        <f>IF(Data!H20="","",Data!H20)</f>
        <v>Helsina Benu</v>
      </c>
      <c r="E29" s="275" t="str">
        <f>IF(Data!I20="","",Data!I20)</f>
        <v>P</v>
      </c>
      <c r="F29" s="276">
        <v>90</v>
      </c>
      <c r="G29" s="277">
        <v>88</v>
      </c>
      <c r="H29" s="277"/>
      <c r="I29" s="277"/>
      <c r="J29" s="277"/>
      <c r="K29" s="277"/>
      <c r="L29" s="277"/>
      <c r="M29" s="280"/>
      <c r="N29" s="277"/>
      <c r="O29" s="278"/>
      <c r="P29" s="279">
        <f t="shared" si="24"/>
        <v>89</v>
      </c>
      <c r="Q29" s="277">
        <v>90</v>
      </c>
      <c r="R29" s="280">
        <v>88</v>
      </c>
      <c r="S29" s="281">
        <f t="shared" si="25"/>
        <v>89</v>
      </c>
      <c r="T29" s="295" t="str">
        <f t="shared" si="26"/>
        <v>B</v>
      </c>
      <c r="U29" s="1215">
        <f t="shared" si="7"/>
        <v>90.01</v>
      </c>
      <c r="V29" s="1216">
        <f t="shared" si="7"/>
        <v>88.02</v>
      </c>
      <c r="W29" s="1216" t="str">
        <f t="shared" si="7"/>
        <v/>
      </c>
      <c r="X29" s="1216" t="str">
        <f t="shared" si="7"/>
        <v/>
      </c>
      <c r="Y29" s="1216" t="str">
        <f t="shared" si="7"/>
        <v/>
      </c>
      <c r="Z29" s="1216" t="str">
        <f t="shared" si="7"/>
        <v/>
      </c>
      <c r="AA29" s="1216" t="str">
        <f t="shared" si="7"/>
        <v/>
      </c>
      <c r="AB29" s="1217" t="str">
        <f t="shared" si="7"/>
        <v/>
      </c>
      <c r="AC29" s="1216" t="str">
        <f t="shared" si="7"/>
        <v/>
      </c>
      <c r="AD29" s="1218" t="str">
        <f t="shared" si="7"/>
        <v/>
      </c>
      <c r="AE29" s="1219">
        <f t="shared" si="27"/>
        <v>90.01</v>
      </c>
      <c r="AF29" s="282">
        <f t="shared" si="28"/>
        <v>88.02</v>
      </c>
      <c r="AG29" s="282" t="str">
        <f t="shared" si="29"/>
        <v>baik</v>
      </c>
      <c r="AH29" s="282" t="str">
        <f t="shared" si="10"/>
        <v>baik</v>
      </c>
      <c r="AI29" s="282">
        <f t="shared" si="30"/>
        <v>1</v>
      </c>
      <c r="AJ29" s="283">
        <f t="shared" si="31"/>
        <v>2</v>
      </c>
      <c r="AK29" s="284" t="str">
        <f t="shared" si="32"/>
        <v>Memiliki kemampuan baik dalam menganalisis permasalahan sosial di masyarakat  dan memahami berbagai metode penelitian di masyarakat</v>
      </c>
      <c r="AL29" s="276">
        <v>85</v>
      </c>
      <c r="AM29" s="277">
        <v>85</v>
      </c>
      <c r="AN29" s="277"/>
      <c r="AO29" s="277"/>
      <c r="AP29" s="277"/>
      <c r="AQ29" s="277"/>
      <c r="AR29" s="277"/>
      <c r="AS29" s="280"/>
      <c r="AT29" s="277"/>
      <c r="AU29" s="278"/>
      <c r="AV29" s="285">
        <f t="shared" si="33"/>
        <v>85</v>
      </c>
      <c r="AW29" s="296" t="str">
        <f t="shared" si="34"/>
        <v>B</v>
      </c>
      <c r="AX29" s="1220">
        <f t="shared" si="16"/>
        <v>85.01</v>
      </c>
      <c r="AY29" s="1221">
        <f t="shared" si="16"/>
        <v>85.02</v>
      </c>
      <c r="AZ29" s="1221" t="str">
        <f t="shared" si="16"/>
        <v/>
      </c>
      <c r="BA29" s="1221" t="str">
        <f t="shared" si="16"/>
        <v/>
      </c>
      <c r="BB29" s="1221" t="str">
        <f t="shared" si="16"/>
        <v/>
      </c>
      <c r="BC29" s="1221" t="str">
        <f t="shared" si="16"/>
        <v/>
      </c>
      <c r="BD29" s="1221" t="str">
        <f t="shared" si="16"/>
        <v/>
      </c>
      <c r="BE29" s="1222" t="str">
        <f t="shared" si="16"/>
        <v/>
      </c>
      <c r="BF29" s="1221" t="str">
        <f t="shared" si="16"/>
        <v/>
      </c>
      <c r="BG29" s="1223" t="str">
        <f t="shared" si="16"/>
        <v/>
      </c>
      <c r="BH29" s="286">
        <f t="shared" si="35"/>
        <v>85.02</v>
      </c>
      <c r="BI29" s="286">
        <f t="shared" si="36"/>
        <v>85.01</v>
      </c>
      <c r="BJ29" s="287" t="str">
        <f t="shared" si="37"/>
        <v>baik</v>
      </c>
      <c r="BK29" s="287" t="str">
        <f t="shared" si="37"/>
        <v>baik</v>
      </c>
      <c r="BL29" s="286">
        <f t="shared" si="38"/>
        <v>2</v>
      </c>
      <c r="BM29" s="288">
        <f t="shared" si="39"/>
        <v>1</v>
      </c>
      <c r="BN29" s="289" t="str">
        <f t="shared" si="40"/>
        <v>Memiliki keterampilan baik dalam melakukan penelitian sederhana yang terjadi di masyarakat dan memberiakan respon dalam mengatasi permasalahan sosial</v>
      </c>
      <c r="BO29" s="67"/>
    </row>
    <row r="30" spans="1:67" ht="33" customHeight="1">
      <c r="A30" s="67"/>
      <c r="B30" s="272">
        <f t="shared" si="23"/>
        <v>17</v>
      </c>
      <c r="C30" s="273">
        <f>IF(Data!F21="","",Data!F21)</f>
        <v>0</v>
      </c>
      <c r="D30" s="274" t="str">
        <f>IF(Data!H21="","",Data!H21)</f>
        <v xml:space="preserve">Hezron Nubatonis </v>
      </c>
      <c r="E30" s="275" t="str">
        <f>IF(Data!I21="","",Data!I21)</f>
        <v>L</v>
      </c>
      <c r="F30" s="276">
        <v>80</v>
      </c>
      <c r="G30" s="277">
        <v>75</v>
      </c>
      <c r="H30" s="277"/>
      <c r="I30" s="277"/>
      <c r="J30" s="277"/>
      <c r="K30" s="277"/>
      <c r="L30" s="277"/>
      <c r="M30" s="280"/>
      <c r="N30" s="277"/>
      <c r="O30" s="278"/>
      <c r="P30" s="279">
        <f t="shared" si="24"/>
        <v>78</v>
      </c>
      <c r="Q30" s="277">
        <v>80</v>
      </c>
      <c r="R30" s="280">
        <v>80</v>
      </c>
      <c r="S30" s="281">
        <f t="shared" si="25"/>
        <v>79</v>
      </c>
      <c r="T30" s="295" t="str">
        <f t="shared" si="26"/>
        <v>C</v>
      </c>
      <c r="U30" s="1215">
        <f t="shared" ref="U30:AD55" si="41">IF(F30="","",F30+U$13)</f>
        <v>80.010000000000005</v>
      </c>
      <c r="V30" s="1216">
        <f t="shared" si="41"/>
        <v>75.02</v>
      </c>
      <c r="W30" s="1216" t="str">
        <f t="shared" si="41"/>
        <v/>
      </c>
      <c r="X30" s="1216" t="str">
        <f t="shared" si="41"/>
        <v/>
      </c>
      <c r="Y30" s="1216" t="str">
        <f t="shared" si="41"/>
        <v/>
      </c>
      <c r="Z30" s="1216" t="str">
        <f t="shared" si="41"/>
        <v/>
      </c>
      <c r="AA30" s="1216" t="str">
        <f t="shared" si="41"/>
        <v/>
      </c>
      <c r="AB30" s="1217" t="str">
        <f t="shared" si="41"/>
        <v/>
      </c>
      <c r="AC30" s="1216" t="str">
        <f t="shared" si="41"/>
        <v/>
      </c>
      <c r="AD30" s="1218" t="str">
        <f t="shared" si="41"/>
        <v/>
      </c>
      <c r="AE30" s="1219">
        <f t="shared" si="27"/>
        <v>80.010000000000005</v>
      </c>
      <c r="AF30" s="282">
        <f t="shared" si="28"/>
        <v>75.02</v>
      </c>
      <c r="AG30" s="282" t="str">
        <f t="shared" si="29"/>
        <v>cukup</v>
      </c>
      <c r="AH30" s="282" t="str">
        <f t="shared" si="29"/>
        <v>perlu dimaksimalkan</v>
      </c>
      <c r="AI30" s="282">
        <f t="shared" si="30"/>
        <v>1</v>
      </c>
      <c r="AJ30" s="283">
        <f t="shared" si="31"/>
        <v>2</v>
      </c>
      <c r="AK30" s="284" t="str">
        <f t="shared" si="32"/>
        <v>Memiliki kemampuan cukup dalam menganalisis permasalahan sosial di masyarakat , perlu dimaksimalkan kemampuan dalam memahami berbagai metode penelitian di masyarakat</v>
      </c>
      <c r="AL30" s="276">
        <v>80</v>
      </c>
      <c r="AM30" s="277">
        <v>80</v>
      </c>
      <c r="AN30" s="277"/>
      <c r="AO30" s="277"/>
      <c r="AP30" s="277"/>
      <c r="AQ30" s="277"/>
      <c r="AR30" s="277"/>
      <c r="AS30" s="280"/>
      <c r="AT30" s="277"/>
      <c r="AU30" s="278"/>
      <c r="AV30" s="285">
        <f t="shared" si="33"/>
        <v>80</v>
      </c>
      <c r="AW30" s="296" t="str">
        <f t="shared" si="34"/>
        <v>C</v>
      </c>
      <c r="AX30" s="1220">
        <f t="shared" ref="AX30:BG55" si="42">IF(AL30="","",AL30+AX$12)</f>
        <v>80.010000000000005</v>
      </c>
      <c r="AY30" s="1221">
        <f t="shared" si="42"/>
        <v>80.02</v>
      </c>
      <c r="AZ30" s="1221" t="str">
        <f t="shared" si="42"/>
        <v/>
      </c>
      <c r="BA30" s="1221" t="str">
        <f t="shared" si="42"/>
        <v/>
      </c>
      <c r="BB30" s="1221" t="str">
        <f t="shared" si="42"/>
        <v/>
      </c>
      <c r="BC30" s="1221" t="str">
        <f t="shared" si="42"/>
        <v/>
      </c>
      <c r="BD30" s="1221" t="str">
        <f t="shared" si="42"/>
        <v/>
      </c>
      <c r="BE30" s="1222" t="str">
        <f t="shared" si="42"/>
        <v/>
      </c>
      <c r="BF30" s="1221" t="str">
        <f t="shared" si="42"/>
        <v/>
      </c>
      <c r="BG30" s="1223" t="str">
        <f t="shared" si="42"/>
        <v/>
      </c>
      <c r="BH30" s="286">
        <f t="shared" si="35"/>
        <v>80.02</v>
      </c>
      <c r="BI30" s="286">
        <f t="shared" si="36"/>
        <v>80.010000000000005</v>
      </c>
      <c r="BJ30" s="287" t="str">
        <f t="shared" si="37"/>
        <v>cukup</v>
      </c>
      <c r="BK30" s="287" t="str">
        <f t="shared" si="37"/>
        <v>cukup</v>
      </c>
      <c r="BL30" s="286">
        <f t="shared" si="38"/>
        <v>2</v>
      </c>
      <c r="BM30" s="288">
        <f t="shared" si="39"/>
        <v>1</v>
      </c>
      <c r="BN30" s="289" t="str">
        <f t="shared" si="40"/>
        <v>Memiliki keterampilan cukup dalam melakukan penelitian sederhana yang terjadi di masyarakat dan memberiakan respon dalam mengatasi permasalahan sosial</v>
      </c>
      <c r="BO30" s="67"/>
    </row>
    <row r="31" spans="1:67" ht="33" customHeight="1">
      <c r="A31" s="67"/>
      <c r="B31" s="272">
        <f t="shared" si="23"/>
        <v>18</v>
      </c>
      <c r="C31" s="273">
        <f>IF(Data!F22="","",Data!F22)</f>
        <v>0</v>
      </c>
      <c r="D31" s="274" t="str">
        <f>IF(Data!H22="","",Data!H22)</f>
        <v>Jelita Anita Boimau</v>
      </c>
      <c r="E31" s="275" t="str">
        <f>IF(Data!I22="","",Data!I22)</f>
        <v>P</v>
      </c>
      <c r="F31" s="276">
        <v>90</v>
      </c>
      <c r="G31" s="277">
        <v>88</v>
      </c>
      <c r="H31" s="277"/>
      <c r="I31" s="277"/>
      <c r="J31" s="277"/>
      <c r="K31" s="277"/>
      <c r="L31" s="277"/>
      <c r="M31" s="280"/>
      <c r="N31" s="277"/>
      <c r="O31" s="278"/>
      <c r="P31" s="279">
        <f t="shared" si="24"/>
        <v>89</v>
      </c>
      <c r="Q31" s="277">
        <v>90</v>
      </c>
      <c r="R31" s="280">
        <v>88</v>
      </c>
      <c r="S31" s="281">
        <f t="shared" si="25"/>
        <v>89</v>
      </c>
      <c r="T31" s="295" t="str">
        <f t="shared" si="26"/>
        <v>B</v>
      </c>
      <c r="U31" s="1215">
        <f t="shared" si="41"/>
        <v>90.01</v>
      </c>
      <c r="V31" s="1216">
        <f t="shared" si="41"/>
        <v>88.02</v>
      </c>
      <c r="W31" s="1216" t="str">
        <f t="shared" si="41"/>
        <v/>
      </c>
      <c r="X31" s="1216" t="str">
        <f t="shared" si="41"/>
        <v/>
      </c>
      <c r="Y31" s="1216" t="str">
        <f t="shared" si="41"/>
        <v/>
      </c>
      <c r="Z31" s="1216" t="str">
        <f t="shared" si="41"/>
        <v/>
      </c>
      <c r="AA31" s="1216" t="str">
        <f t="shared" si="41"/>
        <v/>
      </c>
      <c r="AB31" s="1217" t="str">
        <f t="shared" si="41"/>
        <v/>
      </c>
      <c r="AC31" s="1216" t="str">
        <f t="shared" si="41"/>
        <v/>
      </c>
      <c r="AD31" s="1218" t="str">
        <f t="shared" si="41"/>
        <v/>
      </c>
      <c r="AE31" s="1219">
        <f t="shared" si="27"/>
        <v>90.01</v>
      </c>
      <c r="AF31" s="282">
        <f t="shared" si="28"/>
        <v>88.02</v>
      </c>
      <c r="AG31" s="282" t="str">
        <f t="shared" si="29"/>
        <v>baik</v>
      </c>
      <c r="AH31" s="282" t="str">
        <f t="shared" si="29"/>
        <v>baik</v>
      </c>
      <c r="AI31" s="282">
        <f t="shared" si="30"/>
        <v>1</v>
      </c>
      <c r="AJ31" s="283">
        <f t="shared" si="31"/>
        <v>2</v>
      </c>
      <c r="AK31" s="284" t="str">
        <f t="shared" si="32"/>
        <v>Memiliki kemampuan baik dalam menganalisis permasalahan sosial di masyarakat  dan memahami berbagai metode penelitian di masyarakat</v>
      </c>
      <c r="AL31" s="276">
        <v>85</v>
      </c>
      <c r="AM31" s="277">
        <v>85</v>
      </c>
      <c r="AN31" s="277"/>
      <c r="AO31" s="277"/>
      <c r="AP31" s="277"/>
      <c r="AQ31" s="277"/>
      <c r="AR31" s="277"/>
      <c r="AS31" s="280"/>
      <c r="AT31" s="277"/>
      <c r="AU31" s="278"/>
      <c r="AV31" s="285">
        <f t="shared" si="33"/>
        <v>85</v>
      </c>
      <c r="AW31" s="296" t="str">
        <f t="shared" si="34"/>
        <v>B</v>
      </c>
      <c r="AX31" s="1220">
        <f t="shared" si="42"/>
        <v>85.01</v>
      </c>
      <c r="AY31" s="1221">
        <f t="shared" si="42"/>
        <v>85.02</v>
      </c>
      <c r="AZ31" s="1221" t="str">
        <f t="shared" si="42"/>
        <v/>
      </c>
      <c r="BA31" s="1221" t="str">
        <f t="shared" si="42"/>
        <v/>
      </c>
      <c r="BB31" s="1221" t="str">
        <f t="shared" si="42"/>
        <v/>
      </c>
      <c r="BC31" s="1221" t="str">
        <f t="shared" si="42"/>
        <v/>
      </c>
      <c r="BD31" s="1221" t="str">
        <f t="shared" si="42"/>
        <v/>
      </c>
      <c r="BE31" s="1222" t="str">
        <f t="shared" si="42"/>
        <v/>
      </c>
      <c r="BF31" s="1221" t="str">
        <f t="shared" si="42"/>
        <v/>
      </c>
      <c r="BG31" s="1223" t="str">
        <f t="shared" si="42"/>
        <v/>
      </c>
      <c r="BH31" s="286">
        <f t="shared" si="35"/>
        <v>85.02</v>
      </c>
      <c r="BI31" s="286">
        <f t="shared" si="36"/>
        <v>85.01</v>
      </c>
      <c r="BJ31" s="287" t="str">
        <f t="shared" si="37"/>
        <v>baik</v>
      </c>
      <c r="BK31" s="287" t="str">
        <f t="shared" si="37"/>
        <v>baik</v>
      </c>
      <c r="BL31" s="286">
        <f t="shared" si="38"/>
        <v>2</v>
      </c>
      <c r="BM31" s="288">
        <f t="shared" si="39"/>
        <v>1</v>
      </c>
      <c r="BN31" s="289" t="str">
        <f t="shared" si="40"/>
        <v>Memiliki keterampilan baik dalam melakukan penelitian sederhana yang terjadi di masyarakat dan memberiakan respon dalam mengatasi permasalahan sosial</v>
      </c>
      <c r="BO31" s="67"/>
    </row>
    <row r="32" spans="1:67" ht="33" customHeight="1">
      <c r="A32" s="67"/>
      <c r="B32" s="272">
        <f t="shared" si="23"/>
        <v>19</v>
      </c>
      <c r="C32" s="273">
        <f>IF(Data!F23="","",Data!F23)</f>
        <v>0</v>
      </c>
      <c r="D32" s="274" t="str">
        <f>IF(Data!H23="","",Data!H23)</f>
        <v>Jidon Nubatonis</v>
      </c>
      <c r="E32" s="275" t="str">
        <f>IF(Data!I23="","",Data!I23)</f>
        <v>L</v>
      </c>
      <c r="F32" s="276">
        <v>85</v>
      </c>
      <c r="G32" s="277">
        <v>85</v>
      </c>
      <c r="H32" s="277"/>
      <c r="I32" s="277"/>
      <c r="J32" s="277"/>
      <c r="K32" s="277"/>
      <c r="L32" s="277"/>
      <c r="M32" s="280"/>
      <c r="N32" s="277"/>
      <c r="O32" s="278"/>
      <c r="P32" s="279">
        <f t="shared" si="24"/>
        <v>85</v>
      </c>
      <c r="Q32" s="277">
        <v>80</v>
      </c>
      <c r="R32" s="280">
        <v>85</v>
      </c>
      <c r="S32" s="281">
        <f t="shared" si="25"/>
        <v>84</v>
      </c>
      <c r="T32" s="295" t="str">
        <f t="shared" si="26"/>
        <v>C</v>
      </c>
      <c r="U32" s="1215">
        <f t="shared" si="41"/>
        <v>85.01</v>
      </c>
      <c r="V32" s="1216">
        <f t="shared" si="41"/>
        <v>85.02</v>
      </c>
      <c r="W32" s="1216" t="str">
        <f t="shared" si="41"/>
        <v/>
      </c>
      <c r="X32" s="1216" t="str">
        <f t="shared" si="41"/>
        <v/>
      </c>
      <c r="Y32" s="1216" t="str">
        <f t="shared" si="41"/>
        <v/>
      </c>
      <c r="Z32" s="1216" t="str">
        <f t="shared" si="41"/>
        <v/>
      </c>
      <c r="AA32" s="1216" t="str">
        <f t="shared" si="41"/>
        <v/>
      </c>
      <c r="AB32" s="1217" t="str">
        <f t="shared" si="41"/>
        <v/>
      </c>
      <c r="AC32" s="1216" t="str">
        <f t="shared" si="41"/>
        <v/>
      </c>
      <c r="AD32" s="1218" t="str">
        <f t="shared" si="41"/>
        <v/>
      </c>
      <c r="AE32" s="1219">
        <f t="shared" si="27"/>
        <v>85.02</v>
      </c>
      <c r="AF32" s="282">
        <f t="shared" si="28"/>
        <v>85.01</v>
      </c>
      <c r="AG32" s="282" t="str">
        <f t="shared" si="29"/>
        <v>baik</v>
      </c>
      <c r="AH32" s="282" t="str">
        <f t="shared" si="29"/>
        <v>baik</v>
      </c>
      <c r="AI32" s="282">
        <f t="shared" si="30"/>
        <v>2</v>
      </c>
      <c r="AJ32" s="283">
        <f t="shared" si="31"/>
        <v>1</v>
      </c>
      <c r="AK32" s="284" t="str">
        <f t="shared" si="32"/>
        <v xml:space="preserve">Memiliki kemampuan baik dalam memahami berbagai metode penelitian di masyarakat dan menganalisis permasalahan sosial di masyarakat </v>
      </c>
      <c r="AL32" s="276">
        <v>80</v>
      </c>
      <c r="AM32" s="277">
        <v>80</v>
      </c>
      <c r="AN32" s="277"/>
      <c r="AO32" s="277"/>
      <c r="AP32" s="277"/>
      <c r="AQ32" s="277"/>
      <c r="AR32" s="277"/>
      <c r="AS32" s="280"/>
      <c r="AT32" s="277"/>
      <c r="AU32" s="278"/>
      <c r="AV32" s="285">
        <f t="shared" si="33"/>
        <v>80</v>
      </c>
      <c r="AW32" s="296" t="str">
        <f t="shared" si="34"/>
        <v>C</v>
      </c>
      <c r="AX32" s="1220">
        <f t="shared" si="42"/>
        <v>80.010000000000005</v>
      </c>
      <c r="AY32" s="1221">
        <f t="shared" si="42"/>
        <v>80.02</v>
      </c>
      <c r="AZ32" s="1221" t="str">
        <f t="shared" si="42"/>
        <v/>
      </c>
      <c r="BA32" s="1221" t="str">
        <f t="shared" si="42"/>
        <v/>
      </c>
      <c r="BB32" s="1221" t="str">
        <f t="shared" si="42"/>
        <v/>
      </c>
      <c r="BC32" s="1221" t="str">
        <f t="shared" si="42"/>
        <v/>
      </c>
      <c r="BD32" s="1221" t="str">
        <f t="shared" si="42"/>
        <v/>
      </c>
      <c r="BE32" s="1222" t="str">
        <f t="shared" si="42"/>
        <v/>
      </c>
      <c r="BF32" s="1221" t="str">
        <f t="shared" si="42"/>
        <v/>
      </c>
      <c r="BG32" s="1223" t="str">
        <f t="shared" si="42"/>
        <v/>
      </c>
      <c r="BH32" s="286">
        <f t="shared" si="35"/>
        <v>80.02</v>
      </c>
      <c r="BI32" s="286">
        <f t="shared" si="36"/>
        <v>80.010000000000005</v>
      </c>
      <c r="BJ32" s="287" t="str">
        <f t="shared" si="37"/>
        <v>cukup</v>
      </c>
      <c r="BK32" s="287" t="str">
        <f t="shared" si="37"/>
        <v>cukup</v>
      </c>
      <c r="BL32" s="286">
        <f t="shared" si="38"/>
        <v>2</v>
      </c>
      <c r="BM32" s="288">
        <f t="shared" si="39"/>
        <v>1</v>
      </c>
      <c r="BN32" s="289" t="str">
        <f t="shared" si="40"/>
        <v>Memiliki keterampilan cukup dalam melakukan penelitian sederhana yang terjadi di masyarakat dan memberiakan respon dalam mengatasi permasalahan sosial</v>
      </c>
      <c r="BO32" s="67"/>
    </row>
    <row r="33" spans="1:67" ht="33" customHeight="1">
      <c r="A33" s="67"/>
      <c r="B33" s="272">
        <f t="shared" si="23"/>
        <v>20</v>
      </c>
      <c r="C33" s="273">
        <f>IF(Data!F24="","",Data!F24)</f>
        <v>0</v>
      </c>
      <c r="D33" s="274" t="str">
        <f>IF(Data!H24="","",Data!H24)</f>
        <v>Jitro Andro Baran</v>
      </c>
      <c r="E33" s="275" t="str">
        <f>IF(Data!I24="","",Data!I24)</f>
        <v>L</v>
      </c>
      <c r="F33" s="276">
        <v>90</v>
      </c>
      <c r="G33" s="277">
        <v>85</v>
      </c>
      <c r="H33" s="277"/>
      <c r="I33" s="277"/>
      <c r="J33" s="277"/>
      <c r="K33" s="277"/>
      <c r="L33" s="277"/>
      <c r="M33" s="280"/>
      <c r="N33" s="277"/>
      <c r="O33" s="278"/>
      <c r="P33" s="279">
        <f t="shared" si="24"/>
        <v>88</v>
      </c>
      <c r="Q33" s="277">
        <v>90</v>
      </c>
      <c r="R33" s="280">
        <v>85</v>
      </c>
      <c r="S33" s="281">
        <f t="shared" si="25"/>
        <v>88</v>
      </c>
      <c r="T33" s="295" t="str">
        <f t="shared" si="26"/>
        <v>B</v>
      </c>
      <c r="U33" s="1215">
        <f t="shared" si="41"/>
        <v>90.01</v>
      </c>
      <c r="V33" s="1216">
        <f t="shared" si="41"/>
        <v>85.02</v>
      </c>
      <c r="W33" s="1216" t="str">
        <f t="shared" si="41"/>
        <v/>
      </c>
      <c r="X33" s="1216" t="str">
        <f t="shared" si="41"/>
        <v/>
      </c>
      <c r="Y33" s="1216" t="str">
        <f t="shared" si="41"/>
        <v/>
      </c>
      <c r="Z33" s="1216" t="str">
        <f t="shared" si="41"/>
        <v/>
      </c>
      <c r="AA33" s="1216" t="str">
        <f t="shared" si="41"/>
        <v/>
      </c>
      <c r="AB33" s="1217" t="str">
        <f t="shared" si="41"/>
        <v/>
      </c>
      <c r="AC33" s="1216" t="str">
        <f t="shared" si="41"/>
        <v/>
      </c>
      <c r="AD33" s="1218" t="str">
        <f t="shared" si="41"/>
        <v/>
      </c>
      <c r="AE33" s="1219">
        <f t="shared" si="27"/>
        <v>90.01</v>
      </c>
      <c r="AF33" s="282">
        <f t="shared" si="28"/>
        <v>85.02</v>
      </c>
      <c r="AG33" s="282" t="str">
        <f t="shared" si="29"/>
        <v>baik</v>
      </c>
      <c r="AH33" s="282" t="str">
        <f t="shared" si="29"/>
        <v>baik</v>
      </c>
      <c r="AI33" s="282">
        <f t="shared" si="30"/>
        <v>1</v>
      </c>
      <c r="AJ33" s="283">
        <f t="shared" si="31"/>
        <v>2</v>
      </c>
      <c r="AK33" s="284" t="str">
        <f t="shared" si="32"/>
        <v>Memiliki kemampuan baik dalam menganalisis permasalahan sosial di masyarakat  dan memahami berbagai metode penelitian di masyarakat</v>
      </c>
      <c r="AL33" s="276">
        <v>85</v>
      </c>
      <c r="AM33" s="277">
        <v>85</v>
      </c>
      <c r="AN33" s="277"/>
      <c r="AO33" s="277"/>
      <c r="AP33" s="277"/>
      <c r="AQ33" s="277"/>
      <c r="AR33" s="277"/>
      <c r="AS33" s="280"/>
      <c r="AT33" s="277"/>
      <c r="AU33" s="278"/>
      <c r="AV33" s="285">
        <f t="shared" si="33"/>
        <v>85</v>
      </c>
      <c r="AW33" s="296" t="str">
        <f t="shared" si="34"/>
        <v>B</v>
      </c>
      <c r="AX33" s="1220">
        <f t="shared" si="42"/>
        <v>85.01</v>
      </c>
      <c r="AY33" s="1221">
        <f t="shared" si="42"/>
        <v>85.02</v>
      </c>
      <c r="AZ33" s="1221" t="str">
        <f t="shared" si="42"/>
        <v/>
      </c>
      <c r="BA33" s="1221" t="str">
        <f t="shared" si="42"/>
        <v/>
      </c>
      <c r="BB33" s="1221" t="str">
        <f t="shared" si="42"/>
        <v/>
      </c>
      <c r="BC33" s="1221" t="str">
        <f t="shared" si="42"/>
        <v/>
      </c>
      <c r="BD33" s="1221" t="str">
        <f t="shared" si="42"/>
        <v/>
      </c>
      <c r="BE33" s="1222" t="str">
        <f t="shared" si="42"/>
        <v/>
      </c>
      <c r="BF33" s="1221" t="str">
        <f t="shared" si="42"/>
        <v/>
      </c>
      <c r="BG33" s="1223" t="str">
        <f t="shared" si="42"/>
        <v/>
      </c>
      <c r="BH33" s="286">
        <f t="shared" si="35"/>
        <v>85.02</v>
      </c>
      <c r="BI33" s="286">
        <f t="shared" si="36"/>
        <v>85.01</v>
      </c>
      <c r="BJ33" s="287" t="str">
        <f t="shared" si="37"/>
        <v>baik</v>
      </c>
      <c r="BK33" s="287" t="str">
        <f t="shared" si="37"/>
        <v>baik</v>
      </c>
      <c r="BL33" s="286">
        <f t="shared" si="38"/>
        <v>2</v>
      </c>
      <c r="BM33" s="288">
        <f t="shared" si="39"/>
        <v>1</v>
      </c>
      <c r="BN33" s="289" t="str">
        <f t="shared" si="40"/>
        <v>Memiliki keterampilan baik dalam melakukan penelitian sederhana yang terjadi di masyarakat dan memberiakan respon dalam mengatasi permasalahan sosial</v>
      </c>
      <c r="BO33" s="67"/>
    </row>
    <row r="34" spans="1:67" ht="33" customHeight="1">
      <c r="A34" s="67"/>
      <c r="B34" s="272">
        <f t="shared" si="23"/>
        <v>21</v>
      </c>
      <c r="C34" s="273">
        <f>IF(Data!F25="","",Data!F25)</f>
        <v>0</v>
      </c>
      <c r="D34" s="274" t="str">
        <f>IF(Data!H25="","",Data!H25)</f>
        <v>Juan Manuel Boys</v>
      </c>
      <c r="E34" s="275" t="str">
        <f>IF(Data!I25="","",Data!I25)</f>
        <v>L</v>
      </c>
      <c r="F34" s="276">
        <v>90</v>
      </c>
      <c r="G34" s="277">
        <v>85</v>
      </c>
      <c r="H34" s="277"/>
      <c r="I34" s="277"/>
      <c r="J34" s="277"/>
      <c r="K34" s="277"/>
      <c r="L34" s="277"/>
      <c r="M34" s="280"/>
      <c r="N34" s="277"/>
      <c r="O34" s="278"/>
      <c r="P34" s="279">
        <f t="shared" si="24"/>
        <v>88</v>
      </c>
      <c r="Q34" s="277">
        <v>90</v>
      </c>
      <c r="R34" s="280">
        <v>88</v>
      </c>
      <c r="S34" s="281">
        <f t="shared" si="25"/>
        <v>89</v>
      </c>
      <c r="T34" s="295" t="str">
        <f t="shared" si="26"/>
        <v>B</v>
      </c>
      <c r="U34" s="1215">
        <f t="shared" si="41"/>
        <v>90.01</v>
      </c>
      <c r="V34" s="1216">
        <f t="shared" si="41"/>
        <v>85.02</v>
      </c>
      <c r="W34" s="1216" t="str">
        <f t="shared" si="41"/>
        <v/>
      </c>
      <c r="X34" s="1216" t="str">
        <f t="shared" si="41"/>
        <v/>
      </c>
      <c r="Y34" s="1216" t="str">
        <f t="shared" si="41"/>
        <v/>
      </c>
      <c r="Z34" s="1216" t="str">
        <f t="shared" si="41"/>
        <v/>
      </c>
      <c r="AA34" s="1216" t="str">
        <f t="shared" si="41"/>
        <v/>
      </c>
      <c r="AB34" s="1217" t="str">
        <f t="shared" si="41"/>
        <v/>
      </c>
      <c r="AC34" s="1216" t="str">
        <f t="shared" si="41"/>
        <v/>
      </c>
      <c r="AD34" s="1218" t="str">
        <f t="shared" si="41"/>
        <v/>
      </c>
      <c r="AE34" s="1219">
        <f t="shared" si="27"/>
        <v>90.01</v>
      </c>
      <c r="AF34" s="282">
        <f t="shared" si="28"/>
        <v>85.02</v>
      </c>
      <c r="AG34" s="282" t="str">
        <f t="shared" si="29"/>
        <v>baik</v>
      </c>
      <c r="AH34" s="282" t="str">
        <f t="shared" si="29"/>
        <v>baik</v>
      </c>
      <c r="AI34" s="282">
        <f t="shared" si="30"/>
        <v>1</v>
      </c>
      <c r="AJ34" s="283">
        <f t="shared" si="31"/>
        <v>2</v>
      </c>
      <c r="AK34" s="284" t="str">
        <f t="shared" si="32"/>
        <v>Memiliki kemampuan baik dalam menganalisis permasalahan sosial di masyarakat  dan memahami berbagai metode penelitian di masyarakat</v>
      </c>
      <c r="AL34" s="276">
        <v>85</v>
      </c>
      <c r="AM34" s="277">
        <v>85</v>
      </c>
      <c r="AN34" s="277"/>
      <c r="AO34" s="277"/>
      <c r="AP34" s="277"/>
      <c r="AQ34" s="277"/>
      <c r="AR34" s="277"/>
      <c r="AS34" s="280"/>
      <c r="AT34" s="277"/>
      <c r="AU34" s="278"/>
      <c r="AV34" s="285">
        <f t="shared" si="33"/>
        <v>85</v>
      </c>
      <c r="AW34" s="296" t="str">
        <f t="shared" si="34"/>
        <v>B</v>
      </c>
      <c r="AX34" s="1220">
        <f t="shared" si="42"/>
        <v>85.01</v>
      </c>
      <c r="AY34" s="1221">
        <f t="shared" si="42"/>
        <v>85.02</v>
      </c>
      <c r="AZ34" s="1221" t="str">
        <f t="shared" si="42"/>
        <v/>
      </c>
      <c r="BA34" s="1221" t="str">
        <f t="shared" si="42"/>
        <v/>
      </c>
      <c r="BB34" s="1221" t="str">
        <f t="shared" si="42"/>
        <v/>
      </c>
      <c r="BC34" s="1221" t="str">
        <f t="shared" si="42"/>
        <v/>
      </c>
      <c r="BD34" s="1221" t="str">
        <f t="shared" si="42"/>
        <v/>
      </c>
      <c r="BE34" s="1222" t="str">
        <f t="shared" si="42"/>
        <v/>
      </c>
      <c r="BF34" s="1221" t="str">
        <f t="shared" si="42"/>
        <v/>
      </c>
      <c r="BG34" s="1223" t="str">
        <f t="shared" si="42"/>
        <v/>
      </c>
      <c r="BH34" s="286">
        <f t="shared" si="35"/>
        <v>85.02</v>
      </c>
      <c r="BI34" s="286">
        <f t="shared" si="36"/>
        <v>85.01</v>
      </c>
      <c r="BJ34" s="287" t="str">
        <f t="shared" si="37"/>
        <v>baik</v>
      </c>
      <c r="BK34" s="287" t="str">
        <f t="shared" si="37"/>
        <v>baik</v>
      </c>
      <c r="BL34" s="286">
        <f t="shared" si="38"/>
        <v>2</v>
      </c>
      <c r="BM34" s="288">
        <f t="shared" si="39"/>
        <v>1</v>
      </c>
      <c r="BN34" s="289" t="str">
        <f t="shared" si="40"/>
        <v>Memiliki keterampilan baik dalam melakukan penelitian sederhana yang terjadi di masyarakat dan memberiakan respon dalam mengatasi permasalahan sosial</v>
      </c>
      <c r="BO34" s="67"/>
    </row>
    <row r="35" spans="1:67" ht="33" customHeight="1">
      <c r="A35" s="67"/>
      <c r="B35" s="272">
        <f t="shared" si="23"/>
        <v>22</v>
      </c>
      <c r="C35" s="273">
        <f>IF(Data!F26="","",Data!F26)</f>
        <v>0</v>
      </c>
      <c r="D35" s="274" t="str">
        <f>IF(Data!H26="","",Data!H26)</f>
        <v>Krisyanti Ernela Kesnay</v>
      </c>
      <c r="E35" s="275" t="str">
        <f>IF(Data!I26="","",Data!I26)</f>
        <v>P</v>
      </c>
      <c r="F35" s="276">
        <v>90</v>
      </c>
      <c r="G35" s="277">
        <v>88</v>
      </c>
      <c r="H35" s="277"/>
      <c r="I35" s="277"/>
      <c r="J35" s="277"/>
      <c r="K35" s="277"/>
      <c r="L35" s="277"/>
      <c r="M35" s="280"/>
      <c r="N35" s="277"/>
      <c r="O35" s="278"/>
      <c r="P35" s="279">
        <f t="shared" si="24"/>
        <v>89</v>
      </c>
      <c r="Q35" s="277">
        <v>90</v>
      </c>
      <c r="R35" s="280">
        <v>88</v>
      </c>
      <c r="S35" s="281">
        <f t="shared" si="25"/>
        <v>89</v>
      </c>
      <c r="T35" s="295" t="str">
        <f t="shared" si="26"/>
        <v>B</v>
      </c>
      <c r="U35" s="1215">
        <f t="shared" si="41"/>
        <v>90.01</v>
      </c>
      <c r="V35" s="1216">
        <f t="shared" si="41"/>
        <v>88.02</v>
      </c>
      <c r="W35" s="1216" t="str">
        <f t="shared" si="41"/>
        <v/>
      </c>
      <c r="X35" s="1216" t="str">
        <f t="shared" si="41"/>
        <v/>
      </c>
      <c r="Y35" s="1216" t="str">
        <f t="shared" si="41"/>
        <v/>
      </c>
      <c r="Z35" s="1216" t="str">
        <f t="shared" si="41"/>
        <v/>
      </c>
      <c r="AA35" s="1216" t="str">
        <f t="shared" si="41"/>
        <v/>
      </c>
      <c r="AB35" s="1217" t="str">
        <f t="shared" si="41"/>
        <v/>
      </c>
      <c r="AC35" s="1216" t="str">
        <f t="shared" si="41"/>
        <v/>
      </c>
      <c r="AD35" s="1218" t="str">
        <f t="shared" si="41"/>
        <v/>
      </c>
      <c r="AE35" s="1219">
        <f t="shared" si="27"/>
        <v>90.01</v>
      </c>
      <c r="AF35" s="282">
        <f t="shared" si="28"/>
        <v>88.02</v>
      </c>
      <c r="AG35" s="282" t="str">
        <f t="shared" si="29"/>
        <v>baik</v>
      </c>
      <c r="AH35" s="282" t="str">
        <f t="shared" si="29"/>
        <v>baik</v>
      </c>
      <c r="AI35" s="282">
        <f t="shared" si="30"/>
        <v>1</v>
      </c>
      <c r="AJ35" s="283">
        <f t="shared" si="31"/>
        <v>2</v>
      </c>
      <c r="AK35" s="284" t="str">
        <f t="shared" si="32"/>
        <v>Memiliki kemampuan baik dalam menganalisis permasalahan sosial di masyarakat  dan memahami berbagai metode penelitian di masyarakat</v>
      </c>
      <c r="AL35" s="276">
        <v>85</v>
      </c>
      <c r="AM35" s="277">
        <v>85</v>
      </c>
      <c r="AN35" s="277"/>
      <c r="AO35" s="277"/>
      <c r="AP35" s="277"/>
      <c r="AQ35" s="277"/>
      <c r="AR35" s="277"/>
      <c r="AS35" s="280"/>
      <c r="AT35" s="277"/>
      <c r="AU35" s="278"/>
      <c r="AV35" s="285">
        <f t="shared" si="33"/>
        <v>85</v>
      </c>
      <c r="AW35" s="296" t="str">
        <f t="shared" si="34"/>
        <v>B</v>
      </c>
      <c r="AX35" s="1220">
        <f t="shared" si="42"/>
        <v>85.01</v>
      </c>
      <c r="AY35" s="1221">
        <f t="shared" si="42"/>
        <v>85.02</v>
      </c>
      <c r="AZ35" s="1221" t="str">
        <f t="shared" si="42"/>
        <v/>
      </c>
      <c r="BA35" s="1221" t="str">
        <f t="shared" si="42"/>
        <v/>
      </c>
      <c r="BB35" s="1221" t="str">
        <f t="shared" si="42"/>
        <v/>
      </c>
      <c r="BC35" s="1221" t="str">
        <f t="shared" si="42"/>
        <v/>
      </c>
      <c r="BD35" s="1221" t="str">
        <f t="shared" si="42"/>
        <v/>
      </c>
      <c r="BE35" s="1222" t="str">
        <f t="shared" si="42"/>
        <v/>
      </c>
      <c r="BF35" s="1221" t="str">
        <f t="shared" si="42"/>
        <v/>
      </c>
      <c r="BG35" s="1223" t="str">
        <f t="shared" si="42"/>
        <v/>
      </c>
      <c r="BH35" s="286">
        <f t="shared" si="35"/>
        <v>85.02</v>
      </c>
      <c r="BI35" s="286">
        <f t="shared" si="36"/>
        <v>85.01</v>
      </c>
      <c r="BJ35" s="287" t="str">
        <f t="shared" si="37"/>
        <v>baik</v>
      </c>
      <c r="BK35" s="287" t="str">
        <f t="shared" si="37"/>
        <v>baik</v>
      </c>
      <c r="BL35" s="286">
        <f t="shared" si="38"/>
        <v>2</v>
      </c>
      <c r="BM35" s="288">
        <f t="shared" si="39"/>
        <v>1</v>
      </c>
      <c r="BN35" s="289" t="str">
        <f t="shared" si="40"/>
        <v>Memiliki keterampilan baik dalam melakukan penelitian sederhana yang terjadi di masyarakat dan memberiakan respon dalam mengatasi permasalahan sosial</v>
      </c>
      <c r="BO35" s="67"/>
    </row>
    <row r="36" spans="1:67" ht="33" customHeight="1">
      <c r="A36" s="67"/>
      <c r="B36" s="272">
        <f t="shared" si="23"/>
        <v>23</v>
      </c>
      <c r="C36" s="273">
        <f>IF(Data!F27="","",Data!F27)</f>
        <v>0</v>
      </c>
      <c r="D36" s="274" t="str">
        <f>IF(Data!H27="","",Data!H27)</f>
        <v>Leni Aknesia Knoan</v>
      </c>
      <c r="E36" s="275" t="str">
        <f>IF(Data!I27="","",Data!I27)</f>
        <v>P</v>
      </c>
      <c r="F36" s="276">
        <v>80</v>
      </c>
      <c r="G36" s="277">
        <v>80</v>
      </c>
      <c r="H36" s="277"/>
      <c r="I36" s="277"/>
      <c r="J36" s="277"/>
      <c r="K36" s="277"/>
      <c r="L36" s="277"/>
      <c r="M36" s="280"/>
      <c r="N36" s="277"/>
      <c r="O36" s="278"/>
      <c r="P36" s="279">
        <f t="shared" si="24"/>
        <v>80</v>
      </c>
      <c r="Q36" s="277">
        <v>75</v>
      </c>
      <c r="R36" s="280">
        <v>0</v>
      </c>
      <c r="S36" s="281">
        <f t="shared" si="25"/>
        <v>59</v>
      </c>
      <c r="T36" s="295" t="str">
        <f t="shared" si="26"/>
        <v>D</v>
      </c>
      <c r="U36" s="1215">
        <f t="shared" si="41"/>
        <v>80.010000000000005</v>
      </c>
      <c r="V36" s="1216">
        <f t="shared" si="41"/>
        <v>80.02</v>
      </c>
      <c r="W36" s="1216" t="str">
        <f t="shared" si="41"/>
        <v/>
      </c>
      <c r="X36" s="1216" t="str">
        <f t="shared" si="41"/>
        <v/>
      </c>
      <c r="Y36" s="1216" t="str">
        <f t="shared" si="41"/>
        <v/>
      </c>
      <c r="Z36" s="1216" t="str">
        <f t="shared" si="41"/>
        <v/>
      </c>
      <c r="AA36" s="1216" t="str">
        <f t="shared" si="41"/>
        <v/>
      </c>
      <c r="AB36" s="1217" t="str">
        <f t="shared" si="41"/>
        <v/>
      </c>
      <c r="AC36" s="1216" t="str">
        <f t="shared" si="41"/>
        <v/>
      </c>
      <c r="AD36" s="1218" t="str">
        <f t="shared" si="41"/>
        <v/>
      </c>
      <c r="AE36" s="1219">
        <f t="shared" si="27"/>
        <v>80.02</v>
      </c>
      <c r="AF36" s="282">
        <f t="shared" si="28"/>
        <v>80.010000000000005</v>
      </c>
      <c r="AG36" s="282" t="str">
        <f t="shared" si="29"/>
        <v>cukup</v>
      </c>
      <c r="AH36" s="282" t="str">
        <f t="shared" si="29"/>
        <v>cukup</v>
      </c>
      <c r="AI36" s="282">
        <f t="shared" si="30"/>
        <v>2</v>
      </c>
      <c r="AJ36" s="283">
        <f t="shared" si="31"/>
        <v>1</v>
      </c>
      <c r="AK36" s="284" t="str">
        <f t="shared" si="32"/>
        <v xml:space="preserve">Memiliki kemampuan cukup dalam memahami berbagai metode penelitian di masyarakat dan menganalisis permasalahan sosial di masyarakat </v>
      </c>
      <c r="AL36" s="276">
        <v>0</v>
      </c>
      <c r="AM36" s="277">
        <v>0</v>
      </c>
      <c r="AN36" s="277"/>
      <c r="AO36" s="277"/>
      <c r="AP36" s="277"/>
      <c r="AQ36" s="277"/>
      <c r="AR36" s="277"/>
      <c r="AS36" s="280"/>
      <c r="AT36" s="277"/>
      <c r="AU36" s="278"/>
      <c r="AV36" s="285">
        <f t="shared" si="33"/>
        <v>0</v>
      </c>
      <c r="AW36" s="296" t="str">
        <f t="shared" si="34"/>
        <v>D</v>
      </c>
      <c r="AX36" s="1220">
        <f t="shared" si="42"/>
        <v>0.01</v>
      </c>
      <c r="AY36" s="1221">
        <f t="shared" si="42"/>
        <v>0.02</v>
      </c>
      <c r="AZ36" s="1221" t="str">
        <f t="shared" si="42"/>
        <v/>
      </c>
      <c r="BA36" s="1221" t="str">
        <f t="shared" si="42"/>
        <v/>
      </c>
      <c r="BB36" s="1221" t="str">
        <f t="shared" si="42"/>
        <v/>
      </c>
      <c r="BC36" s="1221" t="str">
        <f t="shared" si="42"/>
        <v/>
      </c>
      <c r="BD36" s="1221" t="str">
        <f t="shared" si="42"/>
        <v/>
      </c>
      <c r="BE36" s="1222" t="str">
        <f t="shared" si="42"/>
        <v/>
      </c>
      <c r="BF36" s="1221" t="str">
        <f t="shared" si="42"/>
        <v/>
      </c>
      <c r="BG36" s="1223" t="str">
        <f t="shared" si="42"/>
        <v/>
      </c>
      <c r="BH36" s="286">
        <f t="shared" si="35"/>
        <v>0.02</v>
      </c>
      <c r="BI36" s="286">
        <f t="shared" si="36"/>
        <v>0.01</v>
      </c>
      <c r="BJ36" s="287" t="str">
        <f t="shared" si="37"/>
        <v>perlu dimaksimalkan</v>
      </c>
      <c r="BK36" s="287" t="str">
        <f t="shared" si="37"/>
        <v>perlu dimaksimalkan</v>
      </c>
      <c r="BL36" s="286">
        <f t="shared" si="38"/>
        <v>2</v>
      </c>
      <c r="BM36" s="288">
        <f t="shared" si="39"/>
        <v>1</v>
      </c>
      <c r="BN36" s="289" t="str">
        <f t="shared" si="40"/>
        <v>Memiliki keterampilan perlu dimaksimalkan dalam melakukan penelitian sederhana yang terjadi di masyarakat dan memberiakan respon dalam mengatasi permasalahan sosial</v>
      </c>
      <c r="BO36" s="67"/>
    </row>
    <row r="37" spans="1:67" ht="33" customHeight="1">
      <c r="A37" s="67"/>
      <c r="B37" s="272">
        <f t="shared" si="23"/>
        <v>24</v>
      </c>
      <c r="C37" s="273">
        <f>IF(Data!F28="","",Data!F28)</f>
        <v>0</v>
      </c>
      <c r="D37" s="274" t="str">
        <f>IF(Data!H28="","",Data!H28)</f>
        <v>Marlon Dioninsius Lalus</v>
      </c>
      <c r="E37" s="275" t="str">
        <f>IF(Data!I28="","",Data!I28)</f>
        <v>L</v>
      </c>
      <c r="F37" s="276">
        <v>90</v>
      </c>
      <c r="G37" s="277">
        <v>85</v>
      </c>
      <c r="H37" s="277"/>
      <c r="I37" s="277"/>
      <c r="J37" s="277"/>
      <c r="K37" s="277"/>
      <c r="L37" s="277"/>
      <c r="M37" s="280"/>
      <c r="N37" s="277"/>
      <c r="O37" s="278"/>
      <c r="P37" s="279">
        <f t="shared" si="24"/>
        <v>88</v>
      </c>
      <c r="Q37" s="277">
        <v>90</v>
      </c>
      <c r="R37" s="280">
        <v>88</v>
      </c>
      <c r="S37" s="281">
        <f t="shared" si="25"/>
        <v>89</v>
      </c>
      <c r="T37" s="295" t="str">
        <f t="shared" si="26"/>
        <v>B</v>
      </c>
      <c r="U37" s="1215">
        <f t="shared" si="41"/>
        <v>90.01</v>
      </c>
      <c r="V37" s="1216">
        <f t="shared" si="41"/>
        <v>85.02</v>
      </c>
      <c r="W37" s="1216" t="str">
        <f t="shared" si="41"/>
        <v/>
      </c>
      <c r="X37" s="1216" t="str">
        <f t="shared" si="41"/>
        <v/>
      </c>
      <c r="Y37" s="1216" t="str">
        <f t="shared" si="41"/>
        <v/>
      </c>
      <c r="Z37" s="1216" t="str">
        <f t="shared" si="41"/>
        <v/>
      </c>
      <c r="AA37" s="1216" t="str">
        <f t="shared" si="41"/>
        <v/>
      </c>
      <c r="AB37" s="1217" t="str">
        <f t="shared" si="41"/>
        <v/>
      </c>
      <c r="AC37" s="1216" t="str">
        <f t="shared" si="41"/>
        <v/>
      </c>
      <c r="AD37" s="1218" t="str">
        <f t="shared" si="41"/>
        <v/>
      </c>
      <c r="AE37" s="1219">
        <f t="shared" si="27"/>
        <v>90.01</v>
      </c>
      <c r="AF37" s="282">
        <f t="shared" si="28"/>
        <v>85.02</v>
      </c>
      <c r="AG37" s="282" t="str">
        <f t="shared" si="29"/>
        <v>baik</v>
      </c>
      <c r="AH37" s="282" t="str">
        <f t="shared" si="29"/>
        <v>baik</v>
      </c>
      <c r="AI37" s="282">
        <f t="shared" si="30"/>
        <v>1</v>
      </c>
      <c r="AJ37" s="283">
        <f t="shared" si="31"/>
        <v>2</v>
      </c>
      <c r="AK37" s="284" t="str">
        <f t="shared" si="32"/>
        <v>Memiliki kemampuan baik dalam menganalisis permasalahan sosial di masyarakat  dan memahami berbagai metode penelitian di masyarakat</v>
      </c>
      <c r="AL37" s="276">
        <v>85</v>
      </c>
      <c r="AM37" s="277">
        <v>85</v>
      </c>
      <c r="AN37" s="277"/>
      <c r="AO37" s="277"/>
      <c r="AP37" s="277"/>
      <c r="AQ37" s="277"/>
      <c r="AR37" s="277"/>
      <c r="AS37" s="280"/>
      <c r="AT37" s="277"/>
      <c r="AU37" s="278"/>
      <c r="AV37" s="285">
        <f t="shared" si="33"/>
        <v>85</v>
      </c>
      <c r="AW37" s="296" t="str">
        <f t="shared" si="34"/>
        <v>B</v>
      </c>
      <c r="AX37" s="1220">
        <f t="shared" si="42"/>
        <v>85.01</v>
      </c>
      <c r="AY37" s="1221">
        <f t="shared" si="42"/>
        <v>85.02</v>
      </c>
      <c r="AZ37" s="1221" t="str">
        <f t="shared" si="42"/>
        <v/>
      </c>
      <c r="BA37" s="1221" t="str">
        <f t="shared" si="42"/>
        <v/>
      </c>
      <c r="BB37" s="1221" t="str">
        <f t="shared" si="42"/>
        <v/>
      </c>
      <c r="BC37" s="1221" t="str">
        <f t="shared" si="42"/>
        <v/>
      </c>
      <c r="BD37" s="1221" t="str">
        <f t="shared" si="42"/>
        <v/>
      </c>
      <c r="BE37" s="1222" t="str">
        <f t="shared" si="42"/>
        <v/>
      </c>
      <c r="BF37" s="1221" t="str">
        <f t="shared" si="42"/>
        <v/>
      </c>
      <c r="BG37" s="1223" t="str">
        <f t="shared" si="42"/>
        <v/>
      </c>
      <c r="BH37" s="286">
        <f t="shared" si="35"/>
        <v>85.02</v>
      </c>
      <c r="BI37" s="286">
        <f t="shared" si="36"/>
        <v>85.01</v>
      </c>
      <c r="BJ37" s="287" t="str">
        <f t="shared" si="37"/>
        <v>baik</v>
      </c>
      <c r="BK37" s="287" t="str">
        <f t="shared" si="37"/>
        <v>baik</v>
      </c>
      <c r="BL37" s="286">
        <f t="shared" si="38"/>
        <v>2</v>
      </c>
      <c r="BM37" s="288">
        <f t="shared" si="39"/>
        <v>1</v>
      </c>
      <c r="BN37" s="289" t="str">
        <f t="shared" si="40"/>
        <v>Memiliki keterampilan baik dalam melakukan penelitian sederhana yang terjadi di masyarakat dan memberiakan respon dalam mengatasi permasalahan sosial</v>
      </c>
      <c r="BO37" s="67"/>
    </row>
    <row r="38" spans="1:67" ht="33" customHeight="1">
      <c r="A38" s="67"/>
      <c r="B38" s="272">
        <f t="shared" si="23"/>
        <v>25</v>
      </c>
      <c r="C38" s="273">
        <f>IF(Data!F29="","",Data!F29)</f>
        <v>0</v>
      </c>
      <c r="D38" s="274" t="str">
        <f>IF(Data!H29="","",Data!H29)</f>
        <v>Maya Trifena Niobe</v>
      </c>
      <c r="E38" s="275" t="str">
        <f>IF(Data!I29="","",Data!I29)</f>
        <v>P</v>
      </c>
      <c r="F38" s="276">
        <v>80</v>
      </c>
      <c r="G38" s="277">
        <v>80</v>
      </c>
      <c r="H38" s="277"/>
      <c r="I38" s="277"/>
      <c r="J38" s="277"/>
      <c r="K38" s="277"/>
      <c r="L38" s="277"/>
      <c r="M38" s="280"/>
      <c r="N38" s="277"/>
      <c r="O38" s="278"/>
      <c r="P38" s="279">
        <f t="shared" si="24"/>
        <v>80</v>
      </c>
      <c r="Q38" s="277">
        <v>88</v>
      </c>
      <c r="R38" s="280">
        <v>88</v>
      </c>
      <c r="S38" s="281">
        <f t="shared" si="25"/>
        <v>84</v>
      </c>
      <c r="T38" s="295" t="str">
        <f t="shared" si="26"/>
        <v>C</v>
      </c>
      <c r="U38" s="1215">
        <f t="shared" si="41"/>
        <v>80.010000000000005</v>
      </c>
      <c r="V38" s="1216">
        <f t="shared" si="41"/>
        <v>80.02</v>
      </c>
      <c r="W38" s="1216" t="str">
        <f t="shared" si="41"/>
        <v/>
      </c>
      <c r="X38" s="1216" t="str">
        <f t="shared" si="41"/>
        <v/>
      </c>
      <c r="Y38" s="1216" t="str">
        <f t="shared" si="41"/>
        <v/>
      </c>
      <c r="Z38" s="1216" t="str">
        <f t="shared" si="41"/>
        <v/>
      </c>
      <c r="AA38" s="1216" t="str">
        <f t="shared" si="41"/>
        <v/>
      </c>
      <c r="AB38" s="1217" t="str">
        <f t="shared" si="41"/>
        <v/>
      </c>
      <c r="AC38" s="1216" t="str">
        <f t="shared" si="41"/>
        <v/>
      </c>
      <c r="AD38" s="1218" t="str">
        <f t="shared" si="41"/>
        <v/>
      </c>
      <c r="AE38" s="1219">
        <f t="shared" si="27"/>
        <v>80.02</v>
      </c>
      <c r="AF38" s="282">
        <f t="shared" si="28"/>
        <v>80.010000000000005</v>
      </c>
      <c r="AG38" s="282" t="str">
        <f t="shared" si="29"/>
        <v>cukup</v>
      </c>
      <c r="AH38" s="282" t="str">
        <f t="shared" si="29"/>
        <v>cukup</v>
      </c>
      <c r="AI38" s="282">
        <f t="shared" si="30"/>
        <v>2</v>
      </c>
      <c r="AJ38" s="283">
        <f t="shared" si="31"/>
        <v>1</v>
      </c>
      <c r="AK38" s="284" t="str">
        <f t="shared" si="32"/>
        <v xml:space="preserve">Memiliki kemampuan cukup dalam memahami berbagai metode penelitian di masyarakat dan menganalisis permasalahan sosial di masyarakat </v>
      </c>
      <c r="AL38" s="276">
        <v>80</v>
      </c>
      <c r="AM38" s="277">
        <v>80</v>
      </c>
      <c r="AN38" s="277"/>
      <c r="AO38" s="277"/>
      <c r="AP38" s="277"/>
      <c r="AQ38" s="277"/>
      <c r="AR38" s="277"/>
      <c r="AS38" s="280"/>
      <c r="AT38" s="277"/>
      <c r="AU38" s="278"/>
      <c r="AV38" s="285">
        <f t="shared" si="33"/>
        <v>80</v>
      </c>
      <c r="AW38" s="296" t="str">
        <f t="shared" si="34"/>
        <v>C</v>
      </c>
      <c r="AX38" s="1220">
        <f t="shared" si="42"/>
        <v>80.010000000000005</v>
      </c>
      <c r="AY38" s="1221">
        <f t="shared" si="42"/>
        <v>80.02</v>
      </c>
      <c r="AZ38" s="1221" t="str">
        <f t="shared" si="42"/>
        <v/>
      </c>
      <c r="BA38" s="1221" t="str">
        <f t="shared" si="42"/>
        <v/>
      </c>
      <c r="BB38" s="1221" t="str">
        <f t="shared" si="42"/>
        <v/>
      </c>
      <c r="BC38" s="1221" t="str">
        <f t="shared" si="42"/>
        <v/>
      </c>
      <c r="BD38" s="1221" t="str">
        <f t="shared" si="42"/>
        <v/>
      </c>
      <c r="BE38" s="1222" t="str">
        <f t="shared" si="42"/>
        <v/>
      </c>
      <c r="BF38" s="1221" t="str">
        <f t="shared" si="42"/>
        <v/>
      </c>
      <c r="BG38" s="1223" t="str">
        <f t="shared" si="42"/>
        <v/>
      </c>
      <c r="BH38" s="286">
        <f t="shared" si="35"/>
        <v>80.02</v>
      </c>
      <c r="BI38" s="286">
        <f t="shared" si="36"/>
        <v>80.010000000000005</v>
      </c>
      <c r="BJ38" s="287" t="str">
        <f t="shared" si="37"/>
        <v>cukup</v>
      </c>
      <c r="BK38" s="287" t="str">
        <f t="shared" si="37"/>
        <v>cukup</v>
      </c>
      <c r="BL38" s="286">
        <f t="shared" si="38"/>
        <v>2</v>
      </c>
      <c r="BM38" s="288">
        <f t="shared" si="39"/>
        <v>1</v>
      </c>
      <c r="BN38" s="289" t="str">
        <f t="shared" si="40"/>
        <v>Memiliki keterampilan cukup dalam melakukan penelitian sederhana yang terjadi di masyarakat dan memberiakan respon dalam mengatasi permasalahan sosial</v>
      </c>
      <c r="BO38" s="67"/>
    </row>
    <row r="39" spans="1:67" ht="33" customHeight="1">
      <c r="A39" s="67"/>
      <c r="B39" s="272">
        <f t="shared" si="23"/>
        <v>26</v>
      </c>
      <c r="C39" s="273">
        <f>IF(Data!F30="","",Data!F30)</f>
        <v>0</v>
      </c>
      <c r="D39" s="274" t="str">
        <f>IF(Data!H30="","",Data!H30)</f>
        <v>Misel Miranda Sora</v>
      </c>
      <c r="E39" s="275" t="str">
        <f>IF(Data!I30="","",Data!I30)</f>
        <v>P</v>
      </c>
      <c r="F39" s="276">
        <v>90</v>
      </c>
      <c r="G39" s="277">
        <v>87</v>
      </c>
      <c r="H39" s="277"/>
      <c r="I39" s="277"/>
      <c r="J39" s="277"/>
      <c r="K39" s="277"/>
      <c r="L39" s="277"/>
      <c r="M39" s="280"/>
      <c r="N39" s="277"/>
      <c r="O39" s="278"/>
      <c r="P39" s="279">
        <f t="shared" si="24"/>
        <v>89</v>
      </c>
      <c r="Q39" s="277">
        <v>90</v>
      </c>
      <c r="R39" s="280">
        <v>85</v>
      </c>
      <c r="S39" s="281">
        <f t="shared" si="25"/>
        <v>88</v>
      </c>
      <c r="T39" s="295" t="str">
        <f t="shared" si="26"/>
        <v>B</v>
      </c>
      <c r="U39" s="1215">
        <f t="shared" si="41"/>
        <v>90.01</v>
      </c>
      <c r="V39" s="1216">
        <f t="shared" si="41"/>
        <v>87.02</v>
      </c>
      <c r="W39" s="1216" t="str">
        <f t="shared" si="41"/>
        <v/>
      </c>
      <c r="X39" s="1216" t="str">
        <f t="shared" si="41"/>
        <v/>
      </c>
      <c r="Y39" s="1216" t="str">
        <f t="shared" si="41"/>
        <v/>
      </c>
      <c r="Z39" s="1216" t="str">
        <f t="shared" si="41"/>
        <v/>
      </c>
      <c r="AA39" s="1216" t="str">
        <f t="shared" si="41"/>
        <v/>
      </c>
      <c r="AB39" s="1217" t="str">
        <f t="shared" si="41"/>
        <v/>
      </c>
      <c r="AC39" s="1216" t="str">
        <f t="shared" si="41"/>
        <v/>
      </c>
      <c r="AD39" s="1218" t="str">
        <f t="shared" si="41"/>
        <v/>
      </c>
      <c r="AE39" s="1219">
        <f t="shared" si="27"/>
        <v>90.01</v>
      </c>
      <c r="AF39" s="282">
        <f t="shared" si="28"/>
        <v>87.02</v>
      </c>
      <c r="AG39" s="282" t="str">
        <f t="shared" si="29"/>
        <v>baik</v>
      </c>
      <c r="AH39" s="282" t="str">
        <f t="shared" si="29"/>
        <v>baik</v>
      </c>
      <c r="AI39" s="282">
        <f t="shared" si="30"/>
        <v>1</v>
      </c>
      <c r="AJ39" s="283">
        <f t="shared" si="31"/>
        <v>2</v>
      </c>
      <c r="AK39" s="284" t="str">
        <f t="shared" si="32"/>
        <v>Memiliki kemampuan baik dalam menganalisis permasalahan sosial di masyarakat  dan memahami berbagai metode penelitian di masyarakat</v>
      </c>
      <c r="AL39" s="276">
        <v>85</v>
      </c>
      <c r="AM39" s="277">
        <v>85</v>
      </c>
      <c r="AN39" s="277"/>
      <c r="AO39" s="277"/>
      <c r="AP39" s="277"/>
      <c r="AQ39" s="277"/>
      <c r="AR39" s="277"/>
      <c r="AS39" s="280"/>
      <c r="AT39" s="277"/>
      <c r="AU39" s="278"/>
      <c r="AV39" s="285">
        <f t="shared" si="33"/>
        <v>85</v>
      </c>
      <c r="AW39" s="296" t="str">
        <f t="shared" si="34"/>
        <v>B</v>
      </c>
      <c r="AX39" s="1220">
        <f t="shared" si="42"/>
        <v>85.01</v>
      </c>
      <c r="AY39" s="1221">
        <f t="shared" si="42"/>
        <v>85.02</v>
      </c>
      <c r="AZ39" s="1221" t="str">
        <f t="shared" si="42"/>
        <v/>
      </c>
      <c r="BA39" s="1221" t="str">
        <f t="shared" si="42"/>
        <v/>
      </c>
      <c r="BB39" s="1221" t="str">
        <f t="shared" si="42"/>
        <v/>
      </c>
      <c r="BC39" s="1221" t="str">
        <f t="shared" si="42"/>
        <v/>
      </c>
      <c r="BD39" s="1221" t="str">
        <f t="shared" si="42"/>
        <v/>
      </c>
      <c r="BE39" s="1222" t="str">
        <f t="shared" si="42"/>
        <v/>
      </c>
      <c r="BF39" s="1221" t="str">
        <f t="shared" si="42"/>
        <v/>
      </c>
      <c r="BG39" s="1223" t="str">
        <f t="shared" si="42"/>
        <v/>
      </c>
      <c r="BH39" s="286">
        <f t="shared" si="35"/>
        <v>85.02</v>
      </c>
      <c r="BI39" s="286">
        <f t="shared" si="36"/>
        <v>85.01</v>
      </c>
      <c r="BJ39" s="287" t="str">
        <f t="shared" si="37"/>
        <v>baik</v>
      </c>
      <c r="BK39" s="287" t="str">
        <f t="shared" si="37"/>
        <v>baik</v>
      </c>
      <c r="BL39" s="286">
        <f t="shared" si="38"/>
        <v>2</v>
      </c>
      <c r="BM39" s="288">
        <f t="shared" si="39"/>
        <v>1</v>
      </c>
      <c r="BN39" s="289" t="str">
        <f t="shared" si="40"/>
        <v>Memiliki keterampilan baik dalam melakukan penelitian sederhana yang terjadi di masyarakat dan memberiakan respon dalam mengatasi permasalahan sosial</v>
      </c>
      <c r="BO39" s="67"/>
    </row>
    <row r="40" spans="1:67" ht="33" customHeight="1">
      <c r="A40" s="67"/>
      <c r="B40" s="272">
        <f t="shared" si="23"/>
        <v>27</v>
      </c>
      <c r="C40" s="273">
        <f>IF(Data!F31="","",Data!F31)</f>
        <v>0</v>
      </c>
      <c r="D40" s="274" t="str">
        <f>IF(Data!H31="","",Data!H31)</f>
        <v>Nofianti Tainmeta</v>
      </c>
      <c r="E40" s="275" t="str">
        <f>IF(Data!I31="","",Data!I31)</f>
        <v>P</v>
      </c>
      <c r="F40" s="276">
        <v>90</v>
      </c>
      <c r="G40" s="277">
        <v>88</v>
      </c>
      <c r="H40" s="277"/>
      <c r="I40" s="277"/>
      <c r="J40" s="277"/>
      <c r="K40" s="277"/>
      <c r="L40" s="277"/>
      <c r="M40" s="280"/>
      <c r="N40" s="277"/>
      <c r="O40" s="278"/>
      <c r="P40" s="279">
        <f t="shared" si="24"/>
        <v>89</v>
      </c>
      <c r="Q40" s="277">
        <v>92</v>
      </c>
      <c r="R40" s="280">
        <v>88</v>
      </c>
      <c r="S40" s="281">
        <f t="shared" si="25"/>
        <v>90</v>
      </c>
      <c r="T40" s="295" t="str">
        <f t="shared" si="26"/>
        <v>B</v>
      </c>
      <c r="U40" s="1215">
        <f t="shared" si="41"/>
        <v>90.01</v>
      </c>
      <c r="V40" s="1216">
        <f t="shared" si="41"/>
        <v>88.02</v>
      </c>
      <c r="W40" s="1216" t="str">
        <f t="shared" si="41"/>
        <v/>
      </c>
      <c r="X40" s="1216" t="str">
        <f t="shared" si="41"/>
        <v/>
      </c>
      <c r="Y40" s="1216" t="str">
        <f t="shared" si="41"/>
        <v/>
      </c>
      <c r="Z40" s="1216" t="str">
        <f t="shared" si="41"/>
        <v/>
      </c>
      <c r="AA40" s="1216" t="str">
        <f t="shared" si="41"/>
        <v/>
      </c>
      <c r="AB40" s="1217" t="str">
        <f t="shared" si="41"/>
        <v/>
      </c>
      <c r="AC40" s="1216" t="str">
        <f t="shared" si="41"/>
        <v/>
      </c>
      <c r="AD40" s="1218" t="str">
        <f t="shared" si="41"/>
        <v/>
      </c>
      <c r="AE40" s="1219">
        <f t="shared" si="27"/>
        <v>90.01</v>
      </c>
      <c r="AF40" s="282">
        <f t="shared" si="28"/>
        <v>88.02</v>
      </c>
      <c r="AG40" s="282" t="str">
        <f t="shared" si="29"/>
        <v>baik</v>
      </c>
      <c r="AH40" s="282" t="str">
        <f t="shared" si="29"/>
        <v>baik</v>
      </c>
      <c r="AI40" s="282">
        <f t="shared" si="30"/>
        <v>1</v>
      </c>
      <c r="AJ40" s="283">
        <f t="shared" si="31"/>
        <v>2</v>
      </c>
      <c r="AK40" s="284" t="str">
        <f t="shared" si="32"/>
        <v>Memiliki kemampuan baik dalam menganalisis permasalahan sosial di masyarakat  dan memahami berbagai metode penelitian di masyarakat</v>
      </c>
      <c r="AL40" s="276">
        <v>85</v>
      </c>
      <c r="AM40" s="277">
        <v>85</v>
      </c>
      <c r="AN40" s="277"/>
      <c r="AO40" s="277"/>
      <c r="AP40" s="277"/>
      <c r="AQ40" s="277"/>
      <c r="AR40" s="277"/>
      <c r="AS40" s="280"/>
      <c r="AT40" s="277"/>
      <c r="AU40" s="278"/>
      <c r="AV40" s="285">
        <f t="shared" si="33"/>
        <v>85</v>
      </c>
      <c r="AW40" s="296" t="str">
        <f t="shared" si="34"/>
        <v>B</v>
      </c>
      <c r="AX40" s="1220">
        <f t="shared" si="42"/>
        <v>85.01</v>
      </c>
      <c r="AY40" s="1221">
        <f t="shared" si="42"/>
        <v>85.02</v>
      </c>
      <c r="AZ40" s="1221" t="str">
        <f t="shared" si="42"/>
        <v/>
      </c>
      <c r="BA40" s="1221" t="str">
        <f t="shared" si="42"/>
        <v/>
      </c>
      <c r="BB40" s="1221" t="str">
        <f t="shared" si="42"/>
        <v/>
      </c>
      <c r="BC40" s="1221" t="str">
        <f t="shared" si="42"/>
        <v/>
      </c>
      <c r="BD40" s="1221" t="str">
        <f t="shared" si="42"/>
        <v/>
      </c>
      <c r="BE40" s="1222" t="str">
        <f t="shared" si="42"/>
        <v/>
      </c>
      <c r="BF40" s="1221" t="str">
        <f t="shared" si="42"/>
        <v/>
      </c>
      <c r="BG40" s="1223" t="str">
        <f t="shared" si="42"/>
        <v/>
      </c>
      <c r="BH40" s="286">
        <f t="shared" si="35"/>
        <v>85.02</v>
      </c>
      <c r="BI40" s="286">
        <f t="shared" si="36"/>
        <v>85.01</v>
      </c>
      <c r="BJ40" s="287" t="str">
        <f t="shared" si="37"/>
        <v>baik</v>
      </c>
      <c r="BK40" s="287" t="str">
        <f t="shared" si="37"/>
        <v>baik</v>
      </c>
      <c r="BL40" s="286">
        <f t="shared" si="38"/>
        <v>2</v>
      </c>
      <c r="BM40" s="288">
        <f t="shared" si="39"/>
        <v>1</v>
      </c>
      <c r="BN40" s="289" t="str">
        <f t="shared" si="40"/>
        <v>Memiliki keterampilan baik dalam melakukan penelitian sederhana yang terjadi di masyarakat dan memberiakan respon dalam mengatasi permasalahan sosial</v>
      </c>
      <c r="BO40" s="67"/>
    </row>
    <row r="41" spans="1:67" ht="33" customHeight="1">
      <c r="A41" s="67"/>
      <c r="B41" s="272">
        <f t="shared" si="23"/>
        <v>28</v>
      </c>
      <c r="C41" s="273">
        <f>IF(Data!F32="","",Data!F32)</f>
        <v>0</v>
      </c>
      <c r="D41" s="274" t="str">
        <f>IF(Data!H32="","",Data!H32)</f>
        <v>Ofni Antrikus Banun</v>
      </c>
      <c r="E41" s="275" t="str">
        <f>IF(Data!I32="","",Data!I32)</f>
        <v>L</v>
      </c>
      <c r="F41" s="276">
        <v>80</v>
      </c>
      <c r="G41" s="277">
        <v>78</v>
      </c>
      <c r="H41" s="277"/>
      <c r="I41" s="277"/>
      <c r="J41" s="277"/>
      <c r="K41" s="277"/>
      <c r="L41" s="277"/>
      <c r="M41" s="280"/>
      <c r="N41" s="277"/>
      <c r="O41" s="278"/>
      <c r="P41" s="279">
        <f t="shared" si="24"/>
        <v>79</v>
      </c>
      <c r="Q41" s="277">
        <v>80</v>
      </c>
      <c r="R41" s="280">
        <v>78</v>
      </c>
      <c r="S41" s="281">
        <f t="shared" si="25"/>
        <v>79</v>
      </c>
      <c r="T41" s="295" t="str">
        <f t="shared" si="26"/>
        <v>C</v>
      </c>
      <c r="U41" s="1215">
        <f t="shared" si="41"/>
        <v>80.010000000000005</v>
      </c>
      <c r="V41" s="1216">
        <f t="shared" si="41"/>
        <v>78.02</v>
      </c>
      <c r="W41" s="1216" t="str">
        <f t="shared" si="41"/>
        <v/>
      </c>
      <c r="X41" s="1216" t="str">
        <f t="shared" si="41"/>
        <v/>
      </c>
      <c r="Y41" s="1216" t="str">
        <f t="shared" si="41"/>
        <v/>
      </c>
      <c r="Z41" s="1216" t="str">
        <f t="shared" si="41"/>
        <v/>
      </c>
      <c r="AA41" s="1216" t="str">
        <f t="shared" si="41"/>
        <v/>
      </c>
      <c r="AB41" s="1217" t="str">
        <f t="shared" si="41"/>
        <v/>
      </c>
      <c r="AC41" s="1216" t="str">
        <f t="shared" si="41"/>
        <v/>
      </c>
      <c r="AD41" s="1218" t="str">
        <f t="shared" si="41"/>
        <v/>
      </c>
      <c r="AE41" s="1219">
        <f t="shared" si="27"/>
        <v>80.010000000000005</v>
      </c>
      <c r="AF41" s="282">
        <f t="shared" si="28"/>
        <v>78.02</v>
      </c>
      <c r="AG41" s="282" t="str">
        <f t="shared" si="29"/>
        <v>cukup</v>
      </c>
      <c r="AH41" s="282" t="str">
        <f t="shared" si="29"/>
        <v>cukup</v>
      </c>
      <c r="AI41" s="282">
        <f t="shared" si="30"/>
        <v>1</v>
      </c>
      <c r="AJ41" s="283">
        <f t="shared" si="31"/>
        <v>2</v>
      </c>
      <c r="AK41" s="284" t="str">
        <f t="shared" si="32"/>
        <v>Memiliki kemampuan cukup dalam menganalisis permasalahan sosial di masyarakat  dan memahami berbagai metode penelitian di masyarakat</v>
      </c>
      <c r="AL41" s="276">
        <v>78</v>
      </c>
      <c r="AM41" s="277">
        <v>78</v>
      </c>
      <c r="AN41" s="277"/>
      <c r="AO41" s="277"/>
      <c r="AP41" s="277"/>
      <c r="AQ41" s="277"/>
      <c r="AR41" s="277"/>
      <c r="AS41" s="280"/>
      <c r="AT41" s="277"/>
      <c r="AU41" s="278"/>
      <c r="AV41" s="285">
        <f t="shared" si="33"/>
        <v>78</v>
      </c>
      <c r="AW41" s="296" t="str">
        <f t="shared" si="34"/>
        <v>C</v>
      </c>
      <c r="AX41" s="1220">
        <f t="shared" si="42"/>
        <v>78.010000000000005</v>
      </c>
      <c r="AY41" s="1221">
        <f t="shared" si="42"/>
        <v>78.02</v>
      </c>
      <c r="AZ41" s="1221" t="str">
        <f t="shared" si="42"/>
        <v/>
      </c>
      <c r="BA41" s="1221" t="str">
        <f t="shared" si="42"/>
        <v/>
      </c>
      <c r="BB41" s="1221" t="str">
        <f t="shared" si="42"/>
        <v/>
      </c>
      <c r="BC41" s="1221" t="str">
        <f t="shared" si="42"/>
        <v/>
      </c>
      <c r="BD41" s="1221" t="str">
        <f t="shared" si="42"/>
        <v/>
      </c>
      <c r="BE41" s="1222" t="str">
        <f t="shared" si="42"/>
        <v/>
      </c>
      <c r="BF41" s="1221" t="str">
        <f t="shared" si="42"/>
        <v/>
      </c>
      <c r="BG41" s="1223" t="str">
        <f t="shared" si="42"/>
        <v/>
      </c>
      <c r="BH41" s="286">
        <f t="shared" si="35"/>
        <v>78.02</v>
      </c>
      <c r="BI41" s="286">
        <f t="shared" si="36"/>
        <v>78.010000000000005</v>
      </c>
      <c r="BJ41" s="287" t="str">
        <f t="shared" si="37"/>
        <v>cukup</v>
      </c>
      <c r="BK41" s="287" t="str">
        <f t="shared" si="37"/>
        <v>cukup</v>
      </c>
      <c r="BL41" s="286">
        <f t="shared" si="38"/>
        <v>2</v>
      </c>
      <c r="BM41" s="288">
        <f t="shared" si="39"/>
        <v>1</v>
      </c>
      <c r="BN41" s="289" t="str">
        <f t="shared" si="40"/>
        <v>Memiliki keterampilan cukup dalam melakukan penelitian sederhana yang terjadi di masyarakat dan memberiakan respon dalam mengatasi permasalahan sosial</v>
      </c>
      <c r="BO41" s="67"/>
    </row>
    <row r="42" spans="1:67" ht="33" customHeight="1">
      <c r="A42" s="67"/>
      <c r="B42" s="272">
        <f t="shared" si="23"/>
        <v>29</v>
      </c>
      <c r="C42" s="273">
        <f>IF(Data!F33="","",Data!F33)</f>
        <v>0</v>
      </c>
      <c r="D42" s="274" t="str">
        <f>IF(Data!H33="","",Data!H33)</f>
        <v>Roiyandi Saebesi</v>
      </c>
      <c r="E42" s="275" t="str">
        <f>IF(Data!I33="","",Data!I33)</f>
        <v>L</v>
      </c>
      <c r="F42" s="276">
        <v>90</v>
      </c>
      <c r="G42" s="277">
        <v>88</v>
      </c>
      <c r="H42" s="277"/>
      <c r="I42" s="277"/>
      <c r="J42" s="277"/>
      <c r="K42" s="277"/>
      <c r="L42" s="277"/>
      <c r="M42" s="280"/>
      <c r="N42" s="277"/>
      <c r="O42" s="278"/>
      <c r="P42" s="279">
        <f t="shared" si="24"/>
        <v>89</v>
      </c>
      <c r="Q42" s="277">
        <v>90</v>
      </c>
      <c r="R42" s="280">
        <v>88</v>
      </c>
      <c r="S42" s="281">
        <f t="shared" si="25"/>
        <v>89</v>
      </c>
      <c r="T42" s="295" t="str">
        <f t="shared" si="26"/>
        <v>B</v>
      </c>
      <c r="U42" s="1215">
        <f t="shared" si="41"/>
        <v>90.01</v>
      </c>
      <c r="V42" s="1216">
        <f t="shared" si="41"/>
        <v>88.02</v>
      </c>
      <c r="W42" s="1216" t="str">
        <f t="shared" si="41"/>
        <v/>
      </c>
      <c r="X42" s="1216" t="str">
        <f t="shared" si="41"/>
        <v/>
      </c>
      <c r="Y42" s="1216" t="str">
        <f t="shared" si="41"/>
        <v/>
      </c>
      <c r="Z42" s="1216" t="str">
        <f t="shared" si="41"/>
        <v/>
      </c>
      <c r="AA42" s="1216" t="str">
        <f t="shared" si="41"/>
        <v/>
      </c>
      <c r="AB42" s="1217" t="str">
        <f t="shared" si="41"/>
        <v/>
      </c>
      <c r="AC42" s="1216" t="str">
        <f t="shared" si="41"/>
        <v/>
      </c>
      <c r="AD42" s="1218" t="str">
        <f t="shared" si="41"/>
        <v/>
      </c>
      <c r="AE42" s="1219">
        <f t="shared" si="27"/>
        <v>90.01</v>
      </c>
      <c r="AF42" s="282">
        <f t="shared" si="28"/>
        <v>88.02</v>
      </c>
      <c r="AG42" s="282" t="str">
        <f t="shared" si="29"/>
        <v>baik</v>
      </c>
      <c r="AH42" s="282" t="str">
        <f t="shared" si="29"/>
        <v>baik</v>
      </c>
      <c r="AI42" s="282">
        <f t="shared" si="30"/>
        <v>1</v>
      </c>
      <c r="AJ42" s="283">
        <f t="shared" si="31"/>
        <v>2</v>
      </c>
      <c r="AK42" s="284" t="str">
        <f t="shared" si="32"/>
        <v>Memiliki kemampuan baik dalam menganalisis permasalahan sosial di masyarakat  dan memahami berbagai metode penelitian di masyarakat</v>
      </c>
      <c r="AL42" s="276">
        <v>85</v>
      </c>
      <c r="AM42" s="277">
        <v>85</v>
      </c>
      <c r="AN42" s="277"/>
      <c r="AO42" s="277"/>
      <c r="AP42" s="277"/>
      <c r="AQ42" s="277"/>
      <c r="AR42" s="277"/>
      <c r="AS42" s="280"/>
      <c r="AT42" s="277"/>
      <c r="AU42" s="278"/>
      <c r="AV42" s="285">
        <f t="shared" si="33"/>
        <v>85</v>
      </c>
      <c r="AW42" s="296" t="str">
        <f t="shared" si="34"/>
        <v>B</v>
      </c>
      <c r="AX42" s="1220">
        <f t="shared" si="42"/>
        <v>85.01</v>
      </c>
      <c r="AY42" s="1221">
        <f t="shared" si="42"/>
        <v>85.02</v>
      </c>
      <c r="AZ42" s="1221" t="str">
        <f t="shared" si="42"/>
        <v/>
      </c>
      <c r="BA42" s="1221" t="str">
        <f t="shared" si="42"/>
        <v/>
      </c>
      <c r="BB42" s="1221" t="str">
        <f t="shared" si="42"/>
        <v/>
      </c>
      <c r="BC42" s="1221" t="str">
        <f t="shared" si="42"/>
        <v/>
      </c>
      <c r="BD42" s="1221" t="str">
        <f t="shared" si="42"/>
        <v/>
      </c>
      <c r="BE42" s="1222" t="str">
        <f t="shared" si="42"/>
        <v/>
      </c>
      <c r="BF42" s="1221" t="str">
        <f t="shared" si="42"/>
        <v/>
      </c>
      <c r="BG42" s="1223" t="str">
        <f t="shared" si="42"/>
        <v/>
      </c>
      <c r="BH42" s="286">
        <f t="shared" si="35"/>
        <v>85.02</v>
      </c>
      <c r="BI42" s="286">
        <f t="shared" si="36"/>
        <v>85.01</v>
      </c>
      <c r="BJ42" s="287" t="str">
        <f t="shared" si="37"/>
        <v>baik</v>
      </c>
      <c r="BK42" s="287" t="str">
        <f t="shared" si="37"/>
        <v>baik</v>
      </c>
      <c r="BL42" s="286">
        <f t="shared" si="38"/>
        <v>2</v>
      </c>
      <c r="BM42" s="288">
        <f t="shared" si="39"/>
        <v>1</v>
      </c>
      <c r="BN42" s="289" t="str">
        <f t="shared" si="40"/>
        <v>Memiliki keterampilan baik dalam melakukan penelitian sederhana yang terjadi di masyarakat dan memberiakan respon dalam mengatasi permasalahan sosial</v>
      </c>
      <c r="BO42" s="67"/>
    </row>
    <row r="43" spans="1:67" ht="33" customHeight="1">
      <c r="A43" s="67"/>
      <c r="B43" s="272">
        <f t="shared" si="23"/>
        <v>30</v>
      </c>
      <c r="C43" s="273">
        <f>IF(Data!F34="","",Data!F34)</f>
        <v>0</v>
      </c>
      <c r="D43" s="274" t="str">
        <f>IF(Data!H34="","",Data!H34)</f>
        <v>Roni Yohanis Bira</v>
      </c>
      <c r="E43" s="275" t="str">
        <f>IF(Data!I34="","",Data!I34)</f>
        <v>L</v>
      </c>
      <c r="F43" s="276">
        <v>90</v>
      </c>
      <c r="G43" s="277">
        <v>88</v>
      </c>
      <c r="H43" s="277"/>
      <c r="I43" s="277"/>
      <c r="J43" s="277"/>
      <c r="K43" s="277"/>
      <c r="L43" s="277"/>
      <c r="M43" s="280"/>
      <c r="N43" s="277"/>
      <c r="O43" s="278"/>
      <c r="P43" s="279">
        <f t="shared" si="24"/>
        <v>89</v>
      </c>
      <c r="Q43" s="277">
        <v>90</v>
      </c>
      <c r="R43" s="280">
        <v>88</v>
      </c>
      <c r="S43" s="281">
        <f t="shared" si="25"/>
        <v>89</v>
      </c>
      <c r="T43" s="295" t="str">
        <f t="shared" si="26"/>
        <v>B</v>
      </c>
      <c r="U43" s="1215">
        <f t="shared" si="41"/>
        <v>90.01</v>
      </c>
      <c r="V43" s="1216">
        <f t="shared" si="41"/>
        <v>88.02</v>
      </c>
      <c r="W43" s="1216" t="str">
        <f t="shared" si="41"/>
        <v/>
      </c>
      <c r="X43" s="1216" t="str">
        <f t="shared" si="41"/>
        <v/>
      </c>
      <c r="Y43" s="1216" t="str">
        <f t="shared" si="41"/>
        <v/>
      </c>
      <c r="Z43" s="1216" t="str">
        <f t="shared" si="41"/>
        <v/>
      </c>
      <c r="AA43" s="1216" t="str">
        <f t="shared" si="41"/>
        <v/>
      </c>
      <c r="AB43" s="1217" t="str">
        <f t="shared" si="41"/>
        <v/>
      </c>
      <c r="AC43" s="1216" t="str">
        <f t="shared" si="41"/>
        <v/>
      </c>
      <c r="AD43" s="1218" t="str">
        <f t="shared" si="41"/>
        <v/>
      </c>
      <c r="AE43" s="1219">
        <f t="shared" si="27"/>
        <v>90.01</v>
      </c>
      <c r="AF43" s="282">
        <f t="shared" si="28"/>
        <v>88.02</v>
      </c>
      <c r="AG43" s="282" t="str">
        <f t="shared" si="29"/>
        <v>baik</v>
      </c>
      <c r="AH43" s="282" t="str">
        <f t="shared" si="29"/>
        <v>baik</v>
      </c>
      <c r="AI43" s="282">
        <f t="shared" si="30"/>
        <v>1</v>
      </c>
      <c r="AJ43" s="283">
        <f t="shared" si="31"/>
        <v>2</v>
      </c>
      <c r="AK43" s="284" t="str">
        <f t="shared" si="32"/>
        <v>Memiliki kemampuan baik dalam menganalisis permasalahan sosial di masyarakat  dan memahami berbagai metode penelitian di masyarakat</v>
      </c>
      <c r="AL43" s="276">
        <v>85</v>
      </c>
      <c r="AM43" s="277">
        <v>85</v>
      </c>
      <c r="AN43" s="277"/>
      <c r="AO43" s="277"/>
      <c r="AP43" s="277"/>
      <c r="AQ43" s="277"/>
      <c r="AR43" s="277"/>
      <c r="AS43" s="280"/>
      <c r="AT43" s="277"/>
      <c r="AU43" s="278"/>
      <c r="AV43" s="285">
        <f t="shared" si="33"/>
        <v>85</v>
      </c>
      <c r="AW43" s="296" t="str">
        <f t="shared" si="34"/>
        <v>B</v>
      </c>
      <c r="AX43" s="1220">
        <f t="shared" si="42"/>
        <v>85.01</v>
      </c>
      <c r="AY43" s="1221">
        <f t="shared" si="42"/>
        <v>85.02</v>
      </c>
      <c r="AZ43" s="1221" t="str">
        <f t="shared" si="42"/>
        <v/>
      </c>
      <c r="BA43" s="1221" t="str">
        <f t="shared" si="42"/>
        <v/>
      </c>
      <c r="BB43" s="1221" t="str">
        <f t="shared" si="42"/>
        <v/>
      </c>
      <c r="BC43" s="1221" t="str">
        <f t="shared" si="42"/>
        <v/>
      </c>
      <c r="BD43" s="1221" t="str">
        <f t="shared" si="42"/>
        <v/>
      </c>
      <c r="BE43" s="1222" t="str">
        <f t="shared" si="42"/>
        <v/>
      </c>
      <c r="BF43" s="1221" t="str">
        <f t="shared" si="42"/>
        <v/>
      </c>
      <c r="BG43" s="1223" t="str">
        <f t="shared" si="42"/>
        <v/>
      </c>
      <c r="BH43" s="286">
        <f t="shared" si="35"/>
        <v>85.02</v>
      </c>
      <c r="BI43" s="286">
        <f t="shared" si="36"/>
        <v>85.01</v>
      </c>
      <c r="BJ43" s="287" t="str">
        <f t="shared" si="37"/>
        <v>baik</v>
      </c>
      <c r="BK43" s="287" t="str">
        <f t="shared" si="37"/>
        <v>baik</v>
      </c>
      <c r="BL43" s="286">
        <f t="shared" si="38"/>
        <v>2</v>
      </c>
      <c r="BM43" s="288">
        <f t="shared" si="39"/>
        <v>1</v>
      </c>
      <c r="BN43" s="289" t="str">
        <f t="shared" si="40"/>
        <v>Memiliki keterampilan baik dalam melakukan penelitian sederhana yang terjadi di masyarakat dan memberiakan respon dalam mengatasi permasalahan sosial</v>
      </c>
      <c r="BO43" s="67"/>
    </row>
    <row r="44" spans="1:67" ht="33" customHeight="1">
      <c r="A44" s="67"/>
      <c r="B44" s="272">
        <f t="shared" si="23"/>
        <v>31</v>
      </c>
      <c r="C44" s="273">
        <f>IF(Data!F35="","",Data!F35)</f>
        <v>0</v>
      </c>
      <c r="D44" s="274" t="str">
        <f>IF(Data!H35="","",Data!H35)</f>
        <v>Sinta Norliana Funan</v>
      </c>
      <c r="E44" s="275" t="str">
        <f>IF(Data!I35="","",Data!I35)</f>
        <v>P</v>
      </c>
      <c r="F44" s="276">
        <v>90</v>
      </c>
      <c r="G44" s="277">
        <v>87</v>
      </c>
      <c r="H44" s="277"/>
      <c r="I44" s="277"/>
      <c r="J44" s="277"/>
      <c r="K44" s="277"/>
      <c r="L44" s="277"/>
      <c r="M44" s="280"/>
      <c r="N44" s="277"/>
      <c r="O44" s="278"/>
      <c r="P44" s="279">
        <f t="shared" si="24"/>
        <v>89</v>
      </c>
      <c r="Q44" s="277">
        <v>90</v>
      </c>
      <c r="R44" s="280">
        <v>88</v>
      </c>
      <c r="S44" s="281">
        <f t="shared" si="25"/>
        <v>89</v>
      </c>
      <c r="T44" s="295" t="str">
        <f t="shared" si="26"/>
        <v>B</v>
      </c>
      <c r="U44" s="1215">
        <f t="shared" si="41"/>
        <v>90.01</v>
      </c>
      <c r="V44" s="1216">
        <f t="shared" si="41"/>
        <v>87.02</v>
      </c>
      <c r="W44" s="1216" t="str">
        <f t="shared" si="41"/>
        <v/>
      </c>
      <c r="X44" s="1216" t="str">
        <f t="shared" si="41"/>
        <v/>
      </c>
      <c r="Y44" s="1216" t="str">
        <f t="shared" si="41"/>
        <v/>
      </c>
      <c r="Z44" s="1216" t="str">
        <f t="shared" si="41"/>
        <v/>
      </c>
      <c r="AA44" s="1216" t="str">
        <f t="shared" si="41"/>
        <v/>
      </c>
      <c r="AB44" s="1217" t="str">
        <f t="shared" si="41"/>
        <v/>
      </c>
      <c r="AC44" s="1216" t="str">
        <f t="shared" si="41"/>
        <v/>
      </c>
      <c r="AD44" s="1218" t="str">
        <f t="shared" si="41"/>
        <v/>
      </c>
      <c r="AE44" s="1219">
        <f t="shared" si="27"/>
        <v>90.01</v>
      </c>
      <c r="AF44" s="282">
        <f t="shared" si="28"/>
        <v>87.02</v>
      </c>
      <c r="AG44" s="282" t="str">
        <f t="shared" si="29"/>
        <v>baik</v>
      </c>
      <c r="AH44" s="282" t="str">
        <f t="shared" si="29"/>
        <v>baik</v>
      </c>
      <c r="AI44" s="282">
        <f t="shared" si="30"/>
        <v>1</v>
      </c>
      <c r="AJ44" s="283">
        <f t="shared" si="31"/>
        <v>2</v>
      </c>
      <c r="AK44" s="284" t="str">
        <f t="shared" si="32"/>
        <v>Memiliki kemampuan baik dalam menganalisis permasalahan sosial di masyarakat  dan memahami berbagai metode penelitian di masyarakat</v>
      </c>
      <c r="AL44" s="276">
        <v>85</v>
      </c>
      <c r="AM44" s="277">
        <v>85</v>
      </c>
      <c r="AN44" s="277"/>
      <c r="AO44" s="277"/>
      <c r="AP44" s="277"/>
      <c r="AQ44" s="277"/>
      <c r="AR44" s="277"/>
      <c r="AS44" s="280"/>
      <c r="AT44" s="277"/>
      <c r="AU44" s="278"/>
      <c r="AV44" s="285">
        <f t="shared" si="33"/>
        <v>85</v>
      </c>
      <c r="AW44" s="296" t="str">
        <f t="shared" si="34"/>
        <v>B</v>
      </c>
      <c r="AX44" s="1220">
        <f t="shared" si="42"/>
        <v>85.01</v>
      </c>
      <c r="AY44" s="1221">
        <f t="shared" si="42"/>
        <v>85.02</v>
      </c>
      <c r="AZ44" s="1221" t="str">
        <f t="shared" si="42"/>
        <v/>
      </c>
      <c r="BA44" s="1221" t="str">
        <f t="shared" si="42"/>
        <v/>
      </c>
      <c r="BB44" s="1221" t="str">
        <f t="shared" si="42"/>
        <v/>
      </c>
      <c r="BC44" s="1221" t="str">
        <f t="shared" si="42"/>
        <v/>
      </c>
      <c r="BD44" s="1221" t="str">
        <f t="shared" si="42"/>
        <v/>
      </c>
      <c r="BE44" s="1222" t="str">
        <f t="shared" si="42"/>
        <v/>
      </c>
      <c r="BF44" s="1221" t="str">
        <f t="shared" si="42"/>
        <v/>
      </c>
      <c r="BG44" s="1223" t="str">
        <f t="shared" si="42"/>
        <v/>
      </c>
      <c r="BH44" s="286">
        <f t="shared" si="35"/>
        <v>85.02</v>
      </c>
      <c r="BI44" s="286">
        <f t="shared" si="36"/>
        <v>85.01</v>
      </c>
      <c r="BJ44" s="287" t="str">
        <f t="shared" si="37"/>
        <v>baik</v>
      </c>
      <c r="BK44" s="287" t="str">
        <f t="shared" si="37"/>
        <v>baik</v>
      </c>
      <c r="BL44" s="286">
        <f t="shared" si="38"/>
        <v>2</v>
      </c>
      <c r="BM44" s="288">
        <f t="shared" si="39"/>
        <v>1</v>
      </c>
      <c r="BN44" s="289" t="str">
        <f t="shared" si="40"/>
        <v>Memiliki keterampilan baik dalam melakukan penelitian sederhana yang terjadi di masyarakat dan memberiakan respon dalam mengatasi permasalahan sosial</v>
      </c>
      <c r="BO44" s="67"/>
    </row>
    <row r="45" spans="1:67" ht="33" customHeight="1">
      <c r="A45" s="67"/>
      <c r="B45" s="272">
        <f t="shared" si="23"/>
        <v>32</v>
      </c>
      <c r="C45" s="273">
        <f>IF(Data!F36="","",Data!F36)</f>
        <v>0</v>
      </c>
      <c r="D45" s="274" t="str">
        <f>IF(Data!H36="","",Data!H36)</f>
        <v>Stevi Otnial Loemnanu</v>
      </c>
      <c r="E45" s="275" t="str">
        <f>IF(Data!I36="","",Data!I36)</f>
        <v>L</v>
      </c>
      <c r="F45" s="276">
        <v>90</v>
      </c>
      <c r="G45" s="277">
        <v>88</v>
      </c>
      <c r="H45" s="277"/>
      <c r="I45" s="277"/>
      <c r="J45" s="277"/>
      <c r="K45" s="277"/>
      <c r="L45" s="277"/>
      <c r="M45" s="280"/>
      <c r="N45" s="277"/>
      <c r="O45" s="278"/>
      <c r="P45" s="279">
        <f t="shared" si="24"/>
        <v>89</v>
      </c>
      <c r="Q45" s="277">
        <v>90</v>
      </c>
      <c r="R45" s="280">
        <v>88</v>
      </c>
      <c r="S45" s="281">
        <f t="shared" si="25"/>
        <v>89</v>
      </c>
      <c r="T45" s="295" t="str">
        <f t="shared" si="26"/>
        <v>B</v>
      </c>
      <c r="U45" s="1215">
        <f t="shared" si="41"/>
        <v>90.01</v>
      </c>
      <c r="V45" s="1216">
        <f t="shared" si="41"/>
        <v>88.02</v>
      </c>
      <c r="W45" s="1216" t="str">
        <f t="shared" si="41"/>
        <v/>
      </c>
      <c r="X45" s="1216" t="str">
        <f t="shared" si="41"/>
        <v/>
      </c>
      <c r="Y45" s="1216" t="str">
        <f t="shared" si="41"/>
        <v/>
      </c>
      <c r="Z45" s="1216" t="str">
        <f t="shared" si="41"/>
        <v/>
      </c>
      <c r="AA45" s="1216" t="str">
        <f t="shared" si="41"/>
        <v/>
      </c>
      <c r="AB45" s="1217" t="str">
        <f t="shared" si="41"/>
        <v/>
      </c>
      <c r="AC45" s="1216" t="str">
        <f t="shared" si="41"/>
        <v/>
      </c>
      <c r="AD45" s="1218" t="str">
        <f t="shared" si="41"/>
        <v/>
      </c>
      <c r="AE45" s="1219">
        <f t="shared" si="27"/>
        <v>90.01</v>
      </c>
      <c r="AF45" s="282">
        <f t="shared" si="28"/>
        <v>88.02</v>
      </c>
      <c r="AG45" s="282" t="str">
        <f t="shared" si="29"/>
        <v>baik</v>
      </c>
      <c r="AH45" s="282" t="str">
        <f t="shared" si="29"/>
        <v>baik</v>
      </c>
      <c r="AI45" s="282">
        <f t="shared" si="30"/>
        <v>1</v>
      </c>
      <c r="AJ45" s="283">
        <f t="shared" si="31"/>
        <v>2</v>
      </c>
      <c r="AK45" s="284" t="str">
        <f t="shared" si="32"/>
        <v>Memiliki kemampuan baik dalam menganalisis permasalahan sosial di masyarakat  dan memahami berbagai metode penelitian di masyarakat</v>
      </c>
      <c r="AL45" s="276">
        <v>85</v>
      </c>
      <c r="AM45" s="277">
        <v>85</v>
      </c>
      <c r="AN45" s="277"/>
      <c r="AO45" s="277"/>
      <c r="AP45" s="277"/>
      <c r="AQ45" s="277"/>
      <c r="AR45" s="277"/>
      <c r="AS45" s="280"/>
      <c r="AT45" s="277"/>
      <c r="AU45" s="278"/>
      <c r="AV45" s="285">
        <f t="shared" si="33"/>
        <v>85</v>
      </c>
      <c r="AW45" s="296" t="str">
        <f t="shared" si="34"/>
        <v>B</v>
      </c>
      <c r="AX45" s="1220">
        <f t="shared" si="42"/>
        <v>85.01</v>
      </c>
      <c r="AY45" s="1221">
        <f t="shared" si="42"/>
        <v>85.02</v>
      </c>
      <c r="AZ45" s="1221" t="str">
        <f t="shared" si="42"/>
        <v/>
      </c>
      <c r="BA45" s="1221" t="str">
        <f t="shared" si="42"/>
        <v/>
      </c>
      <c r="BB45" s="1221" t="str">
        <f t="shared" si="42"/>
        <v/>
      </c>
      <c r="BC45" s="1221" t="str">
        <f t="shared" si="42"/>
        <v/>
      </c>
      <c r="BD45" s="1221" t="str">
        <f t="shared" si="42"/>
        <v/>
      </c>
      <c r="BE45" s="1222" t="str">
        <f t="shared" si="42"/>
        <v/>
      </c>
      <c r="BF45" s="1221" t="str">
        <f t="shared" si="42"/>
        <v/>
      </c>
      <c r="BG45" s="1223" t="str">
        <f t="shared" si="42"/>
        <v/>
      </c>
      <c r="BH45" s="286">
        <f t="shared" si="35"/>
        <v>85.02</v>
      </c>
      <c r="BI45" s="286">
        <f t="shared" si="36"/>
        <v>85.01</v>
      </c>
      <c r="BJ45" s="287" t="str">
        <f t="shared" si="37"/>
        <v>baik</v>
      </c>
      <c r="BK45" s="287" t="str">
        <f t="shared" si="37"/>
        <v>baik</v>
      </c>
      <c r="BL45" s="286">
        <f t="shared" si="38"/>
        <v>2</v>
      </c>
      <c r="BM45" s="288">
        <f t="shared" si="39"/>
        <v>1</v>
      </c>
      <c r="BN45" s="289" t="str">
        <f t="shared" si="40"/>
        <v>Memiliki keterampilan baik dalam melakukan penelitian sederhana yang terjadi di masyarakat dan memberiakan respon dalam mengatasi permasalahan sosial</v>
      </c>
      <c r="BO45" s="67"/>
    </row>
    <row r="46" spans="1:67" ht="33" customHeight="1">
      <c r="A46" s="67"/>
      <c r="B46" s="272">
        <f t="shared" si="23"/>
        <v>33</v>
      </c>
      <c r="C46" s="273">
        <f>IF(Data!F37="","",Data!F37)</f>
        <v>0</v>
      </c>
      <c r="D46" s="274" t="str">
        <f>IF(Data!H37="","",Data!H37)</f>
        <v>Venciani Sefrianti Sufnera</v>
      </c>
      <c r="E46" s="275" t="str">
        <f>IF(Data!I37="","",Data!I37)</f>
        <v>P</v>
      </c>
      <c r="F46" s="276">
        <v>90</v>
      </c>
      <c r="G46" s="277">
        <v>88</v>
      </c>
      <c r="H46" s="277"/>
      <c r="I46" s="277"/>
      <c r="J46" s="277"/>
      <c r="K46" s="277"/>
      <c r="L46" s="277"/>
      <c r="M46" s="280"/>
      <c r="N46" s="277"/>
      <c r="O46" s="278"/>
      <c r="P46" s="279">
        <f t="shared" si="24"/>
        <v>89</v>
      </c>
      <c r="Q46" s="277">
        <v>90</v>
      </c>
      <c r="R46" s="280">
        <v>89</v>
      </c>
      <c r="S46" s="281">
        <f t="shared" si="25"/>
        <v>89</v>
      </c>
      <c r="T46" s="295" t="str">
        <f t="shared" si="26"/>
        <v>B</v>
      </c>
      <c r="U46" s="1215">
        <f t="shared" si="41"/>
        <v>90.01</v>
      </c>
      <c r="V46" s="1216">
        <f t="shared" si="41"/>
        <v>88.02</v>
      </c>
      <c r="W46" s="1216" t="str">
        <f t="shared" si="41"/>
        <v/>
      </c>
      <c r="X46" s="1216" t="str">
        <f t="shared" si="41"/>
        <v/>
      </c>
      <c r="Y46" s="1216" t="str">
        <f t="shared" si="41"/>
        <v/>
      </c>
      <c r="Z46" s="1216" t="str">
        <f t="shared" si="41"/>
        <v/>
      </c>
      <c r="AA46" s="1216" t="str">
        <f t="shared" si="41"/>
        <v/>
      </c>
      <c r="AB46" s="1217" t="str">
        <f t="shared" si="41"/>
        <v/>
      </c>
      <c r="AC46" s="1216" t="str">
        <f t="shared" si="41"/>
        <v/>
      </c>
      <c r="AD46" s="1218" t="str">
        <f t="shared" si="41"/>
        <v/>
      </c>
      <c r="AE46" s="1219">
        <f t="shared" si="27"/>
        <v>90.01</v>
      </c>
      <c r="AF46" s="282">
        <f t="shared" si="28"/>
        <v>88.02</v>
      </c>
      <c r="AG46" s="282" t="str">
        <f t="shared" si="29"/>
        <v>baik</v>
      </c>
      <c r="AH46" s="282" t="str">
        <f t="shared" si="29"/>
        <v>baik</v>
      </c>
      <c r="AI46" s="282">
        <f t="shared" si="30"/>
        <v>1</v>
      </c>
      <c r="AJ46" s="283">
        <f t="shared" si="31"/>
        <v>2</v>
      </c>
      <c r="AK46" s="284" t="str">
        <f t="shared" si="32"/>
        <v>Memiliki kemampuan baik dalam menganalisis permasalahan sosial di masyarakat  dan memahami berbagai metode penelitian di masyarakat</v>
      </c>
      <c r="AL46" s="276">
        <v>85</v>
      </c>
      <c r="AM46" s="277">
        <v>85</v>
      </c>
      <c r="AN46" s="277"/>
      <c r="AO46" s="277"/>
      <c r="AP46" s="277"/>
      <c r="AQ46" s="277"/>
      <c r="AR46" s="277"/>
      <c r="AS46" s="280"/>
      <c r="AT46" s="277"/>
      <c r="AU46" s="278"/>
      <c r="AV46" s="285">
        <f t="shared" si="33"/>
        <v>85</v>
      </c>
      <c r="AW46" s="296" t="str">
        <f t="shared" si="34"/>
        <v>B</v>
      </c>
      <c r="AX46" s="1220">
        <f t="shared" si="42"/>
        <v>85.01</v>
      </c>
      <c r="AY46" s="1221">
        <f t="shared" si="42"/>
        <v>85.02</v>
      </c>
      <c r="AZ46" s="1221" t="str">
        <f t="shared" si="42"/>
        <v/>
      </c>
      <c r="BA46" s="1221" t="str">
        <f t="shared" si="42"/>
        <v/>
      </c>
      <c r="BB46" s="1221" t="str">
        <f t="shared" si="42"/>
        <v/>
      </c>
      <c r="BC46" s="1221" t="str">
        <f t="shared" si="42"/>
        <v/>
      </c>
      <c r="BD46" s="1221" t="str">
        <f t="shared" si="42"/>
        <v/>
      </c>
      <c r="BE46" s="1222" t="str">
        <f t="shared" si="42"/>
        <v/>
      </c>
      <c r="BF46" s="1221" t="str">
        <f t="shared" si="42"/>
        <v/>
      </c>
      <c r="BG46" s="1223" t="str">
        <f t="shared" si="42"/>
        <v/>
      </c>
      <c r="BH46" s="286">
        <f t="shared" si="35"/>
        <v>85.02</v>
      </c>
      <c r="BI46" s="286">
        <f t="shared" si="36"/>
        <v>85.01</v>
      </c>
      <c r="BJ46" s="287" t="str">
        <f t="shared" si="37"/>
        <v>baik</v>
      </c>
      <c r="BK46" s="287" t="str">
        <f t="shared" si="37"/>
        <v>baik</v>
      </c>
      <c r="BL46" s="286">
        <f t="shared" si="38"/>
        <v>2</v>
      </c>
      <c r="BM46" s="288">
        <f t="shared" si="39"/>
        <v>1</v>
      </c>
      <c r="BN46" s="289" t="str">
        <f t="shared" si="40"/>
        <v>Memiliki keterampilan baik dalam melakukan penelitian sederhana yang terjadi di masyarakat dan memberiakan respon dalam mengatasi permasalahan sosial</v>
      </c>
      <c r="BO46" s="67"/>
    </row>
    <row r="47" spans="1:67" ht="33" customHeight="1">
      <c r="A47" s="67"/>
      <c r="B47" s="272">
        <f t="shared" si="23"/>
        <v>34</v>
      </c>
      <c r="C47" s="273">
        <f>IF(Data!F38="","",Data!F38)</f>
        <v>0</v>
      </c>
      <c r="D47" s="274" t="str">
        <f>IF(Data!H38="","",Data!H38)</f>
        <v>Yangres Nitti</v>
      </c>
      <c r="E47" s="275" t="str">
        <f>IF(Data!I38="","",Data!I38)</f>
        <v>L</v>
      </c>
      <c r="F47" s="276">
        <v>90</v>
      </c>
      <c r="G47" s="277">
        <v>87</v>
      </c>
      <c r="H47" s="277"/>
      <c r="I47" s="277"/>
      <c r="J47" s="277"/>
      <c r="K47" s="277"/>
      <c r="L47" s="277"/>
      <c r="M47" s="280"/>
      <c r="N47" s="277"/>
      <c r="O47" s="278"/>
      <c r="P47" s="279">
        <f t="shared" si="24"/>
        <v>89</v>
      </c>
      <c r="Q47" s="277">
        <v>90</v>
      </c>
      <c r="R47" s="280">
        <v>87</v>
      </c>
      <c r="S47" s="281">
        <f t="shared" si="25"/>
        <v>89</v>
      </c>
      <c r="T47" s="295" t="str">
        <f t="shared" si="26"/>
        <v>B</v>
      </c>
      <c r="U47" s="1215">
        <f t="shared" si="41"/>
        <v>90.01</v>
      </c>
      <c r="V47" s="1216">
        <f t="shared" si="41"/>
        <v>87.02</v>
      </c>
      <c r="W47" s="1216" t="str">
        <f t="shared" si="41"/>
        <v/>
      </c>
      <c r="X47" s="1216" t="str">
        <f t="shared" si="41"/>
        <v/>
      </c>
      <c r="Y47" s="1216" t="str">
        <f t="shared" si="41"/>
        <v/>
      </c>
      <c r="Z47" s="1216" t="str">
        <f t="shared" si="41"/>
        <v/>
      </c>
      <c r="AA47" s="1216" t="str">
        <f t="shared" si="41"/>
        <v/>
      </c>
      <c r="AB47" s="1217" t="str">
        <f t="shared" si="41"/>
        <v/>
      </c>
      <c r="AC47" s="1216" t="str">
        <f t="shared" si="41"/>
        <v/>
      </c>
      <c r="AD47" s="1218" t="str">
        <f t="shared" si="41"/>
        <v/>
      </c>
      <c r="AE47" s="1219">
        <f t="shared" si="27"/>
        <v>90.01</v>
      </c>
      <c r="AF47" s="282">
        <f t="shared" si="28"/>
        <v>87.02</v>
      </c>
      <c r="AG47" s="282" t="str">
        <f t="shared" si="29"/>
        <v>baik</v>
      </c>
      <c r="AH47" s="282" t="str">
        <f t="shared" si="29"/>
        <v>baik</v>
      </c>
      <c r="AI47" s="282">
        <f t="shared" si="30"/>
        <v>1</v>
      </c>
      <c r="AJ47" s="283">
        <f t="shared" si="31"/>
        <v>2</v>
      </c>
      <c r="AK47" s="284" t="str">
        <f t="shared" si="32"/>
        <v>Memiliki kemampuan baik dalam menganalisis permasalahan sosial di masyarakat  dan memahami berbagai metode penelitian di masyarakat</v>
      </c>
      <c r="AL47" s="276">
        <v>85</v>
      </c>
      <c r="AM47" s="277">
        <v>85</v>
      </c>
      <c r="AN47" s="277"/>
      <c r="AO47" s="277"/>
      <c r="AP47" s="277"/>
      <c r="AQ47" s="277"/>
      <c r="AR47" s="277"/>
      <c r="AS47" s="280"/>
      <c r="AT47" s="277"/>
      <c r="AU47" s="278"/>
      <c r="AV47" s="285">
        <f t="shared" si="33"/>
        <v>85</v>
      </c>
      <c r="AW47" s="296" t="str">
        <f t="shared" si="34"/>
        <v>B</v>
      </c>
      <c r="AX47" s="1220">
        <f t="shared" si="42"/>
        <v>85.01</v>
      </c>
      <c r="AY47" s="1221">
        <f t="shared" si="42"/>
        <v>85.02</v>
      </c>
      <c r="AZ47" s="1221" t="str">
        <f t="shared" si="42"/>
        <v/>
      </c>
      <c r="BA47" s="1221" t="str">
        <f t="shared" si="42"/>
        <v/>
      </c>
      <c r="BB47" s="1221" t="str">
        <f t="shared" si="42"/>
        <v/>
      </c>
      <c r="BC47" s="1221" t="str">
        <f t="shared" si="42"/>
        <v/>
      </c>
      <c r="BD47" s="1221" t="str">
        <f t="shared" si="42"/>
        <v/>
      </c>
      <c r="BE47" s="1222" t="str">
        <f t="shared" si="42"/>
        <v/>
      </c>
      <c r="BF47" s="1221" t="str">
        <f t="shared" si="42"/>
        <v/>
      </c>
      <c r="BG47" s="1223" t="str">
        <f t="shared" si="42"/>
        <v/>
      </c>
      <c r="BH47" s="286">
        <f t="shared" si="35"/>
        <v>85.02</v>
      </c>
      <c r="BI47" s="286">
        <f t="shared" si="36"/>
        <v>85.01</v>
      </c>
      <c r="BJ47" s="287" t="str">
        <f t="shared" si="37"/>
        <v>baik</v>
      </c>
      <c r="BK47" s="287" t="str">
        <f t="shared" si="37"/>
        <v>baik</v>
      </c>
      <c r="BL47" s="286">
        <f t="shared" si="38"/>
        <v>2</v>
      </c>
      <c r="BM47" s="288">
        <f t="shared" si="39"/>
        <v>1</v>
      </c>
      <c r="BN47" s="289" t="str">
        <f t="shared" si="40"/>
        <v>Memiliki keterampilan baik dalam melakukan penelitian sederhana yang terjadi di masyarakat dan memberiakan respon dalam mengatasi permasalahan sosial</v>
      </c>
      <c r="BO47" s="67"/>
    </row>
    <row r="48" spans="1:67" ht="33" customHeight="1">
      <c r="A48" s="67"/>
      <c r="B48" s="272">
        <f t="shared" si="23"/>
        <v>35</v>
      </c>
      <c r="C48" s="273">
        <f>IF(Data!F39="","",Data!F39)</f>
        <v>0</v>
      </c>
      <c r="D48" s="274" t="str">
        <f>IF(Data!H39="","",Data!H39)</f>
        <v>Yefta Trianus Mau</v>
      </c>
      <c r="E48" s="275" t="str">
        <f>IF(Data!I39="","",Data!I39)</f>
        <v>L</v>
      </c>
      <c r="F48" s="276">
        <v>90</v>
      </c>
      <c r="G48" s="277">
        <v>88</v>
      </c>
      <c r="H48" s="277"/>
      <c r="I48" s="277"/>
      <c r="J48" s="277"/>
      <c r="K48" s="277"/>
      <c r="L48" s="277"/>
      <c r="M48" s="280"/>
      <c r="N48" s="277"/>
      <c r="O48" s="278"/>
      <c r="P48" s="279">
        <f t="shared" si="24"/>
        <v>89</v>
      </c>
      <c r="Q48" s="277">
        <v>90</v>
      </c>
      <c r="R48" s="280">
        <v>88</v>
      </c>
      <c r="S48" s="281">
        <f t="shared" si="25"/>
        <v>89</v>
      </c>
      <c r="T48" s="295" t="str">
        <f t="shared" si="26"/>
        <v>B</v>
      </c>
      <c r="U48" s="1215">
        <f t="shared" si="41"/>
        <v>90.01</v>
      </c>
      <c r="V48" s="1216">
        <f t="shared" si="41"/>
        <v>88.02</v>
      </c>
      <c r="W48" s="1216" t="str">
        <f t="shared" si="41"/>
        <v/>
      </c>
      <c r="X48" s="1216" t="str">
        <f t="shared" si="41"/>
        <v/>
      </c>
      <c r="Y48" s="1216" t="str">
        <f t="shared" si="41"/>
        <v/>
      </c>
      <c r="Z48" s="1216" t="str">
        <f t="shared" si="41"/>
        <v/>
      </c>
      <c r="AA48" s="1216" t="str">
        <f t="shared" si="41"/>
        <v/>
      </c>
      <c r="AB48" s="1217" t="str">
        <f t="shared" si="41"/>
        <v/>
      </c>
      <c r="AC48" s="1216" t="str">
        <f t="shared" si="41"/>
        <v/>
      </c>
      <c r="AD48" s="1218" t="str">
        <f t="shared" si="41"/>
        <v/>
      </c>
      <c r="AE48" s="1219">
        <f t="shared" si="27"/>
        <v>90.01</v>
      </c>
      <c r="AF48" s="282">
        <f t="shared" si="28"/>
        <v>88.02</v>
      </c>
      <c r="AG48" s="282" t="str">
        <f t="shared" si="29"/>
        <v>baik</v>
      </c>
      <c r="AH48" s="282" t="str">
        <f t="shared" si="29"/>
        <v>baik</v>
      </c>
      <c r="AI48" s="282">
        <f t="shared" si="30"/>
        <v>1</v>
      </c>
      <c r="AJ48" s="283">
        <f t="shared" si="31"/>
        <v>2</v>
      </c>
      <c r="AK48" s="284" t="str">
        <f t="shared" si="32"/>
        <v>Memiliki kemampuan baik dalam menganalisis permasalahan sosial di masyarakat  dan memahami berbagai metode penelitian di masyarakat</v>
      </c>
      <c r="AL48" s="276">
        <v>85</v>
      </c>
      <c r="AM48" s="277">
        <v>85</v>
      </c>
      <c r="AN48" s="277"/>
      <c r="AO48" s="277"/>
      <c r="AP48" s="277"/>
      <c r="AQ48" s="277"/>
      <c r="AR48" s="277"/>
      <c r="AS48" s="280"/>
      <c r="AT48" s="277"/>
      <c r="AU48" s="278"/>
      <c r="AV48" s="285">
        <f t="shared" si="33"/>
        <v>85</v>
      </c>
      <c r="AW48" s="296" t="str">
        <f t="shared" si="34"/>
        <v>B</v>
      </c>
      <c r="AX48" s="1220">
        <f t="shared" si="42"/>
        <v>85.01</v>
      </c>
      <c r="AY48" s="1221">
        <f t="shared" si="42"/>
        <v>85.02</v>
      </c>
      <c r="AZ48" s="1221" t="str">
        <f t="shared" si="42"/>
        <v/>
      </c>
      <c r="BA48" s="1221" t="str">
        <f t="shared" si="42"/>
        <v/>
      </c>
      <c r="BB48" s="1221" t="str">
        <f t="shared" si="42"/>
        <v/>
      </c>
      <c r="BC48" s="1221" t="str">
        <f t="shared" si="42"/>
        <v/>
      </c>
      <c r="BD48" s="1221" t="str">
        <f t="shared" si="42"/>
        <v/>
      </c>
      <c r="BE48" s="1222" t="str">
        <f t="shared" si="42"/>
        <v/>
      </c>
      <c r="BF48" s="1221" t="str">
        <f t="shared" si="42"/>
        <v/>
      </c>
      <c r="BG48" s="1223" t="str">
        <f t="shared" si="42"/>
        <v/>
      </c>
      <c r="BH48" s="286">
        <f t="shared" si="35"/>
        <v>85.02</v>
      </c>
      <c r="BI48" s="286">
        <f t="shared" si="36"/>
        <v>85.01</v>
      </c>
      <c r="BJ48" s="287" t="str">
        <f t="shared" si="37"/>
        <v>baik</v>
      </c>
      <c r="BK48" s="287" t="str">
        <f t="shared" si="37"/>
        <v>baik</v>
      </c>
      <c r="BL48" s="286">
        <f t="shared" si="38"/>
        <v>2</v>
      </c>
      <c r="BM48" s="288">
        <f t="shared" si="39"/>
        <v>1</v>
      </c>
      <c r="BN48" s="289" t="str">
        <f t="shared" si="40"/>
        <v>Memiliki keterampilan baik dalam melakukan penelitian sederhana yang terjadi di masyarakat dan memberiakan respon dalam mengatasi permasalahan sosial</v>
      </c>
      <c r="BO48" s="67"/>
    </row>
    <row r="49" spans="1:67" ht="33" customHeight="1">
      <c r="A49" s="67"/>
      <c r="B49" s="272">
        <f t="shared" si="23"/>
        <v>36</v>
      </c>
      <c r="C49" s="273">
        <f>IF(Data!F40="","",Data!F40)</f>
        <v>0</v>
      </c>
      <c r="D49" s="274" t="str">
        <f>IF(Data!H40="","",Data!H40)</f>
        <v>Yuliana Febriyanti Nggeon</v>
      </c>
      <c r="E49" s="275" t="str">
        <f>IF(Data!I40="","",Data!I40)</f>
        <v>P</v>
      </c>
      <c r="F49" s="276">
        <v>90</v>
      </c>
      <c r="G49" s="277">
        <v>88</v>
      </c>
      <c r="H49" s="277"/>
      <c r="I49" s="277"/>
      <c r="J49" s="277"/>
      <c r="K49" s="277"/>
      <c r="L49" s="277"/>
      <c r="M49" s="280"/>
      <c r="N49" s="277"/>
      <c r="O49" s="278"/>
      <c r="P49" s="279">
        <f t="shared" si="24"/>
        <v>89</v>
      </c>
      <c r="Q49" s="277">
        <v>90</v>
      </c>
      <c r="R49" s="280">
        <v>90</v>
      </c>
      <c r="S49" s="281">
        <f t="shared" si="25"/>
        <v>90</v>
      </c>
      <c r="T49" s="295" t="str">
        <f t="shared" si="26"/>
        <v>B</v>
      </c>
      <c r="U49" s="1215">
        <f t="shared" si="41"/>
        <v>90.01</v>
      </c>
      <c r="V49" s="1216">
        <f t="shared" si="41"/>
        <v>88.02</v>
      </c>
      <c r="W49" s="1216" t="str">
        <f t="shared" si="41"/>
        <v/>
      </c>
      <c r="X49" s="1216" t="str">
        <f t="shared" si="41"/>
        <v/>
      </c>
      <c r="Y49" s="1216" t="str">
        <f t="shared" si="41"/>
        <v/>
      </c>
      <c r="Z49" s="1216" t="str">
        <f t="shared" si="41"/>
        <v/>
      </c>
      <c r="AA49" s="1216" t="str">
        <f t="shared" si="41"/>
        <v/>
      </c>
      <c r="AB49" s="1217" t="str">
        <f t="shared" si="41"/>
        <v/>
      </c>
      <c r="AC49" s="1216" t="str">
        <f t="shared" si="41"/>
        <v/>
      </c>
      <c r="AD49" s="1218" t="str">
        <f t="shared" si="41"/>
        <v/>
      </c>
      <c r="AE49" s="1219">
        <f t="shared" si="27"/>
        <v>90.01</v>
      </c>
      <c r="AF49" s="282">
        <f t="shared" si="28"/>
        <v>88.02</v>
      </c>
      <c r="AG49" s="282" t="str">
        <f t="shared" si="29"/>
        <v>baik</v>
      </c>
      <c r="AH49" s="282" t="str">
        <f t="shared" si="29"/>
        <v>baik</v>
      </c>
      <c r="AI49" s="282">
        <f t="shared" si="30"/>
        <v>1</v>
      </c>
      <c r="AJ49" s="283">
        <f t="shared" si="31"/>
        <v>2</v>
      </c>
      <c r="AK49" s="284" t="str">
        <f t="shared" si="32"/>
        <v>Memiliki kemampuan baik dalam menganalisis permasalahan sosial di masyarakat  dan memahami berbagai metode penelitian di masyarakat</v>
      </c>
      <c r="AL49" s="276">
        <v>85</v>
      </c>
      <c r="AM49" s="277">
        <v>85</v>
      </c>
      <c r="AN49" s="277"/>
      <c r="AO49" s="277"/>
      <c r="AP49" s="277"/>
      <c r="AQ49" s="277"/>
      <c r="AR49" s="277"/>
      <c r="AS49" s="280"/>
      <c r="AT49" s="277"/>
      <c r="AU49" s="278"/>
      <c r="AV49" s="285">
        <f t="shared" si="33"/>
        <v>85</v>
      </c>
      <c r="AW49" s="296" t="str">
        <f t="shared" si="34"/>
        <v>B</v>
      </c>
      <c r="AX49" s="1220">
        <f t="shared" si="42"/>
        <v>85.01</v>
      </c>
      <c r="AY49" s="1221">
        <f t="shared" si="42"/>
        <v>85.02</v>
      </c>
      <c r="AZ49" s="1221" t="str">
        <f t="shared" si="42"/>
        <v/>
      </c>
      <c r="BA49" s="1221" t="str">
        <f t="shared" si="42"/>
        <v/>
      </c>
      <c r="BB49" s="1221" t="str">
        <f t="shared" si="42"/>
        <v/>
      </c>
      <c r="BC49" s="1221" t="str">
        <f t="shared" si="42"/>
        <v/>
      </c>
      <c r="BD49" s="1221" t="str">
        <f t="shared" si="42"/>
        <v/>
      </c>
      <c r="BE49" s="1222" t="str">
        <f t="shared" si="42"/>
        <v/>
      </c>
      <c r="BF49" s="1221" t="str">
        <f t="shared" si="42"/>
        <v/>
      </c>
      <c r="BG49" s="1223" t="str">
        <f t="shared" si="42"/>
        <v/>
      </c>
      <c r="BH49" s="286">
        <f t="shared" si="35"/>
        <v>85.02</v>
      </c>
      <c r="BI49" s="286">
        <f t="shared" si="36"/>
        <v>85.01</v>
      </c>
      <c r="BJ49" s="287" t="str">
        <f t="shared" si="37"/>
        <v>baik</v>
      </c>
      <c r="BK49" s="287" t="str">
        <f t="shared" si="37"/>
        <v>baik</v>
      </c>
      <c r="BL49" s="286">
        <f t="shared" si="38"/>
        <v>2</v>
      </c>
      <c r="BM49" s="288">
        <f t="shared" si="39"/>
        <v>1</v>
      </c>
      <c r="BN49" s="289" t="str">
        <f t="shared" si="40"/>
        <v>Memiliki keterampilan baik dalam melakukan penelitian sederhana yang terjadi di masyarakat dan memberiakan respon dalam mengatasi permasalahan sosial</v>
      </c>
      <c r="BO49" s="67"/>
    </row>
    <row r="50" spans="1:67" ht="33" customHeight="1">
      <c r="A50" s="67"/>
      <c r="B50" s="272">
        <f t="shared" si="23"/>
        <v>37</v>
      </c>
      <c r="C50" s="273">
        <f>IF(Data!F41="","",Data!F41)</f>
        <v>0</v>
      </c>
      <c r="D50" s="274" t="str">
        <f>IF(Data!H41="","",Data!H41)</f>
        <v>Yuninda Pono</v>
      </c>
      <c r="E50" s="275" t="str">
        <f>IF(Data!I41="","",Data!I41)</f>
        <v>P</v>
      </c>
      <c r="F50" s="276">
        <v>90</v>
      </c>
      <c r="G50" s="277">
        <v>88</v>
      </c>
      <c r="H50" s="277"/>
      <c r="I50" s="277"/>
      <c r="J50" s="277"/>
      <c r="K50" s="277"/>
      <c r="L50" s="277"/>
      <c r="M50" s="280"/>
      <c r="N50" s="277"/>
      <c r="O50" s="278"/>
      <c r="P50" s="279">
        <f t="shared" si="24"/>
        <v>89</v>
      </c>
      <c r="Q50" s="277">
        <v>90</v>
      </c>
      <c r="R50" s="280">
        <v>88</v>
      </c>
      <c r="S50" s="281">
        <f t="shared" si="25"/>
        <v>89</v>
      </c>
      <c r="T50" s="295" t="str">
        <f t="shared" si="26"/>
        <v>B</v>
      </c>
      <c r="U50" s="1215">
        <f t="shared" si="41"/>
        <v>90.01</v>
      </c>
      <c r="V50" s="1216">
        <f t="shared" si="41"/>
        <v>88.02</v>
      </c>
      <c r="W50" s="1216" t="str">
        <f t="shared" si="41"/>
        <v/>
      </c>
      <c r="X50" s="1216" t="str">
        <f t="shared" si="41"/>
        <v/>
      </c>
      <c r="Y50" s="1216" t="str">
        <f t="shared" si="41"/>
        <v/>
      </c>
      <c r="Z50" s="1216" t="str">
        <f t="shared" si="41"/>
        <v/>
      </c>
      <c r="AA50" s="1216" t="str">
        <f t="shared" si="41"/>
        <v/>
      </c>
      <c r="AB50" s="1217" t="str">
        <f t="shared" si="41"/>
        <v/>
      </c>
      <c r="AC50" s="1216" t="str">
        <f t="shared" si="41"/>
        <v/>
      </c>
      <c r="AD50" s="1218" t="str">
        <f t="shared" si="41"/>
        <v/>
      </c>
      <c r="AE50" s="1219">
        <f t="shared" si="27"/>
        <v>90.01</v>
      </c>
      <c r="AF50" s="282">
        <f t="shared" si="28"/>
        <v>88.02</v>
      </c>
      <c r="AG50" s="282" t="str">
        <f t="shared" si="29"/>
        <v>baik</v>
      </c>
      <c r="AH50" s="282" t="str">
        <f t="shared" si="29"/>
        <v>baik</v>
      </c>
      <c r="AI50" s="282">
        <f t="shared" si="30"/>
        <v>1</v>
      </c>
      <c r="AJ50" s="283">
        <f t="shared" si="31"/>
        <v>2</v>
      </c>
      <c r="AK50" s="284" t="str">
        <f t="shared" si="32"/>
        <v>Memiliki kemampuan baik dalam menganalisis permasalahan sosial di masyarakat  dan memahami berbagai metode penelitian di masyarakat</v>
      </c>
      <c r="AL50" s="276">
        <v>85</v>
      </c>
      <c r="AM50" s="277">
        <v>85</v>
      </c>
      <c r="AN50" s="277"/>
      <c r="AO50" s="277"/>
      <c r="AP50" s="277"/>
      <c r="AQ50" s="277"/>
      <c r="AR50" s="277"/>
      <c r="AS50" s="280"/>
      <c r="AT50" s="277"/>
      <c r="AU50" s="278"/>
      <c r="AV50" s="285">
        <f t="shared" si="33"/>
        <v>85</v>
      </c>
      <c r="AW50" s="296" t="str">
        <f t="shared" si="34"/>
        <v>B</v>
      </c>
      <c r="AX50" s="1220">
        <f t="shared" si="42"/>
        <v>85.01</v>
      </c>
      <c r="AY50" s="1221">
        <f t="shared" si="42"/>
        <v>85.02</v>
      </c>
      <c r="AZ50" s="1221" t="str">
        <f t="shared" si="42"/>
        <v/>
      </c>
      <c r="BA50" s="1221" t="str">
        <f t="shared" si="42"/>
        <v/>
      </c>
      <c r="BB50" s="1221" t="str">
        <f t="shared" si="42"/>
        <v/>
      </c>
      <c r="BC50" s="1221" t="str">
        <f t="shared" si="42"/>
        <v/>
      </c>
      <c r="BD50" s="1221" t="str">
        <f t="shared" si="42"/>
        <v/>
      </c>
      <c r="BE50" s="1222" t="str">
        <f t="shared" si="42"/>
        <v/>
      </c>
      <c r="BF50" s="1221" t="str">
        <f t="shared" si="42"/>
        <v/>
      </c>
      <c r="BG50" s="1223" t="str">
        <f t="shared" si="42"/>
        <v/>
      </c>
      <c r="BH50" s="286">
        <f t="shared" si="35"/>
        <v>85.02</v>
      </c>
      <c r="BI50" s="286">
        <f t="shared" si="36"/>
        <v>85.01</v>
      </c>
      <c r="BJ50" s="287" t="str">
        <f t="shared" si="37"/>
        <v>baik</v>
      </c>
      <c r="BK50" s="287" t="str">
        <f t="shared" si="37"/>
        <v>baik</v>
      </c>
      <c r="BL50" s="286">
        <f t="shared" si="38"/>
        <v>2</v>
      </c>
      <c r="BM50" s="288">
        <f t="shared" si="39"/>
        <v>1</v>
      </c>
      <c r="BN50" s="289" t="str">
        <f t="shared" si="40"/>
        <v>Memiliki keterampilan baik dalam melakukan penelitian sederhana yang terjadi di masyarakat dan memberiakan respon dalam mengatasi permasalahan sosial</v>
      </c>
      <c r="BO50" s="67"/>
    </row>
    <row r="51" spans="1:67" ht="33" customHeight="1">
      <c r="A51" s="67"/>
      <c r="B51" s="272" t="str">
        <f t="shared" si="23"/>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23"/>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23"/>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23"/>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23"/>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3">IF(K55="","",K55+Z$13)</f>
        <v/>
      </c>
      <c r="AA55" s="1216" t="str">
        <f t="shared" si="43"/>
        <v/>
      </c>
      <c r="AB55" s="1217" t="str">
        <f t="shared" si="43"/>
        <v/>
      </c>
      <c r="AC55" s="1216" t="str">
        <f t="shared" si="43"/>
        <v/>
      </c>
      <c r="AD55" s="1218" t="str">
        <f t="shared" si="43"/>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4">IF(AQ55="","",AQ55+BC$12)</f>
        <v/>
      </c>
      <c r="BD55" s="1221" t="str">
        <f t="shared" si="44"/>
        <v/>
      </c>
      <c r="BE55" s="1222" t="str">
        <f t="shared" si="44"/>
        <v/>
      </c>
      <c r="BF55" s="1221" t="str">
        <f t="shared" si="44"/>
        <v/>
      </c>
      <c r="BG55" s="1223" t="str">
        <f t="shared" si="44"/>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23"/>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5">IF(F56="","",F56+U$13)</f>
        <v/>
      </c>
      <c r="V56" s="1216" t="str">
        <f t="shared" si="45"/>
        <v/>
      </c>
      <c r="W56" s="1216" t="str">
        <f t="shared" si="45"/>
        <v/>
      </c>
      <c r="X56" s="1216" t="str">
        <f t="shared" si="45"/>
        <v/>
      </c>
      <c r="Y56" s="1216" t="str">
        <f t="shared" si="45"/>
        <v/>
      </c>
      <c r="Z56" s="1216" t="str">
        <f t="shared" si="43"/>
        <v/>
      </c>
      <c r="AA56" s="1216" t="str">
        <f t="shared" si="43"/>
        <v/>
      </c>
      <c r="AB56" s="1217" t="str">
        <f t="shared" si="43"/>
        <v/>
      </c>
      <c r="AC56" s="1216" t="str">
        <f t="shared" si="43"/>
        <v/>
      </c>
      <c r="AD56" s="1218" t="str">
        <f t="shared" si="43"/>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6">IF(AL56="","",AL56+AX$12)</f>
        <v/>
      </c>
      <c r="AY56" s="1221" t="str">
        <f t="shared" si="46"/>
        <v/>
      </c>
      <c r="AZ56" s="1221" t="str">
        <f t="shared" si="46"/>
        <v/>
      </c>
      <c r="BA56" s="1221" t="str">
        <f t="shared" si="46"/>
        <v/>
      </c>
      <c r="BB56" s="1221" t="str">
        <f t="shared" si="46"/>
        <v/>
      </c>
      <c r="BC56" s="1221" t="str">
        <f t="shared" si="44"/>
        <v/>
      </c>
      <c r="BD56" s="1221" t="str">
        <f t="shared" si="44"/>
        <v/>
      </c>
      <c r="BE56" s="1222" t="str">
        <f t="shared" si="44"/>
        <v/>
      </c>
      <c r="BF56" s="1221" t="str">
        <f t="shared" si="44"/>
        <v/>
      </c>
      <c r="BG56" s="1223" t="str">
        <f t="shared" si="44"/>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23"/>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5"/>
        <v/>
      </c>
      <c r="V57" s="1216" t="str">
        <f t="shared" si="45"/>
        <v/>
      </c>
      <c r="W57" s="1216" t="str">
        <f t="shared" si="45"/>
        <v/>
      </c>
      <c r="X57" s="1216" t="str">
        <f t="shared" si="45"/>
        <v/>
      </c>
      <c r="Y57" s="1216" t="str">
        <f t="shared" si="45"/>
        <v/>
      </c>
      <c r="Z57" s="1216" t="str">
        <f t="shared" si="43"/>
        <v/>
      </c>
      <c r="AA57" s="1216" t="str">
        <f t="shared" si="43"/>
        <v/>
      </c>
      <c r="AB57" s="1217" t="str">
        <f t="shared" si="43"/>
        <v/>
      </c>
      <c r="AC57" s="1216" t="str">
        <f t="shared" si="43"/>
        <v/>
      </c>
      <c r="AD57" s="1218" t="str">
        <f t="shared" si="43"/>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6"/>
        <v/>
      </c>
      <c r="AY57" s="1221" t="str">
        <f t="shared" si="46"/>
        <v/>
      </c>
      <c r="AZ57" s="1221" t="str">
        <f t="shared" si="46"/>
        <v/>
      </c>
      <c r="BA57" s="1221" t="str">
        <f t="shared" si="46"/>
        <v/>
      </c>
      <c r="BB57" s="1221" t="str">
        <f t="shared" si="46"/>
        <v/>
      </c>
      <c r="BC57" s="1221" t="str">
        <f t="shared" si="44"/>
        <v/>
      </c>
      <c r="BD57" s="1221" t="str">
        <f t="shared" si="44"/>
        <v/>
      </c>
      <c r="BE57" s="1222" t="str">
        <f t="shared" si="44"/>
        <v/>
      </c>
      <c r="BF57" s="1221" t="str">
        <f t="shared" si="44"/>
        <v/>
      </c>
      <c r="BG57" s="1223" t="str">
        <f t="shared" si="44"/>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23"/>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5"/>
        <v/>
      </c>
      <c r="V58" s="1216" t="str">
        <f t="shared" si="45"/>
        <v/>
      </c>
      <c r="W58" s="1216" t="str">
        <f t="shared" si="45"/>
        <v/>
      </c>
      <c r="X58" s="1216" t="str">
        <f t="shared" si="45"/>
        <v/>
      </c>
      <c r="Y58" s="1216" t="str">
        <f t="shared" si="45"/>
        <v/>
      </c>
      <c r="Z58" s="1216" t="str">
        <f t="shared" si="43"/>
        <v/>
      </c>
      <c r="AA58" s="1216" t="str">
        <f t="shared" si="43"/>
        <v/>
      </c>
      <c r="AB58" s="1217" t="str">
        <f t="shared" si="43"/>
        <v/>
      </c>
      <c r="AC58" s="1216" t="str">
        <f t="shared" si="43"/>
        <v/>
      </c>
      <c r="AD58" s="1218" t="str">
        <f t="shared" si="43"/>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6"/>
        <v/>
      </c>
      <c r="AY58" s="1221" t="str">
        <f t="shared" si="46"/>
        <v/>
      </c>
      <c r="AZ58" s="1221" t="str">
        <f t="shared" si="46"/>
        <v/>
      </c>
      <c r="BA58" s="1221" t="str">
        <f t="shared" si="46"/>
        <v/>
      </c>
      <c r="BB58" s="1221" t="str">
        <f t="shared" si="46"/>
        <v/>
      </c>
      <c r="BC58" s="1221" t="str">
        <f t="shared" si="44"/>
        <v/>
      </c>
      <c r="BD58" s="1221" t="str">
        <f t="shared" si="44"/>
        <v/>
      </c>
      <c r="BE58" s="1222" t="str">
        <f t="shared" si="44"/>
        <v/>
      </c>
      <c r="BF58" s="1221" t="str">
        <f t="shared" si="44"/>
        <v/>
      </c>
      <c r="BG58" s="1223" t="str">
        <f t="shared" si="44"/>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23"/>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5"/>
        <v/>
      </c>
      <c r="V59" s="1216" t="str">
        <f t="shared" si="45"/>
        <v/>
      </c>
      <c r="W59" s="1216" t="str">
        <f t="shared" si="45"/>
        <v/>
      </c>
      <c r="X59" s="1216" t="str">
        <f t="shared" si="45"/>
        <v/>
      </c>
      <c r="Y59" s="1216" t="str">
        <f t="shared" si="45"/>
        <v/>
      </c>
      <c r="Z59" s="1216" t="str">
        <f t="shared" si="43"/>
        <v/>
      </c>
      <c r="AA59" s="1216" t="str">
        <f t="shared" si="43"/>
        <v/>
      </c>
      <c r="AB59" s="1217" t="str">
        <f t="shared" si="43"/>
        <v/>
      </c>
      <c r="AC59" s="1216" t="str">
        <f t="shared" si="43"/>
        <v/>
      </c>
      <c r="AD59" s="1218" t="str">
        <f t="shared" si="43"/>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6"/>
        <v/>
      </c>
      <c r="AY59" s="1221" t="str">
        <f t="shared" si="46"/>
        <v/>
      </c>
      <c r="AZ59" s="1221" t="str">
        <f t="shared" si="46"/>
        <v/>
      </c>
      <c r="BA59" s="1221" t="str">
        <f t="shared" si="46"/>
        <v/>
      </c>
      <c r="BB59" s="1221" t="str">
        <f t="shared" si="46"/>
        <v/>
      </c>
      <c r="BC59" s="1221" t="str">
        <f t="shared" si="44"/>
        <v/>
      </c>
      <c r="BD59" s="1221" t="str">
        <f t="shared" si="44"/>
        <v/>
      </c>
      <c r="BE59" s="1222" t="str">
        <f t="shared" si="44"/>
        <v/>
      </c>
      <c r="BF59" s="1221" t="str">
        <f t="shared" si="44"/>
        <v/>
      </c>
      <c r="BG59" s="1223" t="str">
        <f t="shared" si="44"/>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23"/>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5"/>
        <v/>
      </c>
      <c r="V60" s="1216" t="str">
        <f t="shared" si="45"/>
        <v/>
      </c>
      <c r="W60" s="1216" t="str">
        <f t="shared" si="45"/>
        <v/>
      </c>
      <c r="X60" s="1216" t="str">
        <f t="shared" si="45"/>
        <v/>
      </c>
      <c r="Y60" s="1216" t="str">
        <f t="shared" si="45"/>
        <v/>
      </c>
      <c r="Z60" s="1216" t="str">
        <f t="shared" si="43"/>
        <v/>
      </c>
      <c r="AA60" s="1216" t="str">
        <f t="shared" si="43"/>
        <v/>
      </c>
      <c r="AB60" s="1217" t="str">
        <f t="shared" si="43"/>
        <v/>
      </c>
      <c r="AC60" s="1216" t="str">
        <f t="shared" si="43"/>
        <v/>
      </c>
      <c r="AD60" s="1218" t="str">
        <f t="shared" si="43"/>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6"/>
        <v/>
      </c>
      <c r="AY60" s="1221" t="str">
        <f t="shared" si="46"/>
        <v/>
      </c>
      <c r="AZ60" s="1221" t="str">
        <f t="shared" si="46"/>
        <v/>
      </c>
      <c r="BA60" s="1221" t="str">
        <f t="shared" si="46"/>
        <v/>
      </c>
      <c r="BB60" s="1221" t="str">
        <f t="shared" si="46"/>
        <v/>
      </c>
      <c r="BC60" s="1221" t="str">
        <f t="shared" si="44"/>
        <v/>
      </c>
      <c r="BD60" s="1221" t="str">
        <f t="shared" si="44"/>
        <v/>
      </c>
      <c r="BE60" s="1222" t="str">
        <f t="shared" si="44"/>
        <v/>
      </c>
      <c r="BF60" s="1221" t="str">
        <f t="shared" si="44"/>
        <v/>
      </c>
      <c r="BG60" s="1223" t="str">
        <f t="shared" si="44"/>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23"/>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5"/>
        <v/>
      </c>
      <c r="V61" s="1216" t="str">
        <f t="shared" si="45"/>
        <v/>
      </c>
      <c r="W61" s="1216" t="str">
        <f t="shared" si="45"/>
        <v/>
      </c>
      <c r="X61" s="1216" t="str">
        <f t="shared" si="45"/>
        <v/>
      </c>
      <c r="Y61" s="1216" t="str">
        <f t="shared" si="45"/>
        <v/>
      </c>
      <c r="Z61" s="1216" t="str">
        <f t="shared" si="43"/>
        <v/>
      </c>
      <c r="AA61" s="1216" t="str">
        <f t="shared" si="43"/>
        <v/>
      </c>
      <c r="AB61" s="1217" t="str">
        <f t="shared" si="43"/>
        <v/>
      </c>
      <c r="AC61" s="1216" t="str">
        <f t="shared" si="43"/>
        <v/>
      </c>
      <c r="AD61" s="1218" t="str">
        <f t="shared" si="43"/>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6"/>
        <v/>
      </c>
      <c r="AY61" s="1221" t="str">
        <f t="shared" si="46"/>
        <v/>
      </c>
      <c r="AZ61" s="1221" t="str">
        <f t="shared" si="46"/>
        <v/>
      </c>
      <c r="BA61" s="1221" t="str">
        <f t="shared" si="46"/>
        <v/>
      </c>
      <c r="BB61" s="1221" t="str">
        <f t="shared" si="46"/>
        <v/>
      </c>
      <c r="BC61" s="1221" t="str">
        <f t="shared" si="44"/>
        <v/>
      </c>
      <c r="BD61" s="1221" t="str">
        <f t="shared" si="44"/>
        <v/>
      </c>
      <c r="BE61" s="1222" t="str">
        <f t="shared" si="44"/>
        <v/>
      </c>
      <c r="BF61" s="1221" t="str">
        <f t="shared" si="44"/>
        <v/>
      </c>
      <c r="BG61" s="1223" t="str">
        <f t="shared" si="44"/>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23"/>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5"/>
        <v/>
      </c>
      <c r="V62" s="1216" t="str">
        <f t="shared" si="45"/>
        <v/>
      </c>
      <c r="W62" s="1216" t="str">
        <f t="shared" si="45"/>
        <v/>
      </c>
      <c r="X62" s="1216" t="str">
        <f t="shared" si="45"/>
        <v/>
      </c>
      <c r="Y62" s="1216" t="str">
        <f t="shared" si="45"/>
        <v/>
      </c>
      <c r="Z62" s="1216" t="str">
        <f t="shared" si="43"/>
        <v/>
      </c>
      <c r="AA62" s="1216" t="str">
        <f t="shared" si="43"/>
        <v/>
      </c>
      <c r="AB62" s="1217" t="str">
        <f t="shared" si="43"/>
        <v/>
      </c>
      <c r="AC62" s="1216" t="str">
        <f t="shared" si="43"/>
        <v/>
      </c>
      <c r="AD62" s="1218" t="str">
        <f t="shared" si="43"/>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6"/>
        <v/>
      </c>
      <c r="AY62" s="1221" t="str">
        <f t="shared" si="46"/>
        <v/>
      </c>
      <c r="AZ62" s="1221" t="str">
        <f t="shared" si="46"/>
        <v/>
      </c>
      <c r="BA62" s="1221" t="str">
        <f t="shared" si="46"/>
        <v/>
      </c>
      <c r="BB62" s="1221" t="str">
        <f t="shared" si="46"/>
        <v/>
      </c>
      <c r="BC62" s="1221" t="str">
        <f t="shared" si="44"/>
        <v/>
      </c>
      <c r="BD62" s="1221" t="str">
        <f t="shared" si="44"/>
        <v/>
      </c>
      <c r="BE62" s="1222" t="str">
        <f t="shared" si="44"/>
        <v/>
      </c>
      <c r="BF62" s="1221" t="str">
        <f t="shared" si="44"/>
        <v/>
      </c>
      <c r="BG62" s="1223" t="str">
        <f t="shared" si="44"/>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23"/>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5"/>
        <v/>
      </c>
      <c r="V63" s="1216" t="str">
        <f t="shared" si="45"/>
        <v/>
      </c>
      <c r="W63" s="1216" t="str">
        <f t="shared" si="45"/>
        <v/>
      </c>
      <c r="X63" s="1216" t="str">
        <f t="shared" si="45"/>
        <v/>
      </c>
      <c r="Y63" s="1216" t="str">
        <f t="shared" si="45"/>
        <v/>
      </c>
      <c r="Z63" s="1216" t="str">
        <f t="shared" si="43"/>
        <v/>
      </c>
      <c r="AA63" s="1216" t="str">
        <f t="shared" si="43"/>
        <v/>
      </c>
      <c r="AB63" s="1217" t="str">
        <f t="shared" si="43"/>
        <v/>
      </c>
      <c r="AC63" s="1216" t="str">
        <f t="shared" si="43"/>
        <v/>
      </c>
      <c r="AD63" s="1218" t="str">
        <f t="shared" si="43"/>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6"/>
        <v/>
      </c>
      <c r="AY63" s="1221" t="str">
        <f t="shared" si="46"/>
        <v/>
      </c>
      <c r="AZ63" s="1221" t="str">
        <f t="shared" si="46"/>
        <v/>
      </c>
      <c r="BA63" s="1221" t="str">
        <f t="shared" si="46"/>
        <v/>
      </c>
      <c r="BB63" s="1221" t="str">
        <f t="shared" si="46"/>
        <v/>
      </c>
      <c r="BC63" s="1221" t="str">
        <f t="shared" si="44"/>
        <v/>
      </c>
      <c r="BD63" s="1221" t="str">
        <f t="shared" si="44"/>
        <v/>
      </c>
      <c r="BE63" s="1222" t="str">
        <f t="shared" si="44"/>
        <v/>
      </c>
      <c r="BF63" s="1221" t="str">
        <f t="shared" si="44"/>
        <v/>
      </c>
      <c r="BG63" s="1223" t="str">
        <f t="shared" si="44"/>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7">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7"/>
        <v>85</v>
      </c>
      <c r="AM69" s="349" t="s">
        <v>5</v>
      </c>
      <c r="AN69" s="347">
        <f t="shared" ref="AN69" si="48">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Data2!G15</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49">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0">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1">F76</f>
        <v>85</v>
      </c>
      <c r="AM76" s="7" t="s">
        <v>5</v>
      </c>
      <c r="AN76" s="9">
        <f t="shared" si="51"/>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1"/>
        <v>76</v>
      </c>
      <c r="AM77" s="7" t="s">
        <v>5</v>
      </c>
      <c r="AN77" s="9">
        <f t="shared" si="51"/>
        <v>84.5</v>
      </c>
      <c r="AO77" s="1357" t="str">
        <f t="shared" ref="AO77:AO78" si="52">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1"/>
        <v>0</v>
      </c>
      <c r="AM78" s="7" t="s">
        <v>5</v>
      </c>
      <c r="AN78" s="9">
        <f t="shared" si="51"/>
        <v>75.5</v>
      </c>
      <c r="AO78" s="1357" t="str">
        <f t="shared" si="52"/>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75" hidden="1" customHeight="1">
      <c r="C84" s="2"/>
      <c r="AL84" s="10"/>
      <c r="AM84" s="8"/>
      <c r="AN84" s="10"/>
      <c r="AO84" s="770"/>
      <c r="AP84" s="770"/>
      <c r="AQ84" s="770"/>
      <c r="AR84" s="1159"/>
      <c r="AS84" s="1159"/>
      <c r="AT84" s="770"/>
      <c r="AU84" s="770"/>
      <c r="AV84" s="770"/>
    </row>
    <row r="85" spans="3:48" ht="12.75" hidden="1" customHeight="1">
      <c r="C85" s="2"/>
      <c r="AL85" s="10"/>
      <c r="AM85" s="8"/>
      <c r="AN85" s="10"/>
      <c r="AO85" s="770"/>
      <c r="AP85" s="770"/>
      <c r="AQ85" s="770"/>
      <c r="AR85" s="1159"/>
      <c r="AS85" s="1159"/>
      <c r="AT85" s="770"/>
      <c r="AU85" s="770"/>
      <c r="AV85" s="770"/>
    </row>
    <row r="86" spans="3:48" ht="12" hidden="1" customHeight="1"/>
    <row r="87" spans="3:48" ht="12" hidden="1" customHeight="1"/>
    <row r="88" spans="3:48" ht="12" hidden="1" customHeight="1"/>
    <row r="89" spans="3:48" ht="12" hidden="1" customHeight="1"/>
    <row r="90" spans="3:48" ht="12" hidden="1" customHeight="1"/>
    <row r="91" spans="3:48" ht="12" hidden="1" customHeight="1">
      <c r="C91" s="2"/>
      <c r="F91" s="2"/>
      <c r="G91" s="2"/>
      <c r="H91" s="2"/>
      <c r="I91" s="2"/>
      <c r="J91" s="2"/>
      <c r="K91" s="2"/>
      <c r="L91" s="2"/>
      <c r="M91" s="2"/>
      <c r="S91" s="2"/>
      <c r="AL91" s="2"/>
      <c r="AM91" s="2"/>
      <c r="AN91" s="2"/>
      <c r="AO91" s="2"/>
      <c r="AP91" s="2"/>
      <c r="AQ91" s="2"/>
      <c r="AR91" s="2"/>
      <c r="AS91" s="2"/>
    </row>
    <row r="92" spans="3:48" ht="12" hidden="1" customHeight="1">
      <c r="C92" s="2"/>
      <c r="F92" s="2"/>
      <c r="G92" s="2"/>
      <c r="H92" s="2"/>
      <c r="I92" s="2"/>
      <c r="J92" s="2"/>
      <c r="K92" s="2"/>
      <c r="L92" s="2"/>
      <c r="M92" s="2"/>
      <c r="S92" s="2"/>
      <c r="AL92" s="2"/>
      <c r="AM92" s="2"/>
      <c r="AN92" s="2"/>
      <c r="AO92" s="2"/>
      <c r="AP92" s="2"/>
      <c r="AQ92" s="2"/>
      <c r="AR92" s="2"/>
      <c r="AS92" s="2"/>
    </row>
    <row r="93" spans="3:48" hidden="1"/>
    <row r="94" spans="3:48" hidden="1"/>
    <row r="95" spans="3:48" hidden="1"/>
    <row r="96" spans="3:48" hidden="1"/>
    <row r="97" hidden="1"/>
    <row r="98" hidden="1"/>
    <row r="99" hidden="1"/>
    <row r="100" hidden="1"/>
    <row r="101" hidden="1"/>
    <row r="102" hidden="1"/>
    <row r="103" hidden="1"/>
  </sheetData>
  <mergeCells count="70">
    <mergeCell ref="D1:E2"/>
    <mergeCell ref="B3:C4"/>
    <mergeCell ref="D3:E6"/>
    <mergeCell ref="B6:C6"/>
    <mergeCell ref="B7:C7"/>
    <mergeCell ref="D7:E9"/>
    <mergeCell ref="B8:C8"/>
    <mergeCell ref="B9:C9"/>
    <mergeCell ref="B1:C2"/>
    <mergeCell ref="F3:F6"/>
    <mergeCell ref="G3:R6"/>
    <mergeCell ref="AL4:AL5"/>
    <mergeCell ref="AM4:AU5"/>
    <mergeCell ref="AL6:AL7"/>
    <mergeCell ref="AM6:AU7"/>
    <mergeCell ref="F7:F10"/>
    <mergeCell ref="G7:R10"/>
    <mergeCell ref="AL8:AL11"/>
    <mergeCell ref="AM8:AU11"/>
    <mergeCell ref="G11:R11"/>
    <mergeCell ref="G1:R1"/>
    <mergeCell ref="AM1:AU1"/>
    <mergeCell ref="G2:R2"/>
    <mergeCell ref="AL2:AL3"/>
    <mergeCell ref="AM2:AU3"/>
    <mergeCell ref="I78:P78"/>
    <mergeCell ref="AO82:AV82"/>
    <mergeCell ref="AO83:AV83"/>
    <mergeCell ref="I75:P75"/>
    <mergeCell ref="I76:P76"/>
    <mergeCell ref="I77:P77"/>
    <mergeCell ref="I74:Q74"/>
    <mergeCell ref="AL74:AN74"/>
    <mergeCell ref="AO74:AV74"/>
    <mergeCell ref="I68:Q68"/>
    <mergeCell ref="AO68:AV68"/>
    <mergeCell ref="I69:Q69"/>
    <mergeCell ref="AO69:AV69"/>
    <mergeCell ref="I70:Q70"/>
    <mergeCell ref="AO70:AV70"/>
    <mergeCell ref="I71:Q71"/>
    <mergeCell ref="AO71:AV71"/>
    <mergeCell ref="F73:Q73"/>
    <mergeCell ref="AL73:AV73"/>
    <mergeCell ref="F74:H74"/>
    <mergeCell ref="F65:Q65"/>
    <mergeCell ref="AL65:AV65"/>
    <mergeCell ref="F66:Q66"/>
    <mergeCell ref="AL66:AV66"/>
    <mergeCell ref="F67:H67"/>
    <mergeCell ref="I67:Q67"/>
    <mergeCell ref="AL67:AN67"/>
    <mergeCell ref="AO67:AV67"/>
    <mergeCell ref="AV12:AV13"/>
    <mergeCell ref="AW12:AW13"/>
    <mergeCell ref="BN12:BN13"/>
    <mergeCell ref="AG13:AH13"/>
    <mergeCell ref="AI13:AJ13"/>
    <mergeCell ref="BJ13:BK13"/>
    <mergeCell ref="BL13:BM13"/>
    <mergeCell ref="B10:C11"/>
    <mergeCell ref="D10:E11"/>
    <mergeCell ref="T12:T13"/>
    <mergeCell ref="AK12:AK13"/>
    <mergeCell ref="S12:S13"/>
    <mergeCell ref="B12:B13"/>
    <mergeCell ref="C12:C13"/>
    <mergeCell ref="D12:D13"/>
    <mergeCell ref="E12:E13"/>
    <mergeCell ref="F12:O12"/>
  </mergeCells>
  <conditionalFormatting sqref="B14:E63">
    <cfRule type="expression" dxfId="3381" priority="273">
      <formula>AND($B14&lt;&gt;"",$B15="")</formula>
    </cfRule>
    <cfRule type="expression" dxfId="3380" priority="274">
      <formula>$B14=""</formula>
    </cfRule>
  </conditionalFormatting>
  <conditionalFormatting sqref="B56:E56">
    <cfRule type="expression" dxfId="3379" priority="275">
      <formula>AND($B56&lt;&gt;"",$B63="")</formula>
    </cfRule>
    <cfRule type="expression" dxfId="3378" priority="276">
      <formula>$B56=""</formula>
    </cfRule>
  </conditionalFormatting>
  <conditionalFormatting sqref="B50:E50">
    <cfRule type="expression" dxfId="3377" priority="277">
      <formula>AND($B50&lt;&gt;"",$B63="")</formula>
    </cfRule>
    <cfRule type="expression" dxfId="3376" priority="278">
      <formula>$B50=""</formula>
    </cfRule>
  </conditionalFormatting>
  <conditionalFormatting sqref="B43:E44">
    <cfRule type="expression" dxfId="3375" priority="279">
      <formula>AND($B43&lt;&gt;"",$B62="")</formula>
    </cfRule>
    <cfRule type="expression" dxfId="3374" priority="280">
      <formula>$B43=""</formula>
    </cfRule>
  </conditionalFormatting>
  <conditionalFormatting sqref="B63:E63">
    <cfRule type="expression" dxfId="3373" priority="281">
      <formula>AND($B63&lt;&gt;"",#REF!="")</formula>
    </cfRule>
    <cfRule type="expression" dxfId="3372" priority="282">
      <formula>$B63=""</formula>
    </cfRule>
  </conditionalFormatting>
  <conditionalFormatting sqref="B61:E61">
    <cfRule type="expression" dxfId="3371" priority="283">
      <formula>AND($B61&lt;&gt;"",$B64="")</formula>
    </cfRule>
    <cfRule type="expression" dxfId="3370" priority="284">
      <formula>$B61=""</formula>
    </cfRule>
  </conditionalFormatting>
  <conditionalFormatting sqref="B57:E60">
    <cfRule type="expression" dxfId="3369" priority="285">
      <formula>AND($B57&lt;&gt;"",#REF!="")</formula>
    </cfRule>
    <cfRule type="expression" dxfId="3368" priority="286">
      <formula>$B57=""</formula>
    </cfRule>
  </conditionalFormatting>
  <conditionalFormatting sqref="B55:E55">
    <cfRule type="expression" dxfId="3367" priority="287">
      <formula>AND($B55&lt;&gt;"",$B64="")</formula>
    </cfRule>
    <cfRule type="expression" dxfId="3366" priority="288">
      <formula>$B55=""</formula>
    </cfRule>
  </conditionalFormatting>
  <conditionalFormatting sqref="B51:E54">
    <cfRule type="expression" dxfId="3365" priority="289">
      <formula>AND($B51&lt;&gt;"",#REF!="")</formula>
    </cfRule>
    <cfRule type="expression" dxfId="3364" priority="290">
      <formula>$B51=""</formula>
    </cfRule>
  </conditionalFormatting>
  <conditionalFormatting sqref="B49:E49">
    <cfRule type="expression" dxfId="3363" priority="291">
      <formula>AND($B49&lt;&gt;"",$B64="")</formula>
    </cfRule>
    <cfRule type="expression" dxfId="3362" priority="292">
      <formula>$B49=""</formula>
    </cfRule>
  </conditionalFormatting>
  <conditionalFormatting sqref="B45:E63">
    <cfRule type="expression" dxfId="3361" priority="293">
      <formula>AND($B45&lt;&gt;"",#REF!="")</formula>
    </cfRule>
    <cfRule type="expression" dxfId="3360" priority="294">
      <formula>$B45=""</formula>
    </cfRule>
  </conditionalFormatting>
  <conditionalFormatting sqref="R70 F66:Q71">
    <cfRule type="expression" dxfId="3359" priority="295">
      <formula>$F$65="SAMA DENGAN DATA"</formula>
    </cfRule>
  </conditionalFormatting>
  <conditionalFormatting sqref="F66:Q71">
    <cfRule type="expression" dxfId="3358" priority="296">
      <formula>$F$65="kkm tunggal"</formula>
    </cfRule>
  </conditionalFormatting>
  <conditionalFormatting sqref="AW70:BG70 AL66:AV71">
    <cfRule type="expression" dxfId="3357" priority="297">
      <formula>$AL$65="SAMA DENGAN DATA"</formula>
    </cfRule>
  </conditionalFormatting>
  <conditionalFormatting sqref="AL66:AV71">
    <cfRule type="expression" dxfId="3356" priority="298">
      <formula>$AL$65="KKM TUNGGAL"</formula>
    </cfRule>
  </conditionalFormatting>
  <conditionalFormatting sqref="B61:E63">
    <cfRule type="expression" dxfId="3355" priority="2744">
      <formula>AND($B61&lt;&gt;"",$B65="")</formula>
    </cfRule>
    <cfRule type="expression" dxfId="3354" priority="2745">
      <formula>$B61=""</formula>
    </cfRule>
  </conditionalFormatting>
  <conditionalFormatting sqref="B50:E60">
    <cfRule type="expression" dxfId="3353" priority="2746">
      <formula>AND($B50&lt;&gt;"",#REF!="")</formula>
    </cfRule>
    <cfRule type="expression" dxfId="3352" priority="2747">
      <formula>$B50=""</formula>
    </cfRule>
  </conditionalFormatting>
  <conditionalFormatting sqref="U14:AB63 P51:S63 AV14:BE63 AE14:AK63 BH14:BN63 P14:P50 S14:S50">
    <cfRule type="expression" dxfId="3351" priority="186">
      <formula>AND($B14&lt;&gt;"",$B15="")</formula>
    </cfRule>
    <cfRule type="expression" dxfId="3350" priority="187">
      <formula>$B14=""</formula>
    </cfRule>
  </conditionalFormatting>
  <conditionalFormatting sqref="T14:T63">
    <cfRule type="expression" dxfId="3349" priority="184">
      <formula>AND($B14&lt;&gt;"",$B15="")</formula>
    </cfRule>
    <cfRule type="expression" dxfId="3348" priority="185">
      <formula>$B14=""</formula>
    </cfRule>
  </conditionalFormatting>
  <conditionalFormatting sqref="AV14">
    <cfRule type="expression" dxfId="3347" priority="182">
      <formula>AND($B14&lt;&gt;"",$B15="")</formula>
    </cfRule>
    <cfRule type="expression" dxfId="3346" priority="183">
      <formula>$B14=""</formula>
    </cfRule>
  </conditionalFormatting>
  <conditionalFormatting sqref="P56:S56 U56:AB56 BH56:BN56 AE56:AK56 AV56:BE56">
    <cfRule type="expression" dxfId="3345" priority="188">
      <formula>AND($B56&lt;&gt;"",$B63="")</formula>
    </cfRule>
    <cfRule type="expression" dxfId="3344" priority="189">
      <formula>$B56=""</formula>
    </cfRule>
  </conditionalFormatting>
  <conditionalFormatting sqref="P50 U50:AB50 BH50:BN50 AE50:AK50 AV50:BE50 S50">
    <cfRule type="expression" dxfId="3343" priority="190">
      <formula>AND($B50&lt;&gt;"",$B63="")</formula>
    </cfRule>
    <cfRule type="expression" dxfId="3342" priority="191">
      <formula>$B50=""</formula>
    </cfRule>
  </conditionalFormatting>
  <conditionalFormatting sqref="P43:P44 U43:AB44 BH43:BN44 AE43:AK44 AV43:BE44 S43:S44">
    <cfRule type="expression" dxfId="3341" priority="192">
      <formula>AND($B43&lt;&gt;"",$B62="")</formula>
    </cfRule>
    <cfRule type="expression" dxfId="3340" priority="193">
      <formula>$B43=""</formula>
    </cfRule>
  </conditionalFormatting>
  <conditionalFormatting sqref="P63:S63 U63:AB63 BH63:BN63 AE63:AK63 AV63:BE63">
    <cfRule type="expression" dxfId="3339" priority="194">
      <formula>AND($B63&lt;&gt;"",#REF!="")</formula>
    </cfRule>
    <cfRule type="expression" dxfId="3338" priority="195">
      <formula>$B63=""</formula>
    </cfRule>
  </conditionalFormatting>
  <conditionalFormatting sqref="P61:S61 U61:AB61 BH61:BN61 AE61:AK61 AV61:BE61">
    <cfRule type="expression" dxfId="3337" priority="196">
      <formula>AND($B61&lt;&gt;"",$B64="")</formula>
    </cfRule>
    <cfRule type="expression" dxfId="3336" priority="197">
      <formula>$B61=""</formula>
    </cfRule>
  </conditionalFormatting>
  <conditionalFormatting sqref="P57:S60 U57:AB60 BH57:BN60 AE57:AK60 AV57:BE60">
    <cfRule type="expression" dxfId="3335" priority="198">
      <formula>AND($B57&lt;&gt;"",#REF!="")</formula>
    </cfRule>
    <cfRule type="expression" dxfId="3334" priority="199">
      <formula>$B57=""</formula>
    </cfRule>
  </conditionalFormatting>
  <conditionalFormatting sqref="P55:S55 U55:AB55 BH55:BN55 AE55:AK55 AV55:BE55">
    <cfRule type="expression" dxfId="3333" priority="200">
      <formula>AND($B55&lt;&gt;"",$B64="")</formula>
    </cfRule>
    <cfRule type="expression" dxfId="3332" priority="201">
      <formula>$B55=""</formula>
    </cfRule>
  </conditionalFormatting>
  <conditionalFormatting sqref="P51:S54 U51:AB54 BH51:BN54 AE51:AK54 AV51:BE54">
    <cfRule type="expression" dxfId="3331" priority="202">
      <formula>AND($B51&lt;&gt;"",#REF!="")</formula>
    </cfRule>
    <cfRule type="expression" dxfId="3330" priority="203">
      <formula>$B51=""</formula>
    </cfRule>
  </conditionalFormatting>
  <conditionalFormatting sqref="H49:P49 U49:AK49 S49 AN49:BN49">
    <cfRule type="expression" dxfId="3329" priority="204">
      <formula>AND($B49&lt;&gt;"",$B64="")</formula>
    </cfRule>
    <cfRule type="expression" dxfId="3328" priority="205">
      <formula>$B49=""</formula>
    </cfRule>
  </conditionalFormatting>
  <conditionalFormatting sqref="P51:S63 U45:AB63 BH45:BN63 AE45:AK63 AV45:BE63 P45:P50 S45:S50">
    <cfRule type="expression" dxfId="3327" priority="206">
      <formula>AND($B45&lt;&gt;"",#REF!="")</formula>
    </cfRule>
    <cfRule type="expression" dxfId="3326" priority="207">
      <formula>$B45=""</formula>
    </cfRule>
  </conditionalFormatting>
  <conditionalFormatting sqref="T16:T63">
    <cfRule type="expression" dxfId="3325" priority="180">
      <formula>AND($B16&lt;&gt;"",$B17="")</formula>
    </cfRule>
    <cfRule type="expression" dxfId="3324" priority="181">
      <formula>$B16=""</formula>
    </cfRule>
  </conditionalFormatting>
  <conditionalFormatting sqref="U13:AB13 AX12:BG12">
    <cfRule type="expression" dxfId="3323" priority="179">
      <formula>COUNTA(U$14:U$63)&gt;0</formula>
    </cfRule>
  </conditionalFormatting>
  <conditionalFormatting sqref="F51:M63 H14:M50">
    <cfRule type="expression" dxfId="3322" priority="158">
      <formula>AND($B14&lt;&gt;"",$B15="")</formula>
    </cfRule>
    <cfRule type="expression" dxfId="3321" priority="159">
      <formula>$B14=""</formula>
    </cfRule>
  </conditionalFormatting>
  <conditionalFormatting sqref="F56:M56">
    <cfRule type="expression" dxfId="3320" priority="160">
      <formula>AND($B56&lt;&gt;"",$B63="")</formula>
    </cfRule>
    <cfRule type="expression" dxfId="3319" priority="161">
      <formula>$B56=""</formula>
    </cfRule>
  </conditionalFormatting>
  <conditionalFormatting sqref="H50:M50">
    <cfRule type="expression" dxfId="3318" priority="162">
      <formula>AND($B50&lt;&gt;"",$B63="")</formula>
    </cfRule>
    <cfRule type="expression" dxfId="3317" priority="163">
      <formula>$B50=""</formula>
    </cfRule>
  </conditionalFormatting>
  <conditionalFormatting sqref="H43:M44">
    <cfRule type="expression" dxfId="3316" priority="164">
      <formula>AND($B43&lt;&gt;"",$B62="")</formula>
    </cfRule>
    <cfRule type="expression" dxfId="3315" priority="165">
      <formula>$B43=""</formula>
    </cfRule>
  </conditionalFormatting>
  <conditionalFormatting sqref="F63:M63">
    <cfRule type="expression" dxfId="3314" priority="166">
      <formula>AND($B63&lt;&gt;"",#REF!="")</formula>
    </cfRule>
    <cfRule type="expression" dxfId="3313" priority="167">
      <formula>$B63=""</formula>
    </cfRule>
  </conditionalFormatting>
  <conditionalFormatting sqref="F61:M61">
    <cfRule type="expression" dxfId="3312" priority="168">
      <formula>AND($B61&lt;&gt;"",$B64="")</formula>
    </cfRule>
    <cfRule type="expression" dxfId="3311" priority="169">
      <formula>$B61=""</formula>
    </cfRule>
  </conditionalFormatting>
  <conditionalFormatting sqref="F57:M60">
    <cfRule type="expression" dxfId="3310" priority="170">
      <formula>AND($B57&lt;&gt;"",#REF!="")</formula>
    </cfRule>
    <cfRule type="expression" dxfId="3309" priority="171">
      <formula>$B57=""</formula>
    </cfRule>
  </conditionalFormatting>
  <conditionalFormatting sqref="F55:M55">
    <cfRule type="expression" dxfId="3308" priority="172">
      <formula>AND($B55&lt;&gt;"",$B64="")</formula>
    </cfRule>
    <cfRule type="expression" dxfId="3307" priority="173">
      <formula>$B55=""</formula>
    </cfRule>
  </conditionalFormatting>
  <conditionalFormatting sqref="F51:M54">
    <cfRule type="expression" dxfId="3306" priority="174">
      <formula>AND($B51&lt;&gt;"",#REF!="")</formula>
    </cfRule>
    <cfRule type="expression" dxfId="3305" priority="175">
      <formula>$B51=""</formula>
    </cfRule>
  </conditionalFormatting>
  <conditionalFormatting sqref="F51:M63 H45:M50">
    <cfRule type="expression" dxfId="3304" priority="176">
      <formula>AND($B45&lt;&gt;"",#REF!="")</formula>
    </cfRule>
    <cfRule type="expression" dxfId="3303" priority="177">
      <formula>$B45=""</formula>
    </cfRule>
  </conditionalFormatting>
  <conditionalFormatting sqref="F13:M13">
    <cfRule type="expression" dxfId="3302" priority="157">
      <formula>COUNTA(F$14:F$63)&gt;0</formula>
    </cfRule>
  </conditionalFormatting>
  <conditionalFormatting sqref="F51:M63 H14:M50">
    <cfRule type="expression" dxfId="3301" priority="178">
      <formula>COUNTIF($U14:$AB14,F14)&gt;1</formula>
    </cfRule>
  </conditionalFormatting>
  <conditionalFormatting sqref="AC14:AD63">
    <cfRule type="expression" dxfId="3300" priority="137">
      <formula>AND($B14&lt;&gt;"",$B15="")</formula>
    </cfRule>
    <cfRule type="expression" dxfId="3299" priority="138">
      <formula>$B14=""</formula>
    </cfRule>
  </conditionalFormatting>
  <conditionalFormatting sqref="AC56:AD56">
    <cfRule type="expression" dxfId="3298" priority="139">
      <formula>AND($B56&lt;&gt;"",$B63="")</formula>
    </cfRule>
    <cfRule type="expression" dxfId="3297" priority="140">
      <formula>$B56=""</formula>
    </cfRule>
  </conditionalFormatting>
  <conditionalFormatting sqref="AC50:AD50">
    <cfRule type="expression" dxfId="3296" priority="141">
      <formula>AND($B50&lt;&gt;"",$B63="")</formula>
    </cfRule>
    <cfRule type="expression" dxfId="3295" priority="142">
      <formula>$B50=""</formula>
    </cfRule>
  </conditionalFormatting>
  <conditionalFormatting sqref="AC43:AD44">
    <cfRule type="expression" dxfId="3294" priority="143">
      <formula>AND($B43&lt;&gt;"",$B62="")</formula>
    </cfRule>
    <cfRule type="expression" dxfId="3293" priority="144">
      <formula>$B43=""</formula>
    </cfRule>
  </conditionalFormatting>
  <conditionalFormatting sqref="AC63:AD63">
    <cfRule type="expression" dxfId="3292" priority="145">
      <formula>AND($B63&lt;&gt;"",#REF!="")</formula>
    </cfRule>
    <cfRule type="expression" dxfId="3291" priority="146">
      <formula>$B63=""</formula>
    </cfRule>
  </conditionalFormatting>
  <conditionalFormatting sqref="AC61:AD61">
    <cfRule type="expression" dxfId="3290" priority="147">
      <formula>AND($B61&lt;&gt;"",$B64="")</formula>
    </cfRule>
    <cfRule type="expression" dxfId="3289" priority="148">
      <formula>$B61=""</formula>
    </cfRule>
  </conditionalFormatting>
  <conditionalFormatting sqref="AC57:AD60">
    <cfRule type="expression" dxfId="3288" priority="149">
      <formula>AND($B57&lt;&gt;"",#REF!="")</formula>
    </cfRule>
    <cfRule type="expression" dxfId="3287" priority="150">
      <formula>$B57=""</formula>
    </cfRule>
  </conditionalFormatting>
  <conditionalFormatting sqref="AC55:AD55">
    <cfRule type="expression" dxfId="3286" priority="151">
      <formula>AND($B55&lt;&gt;"",$B64="")</formula>
    </cfRule>
    <cfRule type="expression" dxfId="3285" priority="152">
      <formula>$B55=""</formula>
    </cfRule>
  </conditionalFormatting>
  <conditionalFormatting sqref="AC51:AD54">
    <cfRule type="expression" dxfId="3284" priority="153">
      <formula>AND($B51&lt;&gt;"",#REF!="")</formula>
    </cfRule>
    <cfRule type="expression" dxfId="3283" priority="154">
      <formula>$B51=""</formula>
    </cfRule>
  </conditionalFormatting>
  <conditionalFormatting sqref="AC45:AD63">
    <cfRule type="expression" dxfId="3282" priority="155">
      <formula>AND($B45&lt;&gt;"",#REF!="")</formula>
    </cfRule>
    <cfRule type="expression" dxfId="3281" priority="156">
      <formula>$B45=""</formula>
    </cfRule>
  </conditionalFormatting>
  <conditionalFormatting sqref="AC13:AD13">
    <cfRule type="expression" dxfId="3280" priority="136">
      <formula>COUNTA(AC$14:AC$63)&gt;0</formula>
    </cfRule>
  </conditionalFormatting>
  <conditionalFormatting sqref="N14:O63">
    <cfRule type="expression" dxfId="3279" priority="115">
      <formula>AND($B14&lt;&gt;"",$B15="")</formula>
    </cfRule>
    <cfRule type="expression" dxfId="3278" priority="116">
      <formula>$B14=""</formula>
    </cfRule>
  </conditionalFormatting>
  <conditionalFormatting sqref="N56:O56">
    <cfRule type="expression" dxfId="3277" priority="117">
      <formula>AND($B56&lt;&gt;"",$B63="")</formula>
    </cfRule>
    <cfRule type="expression" dxfId="3276" priority="118">
      <formula>$B56=""</formula>
    </cfRule>
  </conditionalFormatting>
  <conditionalFormatting sqref="N50:O50">
    <cfRule type="expression" dxfId="3275" priority="119">
      <formula>AND($B50&lt;&gt;"",$B63="")</formula>
    </cfRule>
    <cfRule type="expression" dxfId="3274" priority="120">
      <formula>$B50=""</formula>
    </cfRule>
  </conditionalFormatting>
  <conditionalFormatting sqref="N43:O44">
    <cfRule type="expression" dxfId="3273" priority="121">
      <formula>AND($B43&lt;&gt;"",$B62="")</formula>
    </cfRule>
    <cfRule type="expression" dxfId="3272" priority="122">
      <formula>$B43=""</formula>
    </cfRule>
  </conditionalFormatting>
  <conditionalFormatting sqref="N63:O63">
    <cfRule type="expression" dxfId="3271" priority="123">
      <formula>AND($B63&lt;&gt;"",#REF!="")</formula>
    </cfRule>
    <cfRule type="expression" dxfId="3270" priority="124">
      <formula>$B63=""</formula>
    </cfRule>
  </conditionalFormatting>
  <conditionalFormatting sqref="N61:O61">
    <cfRule type="expression" dxfId="3269" priority="125">
      <formula>AND($B61&lt;&gt;"",$B64="")</formula>
    </cfRule>
    <cfRule type="expression" dxfId="3268" priority="126">
      <formula>$B61=""</formula>
    </cfRule>
  </conditionalFormatting>
  <conditionalFormatting sqref="N57:O60">
    <cfRule type="expression" dxfId="3267" priority="127">
      <formula>AND($B57&lt;&gt;"",#REF!="")</formula>
    </cfRule>
    <cfRule type="expression" dxfId="3266" priority="128">
      <formula>$B57=""</formula>
    </cfRule>
  </conditionalFormatting>
  <conditionalFormatting sqref="N55:O55">
    <cfRule type="expression" dxfId="3265" priority="129">
      <formula>AND($B55&lt;&gt;"",$B64="")</formula>
    </cfRule>
    <cfRule type="expression" dxfId="3264" priority="130">
      <formula>$B55=""</formula>
    </cfRule>
  </conditionalFormatting>
  <conditionalFormatting sqref="N51:O54">
    <cfRule type="expression" dxfId="3263" priority="131">
      <formula>AND($B51&lt;&gt;"",#REF!="")</formula>
    </cfRule>
    <cfRule type="expression" dxfId="3262" priority="132">
      <formula>$B51=""</formula>
    </cfRule>
  </conditionalFormatting>
  <conditionalFormatting sqref="N45:O63">
    <cfRule type="expression" dxfId="3261" priority="133">
      <formula>AND($B45&lt;&gt;"",#REF!="")</formula>
    </cfRule>
    <cfRule type="expression" dxfId="3260" priority="134">
      <formula>$B45=""</formula>
    </cfRule>
  </conditionalFormatting>
  <conditionalFormatting sqref="N13:O13">
    <cfRule type="expression" dxfId="3259" priority="114">
      <formula>COUNTA(N$14:N$63)&gt;0</formula>
    </cfRule>
  </conditionalFormatting>
  <conditionalFormatting sqref="N14:O63">
    <cfRule type="expression" dxfId="3258" priority="135">
      <formula>COUNTIF($U14:$AB14,N14)&gt;1</formula>
    </cfRule>
  </conditionalFormatting>
  <conditionalFormatting sqref="BF14:BG63">
    <cfRule type="expression" dxfId="3257" priority="94">
      <formula>AND($B14&lt;&gt;"",$B15="")</formula>
    </cfRule>
    <cfRule type="expression" dxfId="3256" priority="95">
      <formula>$B14=""</formula>
    </cfRule>
  </conditionalFormatting>
  <conditionalFormatting sqref="BF56:BG56">
    <cfRule type="expression" dxfId="3255" priority="96">
      <formula>AND($B56&lt;&gt;"",$B63="")</formula>
    </cfRule>
    <cfRule type="expression" dxfId="3254" priority="97">
      <formula>$B56=""</formula>
    </cfRule>
  </conditionalFormatting>
  <conditionalFormatting sqref="BF50:BG50">
    <cfRule type="expression" dxfId="3253" priority="98">
      <formula>AND($B50&lt;&gt;"",$B63="")</formula>
    </cfRule>
    <cfRule type="expression" dxfId="3252" priority="99">
      <formula>$B50=""</formula>
    </cfRule>
  </conditionalFormatting>
  <conditionalFormatting sqref="BF43:BG44">
    <cfRule type="expression" dxfId="3251" priority="100">
      <formula>AND($B43&lt;&gt;"",$B62="")</formula>
    </cfRule>
    <cfRule type="expression" dxfId="3250" priority="101">
      <formula>$B43=""</formula>
    </cfRule>
  </conditionalFormatting>
  <conditionalFormatting sqref="BF63:BG63">
    <cfRule type="expression" dxfId="3249" priority="102">
      <formula>AND($B63&lt;&gt;"",#REF!="")</formula>
    </cfRule>
    <cfRule type="expression" dxfId="3248" priority="103">
      <formula>$B63=""</formula>
    </cfRule>
  </conditionalFormatting>
  <conditionalFormatting sqref="BF61:BG61">
    <cfRule type="expression" dxfId="3247" priority="104">
      <formula>AND($B61&lt;&gt;"",$B64="")</formula>
    </cfRule>
    <cfRule type="expression" dxfId="3246" priority="105">
      <formula>$B61=""</formula>
    </cfRule>
  </conditionalFormatting>
  <conditionalFormatting sqref="BF57:BG60">
    <cfRule type="expression" dxfId="3245" priority="106">
      <formula>AND($B57&lt;&gt;"",#REF!="")</formula>
    </cfRule>
    <cfRule type="expression" dxfId="3244" priority="107">
      <formula>$B57=""</formula>
    </cfRule>
  </conditionalFormatting>
  <conditionalFormatting sqref="BF55:BG55">
    <cfRule type="expression" dxfId="3243" priority="108">
      <formula>AND($B55&lt;&gt;"",$B64="")</formula>
    </cfRule>
    <cfRule type="expression" dxfId="3242" priority="109">
      <formula>$B55=""</formula>
    </cfRule>
  </conditionalFormatting>
  <conditionalFormatting sqref="BF51:BG54">
    <cfRule type="expression" dxfId="3241" priority="110">
      <formula>AND($B51&lt;&gt;"",#REF!="")</formula>
    </cfRule>
    <cfRule type="expression" dxfId="3240" priority="111">
      <formula>$B51=""</formula>
    </cfRule>
  </conditionalFormatting>
  <conditionalFormatting sqref="BF45:BG63">
    <cfRule type="expression" dxfId="3239" priority="112">
      <formula>AND($B45&lt;&gt;"",#REF!="")</formula>
    </cfRule>
    <cfRule type="expression" dxfId="3238" priority="113">
      <formula>$B45=""</formula>
    </cfRule>
  </conditionalFormatting>
  <conditionalFormatting sqref="AL51:AS63 AN14:AS50">
    <cfRule type="expression" dxfId="3237" priority="73">
      <formula>AND($B14&lt;&gt;"",$B15="")</formula>
    </cfRule>
    <cfRule type="expression" dxfId="3236" priority="74">
      <formula>$B14=""</formula>
    </cfRule>
  </conditionalFormatting>
  <conditionalFormatting sqref="AL56:AS56">
    <cfRule type="expression" dxfId="3235" priority="75">
      <formula>AND($B56&lt;&gt;"",$B63="")</formula>
    </cfRule>
    <cfRule type="expression" dxfId="3234" priority="76">
      <formula>$B56=""</formula>
    </cfRule>
  </conditionalFormatting>
  <conditionalFormatting sqref="AN50:AS50">
    <cfRule type="expression" dxfId="3233" priority="77">
      <formula>AND($B50&lt;&gt;"",$B63="")</formula>
    </cfRule>
    <cfRule type="expression" dxfId="3232" priority="78">
      <formula>$B50=""</formula>
    </cfRule>
  </conditionalFormatting>
  <conditionalFormatting sqref="AN43:AS44">
    <cfRule type="expression" dxfId="3231" priority="79">
      <formula>AND($B43&lt;&gt;"",$B62="")</formula>
    </cfRule>
    <cfRule type="expression" dxfId="3230" priority="80">
      <formula>$B43=""</formula>
    </cfRule>
  </conditionalFormatting>
  <conditionalFormatting sqref="AL63:AS63">
    <cfRule type="expression" dxfId="3229" priority="81">
      <formula>AND($B63&lt;&gt;"",#REF!="")</formula>
    </cfRule>
    <cfRule type="expression" dxfId="3228" priority="82">
      <formula>$B63=""</formula>
    </cfRule>
  </conditionalFormatting>
  <conditionalFormatting sqref="AL61:AS61">
    <cfRule type="expression" dxfId="3227" priority="83">
      <formula>AND($B61&lt;&gt;"",$B64="")</formula>
    </cfRule>
    <cfRule type="expression" dxfId="3226" priority="84">
      <formula>$B61=""</formula>
    </cfRule>
  </conditionalFormatting>
  <conditionalFormatting sqref="AL57:AS60">
    <cfRule type="expression" dxfId="3225" priority="85">
      <formula>AND($B57&lt;&gt;"",#REF!="")</formula>
    </cfRule>
    <cfRule type="expression" dxfId="3224" priority="86">
      <formula>$B57=""</formula>
    </cfRule>
  </conditionalFormatting>
  <conditionalFormatting sqref="AL55:AS55">
    <cfRule type="expression" dxfId="3223" priority="87">
      <formula>AND($B55&lt;&gt;"",$B64="")</formula>
    </cfRule>
    <cfRule type="expression" dxfId="3222" priority="88">
      <formula>$B55=""</formula>
    </cfRule>
  </conditionalFormatting>
  <conditionalFormatting sqref="AL51:AS54">
    <cfRule type="expression" dxfId="3221" priority="89">
      <formula>AND($B51&lt;&gt;"",#REF!="")</formula>
    </cfRule>
    <cfRule type="expression" dxfId="3220" priority="90">
      <formula>$B51=""</formula>
    </cfRule>
  </conditionalFormatting>
  <conditionalFormatting sqref="AL51:AS63 AN45:AS50">
    <cfRule type="expression" dxfId="3219" priority="91">
      <formula>AND($B45&lt;&gt;"",#REF!="")</formula>
    </cfRule>
    <cfRule type="expression" dxfId="3218" priority="92">
      <formula>$B45=""</formula>
    </cfRule>
  </conditionalFormatting>
  <conditionalFormatting sqref="AL12:AU12">
    <cfRule type="expression" dxfId="3217" priority="72">
      <formula>COUNTA(AL$14:AL$63)&gt;0</formula>
    </cfRule>
  </conditionalFormatting>
  <conditionalFormatting sqref="AT14:AU63">
    <cfRule type="expression" dxfId="3216" priority="52">
      <formula>AND($B14&lt;&gt;"",$B15="")</formula>
    </cfRule>
    <cfRule type="expression" dxfId="3215" priority="53">
      <formula>$B14=""</formula>
    </cfRule>
  </conditionalFormatting>
  <conditionalFormatting sqref="AT56:AU56">
    <cfRule type="expression" dxfId="3214" priority="54">
      <formula>AND($B56&lt;&gt;"",$B63="")</formula>
    </cfRule>
    <cfRule type="expression" dxfId="3213" priority="55">
      <formula>$B56=""</formula>
    </cfRule>
  </conditionalFormatting>
  <conditionalFormatting sqref="AT50:AU50">
    <cfRule type="expression" dxfId="3212" priority="56">
      <formula>AND($B50&lt;&gt;"",$B63="")</formula>
    </cfRule>
    <cfRule type="expression" dxfId="3211" priority="57">
      <formula>$B50=""</formula>
    </cfRule>
  </conditionalFormatting>
  <conditionalFormatting sqref="AT43:AU44">
    <cfRule type="expression" dxfId="3210" priority="58">
      <formula>AND($B43&lt;&gt;"",$B62="")</formula>
    </cfRule>
    <cfRule type="expression" dxfId="3209" priority="59">
      <formula>$B43=""</formula>
    </cfRule>
  </conditionalFormatting>
  <conditionalFormatting sqref="AT63:AU63">
    <cfRule type="expression" dxfId="3208" priority="60">
      <formula>AND($B63&lt;&gt;"",#REF!="")</formula>
    </cfRule>
    <cfRule type="expression" dxfId="3207" priority="61">
      <formula>$B63=""</formula>
    </cfRule>
  </conditionalFormatting>
  <conditionalFormatting sqref="AT61:AU61">
    <cfRule type="expression" dxfId="3206" priority="62">
      <formula>AND($B61&lt;&gt;"",$B64="")</formula>
    </cfRule>
    <cfRule type="expression" dxfId="3205" priority="63">
      <formula>$B61=""</formula>
    </cfRule>
  </conditionalFormatting>
  <conditionalFormatting sqref="AT57:AU60">
    <cfRule type="expression" dxfId="3204" priority="64">
      <formula>AND($B57&lt;&gt;"",#REF!="")</formula>
    </cfRule>
    <cfRule type="expression" dxfId="3203" priority="65">
      <formula>$B57=""</formula>
    </cfRule>
  </conditionalFormatting>
  <conditionalFormatting sqref="AT55:AU55">
    <cfRule type="expression" dxfId="3202" priority="66">
      <formula>AND($B55&lt;&gt;"",$B64="")</formula>
    </cfRule>
    <cfRule type="expression" dxfId="3201" priority="67">
      <formula>$B55=""</formula>
    </cfRule>
  </conditionalFormatting>
  <conditionalFormatting sqref="AT51:AU54">
    <cfRule type="expression" dxfId="3200" priority="68">
      <formula>AND($B51&lt;&gt;"",#REF!="")</formula>
    </cfRule>
    <cfRule type="expression" dxfId="3199" priority="69">
      <formula>$B51=""</formula>
    </cfRule>
  </conditionalFormatting>
  <conditionalFormatting sqref="AT45:AU63">
    <cfRule type="expression" dxfId="3198" priority="70">
      <formula>AND($B45&lt;&gt;"",#REF!="")</formula>
    </cfRule>
    <cfRule type="expression" dxfId="3197" priority="71">
      <formula>$B45=""</formula>
    </cfRule>
  </conditionalFormatting>
  <conditionalFormatting sqref="AL51:AU63 AN14:AU50">
    <cfRule type="expression" dxfId="3196" priority="93">
      <formula>COUNTIF($AX14:$BE14,AL14)&gt;1</formula>
    </cfRule>
  </conditionalFormatting>
  <conditionalFormatting sqref="F61:S63 U61:BN63">
    <cfRule type="expression" dxfId="3195" priority="208">
      <formula>AND($B61&lt;&gt;"",$B65="")</formula>
    </cfRule>
    <cfRule type="expression" dxfId="3194" priority="209">
      <formula>$B61=""</formula>
    </cfRule>
  </conditionalFormatting>
  <conditionalFormatting sqref="F51:S60 U51:BN60 H50:P50 S50 U50:AK50 AN50:BN50">
    <cfRule type="expression" dxfId="3193" priority="210">
      <formula>AND($B50&lt;&gt;"",#REF!="")</formula>
    </cfRule>
    <cfRule type="expression" dxfId="3192" priority="211">
      <formula>$B50=""</formula>
    </cfRule>
  </conditionalFormatting>
  <conditionalFormatting sqref="T2">
    <cfRule type="expression" dxfId="3191" priority="51">
      <formula>COUNTA(F$14:F$63)&gt;0</formula>
    </cfRule>
  </conditionalFormatting>
  <conditionalFormatting sqref="T3">
    <cfRule type="expression" dxfId="3190" priority="212">
      <formula>COUNTA(G$14:G$63)&gt;0</formula>
    </cfRule>
  </conditionalFormatting>
  <conditionalFormatting sqref="T4">
    <cfRule type="expression" dxfId="3189" priority="213">
      <formula>COUNTA(H$14:H$63)&gt;0</formula>
    </cfRule>
  </conditionalFormatting>
  <conditionalFormatting sqref="T5">
    <cfRule type="expression" dxfId="3188" priority="214">
      <formula>COUNTA(I$14:I$63)&gt;0</formula>
    </cfRule>
  </conditionalFormatting>
  <conditionalFormatting sqref="T7">
    <cfRule type="expression" dxfId="3187" priority="50">
      <formula>COUNTA(K$14:K$63)&gt;0</formula>
    </cfRule>
  </conditionalFormatting>
  <conditionalFormatting sqref="T11">
    <cfRule type="expression" dxfId="3186" priority="215">
      <formula>COUNTA(O$14:O$63)&gt;0</formula>
    </cfRule>
  </conditionalFormatting>
  <conditionalFormatting sqref="T10">
    <cfRule type="expression" dxfId="3185" priority="216">
      <formula>COUNTA(N$14:N$63)&gt;0</formula>
    </cfRule>
  </conditionalFormatting>
  <conditionalFormatting sqref="T9">
    <cfRule type="expression" dxfId="3184" priority="217">
      <formula>COUNTA(M$14:M$63)&gt;0</formula>
    </cfRule>
  </conditionalFormatting>
  <conditionalFormatting sqref="T8">
    <cfRule type="expression" dxfId="3183" priority="218">
      <formula>COUNTA(L$14:L$63)&gt;0</formula>
    </cfRule>
  </conditionalFormatting>
  <conditionalFormatting sqref="T6">
    <cfRule type="expression" dxfId="3182" priority="49">
      <formula>COUNTA(J$14:J$63)&gt;0</formula>
    </cfRule>
  </conditionalFormatting>
  <conditionalFormatting sqref="AW2">
    <cfRule type="expression" dxfId="3181" priority="48">
      <formula>COUNTA(AL$14:AL$63)&gt;0</formula>
    </cfRule>
  </conditionalFormatting>
  <conditionalFormatting sqref="AW3">
    <cfRule type="expression" dxfId="3180" priority="47">
      <formula>COUNTA(AM$14:AM$63)&gt;0</formula>
    </cfRule>
  </conditionalFormatting>
  <conditionalFormatting sqref="AW4">
    <cfRule type="expression" dxfId="3179" priority="46">
      <formula>COUNTA(AN$14:AN$63)&gt;0</formula>
    </cfRule>
  </conditionalFormatting>
  <conditionalFormatting sqref="AW5">
    <cfRule type="expression" dxfId="3178" priority="45">
      <formula>COUNTA(AO$14:AO$63)&gt;0</formula>
    </cfRule>
  </conditionalFormatting>
  <conditionalFormatting sqref="AW6">
    <cfRule type="expression" dxfId="3177" priority="44">
      <formula>COUNTA(AP$14:AP$63)&gt;0</formula>
    </cfRule>
  </conditionalFormatting>
  <conditionalFormatting sqref="AW7">
    <cfRule type="expression" dxfId="3176" priority="43">
      <formula>COUNTA(AQ$14:AQ$63)&gt;0</formula>
    </cfRule>
  </conditionalFormatting>
  <conditionalFormatting sqref="AW8">
    <cfRule type="expression" dxfId="3175" priority="42">
      <formula>COUNTA(AR$14:AR$63)&gt;0</formula>
    </cfRule>
  </conditionalFormatting>
  <conditionalFormatting sqref="AW9">
    <cfRule type="expression" dxfId="3174" priority="41">
      <formula>COUNTA(AS$14:AS$63)&gt;0</formula>
    </cfRule>
  </conditionalFormatting>
  <conditionalFormatting sqref="AW10">
    <cfRule type="expression" dxfId="3173" priority="40">
      <formula>COUNTA(AT$14:AT$63)&gt;0</formula>
    </cfRule>
  </conditionalFormatting>
  <conditionalFormatting sqref="AW11">
    <cfRule type="expression" dxfId="3172" priority="39">
      <formula>COUNTA(AU$14:AU$63)&gt;0</formula>
    </cfRule>
  </conditionalFormatting>
  <conditionalFormatting sqref="F49:G49">
    <cfRule type="expression" dxfId="3171" priority="35">
      <formula>AND($B49&lt;&gt;"",$B64="")</formula>
    </cfRule>
    <cfRule type="expression" dxfId="3170" priority="36">
      <formula>$B49=""</formula>
    </cfRule>
  </conditionalFormatting>
  <conditionalFormatting sqref="F14:G50">
    <cfRule type="expression" dxfId="3169" priority="26">
      <formula>AND($B14&lt;&gt;"",$B15="")</formula>
    </cfRule>
    <cfRule type="expression" dxfId="3168" priority="27">
      <formula>$B14=""</formula>
    </cfRule>
  </conditionalFormatting>
  <conditionalFormatting sqref="F50:G50">
    <cfRule type="expression" dxfId="3167" priority="28">
      <formula>AND($B50&lt;&gt;"",$B63="")</formula>
    </cfRule>
    <cfRule type="expression" dxfId="3166" priority="29">
      <formula>$B50=""</formula>
    </cfRule>
  </conditionalFormatting>
  <conditionalFormatting sqref="F43:G44">
    <cfRule type="expression" dxfId="3165" priority="30">
      <formula>AND($B43&lt;&gt;"",$B62="")</formula>
    </cfRule>
    <cfRule type="expression" dxfId="3164" priority="31">
      <formula>$B43=""</formula>
    </cfRule>
  </conditionalFormatting>
  <conditionalFormatting sqref="F45:G50">
    <cfRule type="expression" dxfId="3163" priority="32">
      <formula>AND($B45&lt;&gt;"",#REF!="")</formula>
    </cfRule>
    <cfRule type="expression" dxfId="3162" priority="33">
      <formula>$B45=""</formula>
    </cfRule>
  </conditionalFormatting>
  <conditionalFormatting sqref="F14:G50">
    <cfRule type="expression" dxfId="3161" priority="34">
      <formula>COUNTIF($U14:$AB14,F14)&gt;1</formula>
    </cfRule>
  </conditionalFormatting>
  <conditionalFormatting sqref="F50:G50">
    <cfRule type="expression" dxfId="3160" priority="37">
      <formula>AND($B50&lt;&gt;"",#REF!="")</formula>
    </cfRule>
    <cfRule type="expression" dxfId="3159" priority="38">
      <formula>$B50=""</formula>
    </cfRule>
  </conditionalFormatting>
  <conditionalFormatting sqref="Q14:R50">
    <cfRule type="expression" dxfId="3158" priority="14">
      <formula>AND($B14&lt;&gt;"",$B15="")</formula>
    </cfRule>
    <cfRule type="expression" dxfId="3157" priority="15">
      <formula>$B14=""</formula>
    </cfRule>
  </conditionalFormatting>
  <conditionalFormatting sqref="Q50">
    <cfRule type="expression" dxfId="3156" priority="16">
      <formula>AND($B50&lt;&gt;"",$B63="")</formula>
    </cfRule>
    <cfRule type="expression" dxfId="3155" priority="17">
      <formula>$B50=""</formula>
    </cfRule>
  </conditionalFormatting>
  <conditionalFormatting sqref="Q43:Q44">
    <cfRule type="expression" dxfId="3154" priority="18">
      <formula>AND($B43&lt;&gt;"",$B62="")</formula>
    </cfRule>
    <cfRule type="expression" dxfId="3153" priority="19">
      <formula>$B43=""</formula>
    </cfRule>
  </conditionalFormatting>
  <conditionalFormatting sqref="Q49">
    <cfRule type="expression" dxfId="3152" priority="20">
      <formula>AND($B49&lt;&gt;"",$B64="")</formula>
    </cfRule>
    <cfRule type="expression" dxfId="3151" priority="21">
      <formula>$B49=""</formula>
    </cfRule>
  </conditionalFormatting>
  <conditionalFormatting sqref="Q45:Q50">
    <cfRule type="expression" dxfId="3150" priority="22">
      <formula>AND($B45&lt;&gt;"",#REF!="")</formula>
    </cfRule>
    <cfRule type="expression" dxfId="3149" priority="23">
      <formula>$B45=""</formula>
    </cfRule>
  </conditionalFormatting>
  <conditionalFormatting sqref="Q50">
    <cfRule type="expression" dxfId="3148" priority="24">
      <formula>AND($B50&lt;&gt;"",#REF!="")</formula>
    </cfRule>
    <cfRule type="expression" dxfId="3147" priority="25">
      <formula>$B50=""</formula>
    </cfRule>
  </conditionalFormatting>
  <conditionalFormatting sqref="AL49:AM49">
    <cfRule type="expression" dxfId="3146" priority="10">
      <formula>AND($B49&lt;&gt;"",$B64="")</formula>
    </cfRule>
    <cfRule type="expression" dxfId="3145" priority="11">
      <formula>$B49=""</formula>
    </cfRule>
  </conditionalFormatting>
  <conditionalFormatting sqref="AL14:AM50">
    <cfRule type="expression" dxfId="3144" priority="1">
      <formula>AND($B14&lt;&gt;"",$B15="")</formula>
    </cfRule>
    <cfRule type="expression" dxfId="3143" priority="2">
      <formula>$B14=""</formula>
    </cfRule>
  </conditionalFormatting>
  <conditionalFormatting sqref="AL50:AM50">
    <cfRule type="expression" dxfId="3142" priority="3">
      <formula>AND($B50&lt;&gt;"",$B63="")</formula>
    </cfRule>
    <cfRule type="expression" dxfId="3141" priority="4">
      <formula>$B50=""</formula>
    </cfRule>
  </conditionalFormatting>
  <conditionalFormatting sqref="AL43:AM44">
    <cfRule type="expression" dxfId="3140" priority="5">
      <formula>AND($B43&lt;&gt;"",$B62="")</formula>
    </cfRule>
    <cfRule type="expression" dxfId="3139" priority="6">
      <formula>$B43=""</formula>
    </cfRule>
  </conditionalFormatting>
  <conditionalFormatting sqref="AL45:AM50">
    <cfRule type="expression" dxfId="3138" priority="7">
      <formula>AND($B45&lt;&gt;"",#REF!="")</formula>
    </cfRule>
    <cfRule type="expression" dxfId="3137" priority="8">
      <formula>$B45=""</formula>
    </cfRule>
  </conditionalFormatting>
  <conditionalFormatting sqref="AL14:AM50">
    <cfRule type="expression" dxfId="3136" priority="9">
      <formula>COUNTIF($AX14:$BE14,AL14)&gt;1</formula>
    </cfRule>
  </conditionalFormatting>
  <conditionalFormatting sqref="AL50:AM50">
    <cfRule type="expression" dxfId="3135" priority="12">
      <formula>AND($B50&lt;&gt;"",#REF!="")</formula>
    </cfRule>
    <cfRule type="expression" dxfId="3134" priority="13">
      <formula>$B50=""</formula>
    </cfRule>
  </conditionalFormatting>
  <dataValidations count="6">
    <dataValidation allowBlank="1" showInputMessage="1" showErrorMessage="1" prompt="Bobot Nilai" sqref="P13:R13 BH11 AE12:AF12"/>
    <dataValidation allowBlank="1" showInputMessage="1" showErrorMessage="1" promptTitle="Tulis Bobot Nilai" prompt="Berupa Nilai Praktik, Portofolio atau Proyek._x000a_Bobot Praktik disarankan lebih tinggi" sqref="AL13:AU13 AX13:BG13"/>
    <dataValidation allowBlank="1" showInputMessage="1" showErrorMessage="1" prompt="Rata-rata Harian" sqref="P12 AV12"/>
    <dataValidation type="whole" allowBlank="1" showInputMessage="1" showErrorMessage="1" errorTitle="Petunjuk" error="Nilai 0-100" sqref="F14:O63 Q14:R63 AL14:AU63">
      <formula1>0</formula1>
      <formula2>100</formula2>
    </dataValidation>
    <dataValidation allowBlank="1" showInputMessage="1" showErrorMessage="1" prompt="KKM" sqref="H69:H70"/>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52" right="0.27" top="0.54" bottom="0.56999999999999995" header="0.31496062992125984" footer="0.31496062992125984"/>
  <pageSetup paperSize="9" orientation="portrait" blackAndWhite="1" horizontalDpi="4294967292"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00FF"/>
  </sheetPr>
  <dimension ref="A1:DG97"/>
  <sheetViews>
    <sheetView showGridLines="0" showRowColHeaders="0" workbookViewId="0">
      <pane xSplit="5" ySplit="13" topLeftCell="F47" activePane="bottomRight" state="frozen"/>
      <selection activeCell="AW5" sqref="AW5:BN7"/>
      <selection pane="topRight" activeCell="AW5" sqref="AW5:BN7"/>
      <selection pane="bottomLeft" activeCell="AW5" sqref="AW5:BN7"/>
      <selection pane="bottomRight" activeCell="AL14" sqref="AL14:AN50"/>
    </sheetView>
  </sheetViews>
  <sheetFormatPr defaultColWidth="0" defaultRowHeight="0" customHeight="1"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t="str">
        <f>Data2!C16</f>
        <v>Geografi</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74" t="s">
        <v>1603</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79" t="s">
        <v>1606</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1604</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1607</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1605</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1608</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t="s">
        <v>1108</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1236</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1109</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1237</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1110</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1238</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1111</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1239</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1112</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1240</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1113</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1241</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1114</v>
      </c>
      <c r="AL11" s="1800"/>
      <c r="AM11" s="1803"/>
      <c r="AN11" s="1803"/>
      <c r="AO11" s="1803"/>
      <c r="AP11" s="1803"/>
      <c r="AQ11" s="1803"/>
      <c r="AR11" s="1803"/>
      <c r="AS11" s="1803"/>
      <c r="AT11" s="1803"/>
      <c r="AU11" s="1804"/>
      <c r="AV11" s="1196">
        <v>10</v>
      </c>
      <c r="AW11" s="1197" t="s">
        <v>929</v>
      </c>
      <c r="AX11" s="1198">
        <f t="shared" ref="AX11:BG11" si="1">IF(COUNT(AX14:AX63)&gt;0,AX13,"")</f>
        <v>1</v>
      </c>
      <c r="AY11" s="1198">
        <f t="shared" si="1"/>
        <v>1</v>
      </c>
      <c r="AZ11" s="1198">
        <f t="shared" si="1"/>
        <v>1</v>
      </c>
      <c r="BA11" s="1198" t="str">
        <f t="shared" si="1"/>
        <v/>
      </c>
      <c r="BB11" s="1198" t="str">
        <f t="shared" si="1"/>
        <v/>
      </c>
      <c r="BC11" s="1198" t="str">
        <f t="shared" si="1"/>
        <v/>
      </c>
      <c r="BD11" s="1198" t="str">
        <f t="shared" si="1"/>
        <v/>
      </c>
      <c r="BE11" s="1198" t="str">
        <f t="shared" si="1"/>
        <v/>
      </c>
      <c r="BF11" s="1198" t="str">
        <f t="shared" si="1"/>
        <v/>
      </c>
      <c r="BG11" s="1198" t="str">
        <f t="shared" si="1"/>
        <v/>
      </c>
      <c r="BH11" s="1198">
        <f>SUM(AX11:BG11)</f>
        <v>3</v>
      </c>
      <c r="BI11" s="1199"/>
      <c r="BJ11" s="1199"/>
      <c r="BK11" s="1199"/>
      <c r="BL11" s="1199"/>
      <c r="BM11" s="1199"/>
      <c r="BN11" s="1186" t="s">
        <v>1242</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f t="shared" ref="U12:AD12" si="2">IF(COUNT(U14:U63)&gt;0,1,"")</f>
        <v>1</v>
      </c>
      <c r="V12" s="1201">
        <f t="shared" si="2"/>
        <v>1</v>
      </c>
      <c r="W12" s="1201">
        <f t="shared" si="2"/>
        <v>1</v>
      </c>
      <c r="X12" s="1201" t="str">
        <f t="shared" si="2"/>
        <v/>
      </c>
      <c r="Y12" s="1201" t="str">
        <f t="shared" si="2"/>
        <v/>
      </c>
      <c r="Z12" s="1201" t="str">
        <f t="shared" si="2"/>
        <v/>
      </c>
      <c r="AA12" s="1201" t="str">
        <f t="shared" si="2"/>
        <v/>
      </c>
      <c r="AB12" s="1201" t="str">
        <f t="shared" si="2"/>
        <v/>
      </c>
      <c r="AC12" s="1201" t="str">
        <f t="shared" si="2"/>
        <v/>
      </c>
      <c r="AD12" s="1201" t="str">
        <f t="shared" si="2"/>
        <v/>
      </c>
      <c r="AE12" s="1202">
        <f>SUM(U12:AD12)</f>
        <v>3</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v>88</v>
      </c>
      <c r="G14" s="277">
        <v>84</v>
      </c>
      <c r="H14" s="277">
        <v>86</v>
      </c>
      <c r="I14" s="277"/>
      <c r="J14" s="277"/>
      <c r="K14" s="277"/>
      <c r="L14" s="277"/>
      <c r="M14" s="280"/>
      <c r="N14" s="277"/>
      <c r="O14" s="278"/>
      <c r="P14" s="279">
        <f t="shared" ref="P14" si="4">IF(COUNT(U14:AD14)&lt;2,"",ROUND(SUM(U14:AD14)/$AE$12,0))</f>
        <v>86</v>
      </c>
      <c r="Q14" s="1480">
        <v>80</v>
      </c>
      <c r="R14" s="1481">
        <v>86</v>
      </c>
      <c r="S14" s="281">
        <f t="shared" ref="S14" si="5">IFERROR(ROUND(((P14*$P$13)+(Q14*$Q$13)+(R14*$R$13))/$AF$12,0),"")</f>
        <v>85</v>
      </c>
      <c r="T14" s="295" t="str">
        <f t="shared" ref="T14" si="6">IF(S14="","",IF(S14&gt;$H$76,$Q$75,IF(S14&gt;$H$77,$Q$76,IF(S14&gt;$H$78,$Q$77,$Q$78))))</f>
        <v>B</v>
      </c>
      <c r="U14" s="1215">
        <f t="shared" ref="U14:AD29" si="7">IF(F14="","",F14+U$13)</f>
        <v>88.01</v>
      </c>
      <c r="V14" s="1216">
        <f t="shared" si="7"/>
        <v>84.02</v>
      </c>
      <c r="W14" s="1216">
        <f t="shared" si="7"/>
        <v>86.03</v>
      </c>
      <c r="X14" s="1216" t="str">
        <f t="shared" si="7"/>
        <v/>
      </c>
      <c r="Y14" s="1216" t="str">
        <f t="shared" si="7"/>
        <v/>
      </c>
      <c r="Z14" s="1216" t="str">
        <f t="shared" si="7"/>
        <v/>
      </c>
      <c r="AA14" s="1216" t="str">
        <f t="shared" si="7"/>
        <v/>
      </c>
      <c r="AB14" s="1217" t="str">
        <f t="shared" si="7"/>
        <v/>
      </c>
      <c r="AC14" s="1216" t="str">
        <f t="shared" si="7"/>
        <v/>
      </c>
      <c r="AD14" s="1218" t="str">
        <f t="shared" si="7"/>
        <v/>
      </c>
      <c r="AE14" s="1219">
        <f t="shared" ref="AE14" si="8">MAX(U14:AD14)</f>
        <v>88.01</v>
      </c>
      <c r="AF14" s="282">
        <f t="shared" ref="AF14" si="9">MIN(U14:AD14)</f>
        <v>84.02</v>
      </c>
      <c r="AG14" s="282" t="str">
        <f t="shared" ref="AG14:AH29" si="10">IF(AE14&gt;$H$76,$I$75,IF(AE14&gt;$H$77,$I$76,IF(AE14&gt;$H$78,$I$77,$I$78)))</f>
        <v>baik</v>
      </c>
      <c r="AH14" s="282" t="str">
        <f t="shared" si="10"/>
        <v>cukup</v>
      </c>
      <c r="AI14" s="282">
        <f t="shared" ref="AI14" si="11">IFERROR(MATCH(AE14,U14:AD14,0),"")</f>
        <v>1</v>
      </c>
      <c r="AJ14" s="283">
        <f t="shared" ref="AJ14" si="12">IFERROR(MATCH(AF14,U14:AD14,0),"")</f>
        <v>2</v>
      </c>
      <c r="AK14" s="284" t="str">
        <f t="shared" ref="AK14" si="13">IF(S14="","",IFERROR("Memiliki kemampuan "&amp;IF(AG14=AH14,AG14&amp;" dalam "&amp;VLOOKUP(AI14,$S$2:$AK$11,19)&amp;" dan "&amp;VLOOKUP(AJ14,$S$2:$AK$11,19),AG14&amp;" dalam "&amp;VLOOKUP(AI14,$S$2:$AK$11,19)&amp;", "&amp;AH14&amp;" kemampuan dalam "&amp;VLOOKUP(AJ14,$S$2:$AK$11,19)),""))</f>
        <v>Memiliki kemampuan baik dalam Menganalisis dinamika litosfer dan dampaknya terhadap kehidupan, cukup kemampuan dalam Menganalisis dinamika atmosfer dan dampaknya terhadap kehidupan</v>
      </c>
      <c r="AL14" s="276">
        <v>95</v>
      </c>
      <c r="AM14" s="277">
        <v>95</v>
      </c>
      <c r="AN14" s="277">
        <v>95</v>
      </c>
      <c r="AO14" s="277"/>
      <c r="AP14" s="277"/>
      <c r="AQ14" s="277"/>
      <c r="AR14" s="277"/>
      <c r="AS14" s="280"/>
      <c r="AT14" s="277"/>
      <c r="AU14" s="278"/>
      <c r="AV14" s="285">
        <f t="shared" ref="AV14" si="14">IF(COUNT(AL14:AU14)&lt;2,"",ROUND(((AL14*$AX$13)+(AM14*$AY$13)+(AN14*$AZ$13)+(AO14*$BA$13)+(AP14*$BB$13)+(AQ14*$BC$13)+(AR14*$BD$13)+(AS14*$BE$13)+(AT14*$BF$13)+(AU14*$BG$13))/$BH$11,0))</f>
        <v>95</v>
      </c>
      <c r="AW14" s="296" t="str">
        <f t="shared" ref="AW14" si="15">IF(AV14="","",IF(AV14&gt;$AN$76,$AV$75,IF(AV14&gt;$AN$77,$AV$76,IF(AV14&gt;$AN$78,$AV$77,$AV$78))))</f>
        <v>A</v>
      </c>
      <c r="AX14" s="1220">
        <f t="shared" ref="AX14:BG29" si="16">IF(AL14="","",AL14+AX$12)</f>
        <v>95.01</v>
      </c>
      <c r="AY14" s="1221">
        <f t="shared" si="16"/>
        <v>95.02</v>
      </c>
      <c r="AZ14" s="1221">
        <f t="shared" si="16"/>
        <v>95.03</v>
      </c>
      <c r="BA14" s="1221" t="str">
        <f t="shared" si="16"/>
        <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95.03</v>
      </c>
      <c r="BI14" s="286">
        <f t="shared" ref="BI14" si="18">MIN(AX14:BG14)</f>
        <v>95.01</v>
      </c>
      <c r="BJ14" s="287" t="str">
        <f t="shared" ref="BJ14:BK14" si="19">IF(BH14&gt;$H$76,$AO$75,IF(BH14&gt;$H$77,$AO$76,IF(BH14&gt;$H$78,$AO$77,$AO$78)))</f>
        <v>sangat baik</v>
      </c>
      <c r="BK14" s="287" t="str">
        <f t="shared" si="19"/>
        <v>sangat baik</v>
      </c>
      <c r="BL14" s="286">
        <f t="shared" ref="BL14" si="20">MATCH(BH14,AX14:BG14,0)</f>
        <v>3</v>
      </c>
      <c r="BM14" s="288">
        <f t="shared" ref="BM14" si="21">MATCH(BI14,AX14:BG14,0)</f>
        <v>1</v>
      </c>
      <c r="BN14" s="289" t="str">
        <f t="shared" ref="BN14" si="22">IF(AV14="","",IFERROR("Memiliki keterampilan "&amp;IF(BJ14=BK14,BJ14&amp;" dalam "&amp;VLOOKUP(BL14,$AV$2:$BN$11,19)&amp;" dan "&amp;VLOOKUP(BM14,$AV$2:$BN$11,19),BJ14&amp;" dalam "&amp;VLOOKUP(BL14,$AV$2:$BN$11,19)&amp;", "&amp;BK14&amp;" keterampilan dalam "&amp;VLOOKUP(BM14,$AV$2:$BN$11,19)),""))</f>
        <v>Memiliki keterampilan sangat baik dalam Menyajikan proses dinamika hidrosfer menggunakan peta dan Menyajikan proses dinamika litosfer dengan menggunakan peta</v>
      </c>
      <c r="BO14" s="67"/>
    </row>
    <row r="15" spans="1:67" ht="33" customHeight="1">
      <c r="A15" s="67"/>
      <c r="B15" s="272">
        <f>IF(D15="","",B14+1)</f>
        <v>2</v>
      </c>
      <c r="C15" s="273">
        <f>IF(Data!F6="","",Data!F6)</f>
        <v>0</v>
      </c>
      <c r="D15" s="274" t="str">
        <f>IF(Data!H6="","",Data!H6)</f>
        <v>Aprianus Bira</v>
      </c>
      <c r="E15" s="275" t="str">
        <f>IF(Data!I6="","",Data!I6)</f>
        <v>L</v>
      </c>
      <c r="F15" s="276">
        <v>86</v>
      </c>
      <c r="G15" s="277">
        <v>88</v>
      </c>
      <c r="H15" s="277">
        <v>86</v>
      </c>
      <c r="I15" s="277"/>
      <c r="J15" s="277"/>
      <c r="K15" s="277"/>
      <c r="L15" s="277"/>
      <c r="M15" s="280"/>
      <c r="N15" s="277"/>
      <c r="O15" s="278"/>
      <c r="P15" s="279">
        <f>IF(COUNT(U15:AD15)&lt;2,"",ROUND(SUM(U15:AD15)/$AE$12,0))</f>
        <v>87</v>
      </c>
      <c r="Q15" s="277">
        <v>80</v>
      </c>
      <c r="R15" s="280">
        <v>86</v>
      </c>
      <c r="S15" s="281">
        <f>IFERROR(ROUND(((P15*$P$13)+(Q15*$Q$13)+(R15*$R$13))/$AF$12,0),"")</f>
        <v>85</v>
      </c>
      <c r="T15" s="295" t="str">
        <f>IF(S15="","",IF(S15&gt;$H$76,$Q$75,IF(S15&gt;$H$77,$Q$76,IF(S15&gt;$H$78,$Q$77,$Q$78))))</f>
        <v>B</v>
      </c>
      <c r="U15" s="1215">
        <f t="shared" si="7"/>
        <v>86.01</v>
      </c>
      <c r="V15" s="1216">
        <f t="shared" si="7"/>
        <v>88.02</v>
      </c>
      <c r="W15" s="1216">
        <f t="shared" si="7"/>
        <v>86.03</v>
      </c>
      <c r="X15" s="1216" t="str">
        <f t="shared" si="7"/>
        <v/>
      </c>
      <c r="Y15" s="1216" t="str">
        <f t="shared" si="7"/>
        <v/>
      </c>
      <c r="Z15" s="1216" t="str">
        <f t="shared" si="7"/>
        <v/>
      </c>
      <c r="AA15" s="1216" t="str">
        <f t="shared" si="7"/>
        <v/>
      </c>
      <c r="AB15" s="1217" t="str">
        <f t="shared" si="7"/>
        <v/>
      </c>
      <c r="AC15" s="1216" t="str">
        <f t="shared" si="7"/>
        <v/>
      </c>
      <c r="AD15" s="1218" t="str">
        <f t="shared" si="7"/>
        <v/>
      </c>
      <c r="AE15" s="1219">
        <f>MAX(U15:AD15)</f>
        <v>88.02</v>
      </c>
      <c r="AF15" s="282">
        <f>MIN(U15:AD15)</f>
        <v>86.01</v>
      </c>
      <c r="AG15" s="282" t="str">
        <f>IF(AE15&gt;$H$76,$I$75,IF(AE15&gt;$H$77,$I$76,IF(AE15&gt;$H$78,$I$77,$I$78)))</f>
        <v>baik</v>
      </c>
      <c r="AH15" s="282" t="str">
        <f t="shared" si="10"/>
        <v>baik</v>
      </c>
      <c r="AI15" s="282">
        <f>IFERROR(MATCH(AE15,U15:AD15,0),"")</f>
        <v>2</v>
      </c>
      <c r="AJ15" s="283">
        <f>IFERROR(MATCH(AF15,U15:AD15,0),"")</f>
        <v>1</v>
      </c>
      <c r="AK15" s="284" t="str">
        <f>IF(S15="","",IFERROR("Memiliki kemampuan "&amp;IF(AG15=AH15,AG15&amp;" dalam "&amp;VLOOKUP(AI15,$S$2:$AK$11,19)&amp;" dan "&amp;VLOOKUP(AJ15,$S$2:$AK$11,19),AG15&amp;" dalam "&amp;VLOOKUP(AI15,$S$2:$AK$11,19)&amp;", "&amp;AH15&amp;" kemampuan dalam "&amp;VLOOKUP(AJ15,$S$2:$AK$11,19)),""))</f>
        <v>Memiliki kemampuan baik dalam Menganalisis dinamika atmosfer dan dampaknya terhadap kehidupan dan Menganalisis dinamika litosfer dan dampaknya terhadap kehidupan</v>
      </c>
      <c r="AL15" s="276">
        <v>95</v>
      </c>
      <c r="AM15" s="277">
        <v>95</v>
      </c>
      <c r="AN15" s="277">
        <v>95</v>
      </c>
      <c r="AO15" s="277"/>
      <c r="AP15" s="277"/>
      <c r="AQ15" s="277"/>
      <c r="AR15" s="277"/>
      <c r="AS15" s="280"/>
      <c r="AT15" s="277"/>
      <c r="AU15" s="278"/>
      <c r="AV15" s="285">
        <f>IF(COUNT(AL15:AU15)&lt;2,"",ROUND(((AL15*$AX$13)+(AM15*$AY$13)+(AN15*$AZ$13)+(AO15*$BA$13)+(AP15*$BB$13)+(AQ15*$BC$13)+(AR15*$BD$13)+(AS15*$BE$13)+(AT15*$BF$13)+(AU15*$BG$13))/$BH$11,0))</f>
        <v>95</v>
      </c>
      <c r="AW15" s="296" t="str">
        <f>IF(AV15="","",IF(AV15&gt;$AN$76,$AV$75,IF(AV15&gt;$AN$77,$AV$76,IF(AV15&gt;$AN$78,$AV$77,$AV$78))))</f>
        <v>A</v>
      </c>
      <c r="AX15" s="1220">
        <f t="shared" si="16"/>
        <v>95.01</v>
      </c>
      <c r="AY15" s="1221">
        <f t="shared" si="16"/>
        <v>95.02</v>
      </c>
      <c r="AZ15" s="1221">
        <f>IF(AN15="","",AN15+AZ$12)</f>
        <v>95.03</v>
      </c>
      <c r="BA15" s="1221" t="str">
        <f t="shared" si="16"/>
        <v/>
      </c>
      <c r="BB15" s="1221" t="str">
        <f t="shared" si="16"/>
        <v/>
      </c>
      <c r="BC15" s="1221" t="str">
        <f t="shared" si="16"/>
        <v/>
      </c>
      <c r="BD15" s="1221" t="str">
        <f t="shared" si="16"/>
        <v/>
      </c>
      <c r="BE15" s="1222" t="str">
        <f t="shared" si="16"/>
        <v/>
      </c>
      <c r="BF15" s="1221" t="str">
        <f t="shared" si="16"/>
        <v/>
      </c>
      <c r="BG15" s="1223" t="str">
        <f t="shared" si="16"/>
        <v/>
      </c>
      <c r="BH15" s="286">
        <f>MAX(AX15:BG15)</f>
        <v>95.03</v>
      </c>
      <c r="BI15" s="286">
        <f>MIN(AX15:BG15)</f>
        <v>95.01</v>
      </c>
      <c r="BJ15" s="287" t="str">
        <f>IF(BH15&gt;$H$76,$AO$75,IF(BH15&gt;$H$77,$AO$76,IF(BH15&gt;$H$78,$AO$77,$AO$78)))</f>
        <v>sangat baik</v>
      </c>
      <c r="BK15" s="287" t="str">
        <f>IF(BI15&gt;$H$76,$AO$75,IF(BI15&gt;$H$77,$AO$76,IF(BI15&gt;$H$78,$AO$77,$AO$78)))</f>
        <v>sangat baik</v>
      </c>
      <c r="BL15" s="286">
        <f>MATCH(BH15,AX15:BG15,0)</f>
        <v>3</v>
      </c>
      <c r="BM15" s="288">
        <f>MATCH(BI15,AX15:BG15,0)</f>
        <v>1</v>
      </c>
      <c r="BN15" s="289" t="str">
        <f>IF(AV15="","",IFERROR("Memiliki keterampilan "&amp;IF(BJ15=BK15,BJ15&amp;" dalam "&amp;VLOOKUP(BL15,$AV$2:$BN$11,19)&amp;" dan "&amp;VLOOKUP(BM15,$AV$2:$BN$11,19),BJ15&amp;" dalam "&amp;VLOOKUP(BL15,$AV$2:$BN$11,19)&amp;", "&amp;BK15&amp;" keterampilan dalam "&amp;VLOOKUP(BM15,$AV$2:$BN$11,19)),""))</f>
        <v>Memiliki keterampilan sangat baik dalam Menyajikan proses dinamika hidrosfer menggunakan peta dan Menyajikan proses dinamika litosfer dengan menggunakan peta</v>
      </c>
      <c r="BO15" s="67"/>
    </row>
    <row r="16" spans="1:67" ht="33" customHeight="1">
      <c r="A16" s="67"/>
      <c r="B16" s="272">
        <f t="shared" ref="B16:B37" si="23">IF(D16="","",B15+1)</f>
        <v>3</v>
      </c>
      <c r="C16" s="273">
        <f>IF(Data!F7="","",Data!F7)</f>
        <v>0</v>
      </c>
      <c r="D16" s="274" t="str">
        <f>IF(Data!H7="","",Data!H7)</f>
        <v>Asri Aldina Baksuni</v>
      </c>
      <c r="E16" s="275" t="str">
        <f>IF(Data!I7="","",Data!I7)</f>
        <v>P</v>
      </c>
      <c r="F16" s="276">
        <v>88</v>
      </c>
      <c r="G16" s="277">
        <v>88</v>
      </c>
      <c r="H16" s="277">
        <v>90</v>
      </c>
      <c r="I16" s="277"/>
      <c r="J16" s="277"/>
      <c r="K16" s="277"/>
      <c r="L16" s="277"/>
      <c r="M16" s="280"/>
      <c r="N16" s="277"/>
      <c r="O16" s="278"/>
      <c r="P16" s="279">
        <f t="shared" ref="P16:P63" si="24">IF(COUNT(U16:AD16)&lt;2,"",ROUND(SUM(U16:AD16)/$AE$12,0))</f>
        <v>89</v>
      </c>
      <c r="Q16" s="277">
        <v>85</v>
      </c>
      <c r="R16" s="280">
        <v>86</v>
      </c>
      <c r="S16" s="281">
        <f t="shared" ref="S16:S63" si="25">IFERROR(ROUND(((P16*$P$13)+(Q16*$Q$13)+(R16*$R$13))/$AF$12,0),"")</f>
        <v>87</v>
      </c>
      <c r="T16" s="295" t="str">
        <f t="shared" ref="T16:T63" si="26">IF(S16="","",IF(S16&gt;$H$76,$Q$75,IF(S16&gt;$H$77,$Q$76,IF(S16&gt;$H$78,$Q$77,$Q$78))))</f>
        <v>B</v>
      </c>
      <c r="U16" s="1215">
        <f t="shared" si="7"/>
        <v>88.01</v>
      </c>
      <c r="V16" s="1216">
        <f t="shared" si="7"/>
        <v>88.02</v>
      </c>
      <c r="W16" s="1216">
        <f t="shared" si="7"/>
        <v>90.03</v>
      </c>
      <c r="X16" s="1216" t="str">
        <f t="shared" si="7"/>
        <v/>
      </c>
      <c r="Y16" s="1216" t="str">
        <f t="shared" si="7"/>
        <v/>
      </c>
      <c r="Z16" s="1216" t="str">
        <f t="shared" si="7"/>
        <v/>
      </c>
      <c r="AA16" s="1216" t="str">
        <f t="shared" si="7"/>
        <v/>
      </c>
      <c r="AB16" s="1217" t="str">
        <f t="shared" si="7"/>
        <v/>
      </c>
      <c r="AC16" s="1216" t="str">
        <f t="shared" si="7"/>
        <v/>
      </c>
      <c r="AD16" s="1218" t="str">
        <f t="shared" si="7"/>
        <v/>
      </c>
      <c r="AE16" s="1219">
        <f t="shared" ref="AE16:AE63" si="27">MAX(U16:AD16)</f>
        <v>90.03</v>
      </c>
      <c r="AF16" s="282">
        <f t="shared" ref="AF16:AF63" si="28">MIN(U16:AD16)</f>
        <v>88.01</v>
      </c>
      <c r="AG16" s="282" t="str">
        <f t="shared" ref="AG16:AH63" si="29">IF(AE16&gt;$H$76,$I$75,IF(AE16&gt;$H$77,$I$76,IF(AE16&gt;$H$78,$I$77,$I$78)))</f>
        <v>baik</v>
      </c>
      <c r="AH16" s="282" t="str">
        <f t="shared" si="10"/>
        <v>baik</v>
      </c>
      <c r="AI16" s="282">
        <f t="shared" ref="AI16:AI63" si="30">IFERROR(MATCH(AE16,U16:AD16,0),"")</f>
        <v>3</v>
      </c>
      <c r="AJ16" s="283">
        <f t="shared" ref="AJ16:AJ63" si="31">IFERROR(MATCH(AF16,U16:AD16,0),"")</f>
        <v>1</v>
      </c>
      <c r="AK16" s="284" t="str">
        <f t="shared" ref="AK16:AK63" si="32">IF(S16="","",IFERROR("Memiliki kemampuan "&amp;IF(AG16=AH16,AG16&amp;" dalam "&amp;VLOOKUP(AI16,$S$2:$AK$11,19)&amp;" dan "&amp;VLOOKUP(AJ16,$S$2:$AK$11,19),AG16&amp;" dalam "&amp;VLOOKUP(AI16,$S$2:$AK$11,19)&amp;", "&amp;AH16&amp;" kemampuan dalam "&amp;VLOOKUP(AJ16,$S$2:$AK$11,19)),""))</f>
        <v>Memiliki kemampuan baik dalam Menganalisis dinamika hidrosfer dan dampaknya terhadap kehidupani dan Menganalisis dinamika litosfer dan dampaknya terhadap kehidupan</v>
      </c>
      <c r="AL16" s="276">
        <v>95</v>
      </c>
      <c r="AM16" s="277">
        <v>95</v>
      </c>
      <c r="AN16" s="277">
        <v>95</v>
      </c>
      <c r="AO16" s="277"/>
      <c r="AP16" s="277"/>
      <c r="AQ16" s="277"/>
      <c r="AR16" s="277"/>
      <c r="AS16" s="280"/>
      <c r="AT16" s="277"/>
      <c r="AU16" s="278"/>
      <c r="AV16" s="285">
        <f t="shared" ref="AV16:AV63" si="33">IF(COUNT(AL16:AU16)&lt;2,"",ROUND(((AL16*$AX$13)+(AM16*$AY$13)+(AN16*$AZ$13)+(AO16*$BA$13)+(AP16*$BB$13)+(AQ16*$BC$13)+(AR16*$BD$13)+(AS16*$BE$13)+(AT16*$BF$13)+(AU16*$BG$13))/$BH$11,0))</f>
        <v>95</v>
      </c>
      <c r="AW16" s="296" t="str">
        <f t="shared" ref="AW16:AW63" si="34">IF(AV16="","",IF(AV16&gt;$AN$76,$AV$75,IF(AV16&gt;$AN$77,$AV$76,IF(AV16&gt;$AN$78,$AV$77,$AV$78))))</f>
        <v>A</v>
      </c>
      <c r="AX16" s="1220">
        <f t="shared" si="16"/>
        <v>95.01</v>
      </c>
      <c r="AY16" s="1221">
        <f t="shared" si="16"/>
        <v>95.02</v>
      </c>
      <c r="AZ16" s="1221">
        <f t="shared" si="16"/>
        <v>95.03</v>
      </c>
      <c r="BA16" s="1221" t="str">
        <f t="shared" si="16"/>
        <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95.03</v>
      </c>
      <c r="BI16" s="286">
        <f t="shared" ref="BI16:BI63" si="36">MIN(AX16:BG16)</f>
        <v>95.01</v>
      </c>
      <c r="BJ16" s="287" t="str">
        <f t="shared" ref="BJ16:BK63" si="37">IF(BH16&gt;$H$76,$AO$75,IF(BH16&gt;$H$77,$AO$76,IF(BH16&gt;$H$78,$AO$77,$AO$78)))</f>
        <v>sangat baik</v>
      </c>
      <c r="BK16" s="287" t="str">
        <f t="shared" si="37"/>
        <v>sangat baik</v>
      </c>
      <c r="BL16" s="286">
        <f t="shared" ref="BL16:BL63" si="38">MATCH(BH16,AX16:BG16,0)</f>
        <v>3</v>
      </c>
      <c r="BM16" s="288">
        <f t="shared" ref="BM16:BM63" si="39">MATCH(BI16,AX16:BG16,0)</f>
        <v>1</v>
      </c>
      <c r="BN16" s="289" t="str">
        <f t="shared" ref="BN16:BN63" si="40">IF(AV16="","",IFERROR("Memiliki keterampilan "&amp;IF(BJ16=BK16,BJ16&amp;" dalam "&amp;VLOOKUP(BL16,$AV$2:$BN$11,19)&amp;" dan "&amp;VLOOKUP(BM16,$AV$2:$BN$11,19),BJ16&amp;" dalam "&amp;VLOOKUP(BL16,$AV$2:$BN$11,19)&amp;", "&amp;BK16&amp;" keterampilan dalam "&amp;VLOOKUP(BM16,$AV$2:$BN$11,19)),""))</f>
        <v>Memiliki keterampilan sangat baik dalam Menyajikan proses dinamika hidrosfer menggunakan peta dan Menyajikan proses dinamika litosfer dengan menggunakan peta</v>
      </c>
      <c r="BO16" s="67"/>
    </row>
    <row r="17" spans="1:67" ht="33" customHeight="1">
      <c r="A17" s="67"/>
      <c r="B17" s="272">
        <f t="shared" si="23"/>
        <v>4</v>
      </c>
      <c r="C17" s="273">
        <f>IF(Data!F8="","",Data!F8)</f>
        <v>0</v>
      </c>
      <c r="D17" s="274" t="str">
        <f>IF(Data!H8="","",Data!H8)</f>
        <v>Asti Welmince Welkis</v>
      </c>
      <c r="E17" s="275" t="str">
        <f>IF(Data!I8="","",Data!I8)</f>
        <v>P</v>
      </c>
      <c r="F17" s="276">
        <v>86</v>
      </c>
      <c r="G17" s="277">
        <v>88</v>
      </c>
      <c r="H17" s="277">
        <v>88</v>
      </c>
      <c r="I17" s="277"/>
      <c r="J17" s="277"/>
      <c r="K17" s="277"/>
      <c r="L17" s="277"/>
      <c r="M17" s="280"/>
      <c r="N17" s="277"/>
      <c r="O17" s="278"/>
      <c r="P17" s="279">
        <f t="shared" si="24"/>
        <v>87</v>
      </c>
      <c r="Q17" s="277">
        <v>85</v>
      </c>
      <c r="R17" s="280">
        <v>88</v>
      </c>
      <c r="S17" s="281">
        <f t="shared" si="25"/>
        <v>87</v>
      </c>
      <c r="T17" s="295" t="str">
        <f t="shared" si="26"/>
        <v>B</v>
      </c>
      <c r="U17" s="1215">
        <f t="shared" si="7"/>
        <v>86.01</v>
      </c>
      <c r="V17" s="1216">
        <f t="shared" si="7"/>
        <v>88.02</v>
      </c>
      <c r="W17" s="1216">
        <f t="shared" si="7"/>
        <v>88.03</v>
      </c>
      <c r="X17" s="1216" t="str">
        <f t="shared" si="7"/>
        <v/>
      </c>
      <c r="Y17" s="1216" t="str">
        <f t="shared" si="7"/>
        <v/>
      </c>
      <c r="Z17" s="1216" t="str">
        <f t="shared" si="7"/>
        <v/>
      </c>
      <c r="AA17" s="1216" t="str">
        <f t="shared" si="7"/>
        <v/>
      </c>
      <c r="AB17" s="1217" t="str">
        <f t="shared" si="7"/>
        <v/>
      </c>
      <c r="AC17" s="1216" t="str">
        <f t="shared" si="7"/>
        <v/>
      </c>
      <c r="AD17" s="1218" t="str">
        <f t="shared" si="7"/>
        <v/>
      </c>
      <c r="AE17" s="1219">
        <f t="shared" si="27"/>
        <v>88.03</v>
      </c>
      <c r="AF17" s="282">
        <f t="shared" si="28"/>
        <v>86.01</v>
      </c>
      <c r="AG17" s="282" t="str">
        <f t="shared" si="29"/>
        <v>baik</v>
      </c>
      <c r="AH17" s="282" t="str">
        <f t="shared" si="10"/>
        <v>baik</v>
      </c>
      <c r="AI17" s="282">
        <f t="shared" si="30"/>
        <v>3</v>
      </c>
      <c r="AJ17" s="283">
        <f t="shared" si="31"/>
        <v>1</v>
      </c>
      <c r="AK17" s="284" t="str">
        <f t="shared" si="32"/>
        <v>Memiliki kemampuan baik dalam Menganalisis dinamika hidrosfer dan dampaknya terhadap kehidupani dan Menganalisis dinamika litosfer dan dampaknya terhadap kehidupan</v>
      </c>
      <c r="AL17" s="276">
        <v>95</v>
      </c>
      <c r="AM17" s="277">
        <v>95</v>
      </c>
      <c r="AN17" s="277">
        <v>95</v>
      </c>
      <c r="AO17" s="277"/>
      <c r="AP17" s="277"/>
      <c r="AQ17" s="277"/>
      <c r="AR17" s="277"/>
      <c r="AS17" s="280"/>
      <c r="AT17" s="277"/>
      <c r="AU17" s="278"/>
      <c r="AV17" s="285">
        <f t="shared" si="33"/>
        <v>95</v>
      </c>
      <c r="AW17" s="296" t="str">
        <f t="shared" si="34"/>
        <v>A</v>
      </c>
      <c r="AX17" s="1220">
        <f t="shared" si="16"/>
        <v>95.01</v>
      </c>
      <c r="AY17" s="1221">
        <f t="shared" si="16"/>
        <v>95.02</v>
      </c>
      <c r="AZ17" s="1221">
        <f t="shared" si="16"/>
        <v>95.03</v>
      </c>
      <c r="BA17" s="1221" t="str">
        <f t="shared" si="16"/>
        <v/>
      </c>
      <c r="BB17" s="1221" t="str">
        <f t="shared" si="16"/>
        <v/>
      </c>
      <c r="BC17" s="1221" t="str">
        <f t="shared" si="16"/>
        <v/>
      </c>
      <c r="BD17" s="1221" t="str">
        <f t="shared" si="16"/>
        <v/>
      </c>
      <c r="BE17" s="1222" t="str">
        <f t="shared" si="16"/>
        <v/>
      </c>
      <c r="BF17" s="1221" t="str">
        <f t="shared" si="16"/>
        <v/>
      </c>
      <c r="BG17" s="1223" t="str">
        <f t="shared" si="16"/>
        <v/>
      </c>
      <c r="BH17" s="286">
        <f t="shared" si="35"/>
        <v>95.03</v>
      </c>
      <c r="BI17" s="286">
        <f t="shared" si="36"/>
        <v>95.01</v>
      </c>
      <c r="BJ17" s="287" t="str">
        <f t="shared" si="37"/>
        <v>sangat baik</v>
      </c>
      <c r="BK17" s="287" t="str">
        <f t="shared" si="37"/>
        <v>sangat baik</v>
      </c>
      <c r="BL17" s="286">
        <f t="shared" si="38"/>
        <v>3</v>
      </c>
      <c r="BM17" s="288">
        <f t="shared" si="39"/>
        <v>1</v>
      </c>
      <c r="BN17" s="289" t="str">
        <f t="shared" si="40"/>
        <v>Memiliki keterampilan sangat baik dalam Menyajikan proses dinamika hidrosfer menggunakan peta dan Menyajikan proses dinamika litosfer dengan menggunakan peta</v>
      </c>
      <c r="BO17" s="67"/>
    </row>
    <row r="18" spans="1:67" ht="33" customHeight="1">
      <c r="A18" s="67"/>
      <c r="B18" s="272">
        <f t="shared" si="23"/>
        <v>5</v>
      </c>
      <c r="C18" s="273">
        <f>IF(Data!F9="","",Data!F9)</f>
        <v>0</v>
      </c>
      <c r="D18" s="274" t="str">
        <f>IF(Data!H9="","",Data!H9)</f>
        <v>Aulya Noviyanti Mbura</v>
      </c>
      <c r="E18" s="275" t="str">
        <f>IF(Data!I9="","",Data!I9)</f>
        <v>P</v>
      </c>
      <c r="F18" s="276">
        <v>90</v>
      </c>
      <c r="G18" s="277">
        <v>90</v>
      </c>
      <c r="H18" s="277">
        <v>88</v>
      </c>
      <c r="I18" s="277"/>
      <c r="J18" s="277"/>
      <c r="K18" s="277"/>
      <c r="L18" s="277"/>
      <c r="M18" s="280"/>
      <c r="N18" s="277"/>
      <c r="O18" s="278"/>
      <c r="P18" s="279">
        <f t="shared" si="24"/>
        <v>89</v>
      </c>
      <c r="Q18" s="277">
        <v>86</v>
      </c>
      <c r="R18" s="280">
        <v>89</v>
      </c>
      <c r="S18" s="281">
        <f t="shared" si="25"/>
        <v>88</v>
      </c>
      <c r="T18" s="295" t="str">
        <f t="shared" si="26"/>
        <v>B</v>
      </c>
      <c r="U18" s="1215">
        <f t="shared" si="7"/>
        <v>90.01</v>
      </c>
      <c r="V18" s="1216">
        <f t="shared" si="7"/>
        <v>90.02</v>
      </c>
      <c r="W18" s="1216">
        <f t="shared" si="7"/>
        <v>88.03</v>
      </c>
      <c r="X18" s="1216" t="str">
        <f t="shared" si="7"/>
        <v/>
      </c>
      <c r="Y18" s="1216" t="str">
        <f t="shared" si="7"/>
        <v/>
      </c>
      <c r="Z18" s="1216" t="str">
        <f t="shared" si="7"/>
        <v/>
      </c>
      <c r="AA18" s="1216" t="str">
        <f t="shared" si="7"/>
        <v/>
      </c>
      <c r="AB18" s="1217" t="str">
        <f t="shared" si="7"/>
        <v/>
      </c>
      <c r="AC18" s="1216" t="str">
        <f t="shared" si="7"/>
        <v/>
      </c>
      <c r="AD18" s="1218" t="str">
        <f t="shared" si="7"/>
        <v/>
      </c>
      <c r="AE18" s="1219">
        <f t="shared" si="27"/>
        <v>90.02</v>
      </c>
      <c r="AF18" s="282">
        <f t="shared" si="28"/>
        <v>88.03</v>
      </c>
      <c r="AG18" s="282" t="str">
        <f t="shared" si="29"/>
        <v>baik</v>
      </c>
      <c r="AH18" s="282" t="str">
        <f t="shared" si="10"/>
        <v>baik</v>
      </c>
      <c r="AI18" s="282">
        <f t="shared" si="30"/>
        <v>2</v>
      </c>
      <c r="AJ18" s="283">
        <f t="shared" si="31"/>
        <v>3</v>
      </c>
      <c r="AK18" s="284" t="str">
        <f t="shared" si="32"/>
        <v>Memiliki kemampuan baik dalam Menganalisis dinamika atmosfer dan dampaknya terhadap kehidupan dan Menganalisis dinamika hidrosfer dan dampaknya terhadap kehidupani</v>
      </c>
      <c r="AL18" s="276">
        <v>95</v>
      </c>
      <c r="AM18" s="277">
        <v>95</v>
      </c>
      <c r="AN18" s="277">
        <v>95</v>
      </c>
      <c r="AO18" s="277"/>
      <c r="AP18" s="277"/>
      <c r="AQ18" s="277"/>
      <c r="AR18" s="277"/>
      <c r="AS18" s="280"/>
      <c r="AT18" s="277"/>
      <c r="AU18" s="278"/>
      <c r="AV18" s="285">
        <f t="shared" si="33"/>
        <v>95</v>
      </c>
      <c r="AW18" s="296" t="str">
        <f t="shared" si="34"/>
        <v>A</v>
      </c>
      <c r="AX18" s="1220">
        <f t="shared" si="16"/>
        <v>95.01</v>
      </c>
      <c r="AY18" s="1221">
        <f t="shared" si="16"/>
        <v>95.02</v>
      </c>
      <c r="AZ18" s="1221">
        <f t="shared" si="16"/>
        <v>95.03</v>
      </c>
      <c r="BA18" s="1221" t="str">
        <f t="shared" si="16"/>
        <v/>
      </c>
      <c r="BB18" s="1221" t="str">
        <f t="shared" si="16"/>
        <v/>
      </c>
      <c r="BC18" s="1221" t="str">
        <f t="shared" si="16"/>
        <v/>
      </c>
      <c r="BD18" s="1221" t="str">
        <f t="shared" si="16"/>
        <v/>
      </c>
      <c r="BE18" s="1222" t="str">
        <f t="shared" si="16"/>
        <v/>
      </c>
      <c r="BF18" s="1221" t="str">
        <f t="shared" si="16"/>
        <v/>
      </c>
      <c r="BG18" s="1223" t="str">
        <f t="shared" si="16"/>
        <v/>
      </c>
      <c r="BH18" s="286">
        <f t="shared" si="35"/>
        <v>95.03</v>
      </c>
      <c r="BI18" s="286">
        <f t="shared" si="36"/>
        <v>95.01</v>
      </c>
      <c r="BJ18" s="287" t="str">
        <f t="shared" si="37"/>
        <v>sangat baik</v>
      </c>
      <c r="BK18" s="287" t="str">
        <f t="shared" si="37"/>
        <v>sangat baik</v>
      </c>
      <c r="BL18" s="286">
        <f t="shared" si="38"/>
        <v>3</v>
      </c>
      <c r="BM18" s="288">
        <f t="shared" si="39"/>
        <v>1</v>
      </c>
      <c r="BN18" s="289" t="str">
        <f t="shared" si="40"/>
        <v>Memiliki keterampilan sangat baik dalam Menyajikan proses dinamika hidrosfer menggunakan peta dan Menyajikan proses dinamika litosfer dengan menggunakan peta</v>
      </c>
      <c r="BO18" s="67"/>
    </row>
    <row r="19" spans="1:67" ht="33" customHeight="1">
      <c r="A19" s="67"/>
      <c r="B19" s="272">
        <f t="shared" si="23"/>
        <v>6</v>
      </c>
      <c r="C19" s="273">
        <f>IF(Data!F10="","",Data!F10)</f>
        <v>0</v>
      </c>
      <c r="D19" s="274" t="str">
        <f>IF(Data!H10="","",Data!H10)</f>
        <v>Ayu Oliberta Ranboki</v>
      </c>
      <c r="E19" s="275" t="str">
        <f>IF(Data!I10="","",Data!I10)</f>
        <v>P</v>
      </c>
      <c r="F19" s="276">
        <v>89</v>
      </c>
      <c r="G19" s="277">
        <v>90</v>
      </c>
      <c r="H19" s="277">
        <v>90</v>
      </c>
      <c r="I19" s="277"/>
      <c r="J19" s="277"/>
      <c r="K19" s="277"/>
      <c r="L19" s="277"/>
      <c r="M19" s="280"/>
      <c r="N19" s="277"/>
      <c r="O19" s="278"/>
      <c r="P19" s="279">
        <f t="shared" si="24"/>
        <v>90</v>
      </c>
      <c r="Q19" s="277">
        <v>85</v>
      </c>
      <c r="R19" s="280">
        <v>90</v>
      </c>
      <c r="S19" s="281">
        <f t="shared" si="25"/>
        <v>89</v>
      </c>
      <c r="T19" s="295" t="str">
        <f t="shared" si="26"/>
        <v>B</v>
      </c>
      <c r="U19" s="1215">
        <f t="shared" si="7"/>
        <v>89.01</v>
      </c>
      <c r="V19" s="1216">
        <f t="shared" si="7"/>
        <v>90.02</v>
      </c>
      <c r="W19" s="1216">
        <f t="shared" si="7"/>
        <v>90.03</v>
      </c>
      <c r="X19" s="1216" t="str">
        <f t="shared" si="7"/>
        <v/>
      </c>
      <c r="Y19" s="1216" t="str">
        <f t="shared" si="7"/>
        <v/>
      </c>
      <c r="Z19" s="1216" t="str">
        <f t="shared" si="7"/>
        <v/>
      </c>
      <c r="AA19" s="1216" t="str">
        <f t="shared" si="7"/>
        <v/>
      </c>
      <c r="AB19" s="1217" t="str">
        <f t="shared" si="7"/>
        <v/>
      </c>
      <c r="AC19" s="1216" t="str">
        <f t="shared" si="7"/>
        <v/>
      </c>
      <c r="AD19" s="1218" t="str">
        <f t="shared" si="7"/>
        <v/>
      </c>
      <c r="AE19" s="1219">
        <f t="shared" si="27"/>
        <v>90.03</v>
      </c>
      <c r="AF19" s="282">
        <f t="shared" si="28"/>
        <v>89.01</v>
      </c>
      <c r="AG19" s="282" t="str">
        <f t="shared" si="29"/>
        <v>baik</v>
      </c>
      <c r="AH19" s="282" t="str">
        <f t="shared" si="10"/>
        <v>baik</v>
      </c>
      <c r="AI19" s="282">
        <f t="shared" si="30"/>
        <v>3</v>
      </c>
      <c r="AJ19" s="283">
        <f t="shared" si="31"/>
        <v>1</v>
      </c>
      <c r="AK19" s="284" t="str">
        <f t="shared" si="32"/>
        <v>Memiliki kemampuan baik dalam Menganalisis dinamika hidrosfer dan dampaknya terhadap kehidupani dan Menganalisis dinamika litosfer dan dampaknya terhadap kehidupan</v>
      </c>
      <c r="AL19" s="276">
        <v>95</v>
      </c>
      <c r="AM19" s="277">
        <v>95</v>
      </c>
      <c r="AN19" s="277">
        <v>95</v>
      </c>
      <c r="AO19" s="277"/>
      <c r="AP19" s="277"/>
      <c r="AQ19" s="277"/>
      <c r="AR19" s="277"/>
      <c r="AS19" s="280"/>
      <c r="AT19" s="277"/>
      <c r="AU19" s="278"/>
      <c r="AV19" s="285">
        <f t="shared" si="33"/>
        <v>95</v>
      </c>
      <c r="AW19" s="296" t="str">
        <f t="shared" si="34"/>
        <v>A</v>
      </c>
      <c r="AX19" s="1220">
        <f t="shared" si="16"/>
        <v>95.01</v>
      </c>
      <c r="AY19" s="1221">
        <f t="shared" si="16"/>
        <v>95.02</v>
      </c>
      <c r="AZ19" s="1221">
        <f t="shared" si="16"/>
        <v>95.03</v>
      </c>
      <c r="BA19" s="1221" t="str">
        <f t="shared" si="16"/>
        <v/>
      </c>
      <c r="BB19" s="1221" t="str">
        <f t="shared" si="16"/>
        <v/>
      </c>
      <c r="BC19" s="1221" t="str">
        <f t="shared" si="16"/>
        <v/>
      </c>
      <c r="BD19" s="1221" t="str">
        <f t="shared" si="16"/>
        <v/>
      </c>
      <c r="BE19" s="1222" t="str">
        <f t="shared" si="16"/>
        <v/>
      </c>
      <c r="BF19" s="1221" t="str">
        <f t="shared" si="16"/>
        <v/>
      </c>
      <c r="BG19" s="1223" t="str">
        <f t="shared" si="16"/>
        <v/>
      </c>
      <c r="BH19" s="286">
        <f t="shared" si="35"/>
        <v>95.03</v>
      </c>
      <c r="BI19" s="286">
        <f t="shared" si="36"/>
        <v>95.01</v>
      </c>
      <c r="BJ19" s="287" t="str">
        <f t="shared" si="37"/>
        <v>sangat baik</v>
      </c>
      <c r="BK19" s="287" t="str">
        <f t="shared" si="37"/>
        <v>sangat baik</v>
      </c>
      <c r="BL19" s="286">
        <f t="shared" si="38"/>
        <v>3</v>
      </c>
      <c r="BM19" s="288">
        <f t="shared" si="39"/>
        <v>1</v>
      </c>
      <c r="BN19" s="289" t="str">
        <f t="shared" si="40"/>
        <v>Memiliki keterampilan sangat baik dalam Menyajikan proses dinamika hidrosfer menggunakan peta dan Menyajikan proses dinamika litosfer dengan menggunakan peta</v>
      </c>
      <c r="BO19" s="67"/>
    </row>
    <row r="20" spans="1:67" ht="33" customHeight="1">
      <c r="A20" s="67"/>
      <c r="B20" s="272">
        <f t="shared" si="23"/>
        <v>7</v>
      </c>
      <c r="C20" s="273">
        <f>IF(Data!F11="","",Data!F11)</f>
        <v>0</v>
      </c>
      <c r="D20" s="274" t="str">
        <f>IF(Data!H11="","",Data!H11)</f>
        <v>Benediktus Faot</v>
      </c>
      <c r="E20" s="275" t="str">
        <f>IF(Data!I11="","",Data!I11)</f>
        <v>L</v>
      </c>
      <c r="F20" s="276">
        <v>88</v>
      </c>
      <c r="G20" s="277">
        <v>88</v>
      </c>
      <c r="H20" s="277">
        <v>87</v>
      </c>
      <c r="I20" s="277"/>
      <c r="J20" s="277"/>
      <c r="K20" s="277"/>
      <c r="L20" s="277"/>
      <c r="M20" s="280"/>
      <c r="N20" s="277"/>
      <c r="O20" s="278"/>
      <c r="P20" s="279">
        <f t="shared" si="24"/>
        <v>88</v>
      </c>
      <c r="Q20" s="277">
        <v>80</v>
      </c>
      <c r="R20" s="280">
        <v>80</v>
      </c>
      <c r="S20" s="281">
        <f t="shared" si="25"/>
        <v>84</v>
      </c>
      <c r="T20" s="295" t="str">
        <f t="shared" si="26"/>
        <v>C</v>
      </c>
      <c r="U20" s="1215">
        <f t="shared" si="7"/>
        <v>88.01</v>
      </c>
      <c r="V20" s="1216">
        <f t="shared" si="7"/>
        <v>88.02</v>
      </c>
      <c r="W20" s="1216">
        <f t="shared" si="7"/>
        <v>87.03</v>
      </c>
      <c r="X20" s="1216" t="str">
        <f t="shared" si="7"/>
        <v/>
      </c>
      <c r="Y20" s="1216" t="str">
        <f t="shared" si="7"/>
        <v/>
      </c>
      <c r="Z20" s="1216" t="str">
        <f t="shared" si="7"/>
        <v/>
      </c>
      <c r="AA20" s="1216" t="str">
        <f t="shared" si="7"/>
        <v/>
      </c>
      <c r="AB20" s="1217" t="str">
        <f t="shared" si="7"/>
        <v/>
      </c>
      <c r="AC20" s="1216" t="str">
        <f t="shared" si="7"/>
        <v/>
      </c>
      <c r="AD20" s="1218" t="str">
        <f t="shared" si="7"/>
        <v/>
      </c>
      <c r="AE20" s="1219">
        <f t="shared" si="27"/>
        <v>88.02</v>
      </c>
      <c r="AF20" s="282">
        <f t="shared" si="28"/>
        <v>87.03</v>
      </c>
      <c r="AG20" s="282" t="str">
        <f t="shared" si="29"/>
        <v>baik</v>
      </c>
      <c r="AH20" s="282" t="str">
        <f t="shared" si="10"/>
        <v>baik</v>
      </c>
      <c r="AI20" s="282">
        <f t="shared" si="30"/>
        <v>2</v>
      </c>
      <c r="AJ20" s="283">
        <f t="shared" si="31"/>
        <v>3</v>
      </c>
      <c r="AK20" s="284" t="str">
        <f t="shared" si="32"/>
        <v>Memiliki kemampuan baik dalam Menganalisis dinamika atmosfer dan dampaknya terhadap kehidupan dan Menganalisis dinamika hidrosfer dan dampaknya terhadap kehidupani</v>
      </c>
      <c r="AL20" s="276">
        <v>95</v>
      </c>
      <c r="AM20" s="277">
        <v>95</v>
      </c>
      <c r="AN20" s="277">
        <v>95</v>
      </c>
      <c r="AO20" s="277"/>
      <c r="AP20" s="277"/>
      <c r="AQ20" s="277"/>
      <c r="AR20" s="277"/>
      <c r="AS20" s="280"/>
      <c r="AT20" s="277"/>
      <c r="AU20" s="278"/>
      <c r="AV20" s="285">
        <f t="shared" si="33"/>
        <v>95</v>
      </c>
      <c r="AW20" s="296" t="str">
        <f t="shared" si="34"/>
        <v>A</v>
      </c>
      <c r="AX20" s="1220">
        <f t="shared" si="16"/>
        <v>95.01</v>
      </c>
      <c r="AY20" s="1221">
        <f t="shared" si="16"/>
        <v>95.02</v>
      </c>
      <c r="AZ20" s="1221">
        <f t="shared" si="16"/>
        <v>95.03</v>
      </c>
      <c r="BA20" s="1221" t="str">
        <f t="shared" si="16"/>
        <v/>
      </c>
      <c r="BB20" s="1221" t="str">
        <f t="shared" si="16"/>
        <v/>
      </c>
      <c r="BC20" s="1221" t="str">
        <f t="shared" si="16"/>
        <v/>
      </c>
      <c r="BD20" s="1221" t="str">
        <f t="shared" si="16"/>
        <v/>
      </c>
      <c r="BE20" s="1222" t="str">
        <f t="shared" si="16"/>
        <v/>
      </c>
      <c r="BF20" s="1221" t="str">
        <f t="shared" si="16"/>
        <v/>
      </c>
      <c r="BG20" s="1223" t="str">
        <f t="shared" si="16"/>
        <v/>
      </c>
      <c r="BH20" s="286">
        <f t="shared" si="35"/>
        <v>95.03</v>
      </c>
      <c r="BI20" s="286">
        <f t="shared" si="36"/>
        <v>95.01</v>
      </c>
      <c r="BJ20" s="287" t="str">
        <f t="shared" si="37"/>
        <v>sangat baik</v>
      </c>
      <c r="BK20" s="287" t="str">
        <f t="shared" si="37"/>
        <v>sangat baik</v>
      </c>
      <c r="BL20" s="286">
        <f t="shared" si="38"/>
        <v>3</v>
      </c>
      <c r="BM20" s="288">
        <f t="shared" si="39"/>
        <v>1</v>
      </c>
      <c r="BN20" s="289" t="str">
        <f t="shared" si="40"/>
        <v>Memiliki keterampilan sangat baik dalam Menyajikan proses dinamika hidrosfer menggunakan peta dan Menyajikan proses dinamika litosfer dengan menggunakan peta</v>
      </c>
      <c r="BO20" s="67"/>
    </row>
    <row r="21" spans="1:67" ht="33" customHeight="1">
      <c r="A21" s="67"/>
      <c r="B21" s="272">
        <f t="shared" si="23"/>
        <v>8</v>
      </c>
      <c r="C21" s="273">
        <f>IF(Data!F12="","",Data!F12)</f>
        <v>0</v>
      </c>
      <c r="D21" s="274" t="str">
        <f>IF(Data!H12="","",Data!H12)</f>
        <v>Betron Imanuel Kuni</v>
      </c>
      <c r="E21" s="275" t="str">
        <f>IF(Data!I12="","",Data!I12)</f>
        <v>L</v>
      </c>
      <c r="F21" s="276">
        <v>80</v>
      </c>
      <c r="G21" s="277">
        <v>79</v>
      </c>
      <c r="H21" s="277">
        <v>79</v>
      </c>
      <c r="I21" s="277"/>
      <c r="J21" s="277"/>
      <c r="K21" s="277"/>
      <c r="L21" s="277"/>
      <c r="M21" s="280"/>
      <c r="N21" s="277"/>
      <c r="O21" s="278"/>
      <c r="P21" s="279">
        <f t="shared" si="24"/>
        <v>79</v>
      </c>
      <c r="Q21" s="277">
        <v>80</v>
      </c>
      <c r="R21" s="280">
        <v>79</v>
      </c>
      <c r="S21" s="281">
        <f t="shared" si="25"/>
        <v>79</v>
      </c>
      <c r="T21" s="295" t="str">
        <f t="shared" si="26"/>
        <v>C</v>
      </c>
      <c r="U21" s="1215">
        <f t="shared" si="7"/>
        <v>80.010000000000005</v>
      </c>
      <c r="V21" s="1216">
        <f t="shared" si="7"/>
        <v>79.02</v>
      </c>
      <c r="W21" s="1216">
        <f t="shared" si="7"/>
        <v>79.03</v>
      </c>
      <c r="X21" s="1216" t="str">
        <f t="shared" si="7"/>
        <v/>
      </c>
      <c r="Y21" s="1216" t="str">
        <f t="shared" si="7"/>
        <v/>
      </c>
      <c r="Z21" s="1216" t="str">
        <f t="shared" si="7"/>
        <v/>
      </c>
      <c r="AA21" s="1216" t="str">
        <f t="shared" si="7"/>
        <v/>
      </c>
      <c r="AB21" s="1217" t="str">
        <f t="shared" si="7"/>
        <v/>
      </c>
      <c r="AC21" s="1216" t="str">
        <f t="shared" si="7"/>
        <v/>
      </c>
      <c r="AD21" s="1218" t="str">
        <f t="shared" si="7"/>
        <v/>
      </c>
      <c r="AE21" s="1219">
        <f t="shared" si="27"/>
        <v>80.010000000000005</v>
      </c>
      <c r="AF21" s="282">
        <f t="shared" si="28"/>
        <v>79.02</v>
      </c>
      <c r="AG21" s="282" t="str">
        <f t="shared" si="29"/>
        <v>cukup</v>
      </c>
      <c r="AH21" s="282" t="str">
        <f t="shared" si="10"/>
        <v>cukup</v>
      </c>
      <c r="AI21" s="282">
        <f t="shared" si="30"/>
        <v>1</v>
      </c>
      <c r="AJ21" s="283">
        <f t="shared" si="31"/>
        <v>2</v>
      </c>
      <c r="AK21" s="284" t="str">
        <f t="shared" si="32"/>
        <v>Memiliki kemampuan cukup dalam Menganalisis dinamika litosfer dan dampaknya terhadap kehidupan dan Menganalisis dinamika atmosfer dan dampaknya terhadap kehidupan</v>
      </c>
      <c r="AL21" s="276">
        <v>88</v>
      </c>
      <c r="AM21" s="277">
        <v>86</v>
      </c>
      <c r="AN21" s="277">
        <v>86</v>
      </c>
      <c r="AO21" s="277"/>
      <c r="AP21" s="277"/>
      <c r="AQ21" s="277"/>
      <c r="AR21" s="277"/>
      <c r="AS21" s="280"/>
      <c r="AT21" s="277"/>
      <c r="AU21" s="278"/>
      <c r="AV21" s="285">
        <f t="shared" si="33"/>
        <v>87</v>
      </c>
      <c r="AW21" s="296" t="str">
        <f t="shared" si="34"/>
        <v>B</v>
      </c>
      <c r="AX21" s="1220">
        <f t="shared" si="16"/>
        <v>88.01</v>
      </c>
      <c r="AY21" s="1221">
        <f t="shared" si="16"/>
        <v>86.02</v>
      </c>
      <c r="AZ21" s="1221">
        <f t="shared" si="16"/>
        <v>86.03</v>
      </c>
      <c r="BA21" s="1221" t="str">
        <f t="shared" si="16"/>
        <v/>
      </c>
      <c r="BB21" s="1221" t="str">
        <f t="shared" si="16"/>
        <v/>
      </c>
      <c r="BC21" s="1221" t="str">
        <f t="shared" si="16"/>
        <v/>
      </c>
      <c r="BD21" s="1221" t="str">
        <f t="shared" si="16"/>
        <v/>
      </c>
      <c r="BE21" s="1222" t="str">
        <f t="shared" si="16"/>
        <v/>
      </c>
      <c r="BF21" s="1221" t="str">
        <f t="shared" si="16"/>
        <v/>
      </c>
      <c r="BG21" s="1223" t="str">
        <f t="shared" si="16"/>
        <v/>
      </c>
      <c r="BH21" s="286">
        <f t="shared" si="35"/>
        <v>88.01</v>
      </c>
      <c r="BI21" s="286">
        <f t="shared" si="36"/>
        <v>86.02</v>
      </c>
      <c r="BJ21" s="287" t="str">
        <f t="shared" si="37"/>
        <v>baik</v>
      </c>
      <c r="BK21" s="287" t="str">
        <f t="shared" si="37"/>
        <v>baik</v>
      </c>
      <c r="BL21" s="286">
        <f t="shared" si="38"/>
        <v>1</v>
      </c>
      <c r="BM21" s="288">
        <f t="shared" si="39"/>
        <v>2</v>
      </c>
      <c r="BN21" s="289" t="str">
        <f t="shared" si="40"/>
        <v>Memiliki keterampilan baik dalam Menyajikan proses dinamika litosfer dengan menggunakan peta dan Menyajikan proses dinamika atmosfer menggunakan peta</v>
      </c>
      <c r="BO21" s="67"/>
    </row>
    <row r="22" spans="1:67" ht="33" customHeight="1">
      <c r="A22" s="67"/>
      <c r="B22" s="272">
        <f t="shared" si="23"/>
        <v>9</v>
      </c>
      <c r="C22" s="273">
        <f>IF(Data!F13="","",Data!F13)</f>
        <v>0</v>
      </c>
      <c r="D22" s="274" t="str">
        <f>IF(Data!H13="","",Data!H13)</f>
        <v>Demrianus Ton</v>
      </c>
      <c r="E22" s="275" t="str">
        <f>IF(Data!I13="","",Data!I13)</f>
        <v>L</v>
      </c>
      <c r="F22" s="276">
        <v>76</v>
      </c>
      <c r="G22" s="277">
        <v>75</v>
      </c>
      <c r="H22" s="277">
        <v>70</v>
      </c>
      <c r="I22" s="277"/>
      <c r="J22" s="277"/>
      <c r="K22" s="277"/>
      <c r="L22" s="277"/>
      <c r="M22" s="280"/>
      <c r="N22" s="277"/>
      <c r="O22" s="278"/>
      <c r="P22" s="279">
        <f t="shared" si="24"/>
        <v>74</v>
      </c>
      <c r="Q22" s="277">
        <v>78</v>
      </c>
      <c r="R22" s="280">
        <v>78</v>
      </c>
      <c r="S22" s="281">
        <f t="shared" si="25"/>
        <v>76</v>
      </c>
      <c r="T22" s="295" t="str">
        <f t="shared" si="26"/>
        <v>C</v>
      </c>
      <c r="U22" s="1215">
        <f t="shared" si="7"/>
        <v>76.010000000000005</v>
      </c>
      <c r="V22" s="1216">
        <f t="shared" si="7"/>
        <v>75.02</v>
      </c>
      <c r="W22" s="1216">
        <f t="shared" si="7"/>
        <v>70.03</v>
      </c>
      <c r="X22" s="1216" t="str">
        <f t="shared" si="7"/>
        <v/>
      </c>
      <c r="Y22" s="1216" t="str">
        <f t="shared" si="7"/>
        <v/>
      </c>
      <c r="Z22" s="1216" t="str">
        <f t="shared" si="7"/>
        <v/>
      </c>
      <c r="AA22" s="1216" t="str">
        <f t="shared" si="7"/>
        <v/>
      </c>
      <c r="AB22" s="1217" t="str">
        <f t="shared" si="7"/>
        <v/>
      </c>
      <c r="AC22" s="1216" t="str">
        <f t="shared" si="7"/>
        <v/>
      </c>
      <c r="AD22" s="1218" t="str">
        <f t="shared" si="7"/>
        <v/>
      </c>
      <c r="AE22" s="1219">
        <f t="shared" si="27"/>
        <v>76.010000000000005</v>
      </c>
      <c r="AF22" s="282">
        <f t="shared" si="28"/>
        <v>70.03</v>
      </c>
      <c r="AG22" s="282" t="str">
        <f t="shared" si="29"/>
        <v>cukup</v>
      </c>
      <c r="AH22" s="282" t="str">
        <f t="shared" si="10"/>
        <v>perlu dimaksimalkan</v>
      </c>
      <c r="AI22" s="282">
        <f t="shared" si="30"/>
        <v>1</v>
      </c>
      <c r="AJ22" s="283">
        <f t="shared" si="31"/>
        <v>3</v>
      </c>
      <c r="AK22" s="284" t="str">
        <f t="shared" si="32"/>
        <v>Memiliki kemampuan cukup dalam Menganalisis dinamika litosfer dan dampaknya terhadap kehidupan, perlu dimaksimalkan kemampuan dalam Menganalisis dinamika hidrosfer dan dampaknya terhadap kehidupani</v>
      </c>
      <c r="AL22" s="276">
        <v>80</v>
      </c>
      <c r="AM22" s="277">
        <v>80</v>
      </c>
      <c r="AN22" s="277">
        <v>80</v>
      </c>
      <c r="AO22" s="277"/>
      <c r="AP22" s="277"/>
      <c r="AQ22" s="277"/>
      <c r="AR22" s="277"/>
      <c r="AS22" s="280"/>
      <c r="AT22" s="277"/>
      <c r="AU22" s="278"/>
      <c r="AV22" s="285">
        <f t="shared" si="33"/>
        <v>80</v>
      </c>
      <c r="AW22" s="296" t="str">
        <f t="shared" si="34"/>
        <v>C</v>
      </c>
      <c r="AX22" s="1220">
        <f t="shared" si="16"/>
        <v>80.010000000000005</v>
      </c>
      <c r="AY22" s="1221">
        <f t="shared" si="16"/>
        <v>80.02</v>
      </c>
      <c r="AZ22" s="1221">
        <f t="shared" si="16"/>
        <v>80.03</v>
      </c>
      <c r="BA22" s="1221" t="str">
        <f t="shared" si="16"/>
        <v/>
      </c>
      <c r="BB22" s="1221" t="str">
        <f t="shared" si="16"/>
        <v/>
      </c>
      <c r="BC22" s="1221" t="str">
        <f t="shared" si="16"/>
        <v/>
      </c>
      <c r="BD22" s="1221" t="str">
        <f t="shared" si="16"/>
        <v/>
      </c>
      <c r="BE22" s="1222" t="str">
        <f t="shared" si="16"/>
        <v/>
      </c>
      <c r="BF22" s="1221" t="str">
        <f t="shared" si="16"/>
        <v/>
      </c>
      <c r="BG22" s="1223" t="str">
        <f t="shared" si="16"/>
        <v/>
      </c>
      <c r="BH22" s="286">
        <f t="shared" si="35"/>
        <v>80.03</v>
      </c>
      <c r="BI22" s="286">
        <f t="shared" si="36"/>
        <v>80.010000000000005</v>
      </c>
      <c r="BJ22" s="287" t="str">
        <f t="shared" si="37"/>
        <v>cukup</v>
      </c>
      <c r="BK22" s="287" t="str">
        <f t="shared" si="37"/>
        <v>cukup</v>
      </c>
      <c r="BL22" s="286">
        <f t="shared" si="38"/>
        <v>3</v>
      </c>
      <c r="BM22" s="288">
        <f t="shared" si="39"/>
        <v>1</v>
      </c>
      <c r="BN22" s="289" t="str">
        <f t="shared" si="40"/>
        <v>Memiliki keterampilan cukup dalam Menyajikan proses dinamika hidrosfer menggunakan peta dan Menyajikan proses dinamika litosfer dengan menggunakan peta</v>
      </c>
      <c r="BO22" s="67"/>
    </row>
    <row r="23" spans="1:67" ht="33" customHeight="1">
      <c r="A23" s="67"/>
      <c r="B23" s="272">
        <f t="shared" si="23"/>
        <v>10</v>
      </c>
      <c r="C23" s="273">
        <f>IF(Data!F14="","",Data!F14)</f>
        <v>0</v>
      </c>
      <c r="D23" s="274" t="str">
        <f>IF(Data!H14="","",Data!H14)</f>
        <v>Desti Manggoa</v>
      </c>
      <c r="E23" s="275" t="str">
        <f>IF(Data!I14="","",Data!I14)</f>
        <v>P</v>
      </c>
      <c r="F23" s="276">
        <v>88</v>
      </c>
      <c r="G23" s="277">
        <v>84</v>
      </c>
      <c r="H23" s="277">
        <v>84</v>
      </c>
      <c r="I23" s="277"/>
      <c r="J23" s="277"/>
      <c r="K23" s="277"/>
      <c r="L23" s="277"/>
      <c r="M23" s="280"/>
      <c r="N23" s="277"/>
      <c r="O23" s="278"/>
      <c r="P23" s="279">
        <f t="shared" si="24"/>
        <v>85</v>
      </c>
      <c r="Q23" s="277">
        <v>85</v>
      </c>
      <c r="R23" s="280">
        <v>88</v>
      </c>
      <c r="S23" s="281">
        <f t="shared" si="25"/>
        <v>86</v>
      </c>
      <c r="T23" s="295" t="str">
        <f t="shared" si="26"/>
        <v>B</v>
      </c>
      <c r="U23" s="1215">
        <f t="shared" si="7"/>
        <v>88.01</v>
      </c>
      <c r="V23" s="1216">
        <f t="shared" si="7"/>
        <v>84.02</v>
      </c>
      <c r="W23" s="1216">
        <f t="shared" si="7"/>
        <v>84.03</v>
      </c>
      <c r="X23" s="1216" t="str">
        <f t="shared" si="7"/>
        <v/>
      </c>
      <c r="Y23" s="1216" t="str">
        <f t="shared" si="7"/>
        <v/>
      </c>
      <c r="Z23" s="1216" t="str">
        <f t="shared" si="7"/>
        <v/>
      </c>
      <c r="AA23" s="1216" t="str">
        <f t="shared" si="7"/>
        <v/>
      </c>
      <c r="AB23" s="1217" t="str">
        <f t="shared" si="7"/>
        <v/>
      </c>
      <c r="AC23" s="1216" t="str">
        <f t="shared" si="7"/>
        <v/>
      </c>
      <c r="AD23" s="1218" t="str">
        <f t="shared" si="7"/>
        <v/>
      </c>
      <c r="AE23" s="1219">
        <f t="shared" si="27"/>
        <v>88.01</v>
      </c>
      <c r="AF23" s="282">
        <f t="shared" si="28"/>
        <v>84.02</v>
      </c>
      <c r="AG23" s="282" t="str">
        <f t="shared" si="29"/>
        <v>baik</v>
      </c>
      <c r="AH23" s="282" t="str">
        <f t="shared" si="10"/>
        <v>cukup</v>
      </c>
      <c r="AI23" s="282">
        <f t="shared" si="30"/>
        <v>1</v>
      </c>
      <c r="AJ23" s="283">
        <f t="shared" si="31"/>
        <v>2</v>
      </c>
      <c r="AK23" s="284" t="str">
        <f t="shared" si="32"/>
        <v>Memiliki kemampuan baik dalam Menganalisis dinamika litosfer dan dampaknya terhadap kehidupan, cukup kemampuan dalam Menganalisis dinamika atmosfer dan dampaknya terhadap kehidupan</v>
      </c>
      <c r="AL23" s="276">
        <v>95</v>
      </c>
      <c r="AM23" s="277">
        <v>95</v>
      </c>
      <c r="AN23" s="277">
        <v>95</v>
      </c>
      <c r="AO23" s="277"/>
      <c r="AP23" s="277"/>
      <c r="AQ23" s="277"/>
      <c r="AR23" s="277"/>
      <c r="AS23" s="280"/>
      <c r="AT23" s="277"/>
      <c r="AU23" s="278"/>
      <c r="AV23" s="285">
        <f t="shared" si="33"/>
        <v>95</v>
      </c>
      <c r="AW23" s="296" t="str">
        <f t="shared" si="34"/>
        <v>A</v>
      </c>
      <c r="AX23" s="1220">
        <f t="shared" si="16"/>
        <v>95.01</v>
      </c>
      <c r="AY23" s="1221">
        <f t="shared" si="16"/>
        <v>95.02</v>
      </c>
      <c r="AZ23" s="1221">
        <f t="shared" si="16"/>
        <v>95.03</v>
      </c>
      <c r="BA23" s="1221" t="str">
        <f t="shared" si="16"/>
        <v/>
      </c>
      <c r="BB23" s="1221" t="str">
        <f t="shared" si="16"/>
        <v/>
      </c>
      <c r="BC23" s="1221" t="str">
        <f t="shared" si="16"/>
        <v/>
      </c>
      <c r="BD23" s="1221" t="str">
        <f t="shared" si="16"/>
        <v/>
      </c>
      <c r="BE23" s="1222" t="str">
        <f t="shared" si="16"/>
        <v/>
      </c>
      <c r="BF23" s="1221" t="str">
        <f t="shared" si="16"/>
        <v/>
      </c>
      <c r="BG23" s="1223" t="str">
        <f t="shared" si="16"/>
        <v/>
      </c>
      <c r="BH23" s="286">
        <f t="shared" si="35"/>
        <v>95.03</v>
      </c>
      <c r="BI23" s="286">
        <f t="shared" si="36"/>
        <v>95.01</v>
      </c>
      <c r="BJ23" s="287" t="str">
        <f t="shared" si="37"/>
        <v>sangat baik</v>
      </c>
      <c r="BK23" s="287" t="str">
        <f t="shared" si="37"/>
        <v>sangat baik</v>
      </c>
      <c r="BL23" s="286">
        <f t="shared" si="38"/>
        <v>3</v>
      </c>
      <c r="BM23" s="288">
        <f t="shared" si="39"/>
        <v>1</v>
      </c>
      <c r="BN23" s="289" t="str">
        <f t="shared" si="40"/>
        <v>Memiliki keterampilan sangat baik dalam Menyajikan proses dinamika hidrosfer menggunakan peta dan Menyajikan proses dinamika litosfer dengan menggunakan peta</v>
      </c>
      <c r="BO23" s="67"/>
    </row>
    <row r="24" spans="1:67" ht="33" customHeight="1">
      <c r="A24" s="67"/>
      <c r="B24" s="272">
        <f t="shared" si="23"/>
        <v>11</v>
      </c>
      <c r="C24" s="273">
        <f>IF(Data!F15="","",Data!F15)</f>
        <v>0</v>
      </c>
      <c r="D24" s="274" t="str">
        <f>IF(Data!H15="","",Data!H15)</f>
        <v>Dorkas Meliana Talita Kesnay</v>
      </c>
      <c r="E24" s="275" t="str">
        <f>IF(Data!I15="","",Data!I15)</f>
        <v>P</v>
      </c>
      <c r="F24" s="276">
        <v>88</v>
      </c>
      <c r="G24" s="277">
        <v>90</v>
      </c>
      <c r="H24" s="277">
        <v>90</v>
      </c>
      <c r="I24" s="277"/>
      <c r="J24" s="277"/>
      <c r="K24" s="277"/>
      <c r="L24" s="277"/>
      <c r="M24" s="280"/>
      <c r="N24" s="277"/>
      <c r="O24" s="278"/>
      <c r="P24" s="279">
        <f t="shared" si="24"/>
        <v>89</v>
      </c>
      <c r="Q24" s="277">
        <v>84</v>
      </c>
      <c r="R24" s="280">
        <v>86</v>
      </c>
      <c r="S24" s="281">
        <f t="shared" si="25"/>
        <v>87</v>
      </c>
      <c r="T24" s="295" t="str">
        <f t="shared" si="26"/>
        <v>B</v>
      </c>
      <c r="U24" s="1215">
        <f t="shared" si="7"/>
        <v>88.01</v>
      </c>
      <c r="V24" s="1216">
        <f t="shared" si="7"/>
        <v>90.02</v>
      </c>
      <c r="W24" s="1216">
        <f t="shared" si="7"/>
        <v>90.03</v>
      </c>
      <c r="X24" s="1216" t="str">
        <f t="shared" si="7"/>
        <v/>
      </c>
      <c r="Y24" s="1216" t="str">
        <f t="shared" si="7"/>
        <v/>
      </c>
      <c r="Z24" s="1216" t="str">
        <f t="shared" si="7"/>
        <v/>
      </c>
      <c r="AA24" s="1216" t="str">
        <f t="shared" si="7"/>
        <v/>
      </c>
      <c r="AB24" s="1217" t="str">
        <f t="shared" si="7"/>
        <v/>
      </c>
      <c r="AC24" s="1216" t="str">
        <f t="shared" si="7"/>
        <v/>
      </c>
      <c r="AD24" s="1218" t="str">
        <f t="shared" si="7"/>
        <v/>
      </c>
      <c r="AE24" s="1219">
        <f t="shared" si="27"/>
        <v>90.03</v>
      </c>
      <c r="AF24" s="282">
        <f t="shared" si="28"/>
        <v>88.01</v>
      </c>
      <c r="AG24" s="282" t="str">
        <f t="shared" si="29"/>
        <v>baik</v>
      </c>
      <c r="AH24" s="282" t="str">
        <f t="shared" si="10"/>
        <v>baik</v>
      </c>
      <c r="AI24" s="282">
        <f t="shared" si="30"/>
        <v>3</v>
      </c>
      <c r="AJ24" s="283">
        <f t="shared" si="31"/>
        <v>1</v>
      </c>
      <c r="AK24" s="284" t="str">
        <f t="shared" si="32"/>
        <v>Memiliki kemampuan baik dalam Menganalisis dinamika hidrosfer dan dampaknya terhadap kehidupani dan Menganalisis dinamika litosfer dan dampaknya terhadap kehidupan</v>
      </c>
      <c r="AL24" s="276">
        <v>95</v>
      </c>
      <c r="AM24" s="277">
        <v>95</v>
      </c>
      <c r="AN24" s="277">
        <v>95</v>
      </c>
      <c r="AO24" s="277"/>
      <c r="AP24" s="277"/>
      <c r="AQ24" s="277"/>
      <c r="AR24" s="277"/>
      <c r="AS24" s="280"/>
      <c r="AT24" s="277"/>
      <c r="AU24" s="278"/>
      <c r="AV24" s="285">
        <f t="shared" si="33"/>
        <v>95</v>
      </c>
      <c r="AW24" s="296" t="str">
        <f t="shared" si="34"/>
        <v>A</v>
      </c>
      <c r="AX24" s="1220">
        <f t="shared" si="16"/>
        <v>95.01</v>
      </c>
      <c r="AY24" s="1221">
        <f t="shared" si="16"/>
        <v>95.02</v>
      </c>
      <c r="AZ24" s="1221">
        <f t="shared" si="16"/>
        <v>95.03</v>
      </c>
      <c r="BA24" s="1221" t="str">
        <f t="shared" si="16"/>
        <v/>
      </c>
      <c r="BB24" s="1221" t="str">
        <f t="shared" si="16"/>
        <v/>
      </c>
      <c r="BC24" s="1221" t="str">
        <f t="shared" si="16"/>
        <v/>
      </c>
      <c r="BD24" s="1221" t="str">
        <f t="shared" si="16"/>
        <v/>
      </c>
      <c r="BE24" s="1222" t="str">
        <f t="shared" si="16"/>
        <v/>
      </c>
      <c r="BF24" s="1221" t="str">
        <f t="shared" si="16"/>
        <v/>
      </c>
      <c r="BG24" s="1223" t="str">
        <f t="shared" si="16"/>
        <v/>
      </c>
      <c r="BH24" s="286">
        <f t="shared" si="35"/>
        <v>95.03</v>
      </c>
      <c r="BI24" s="286">
        <f t="shared" si="36"/>
        <v>95.01</v>
      </c>
      <c r="BJ24" s="287" t="str">
        <f t="shared" si="37"/>
        <v>sangat baik</v>
      </c>
      <c r="BK24" s="287" t="str">
        <f t="shared" si="37"/>
        <v>sangat baik</v>
      </c>
      <c r="BL24" s="286">
        <f t="shared" si="38"/>
        <v>3</v>
      </c>
      <c r="BM24" s="288">
        <f t="shared" si="39"/>
        <v>1</v>
      </c>
      <c r="BN24" s="289" t="str">
        <f t="shared" si="40"/>
        <v>Memiliki keterampilan sangat baik dalam Menyajikan proses dinamika hidrosfer menggunakan peta dan Menyajikan proses dinamika litosfer dengan menggunakan peta</v>
      </c>
      <c r="BO24" s="67"/>
    </row>
    <row r="25" spans="1:67" ht="33" customHeight="1">
      <c r="A25" s="67"/>
      <c r="B25" s="272">
        <f t="shared" si="23"/>
        <v>12</v>
      </c>
      <c r="C25" s="273">
        <f>IF(Data!F16="","",Data!F16)</f>
        <v>0</v>
      </c>
      <c r="D25" s="274" t="str">
        <f>IF(Data!H16="","",Data!H16)</f>
        <v>Erto Seprianto Leukune</v>
      </c>
      <c r="E25" s="275" t="str">
        <f>IF(Data!I16="","",Data!I16)</f>
        <v>L</v>
      </c>
      <c r="F25" s="276">
        <v>80</v>
      </c>
      <c r="G25" s="277">
        <v>82</v>
      </c>
      <c r="H25" s="277">
        <v>82</v>
      </c>
      <c r="I25" s="277"/>
      <c r="J25" s="277"/>
      <c r="K25" s="277"/>
      <c r="L25" s="277"/>
      <c r="M25" s="280"/>
      <c r="N25" s="277"/>
      <c r="O25" s="278"/>
      <c r="P25" s="279">
        <f t="shared" si="24"/>
        <v>81</v>
      </c>
      <c r="Q25" s="277">
        <v>79</v>
      </c>
      <c r="R25" s="280">
        <v>80</v>
      </c>
      <c r="S25" s="281">
        <f t="shared" si="25"/>
        <v>80</v>
      </c>
      <c r="T25" s="295" t="str">
        <f t="shared" si="26"/>
        <v>C</v>
      </c>
      <c r="U25" s="1215">
        <f t="shared" si="7"/>
        <v>80.010000000000005</v>
      </c>
      <c r="V25" s="1216">
        <f t="shared" si="7"/>
        <v>82.02</v>
      </c>
      <c r="W25" s="1216">
        <f t="shared" si="7"/>
        <v>82.03</v>
      </c>
      <c r="X25" s="1216" t="str">
        <f t="shared" si="7"/>
        <v/>
      </c>
      <c r="Y25" s="1216" t="str">
        <f t="shared" si="7"/>
        <v/>
      </c>
      <c r="Z25" s="1216" t="str">
        <f t="shared" si="7"/>
        <v/>
      </c>
      <c r="AA25" s="1216" t="str">
        <f t="shared" si="7"/>
        <v/>
      </c>
      <c r="AB25" s="1217" t="str">
        <f t="shared" si="7"/>
        <v/>
      </c>
      <c r="AC25" s="1216" t="str">
        <f t="shared" si="7"/>
        <v/>
      </c>
      <c r="AD25" s="1218" t="str">
        <f t="shared" si="7"/>
        <v/>
      </c>
      <c r="AE25" s="1219">
        <f t="shared" si="27"/>
        <v>82.03</v>
      </c>
      <c r="AF25" s="282">
        <f t="shared" si="28"/>
        <v>80.010000000000005</v>
      </c>
      <c r="AG25" s="282" t="str">
        <f t="shared" si="29"/>
        <v>cukup</v>
      </c>
      <c r="AH25" s="282" t="str">
        <f t="shared" si="10"/>
        <v>cukup</v>
      </c>
      <c r="AI25" s="282">
        <f t="shared" si="30"/>
        <v>3</v>
      </c>
      <c r="AJ25" s="283">
        <f t="shared" si="31"/>
        <v>1</v>
      </c>
      <c r="AK25" s="284" t="str">
        <f t="shared" si="32"/>
        <v>Memiliki kemampuan cukup dalam Menganalisis dinamika hidrosfer dan dampaknya terhadap kehidupani dan Menganalisis dinamika litosfer dan dampaknya terhadap kehidupan</v>
      </c>
      <c r="AL25" s="276">
        <v>88</v>
      </c>
      <c r="AM25" s="277">
        <v>84</v>
      </c>
      <c r="AN25" s="277">
        <v>84</v>
      </c>
      <c r="AO25" s="277"/>
      <c r="AP25" s="277"/>
      <c r="AQ25" s="277"/>
      <c r="AR25" s="277"/>
      <c r="AS25" s="280"/>
      <c r="AT25" s="277"/>
      <c r="AU25" s="278"/>
      <c r="AV25" s="285">
        <f t="shared" si="33"/>
        <v>85</v>
      </c>
      <c r="AW25" s="296" t="str">
        <f t="shared" si="34"/>
        <v>B</v>
      </c>
      <c r="AX25" s="1220">
        <f t="shared" si="16"/>
        <v>88.01</v>
      </c>
      <c r="AY25" s="1221">
        <f t="shared" si="16"/>
        <v>84.02</v>
      </c>
      <c r="AZ25" s="1221">
        <f t="shared" si="16"/>
        <v>84.03</v>
      </c>
      <c r="BA25" s="1221" t="str">
        <f t="shared" si="16"/>
        <v/>
      </c>
      <c r="BB25" s="1221" t="str">
        <f t="shared" si="16"/>
        <v/>
      </c>
      <c r="BC25" s="1221" t="str">
        <f t="shared" si="16"/>
        <v/>
      </c>
      <c r="BD25" s="1221" t="str">
        <f t="shared" si="16"/>
        <v/>
      </c>
      <c r="BE25" s="1222" t="str">
        <f t="shared" si="16"/>
        <v/>
      </c>
      <c r="BF25" s="1221" t="str">
        <f t="shared" si="16"/>
        <v/>
      </c>
      <c r="BG25" s="1223" t="str">
        <f t="shared" si="16"/>
        <v/>
      </c>
      <c r="BH25" s="286">
        <f t="shared" si="35"/>
        <v>88.01</v>
      </c>
      <c r="BI25" s="286">
        <f t="shared" si="36"/>
        <v>84.02</v>
      </c>
      <c r="BJ25" s="287" t="str">
        <f t="shared" si="37"/>
        <v>baik</v>
      </c>
      <c r="BK25" s="287" t="str">
        <f t="shared" si="37"/>
        <v>cukup</v>
      </c>
      <c r="BL25" s="286">
        <f t="shared" si="38"/>
        <v>1</v>
      </c>
      <c r="BM25" s="288">
        <f t="shared" si="39"/>
        <v>2</v>
      </c>
      <c r="BN25" s="289" t="str">
        <f t="shared" si="40"/>
        <v>Memiliki keterampilan baik dalam Menyajikan proses dinamika litosfer dengan menggunakan peta, cukup keterampilan dalam Menyajikan proses dinamika atmosfer menggunakan peta</v>
      </c>
      <c r="BO25" s="67"/>
    </row>
    <row r="26" spans="1:67" ht="33" customHeight="1">
      <c r="A26" s="67"/>
      <c r="B26" s="272">
        <f t="shared" si="23"/>
        <v>13</v>
      </c>
      <c r="C26" s="273">
        <f>IF(Data!F17="","",Data!F17)</f>
        <v>0</v>
      </c>
      <c r="D26" s="274" t="str">
        <f>IF(Data!H17="","",Data!H17)</f>
        <v>Feli Tipnoni</v>
      </c>
      <c r="E26" s="275" t="str">
        <f>IF(Data!I17="","",Data!I17)</f>
        <v>P</v>
      </c>
      <c r="F26" s="276">
        <v>88</v>
      </c>
      <c r="G26" s="277">
        <v>88</v>
      </c>
      <c r="H26" s="277">
        <v>86</v>
      </c>
      <c r="I26" s="277"/>
      <c r="J26" s="277"/>
      <c r="K26" s="277"/>
      <c r="L26" s="277"/>
      <c r="M26" s="280"/>
      <c r="N26" s="277"/>
      <c r="O26" s="278"/>
      <c r="P26" s="279">
        <f t="shared" si="24"/>
        <v>87</v>
      </c>
      <c r="Q26" s="277">
        <v>85</v>
      </c>
      <c r="R26" s="280">
        <v>88</v>
      </c>
      <c r="S26" s="281">
        <f t="shared" si="25"/>
        <v>87</v>
      </c>
      <c r="T26" s="295" t="str">
        <f t="shared" si="26"/>
        <v>B</v>
      </c>
      <c r="U26" s="1215">
        <f t="shared" si="7"/>
        <v>88.01</v>
      </c>
      <c r="V26" s="1216">
        <f t="shared" si="7"/>
        <v>88.02</v>
      </c>
      <c r="W26" s="1216">
        <f t="shared" si="7"/>
        <v>86.03</v>
      </c>
      <c r="X26" s="1216" t="str">
        <f t="shared" si="7"/>
        <v/>
      </c>
      <c r="Y26" s="1216" t="str">
        <f t="shared" si="7"/>
        <v/>
      </c>
      <c r="Z26" s="1216" t="str">
        <f t="shared" si="7"/>
        <v/>
      </c>
      <c r="AA26" s="1216" t="str">
        <f t="shared" si="7"/>
        <v/>
      </c>
      <c r="AB26" s="1217" t="str">
        <f t="shared" si="7"/>
        <v/>
      </c>
      <c r="AC26" s="1216" t="str">
        <f t="shared" si="7"/>
        <v/>
      </c>
      <c r="AD26" s="1218" t="str">
        <f t="shared" si="7"/>
        <v/>
      </c>
      <c r="AE26" s="1219">
        <f t="shared" si="27"/>
        <v>88.02</v>
      </c>
      <c r="AF26" s="282">
        <f t="shared" si="28"/>
        <v>86.03</v>
      </c>
      <c r="AG26" s="282" t="str">
        <f t="shared" si="29"/>
        <v>baik</v>
      </c>
      <c r="AH26" s="282" t="str">
        <f t="shared" si="10"/>
        <v>baik</v>
      </c>
      <c r="AI26" s="282">
        <f t="shared" si="30"/>
        <v>2</v>
      </c>
      <c r="AJ26" s="283">
        <f t="shared" si="31"/>
        <v>3</v>
      </c>
      <c r="AK26" s="284" t="str">
        <f t="shared" si="32"/>
        <v>Memiliki kemampuan baik dalam Menganalisis dinamika atmosfer dan dampaknya terhadap kehidupan dan Menganalisis dinamika hidrosfer dan dampaknya terhadap kehidupani</v>
      </c>
      <c r="AL26" s="276">
        <v>95</v>
      </c>
      <c r="AM26" s="277">
        <v>95</v>
      </c>
      <c r="AN26" s="277">
        <v>95</v>
      </c>
      <c r="AO26" s="277"/>
      <c r="AP26" s="277"/>
      <c r="AQ26" s="277"/>
      <c r="AR26" s="277"/>
      <c r="AS26" s="280"/>
      <c r="AT26" s="277"/>
      <c r="AU26" s="278"/>
      <c r="AV26" s="285">
        <f t="shared" si="33"/>
        <v>95</v>
      </c>
      <c r="AW26" s="296" t="str">
        <f t="shared" si="34"/>
        <v>A</v>
      </c>
      <c r="AX26" s="1220">
        <f t="shared" si="16"/>
        <v>95.01</v>
      </c>
      <c r="AY26" s="1221">
        <f t="shared" si="16"/>
        <v>95.02</v>
      </c>
      <c r="AZ26" s="1221">
        <f t="shared" si="16"/>
        <v>95.03</v>
      </c>
      <c r="BA26" s="1221" t="str">
        <f t="shared" si="16"/>
        <v/>
      </c>
      <c r="BB26" s="1221" t="str">
        <f t="shared" si="16"/>
        <v/>
      </c>
      <c r="BC26" s="1221" t="str">
        <f t="shared" si="16"/>
        <v/>
      </c>
      <c r="BD26" s="1221" t="str">
        <f t="shared" si="16"/>
        <v/>
      </c>
      <c r="BE26" s="1222" t="str">
        <f t="shared" si="16"/>
        <v/>
      </c>
      <c r="BF26" s="1221" t="str">
        <f t="shared" si="16"/>
        <v/>
      </c>
      <c r="BG26" s="1223" t="str">
        <f t="shared" si="16"/>
        <v/>
      </c>
      <c r="BH26" s="286">
        <f t="shared" si="35"/>
        <v>95.03</v>
      </c>
      <c r="BI26" s="286">
        <f t="shared" si="36"/>
        <v>95.01</v>
      </c>
      <c r="BJ26" s="287" t="str">
        <f t="shared" si="37"/>
        <v>sangat baik</v>
      </c>
      <c r="BK26" s="287" t="str">
        <f t="shared" si="37"/>
        <v>sangat baik</v>
      </c>
      <c r="BL26" s="286">
        <f t="shared" si="38"/>
        <v>3</v>
      </c>
      <c r="BM26" s="288">
        <f t="shared" si="39"/>
        <v>1</v>
      </c>
      <c r="BN26" s="289" t="str">
        <f t="shared" si="40"/>
        <v>Memiliki keterampilan sangat baik dalam Menyajikan proses dinamika hidrosfer menggunakan peta dan Menyajikan proses dinamika litosfer dengan menggunakan peta</v>
      </c>
      <c r="BO26" s="67"/>
    </row>
    <row r="27" spans="1:67" ht="33" customHeight="1">
      <c r="A27" s="67"/>
      <c r="B27" s="272">
        <f t="shared" si="23"/>
        <v>14</v>
      </c>
      <c r="C27" s="273">
        <f>IF(Data!F18="","",Data!F18)</f>
        <v>0</v>
      </c>
      <c r="D27" s="274" t="str">
        <f>IF(Data!H18="","",Data!H18)</f>
        <v xml:space="preserve">Ferdinandes Sakbana </v>
      </c>
      <c r="E27" s="275" t="str">
        <f>IF(Data!I18="","",Data!I18)</f>
        <v>L</v>
      </c>
      <c r="F27" s="276">
        <v>84</v>
      </c>
      <c r="G27" s="277">
        <v>79</v>
      </c>
      <c r="H27" s="277">
        <v>80</v>
      </c>
      <c r="I27" s="277"/>
      <c r="J27" s="277"/>
      <c r="K27" s="277"/>
      <c r="L27" s="277"/>
      <c r="M27" s="280"/>
      <c r="N27" s="277"/>
      <c r="O27" s="278"/>
      <c r="P27" s="279">
        <f t="shared" si="24"/>
        <v>81</v>
      </c>
      <c r="Q27" s="277">
        <v>78</v>
      </c>
      <c r="R27" s="280">
        <v>78</v>
      </c>
      <c r="S27" s="281">
        <f t="shared" si="25"/>
        <v>80</v>
      </c>
      <c r="T27" s="295" t="str">
        <f t="shared" si="26"/>
        <v>C</v>
      </c>
      <c r="U27" s="1215">
        <f t="shared" si="7"/>
        <v>84.01</v>
      </c>
      <c r="V27" s="1216">
        <f t="shared" si="7"/>
        <v>79.02</v>
      </c>
      <c r="W27" s="1216">
        <f t="shared" si="7"/>
        <v>80.03</v>
      </c>
      <c r="X27" s="1216" t="str">
        <f t="shared" si="7"/>
        <v/>
      </c>
      <c r="Y27" s="1216" t="str">
        <f t="shared" si="7"/>
        <v/>
      </c>
      <c r="Z27" s="1216" t="str">
        <f t="shared" si="7"/>
        <v/>
      </c>
      <c r="AA27" s="1216" t="str">
        <f t="shared" si="7"/>
        <v/>
      </c>
      <c r="AB27" s="1217" t="str">
        <f t="shared" si="7"/>
        <v/>
      </c>
      <c r="AC27" s="1216" t="str">
        <f t="shared" si="7"/>
        <v/>
      </c>
      <c r="AD27" s="1218" t="str">
        <f t="shared" si="7"/>
        <v/>
      </c>
      <c r="AE27" s="1219">
        <f t="shared" si="27"/>
        <v>84.01</v>
      </c>
      <c r="AF27" s="282">
        <f t="shared" si="28"/>
        <v>79.02</v>
      </c>
      <c r="AG27" s="282" t="str">
        <f t="shared" si="29"/>
        <v>cukup</v>
      </c>
      <c r="AH27" s="282" t="str">
        <f t="shared" si="10"/>
        <v>cukup</v>
      </c>
      <c r="AI27" s="282">
        <f t="shared" si="30"/>
        <v>1</v>
      </c>
      <c r="AJ27" s="283">
        <f t="shared" si="31"/>
        <v>2</v>
      </c>
      <c r="AK27" s="284" t="str">
        <f t="shared" si="32"/>
        <v>Memiliki kemampuan cukup dalam Menganalisis dinamika litosfer dan dampaknya terhadap kehidupan dan Menganalisis dinamika atmosfer dan dampaknya terhadap kehidupan</v>
      </c>
      <c r="AL27" s="276">
        <v>80</v>
      </c>
      <c r="AM27" s="277">
        <v>80</v>
      </c>
      <c r="AN27" s="277">
        <v>80</v>
      </c>
      <c r="AO27" s="277"/>
      <c r="AP27" s="277"/>
      <c r="AQ27" s="277"/>
      <c r="AR27" s="277"/>
      <c r="AS27" s="280"/>
      <c r="AT27" s="277"/>
      <c r="AU27" s="278"/>
      <c r="AV27" s="285">
        <f t="shared" si="33"/>
        <v>80</v>
      </c>
      <c r="AW27" s="296" t="str">
        <f t="shared" si="34"/>
        <v>C</v>
      </c>
      <c r="AX27" s="1220">
        <f t="shared" si="16"/>
        <v>80.010000000000005</v>
      </c>
      <c r="AY27" s="1221">
        <f t="shared" si="16"/>
        <v>80.02</v>
      </c>
      <c r="AZ27" s="1221">
        <f t="shared" si="16"/>
        <v>80.03</v>
      </c>
      <c r="BA27" s="1221" t="str">
        <f t="shared" si="16"/>
        <v/>
      </c>
      <c r="BB27" s="1221" t="str">
        <f t="shared" si="16"/>
        <v/>
      </c>
      <c r="BC27" s="1221" t="str">
        <f t="shared" si="16"/>
        <v/>
      </c>
      <c r="BD27" s="1221" t="str">
        <f t="shared" si="16"/>
        <v/>
      </c>
      <c r="BE27" s="1222" t="str">
        <f t="shared" si="16"/>
        <v/>
      </c>
      <c r="BF27" s="1221" t="str">
        <f t="shared" si="16"/>
        <v/>
      </c>
      <c r="BG27" s="1223" t="str">
        <f t="shared" si="16"/>
        <v/>
      </c>
      <c r="BH27" s="286">
        <f t="shared" si="35"/>
        <v>80.03</v>
      </c>
      <c r="BI27" s="286">
        <f t="shared" si="36"/>
        <v>80.010000000000005</v>
      </c>
      <c r="BJ27" s="287" t="str">
        <f t="shared" si="37"/>
        <v>cukup</v>
      </c>
      <c r="BK27" s="287" t="str">
        <f t="shared" si="37"/>
        <v>cukup</v>
      </c>
      <c r="BL27" s="286">
        <f t="shared" si="38"/>
        <v>3</v>
      </c>
      <c r="BM27" s="288">
        <f t="shared" si="39"/>
        <v>1</v>
      </c>
      <c r="BN27" s="289" t="str">
        <f t="shared" si="40"/>
        <v>Memiliki keterampilan cukup dalam Menyajikan proses dinamika hidrosfer menggunakan peta dan Menyajikan proses dinamika litosfer dengan menggunakan peta</v>
      </c>
      <c r="BO27" s="67"/>
    </row>
    <row r="28" spans="1:67" ht="33" customHeight="1">
      <c r="A28" s="67"/>
      <c r="B28" s="272">
        <f t="shared" si="23"/>
        <v>15</v>
      </c>
      <c r="C28" s="273">
        <f>IF(Data!F19="","",Data!F19)</f>
        <v>0</v>
      </c>
      <c r="D28" s="274" t="str">
        <f>IF(Data!H19="","",Data!H19)</f>
        <v>Fitri Novani Nitbani</v>
      </c>
      <c r="E28" s="275" t="str">
        <f>IF(Data!I19="","",Data!I19)</f>
        <v>P</v>
      </c>
      <c r="F28" s="276">
        <v>88</v>
      </c>
      <c r="G28" s="277">
        <v>86</v>
      </c>
      <c r="H28" s="277">
        <v>88</v>
      </c>
      <c r="I28" s="277"/>
      <c r="J28" s="277"/>
      <c r="K28" s="277"/>
      <c r="L28" s="277"/>
      <c r="M28" s="280"/>
      <c r="N28" s="277"/>
      <c r="O28" s="278"/>
      <c r="P28" s="279">
        <f t="shared" si="24"/>
        <v>87</v>
      </c>
      <c r="Q28" s="277">
        <v>85</v>
      </c>
      <c r="R28" s="280">
        <v>88</v>
      </c>
      <c r="S28" s="281">
        <f t="shared" si="25"/>
        <v>87</v>
      </c>
      <c r="T28" s="295" t="str">
        <f t="shared" si="26"/>
        <v>B</v>
      </c>
      <c r="U28" s="1215">
        <f t="shared" si="7"/>
        <v>88.01</v>
      </c>
      <c r="V28" s="1216">
        <f t="shared" si="7"/>
        <v>86.02</v>
      </c>
      <c r="W28" s="1216">
        <f t="shared" si="7"/>
        <v>88.03</v>
      </c>
      <c r="X28" s="1216" t="str">
        <f t="shared" si="7"/>
        <v/>
      </c>
      <c r="Y28" s="1216" t="str">
        <f t="shared" si="7"/>
        <v/>
      </c>
      <c r="Z28" s="1216" t="str">
        <f t="shared" si="7"/>
        <v/>
      </c>
      <c r="AA28" s="1216" t="str">
        <f t="shared" si="7"/>
        <v/>
      </c>
      <c r="AB28" s="1217" t="str">
        <f t="shared" si="7"/>
        <v/>
      </c>
      <c r="AC28" s="1216" t="str">
        <f t="shared" si="7"/>
        <v/>
      </c>
      <c r="AD28" s="1218" t="str">
        <f t="shared" si="7"/>
        <v/>
      </c>
      <c r="AE28" s="1219">
        <f t="shared" si="27"/>
        <v>88.03</v>
      </c>
      <c r="AF28" s="282">
        <f t="shared" si="28"/>
        <v>86.02</v>
      </c>
      <c r="AG28" s="282" t="str">
        <f t="shared" si="29"/>
        <v>baik</v>
      </c>
      <c r="AH28" s="282" t="str">
        <f t="shared" si="10"/>
        <v>baik</v>
      </c>
      <c r="AI28" s="282">
        <f t="shared" si="30"/>
        <v>3</v>
      </c>
      <c r="AJ28" s="283">
        <f t="shared" si="31"/>
        <v>2</v>
      </c>
      <c r="AK28" s="284" t="str">
        <f t="shared" si="32"/>
        <v>Memiliki kemampuan baik dalam Menganalisis dinamika hidrosfer dan dampaknya terhadap kehidupani dan Menganalisis dinamika atmosfer dan dampaknya terhadap kehidupan</v>
      </c>
      <c r="AL28" s="276">
        <v>95</v>
      </c>
      <c r="AM28" s="277">
        <v>95</v>
      </c>
      <c r="AN28" s="277">
        <v>95</v>
      </c>
      <c r="AO28" s="277"/>
      <c r="AP28" s="277"/>
      <c r="AQ28" s="277"/>
      <c r="AR28" s="277"/>
      <c r="AS28" s="280"/>
      <c r="AT28" s="277"/>
      <c r="AU28" s="278"/>
      <c r="AV28" s="285">
        <f t="shared" si="33"/>
        <v>95</v>
      </c>
      <c r="AW28" s="296" t="str">
        <f t="shared" si="34"/>
        <v>A</v>
      </c>
      <c r="AX28" s="1220">
        <f t="shared" si="16"/>
        <v>95.01</v>
      </c>
      <c r="AY28" s="1221">
        <f t="shared" si="16"/>
        <v>95.02</v>
      </c>
      <c r="AZ28" s="1221">
        <f t="shared" si="16"/>
        <v>95.03</v>
      </c>
      <c r="BA28" s="1221" t="str">
        <f t="shared" si="16"/>
        <v/>
      </c>
      <c r="BB28" s="1221" t="str">
        <f t="shared" si="16"/>
        <v/>
      </c>
      <c r="BC28" s="1221" t="str">
        <f t="shared" si="16"/>
        <v/>
      </c>
      <c r="BD28" s="1221" t="str">
        <f t="shared" si="16"/>
        <v/>
      </c>
      <c r="BE28" s="1222" t="str">
        <f t="shared" si="16"/>
        <v/>
      </c>
      <c r="BF28" s="1221" t="str">
        <f t="shared" si="16"/>
        <v/>
      </c>
      <c r="BG28" s="1223" t="str">
        <f t="shared" si="16"/>
        <v/>
      </c>
      <c r="BH28" s="286">
        <f t="shared" si="35"/>
        <v>95.03</v>
      </c>
      <c r="BI28" s="286">
        <f t="shared" si="36"/>
        <v>95.01</v>
      </c>
      <c r="BJ28" s="287" t="str">
        <f t="shared" si="37"/>
        <v>sangat baik</v>
      </c>
      <c r="BK28" s="287" t="str">
        <f t="shared" si="37"/>
        <v>sangat baik</v>
      </c>
      <c r="BL28" s="286">
        <f t="shared" si="38"/>
        <v>3</v>
      </c>
      <c r="BM28" s="288">
        <f t="shared" si="39"/>
        <v>1</v>
      </c>
      <c r="BN28" s="289" t="str">
        <f t="shared" si="40"/>
        <v>Memiliki keterampilan sangat baik dalam Menyajikan proses dinamika hidrosfer menggunakan peta dan Menyajikan proses dinamika litosfer dengan menggunakan peta</v>
      </c>
      <c r="BO28" s="67"/>
    </row>
    <row r="29" spans="1:67" ht="33" customHeight="1">
      <c r="A29" s="67"/>
      <c r="B29" s="272">
        <f t="shared" si="23"/>
        <v>16</v>
      </c>
      <c r="C29" s="273">
        <f>IF(Data!F20="","",Data!F20)</f>
        <v>0</v>
      </c>
      <c r="D29" s="274" t="str">
        <f>IF(Data!H20="","",Data!H20)</f>
        <v>Helsina Benu</v>
      </c>
      <c r="E29" s="275" t="str">
        <f>IF(Data!I20="","",Data!I20)</f>
        <v>P</v>
      </c>
      <c r="F29" s="276">
        <v>88</v>
      </c>
      <c r="G29" s="277">
        <v>88</v>
      </c>
      <c r="H29" s="277">
        <v>89</v>
      </c>
      <c r="I29" s="277"/>
      <c r="J29" s="277"/>
      <c r="K29" s="277"/>
      <c r="L29" s="277"/>
      <c r="M29" s="280"/>
      <c r="N29" s="277"/>
      <c r="O29" s="278"/>
      <c r="P29" s="279">
        <f t="shared" si="24"/>
        <v>88</v>
      </c>
      <c r="Q29" s="277">
        <v>85</v>
      </c>
      <c r="R29" s="280">
        <v>88</v>
      </c>
      <c r="S29" s="281">
        <f t="shared" si="25"/>
        <v>87</v>
      </c>
      <c r="T29" s="295" t="str">
        <f t="shared" si="26"/>
        <v>B</v>
      </c>
      <c r="U29" s="1215">
        <f t="shared" si="7"/>
        <v>88.01</v>
      </c>
      <c r="V29" s="1216">
        <f t="shared" si="7"/>
        <v>88.02</v>
      </c>
      <c r="W29" s="1216">
        <f t="shared" si="7"/>
        <v>89.03</v>
      </c>
      <c r="X29" s="1216" t="str">
        <f t="shared" si="7"/>
        <v/>
      </c>
      <c r="Y29" s="1216" t="str">
        <f t="shared" si="7"/>
        <v/>
      </c>
      <c r="Z29" s="1216" t="str">
        <f t="shared" si="7"/>
        <v/>
      </c>
      <c r="AA29" s="1216" t="str">
        <f t="shared" si="7"/>
        <v/>
      </c>
      <c r="AB29" s="1217" t="str">
        <f t="shared" si="7"/>
        <v/>
      </c>
      <c r="AC29" s="1216" t="str">
        <f t="shared" si="7"/>
        <v/>
      </c>
      <c r="AD29" s="1218" t="str">
        <f t="shared" si="7"/>
        <v/>
      </c>
      <c r="AE29" s="1219">
        <f t="shared" si="27"/>
        <v>89.03</v>
      </c>
      <c r="AF29" s="282">
        <f t="shared" si="28"/>
        <v>88.01</v>
      </c>
      <c r="AG29" s="282" t="str">
        <f t="shared" si="29"/>
        <v>baik</v>
      </c>
      <c r="AH29" s="282" t="str">
        <f t="shared" si="10"/>
        <v>baik</v>
      </c>
      <c r="AI29" s="282">
        <f t="shared" si="30"/>
        <v>3</v>
      </c>
      <c r="AJ29" s="283">
        <f t="shared" si="31"/>
        <v>1</v>
      </c>
      <c r="AK29" s="284" t="str">
        <f t="shared" si="32"/>
        <v>Memiliki kemampuan baik dalam Menganalisis dinamika hidrosfer dan dampaknya terhadap kehidupani dan Menganalisis dinamika litosfer dan dampaknya terhadap kehidupan</v>
      </c>
      <c r="AL29" s="276">
        <v>95</v>
      </c>
      <c r="AM29" s="277">
        <v>95</v>
      </c>
      <c r="AN29" s="277">
        <v>95</v>
      </c>
      <c r="AO29" s="277"/>
      <c r="AP29" s="277"/>
      <c r="AQ29" s="277"/>
      <c r="AR29" s="277"/>
      <c r="AS29" s="280"/>
      <c r="AT29" s="277"/>
      <c r="AU29" s="278"/>
      <c r="AV29" s="285">
        <f t="shared" si="33"/>
        <v>95</v>
      </c>
      <c r="AW29" s="296" t="str">
        <f t="shared" si="34"/>
        <v>A</v>
      </c>
      <c r="AX29" s="1220">
        <f t="shared" si="16"/>
        <v>95.01</v>
      </c>
      <c r="AY29" s="1221">
        <f t="shared" si="16"/>
        <v>95.02</v>
      </c>
      <c r="AZ29" s="1221">
        <f t="shared" si="16"/>
        <v>95.03</v>
      </c>
      <c r="BA29" s="1221" t="str">
        <f t="shared" si="16"/>
        <v/>
      </c>
      <c r="BB29" s="1221" t="str">
        <f t="shared" si="16"/>
        <v/>
      </c>
      <c r="BC29" s="1221" t="str">
        <f t="shared" si="16"/>
        <v/>
      </c>
      <c r="BD29" s="1221" t="str">
        <f t="shared" si="16"/>
        <v/>
      </c>
      <c r="BE29" s="1222" t="str">
        <f t="shared" si="16"/>
        <v/>
      </c>
      <c r="BF29" s="1221" t="str">
        <f t="shared" si="16"/>
        <v/>
      </c>
      <c r="BG29" s="1223" t="str">
        <f t="shared" si="16"/>
        <v/>
      </c>
      <c r="BH29" s="286">
        <f t="shared" si="35"/>
        <v>95.03</v>
      </c>
      <c r="BI29" s="286">
        <f t="shared" si="36"/>
        <v>95.01</v>
      </c>
      <c r="BJ29" s="287" t="str">
        <f t="shared" si="37"/>
        <v>sangat baik</v>
      </c>
      <c r="BK29" s="287" t="str">
        <f t="shared" si="37"/>
        <v>sangat baik</v>
      </c>
      <c r="BL29" s="286">
        <f t="shared" si="38"/>
        <v>3</v>
      </c>
      <c r="BM29" s="288">
        <f t="shared" si="39"/>
        <v>1</v>
      </c>
      <c r="BN29" s="289" t="str">
        <f t="shared" si="40"/>
        <v>Memiliki keterampilan sangat baik dalam Menyajikan proses dinamika hidrosfer menggunakan peta dan Menyajikan proses dinamika litosfer dengan menggunakan peta</v>
      </c>
      <c r="BO29" s="67"/>
    </row>
    <row r="30" spans="1:67" ht="33" customHeight="1">
      <c r="A30" s="67"/>
      <c r="B30" s="272">
        <f t="shared" si="23"/>
        <v>17</v>
      </c>
      <c r="C30" s="273">
        <f>IF(Data!F21="","",Data!F21)</f>
        <v>0</v>
      </c>
      <c r="D30" s="274" t="str">
        <f>IF(Data!H21="","",Data!H21)</f>
        <v xml:space="preserve">Hezron Nubatonis </v>
      </c>
      <c r="E30" s="275" t="str">
        <f>IF(Data!I21="","",Data!I21)</f>
        <v>L</v>
      </c>
      <c r="F30" s="276">
        <v>79</v>
      </c>
      <c r="G30" s="277">
        <v>75</v>
      </c>
      <c r="H30" s="277">
        <v>70</v>
      </c>
      <c r="I30" s="277"/>
      <c r="J30" s="277"/>
      <c r="K30" s="277"/>
      <c r="L30" s="277"/>
      <c r="M30" s="280"/>
      <c r="N30" s="277"/>
      <c r="O30" s="278"/>
      <c r="P30" s="279">
        <f t="shared" si="24"/>
        <v>75</v>
      </c>
      <c r="Q30" s="277">
        <v>75</v>
      </c>
      <c r="R30" s="280">
        <v>79</v>
      </c>
      <c r="S30" s="281">
        <f t="shared" si="25"/>
        <v>76</v>
      </c>
      <c r="T30" s="295" t="str">
        <f t="shared" si="26"/>
        <v>C</v>
      </c>
      <c r="U30" s="1215">
        <f t="shared" ref="U30:AD55" si="41">IF(F30="","",F30+U$13)</f>
        <v>79.010000000000005</v>
      </c>
      <c r="V30" s="1216">
        <f t="shared" si="41"/>
        <v>75.02</v>
      </c>
      <c r="W30" s="1216">
        <f t="shared" si="41"/>
        <v>70.03</v>
      </c>
      <c r="X30" s="1216" t="str">
        <f t="shared" si="41"/>
        <v/>
      </c>
      <c r="Y30" s="1216" t="str">
        <f t="shared" si="41"/>
        <v/>
      </c>
      <c r="Z30" s="1216" t="str">
        <f t="shared" si="41"/>
        <v/>
      </c>
      <c r="AA30" s="1216" t="str">
        <f t="shared" si="41"/>
        <v/>
      </c>
      <c r="AB30" s="1217" t="str">
        <f t="shared" si="41"/>
        <v/>
      </c>
      <c r="AC30" s="1216" t="str">
        <f t="shared" si="41"/>
        <v/>
      </c>
      <c r="AD30" s="1218" t="str">
        <f t="shared" si="41"/>
        <v/>
      </c>
      <c r="AE30" s="1219">
        <f t="shared" si="27"/>
        <v>79.010000000000005</v>
      </c>
      <c r="AF30" s="282">
        <f t="shared" si="28"/>
        <v>70.03</v>
      </c>
      <c r="AG30" s="282" t="str">
        <f t="shared" si="29"/>
        <v>cukup</v>
      </c>
      <c r="AH30" s="282" t="str">
        <f t="shared" si="29"/>
        <v>perlu dimaksimalkan</v>
      </c>
      <c r="AI30" s="282">
        <f t="shared" si="30"/>
        <v>1</v>
      </c>
      <c r="AJ30" s="283">
        <f t="shared" si="31"/>
        <v>3</v>
      </c>
      <c r="AK30" s="284" t="str">
        <f t="shared" si="32"/>
        <v>Memiliki kemampuan cukup dalam Menganalisis dinamika litosfer dan dampaknya terhadap kehidupan, perlu dimaksimalkan kemampuan dalam Menganalisis dinamika hidrosfer dan dampaknya terhadap kehidupani</v>
      </c>
      <c r="AL30" s="276">
        <v>79</v>
      </c>
      <c r="AM30" s="277">
        <v>79</v>
      </c>
      <c r="AN30" s="277">
        <v>80</v>
      </c>
      <c r="AO30" s="277"/>
      <c r="AP30" s="277"/>
      <c r="AQ30" s="277"/>
      <c r="AR30" s="277"/>
      <c r="AS30" s="280"/>
      <c r="AT30" s="277"/>
      <c r="AU30" s="278"/>
      <c r="AV30" s="285">
        <f t="shared" si="33"/>
        <v>79</v>
      </c>
      <c r="AW30" s="296" t="str">
        <f t="shared" si="34"/>
        <v>C</v>
      </c>
      <c r="AX30" s="1220">
        <f t="shared" ref="AX30:BG55" si="42">IF(AL30="","",AL30+AX$12)</f>
        <v>79.010000000000005</v>
      </c>
      <c r="AY30" s="1221">
        <f t="shared" si="42"/>
        <v>79.02</v>
      </c>
      <c r="AZ30" s="1221">
        <f t="shared" si="42"/>
        <v>80.03</v>
      </c>
      <c r="BA30" s="1221" t="str">
        <f t="shared" si="42"/>
        <v/>
      </c>
      <c r="BB30" s="1221" t="str">
        <f t="shared" si="42"/>
        <v/>
      </c>
      <c r="BC30" s="1221" t="str">
        <f t="shared" si="42"/>
        <v/>
      </c>
      <c r="BD30" s="1221" t="str">
        <f t="shared" si="42"/>
        <v/>
      </c>
      <c r="BE30" s="1222" t="str">
        <f t="shared" si="42"/>
        <v/>
      </c>
      <c r="BF30" s="1221" t="str">
        <f t="shared" si="42"/>
        <v/>
      </c>
      <c r="BG30" s="1223" t="str">
        <f t="shared" si="42"/>
        <v/>
      </c>
      <c r="BH30" s="286">
        <f t="shared" si="35"/>
        <v>80.03</v>
      </c>
      <c r="BI30" s="286">
        <f t="shared" si="36"/>
        <v>79.010000000000005</v>
      </c>
      <c r="BJ30" s="287" t="str">
        <f t="shared" si="37"/>
        <v>cukup</v>
      </c>
      <c r="BK30" s="287" t="str">
        <f t="shared" si="37"/>
        <v>cukup</v>
      </c>
      <c r="BL30" s="286">
        <f t="shared" si="38"/>
        <v>3</v>
      </c>
      <c r="BM30" s="288">
        <f t="shared" si="39"/>
        <v>1</v>
      </c>
      <c r="BN30" s="289" t="str">
        <f t="shared" si="40"/>
        <v>Memiliki keterampilan cukup dalam Menyajikan proses dinamika hidrosfer menggunakan peta dan Menyajikan proses dinamika litosfer dengan menggunakan peta</v>
      </c>
      <c r="BO30" s="67"/>
    </row>
    <row r="31" spans="1:67" ht="33" customHeight="1">
      <c r="A31" s="67"/>
      <c r="B31" s="272">
        <f t="shared" si="23"/>
        <v>18</v>
      </c>
      <c r="C31" s="273">
        <f>IF(Data!F22="","",Data!F22)</f>
        <v>0</v>
      </c>
      <c r="D31" s="274" t="str">
        <f>IF(Data!H22="","",Data!H22)</f>
        <v>Jelita Anita Boimau</v>
      </c>
      <c r="E31" s="275" t="str">
        <f>IF(Data!I22="","",Data!I22)</f>
        <v>P</v>
      </c>
      <c r="F31" s="276">
        <v>88</v>
      </c>
      <c r="G31" s="277">
        <v>90</v>
      </c>
      <c r="H31" s="277">
        <v>89</v>
      </c>
      <c r="I31" s="277"/>
      <c r="J31" s="277"/>
      <c r="K31" s="277"/>
      <c r="L31" s="277"/>
      <c r="M31" s="280"/>
      <c r="N31" s="277"/>
      <c r="O31" s="278"/>
      <c r="P31" s="279">
        <f t="shared" si="24"/>
        <v>89</v>
      </c>
      <c r="Q31" s="277">
        <v>80</v>
      </c>
      <c r="R31" s="280">
        <v>76</v>
      </c>
      <c r="S31" s="281">
        <f t="shared" si="25"/>
        <v>84</v>
      </c>
      <c r="T31" s="295" t="str">
        <f t="shared" si="26"/>
        <v>C</v>
      </c>
      <c r="U31" s="1215">
        <f t="shared" si="41"/>
        <v>88.01</v>
      </c>
      <c r="V31" s="1216">
        <f t="shared" si="41"/>
        <v>90.02</v>
      </c>
      <c r="W31" s="1216">
        <f t="shared" si="41"/>
        <v>89.03</v>
      </c>
      <c r="X31" s="1216" t="str">
        <f t="shared" si="41"/>
        <v/>
      </c>
      <c r="Y31" s="1216" t="str">
        <f t="shared" si="41"/>
        <v/>
      </c>
      <c r="Z31" s="1216" t="str">
        <f t="shared" si="41"/>
        <v/>
      </c>
      <c r="AA31" s="1216" t="str">
        <f t="shared" si="41"/>
        <v/>
      </c>
      <c r="AB31" s="1217" t="str">
        <f t="shared" si="41"/>
        <v/>
      </c>
      <c r="AC31" s="1216" t="str">
        <f t="shared" si="41"/>
        <v/>
      </c>
      <c r="AD31" s="1218" t="str">
        <f t="shared" si="41"/>
        <v/>
      </c>
      <c r="AE31" s="1219">
        <f t="shared" si="27"/>
        <v>90.02</v>
      </c>
      <c r="AF31" s="282">
        <f t="shared" si="28"/>
        <v>88.01</v>
      </c>
      <c r="AG31" s="282" t="str">
        <f t="shared" si="29"/>
        <v>baik</v>
      </c>
      <c r="AH31" s="282" t="str">
        <f t="shared" si="29"/>
        <v>baik</v>
      </c>
      <c r="AI31" s="282">
        <f t="shared" si="30"/>
        <v>2</v>
      </c>
      <c r="AJ31" s="283">
        <f t="shared" si="31"/>
        <v>1</v>
      </c>
      <c r="AK31" s="284" t="str">
        <f t="shared" si="32"/>
        <v>Memiliki kemampuan baik dalam Menganalisis dinamika atmosfer dan dampaknya terhadap kehidupan dan Menganalisis dinamika litosfer dan dampaknya terhadap kehidupan</v>
      </c>
      <c r="AL31" s="276">
        <v>95</v>
      </c>
      <c r="AM31" s="277">
        <v>95</v>
      </c>
      <c r="AN31" s="277">
        <v>95</v>
      </c>
      <c r="AO31" s="277"/>
      <c r="AP31" s="277"/>
      <c r="AQ31" s="277"/>
      <c r="AR31" s="277"/>
      <c r="AS31" s="280"/>
      <c r="AT31" s="277"/>
      <c r="AU31" s="278"/>
      <c r="AV31" s="285">
        <f t="shared" si="33"/>
        <v>95</v>
      </c>
      <c r="AW31" s="296" t="str">
        <f t="shared" si="34"/>
        <v>A</v>
      </c>
      <c r="AX31" s="1220">
        <f t="shared" si="42"/>
        <v>95.01</v>
      </c>
      <c r="AY31" s="1221">
        <f t="shared" si="42"/>
        <v>95.02</v>
      </c>
      <c r="AZ31" s="1221">
        <f t="shared" si="42"/>
        <v>95.03</v>
      </c>
      <c r="BA31" s="1221" t="str">
        <f t="shared" si="42"/>
        <v/>
      </c>
      <c r="BB31" s="1221" t="str">
        <f t="shared" si="42"/>
        <v/>
      </c>
      <c r="BC31" s="1221" t="str">
        <f t="shared" si="42"/>
        <v/>
      </c>
      <c r="BD31" s="1221" t="str">
        <f t="shared" si="42"/>
        <v/>
      </c>
      <c r="BE31" s="1222" t="str">
        <f t="shared" si="42"/>
        <v/>
      </c>
      <c r="BF31" s="1221" t="str">
        <f t="shared" si="42"/>
        <v/>
      </c>
      <c r="BG31" s="1223" t="str">
        <f t="shared" si="42"/>
        <v/>
      </c>
      <c r="BH31" s="286">
        <f t="shared" si="35"/>
        <v>95.03</v>
      </c>
      <c r="BI31" s="286">
        <f t="shared" si="36"/>
        <v>95.01</v>
      </c>
      <c r="BJ31" s="287" t="str">
        <f t="shared" si="37"/>
        <v>sangat baik</v>
      </c>
      <c r="BK31" s="287" t="str">
        <f t="shared" si="37"/>
        <v>sangat baik</v>
      </c>
      <c r="BL31" s="286">
        <f t="shared" si="38"/>
        <v>3</v>
      </c>
      <c r="BM31" s="288">
        <f t="shared" si="39"/>
        <v>1</v>
      </c>
      <c r="BN31" s="289" t="str">
        <f t="shared" si="40"/>
        <v>Memiliki keterampilan sangat baik dalam Menyajikan proses dinamika hidrosfer menggunakan peta dan Menyajikan proses dinamika litosfer dengan menggunakan peta</v>
      </c>
      <c r="BO31" s="67"/>
    </row>
    <row r="32" spans="1:67" ht="33" customHeight="1">
      <c r="A32" s="67"/>
      <c r="B32" s="272">
        <f t="shared" si="23"/>
        <v>19</v>
      </c>
      <c r="C32" s="273">
        <f>IF(Data!F23="","",Data!F23)</f>
        <v>0</v>
      </c>
      <c r="D32" s="274" t="str">
        <f>IF(Data!H23="","",Data!H23)</f>
        <v>Jidon Nubatonis</v>
      </c>
      <c r="E32" s="275" t="str">
        <f>IF(Data!I23="","",Data!I23)</f>
        <v>L</v>
      </c>
      <c r="F32" s="276">
        <v>80</v>
      </c>
      <c r="G32" s="277">
        <v>84</v>
      </c>
      <c r="H32" s="277">
        <v>80</v>
      </c>
      <c r="I32" s="277"/>
      <c r="J32" s="277"/>
      <c r="K32" s="277"/>
      <c r="L32" s="277"/>
      <c r="M32" s="280"/>
      <c r="N32" s="277"/>
      <c r="O32" s="278"/>
      <c r="P32" s="279">
        <f t="shared" si="24"/>
        <v>81</v>
      </c>
      <c r="Q32" s="277">
        <v>79</v>
      </c>
      <c r="R32" s="280">
        <v>78</v>
      </c>
      <c r="S32" s="281">
        <f t="shared" si="25"/>
        <v>80</v>
      </c>
      <c r="T32" s="295" t="str">
        <f t="shared" si="26"/>
        <v>C</v>
      </c>
      <c r="U32" s="1215">
        <f t="shared" si="41"/>
        <v>80.010000000000005</v>
      </c>
      <c r="V32" s="1216">
        <f t="shared" si="41"/>
        <v>84.02</v>
      </c>
      <c r="W32" s="1216">
        <f t="shared" si="41"/>
        <v>80.03</v>
      </c>
      <c r="X32" s="1216" t="str">
        <f t="shared" si="41"/>
        <v/>
      </c>
      <c r="Y32" s="1216" t="str">
        <f t="shared" si="41"/>
        <v/>
      </c>
      <c r="Z32" s="1216" t="str">
        <f t="shared" si="41"/>
        <v/>
      </c>
      <c r="AA32" s="1216" t="str">
        <f t="shared" si="41"/>
        <v/>
      </c>
      <c r="AB32" s="1217" t="str">
        <f t="shared" si="41"/>
        <v/>
      </c>
      <c r="AC32" s="1216" t="str">
        <f t="shared" si="41"/>
        <v/>
      </c>
      <c r="AD32" s="1218" t="str">
        <f t="shared" si="41"/>
        <v/>
      </c>
      <c r="AE32" s="1219">
        <f t="shared" si="27"/>
        <v>84.02</v>
      </c>
      <c r="AF32" s="282">
        <f t="shared" si="28"/>
        <v>80.010000000000005</v>
      </c>
      <c r="AG32" s="282" t="str">
        <f t="shared" si="29"/>
        <v>cukup</v>
      </c>
      <c r="AH32" s="282" t="str">
        <f t="shared" si="29"/>
        <v>cukup</v>
      </c>
      <c r="AI32" s="282">
        <f t="shared" si="30"/>
        <v>2</v>
      </c>
      <c r="AJ32" s="283">
        <f t="shared" si="31"/>
        <v>1</v>
      </c>
      <c r="AK32" s="284" t="str">
        <f t="shared" si="32"/>
        <v>Memiliki kemampuan cukup dalam Menganalisis dinamika atmosfer dan dampaknya terhadap kehidupan dan Menganalisis dinamika litosfer dan dampaknya terhadap kehidupan</v>
      </c>
      <c r="AL32" s="276">
        <v>95</v>
      </c>
      <c r="AM32" s="277">
        <v>95</v>
      </c>
      <c r="AN32" s="277">
        <v>95</v>
      </c>
      <c r="AO32" s="277"/>
      <c r="AP32" s="277"/>
      <c r="AQ32" s="277"/>
      <c r="AR32" s="277"/>
      <c r="AS32" s="280"/>
      <c r="AT32" s="277"/>
      <c r="AU32" s="278"/>
      <c r="AV32" s="285">
        <f t="shared" si="33"/>
        <v>95</v>
      </c>
      <c r="AW32" s="296" t="str">
        <f t="shared" si="34"/>
        <v>A</v>
      </c>
      <c r="AX32" s="1220">
        <f t="shared" si="42"/>
        <v>95.01</v>
      </c>
      <c r="AY32" s="1221">
        <f t="shared" si="42"/>
        <v>95.02</v>
      </c>
      <c r="AZ32" s="1221">
        <f t="shared" si="42"/>
        <v>95.03</v>
      </c>
      <c r="BA32" s="1221" t="str">
        <f t="shared" si="42"/>
        <v/>
      </c>
      <c r="BB32" s="1221" t="str">
        <f t="shared" si="42"/>
        <v/>
      </c>
      <c r="BC32" s="1221" t="str">
        <f t="shared" si="42"/>
        <v/>
      </c>
      <c r="BD32" s="1221" t="str">
        <f t="shared" si="42"/>
        <v/>
      </c>
      <c r="BE32" s="1222" t="str">
        <f t="shared" si="42"/>
        <v/>
      </c>
      <c r="BF32" s="1221" t="str">
        <f t="shared" si="42"/>
        <v/>
      </c>
      <c r="BG32" s="1223" t="str">
        <f t="shared" si="42"/>
        <v/>
      </c>
      <c r="BH32" s="286">
        <f t="shared" si="35"/>
        <v>95.03</v>
      </c>
      <c r="BI32" s="286">
        <f t="shared" si="36"/>
        <v>95.01</v>
      </c>
      <c r="BJ32" s="287" t="str">
        <f t="shared" si="37"/>
        <v>sangat baik</v>
      </c>
      <c r="BK32" s="287" t="str">
        <f t="shared" si="37"/>
        <v>sangat baik</v>
      </c>
      <c r="BL32" s="286">
        <f t="shared" si="38"/>
        <v>3</v>
      </c>
      <c r="BM32" s="288">
        <f t="shared" si="39"/>
        <v>1</v>
      </c>
      <c r="BN32" s="289" t="str">
        <f t="shared" si="40"/>
        <v>Memiliki keterampilan sangat baik dalam Menyajikan proses dinamika hidrosfer menggunakan peta dan Menyajikan proses dinamika litosfer dengan menggunakan peta</v>
      </c>
      <c r="BO32" s="67"/>
    </row>
    <row r="33" spans="1:67" ht="33" customHeight="1">
      <c r="A33" s="67"/>
      <c r="B33" s="272">
        <f t="shared" si="23"/>
        <v>20</v>
      </c>
      <c r="C33" s="273">
        <f>IF(Data!F24="","",Data!F24)</f>
        <v>0</v>
      </c>
      <c r="D33" s="274" t="str">
        <f>IF(Data!H24="","",Data!H24)</f>
        <v>Jitro Andro Baran</v>
      </c>
      <c r="E33" s="275" t="str">
        <f>IF(Data!I24="","",Data!I24)</f>
        <v>L</v>
      </c>
      <c r="F33" s="276">
        <v>82</v>
      </c>
      <c r="G33" s="277">
        <v>86</v>
      </c>
      <c r="H33" s="277">
        <v>86</v>
      </c>
      <c r="I33" s="277"/>
      <c r="J33" s="277"/>
      <c r="K33" s="277"/>
      <c r="L33" s="277"/>
      <c r="M33" s="280"/>
      <c r="N33" s="277"/>
      <c r="O33" s="278"/>
      <c r="P33" s="279">
        <f t="shared" si="24"/>
        <v>85</v>
      </c>
      <c r="Q33" s="277">
        <v>79</v>
      </c>
      <c r="R33" s="280">
        <v>80</v>
      </c>
      <c r="S33" s="281">
        <f t="shared" si="25"/>
        <v>82</v>
      </c>
      <c r="T33" s="295" t="str">
        <f t="shared" si="26"/>
        <v>C</v>
      </c>
      <c r="U33" s="1215">
        <f t="shared" si="41"/>
        <v>82.01</v>
      </c>
      <c r="V33" s="1216">
        <f t="shared" si="41"/>
        <v>86.02</v>
      </c>
      <c r="W33" s="1216">
        <f t="shared" si="41"/>
        <v>86.03</v>
      </c>
      <c r="X33" s="1216" t="str">
        <f t="shared" si="41"/>
        <v/>
      </c>
      <c r="Y33" s="1216" t="str">
        <f t="shared" si="41"/>
        <v/>
      </c>
      <c r="Z33" s="1216" t="str">
        <f t="shared" si="41"/>
        <v/>
      </c>
      <c r="AA33" s="1216" t="str">
        <f t="shared" si="41"/>
        <v/>
      </c>
      <c r="AB33" s="1217" t="str">
        <f t="shared" si="41"/>
        <v/>
      </c>
      <c r="AC33" s="1216" t="str">
        <f t="shared" si="41"/>
        <v/>
      </c>
      <c r="AD33" s="1218" t="str">
        <f t="shared" si="41"/>
        <v/>
      </c>
      <c r="AE33" s="1219">
        <f t="shared" si="27"/>
        <v>86.03</v>
      </c>
      <c r="AF33" s="282">
        <f t="shared" si="28"/>
        <v>82.01</v>
      </c>
      <c r="AG33" s="282" t="str">
        <f t="shared" si="29"/>
        <v>baik</v>
      </c>
      <c r="AH33" s="282" t="str">
        <f t="shared" si="29"/>
        <v>cukup</v>
      </c>
      <c r="AI33" s="282">
        <f t="shared" si="30"/>
        <v>3</v>
      </c>
      <c r="AJ33" s="283">
        <f t="shared" si="31"/>
        <v>1</v>
      </c>
      <c r="AK33" s="284" t="str">
        <f t="shared" si="32"/>
        <v>Memiliki kemampuan baik dalam Menganalisis dinamika hidrosfer dan dampaknya terhadap kehidupani, cukup kemampuan dalam Menganalisis dinamika litosfer dan dampaknya terhadap kehidupan</v>
      </c>
      <c r="AL33" s="276">
        <v>95</v>
      </c>
      <c r="AM33" s="277">
        <v>95</v>
      </c>
      <c r="AN33" s="277">
        <v>95</v>
      </c>
      <c r="AO33" s="277"/>
      <c r="AP33" s="277"/>
      <c r="AQ33" s="277"/>
      <c r="AR33" s="277"/>
      <c r="AS33" s="280"/>
      <c r="AT33" s="277"/>
      <c r="AU33" s="278"/>
      <c r="AV33" s="285">
        <f t="shared" si="33"/>
        <v>95</v>
      </c>
      <c r="AW33" s="296" t="str">
        <f t="shared" si="34"/>
        <v>A</v>
      </c>
      <c r="AX33" s="1220">
        <f t="shared" si="42"/>
        <v>95.01</v>
      </c>
      <c r="AY33" s="1221">
        <f t="shared" si="42"/>
        <v>95.02</v>
      </c>
      <c r="AZ33" s="1221">
        <f t="shared" si="42"/>
        <v>95.03</v>
      </c>
      <c r="BA33" s="1221" t="str">
        <f t="shared" si="42"/>
        <v/>
      </c>
      <c r="BB33" s="1221" t="str">
        <f t="shared" si="42"/>
        <v/>
      </c>
      <c r="BC33" s="1221" t="str">
        <f t="shared" si="42"/>
        <v/>
      </c>
      <c r="BD33" s="1221" t="str">
        <f t="shared" si="42"/>
        <v/>
      </c>
      <c r="BE33" s="1222" t="str">
        <f t="shared" si="42"/>
        <v/>
      </c>
      <c r="BF33" s="1221" t="str">
        <f t="shared" si="42"/>
        <v/>
      </c>
      <c r="BG33" s="1223" t="str">
        <f t="shared" si="42"/>
        <v/>
      </c>
      <c r="BH33" s="286">
        <f t="shared" si="35"/>
        <v>95.03</v>
      </c>
      <c r="BI33" s="286">
        <f t="shared" si="36"/>
        <v>95.01</v>
      </c>
      <c r="BJ33" s="287" t="str">
        <f t="shared" si="37"/>
        <v>sangat baik</v>
      </c>
      <c r="BK33" s="287" t="str">
        <f t="shared" si="37"/>
        <v>sangat baik</v>
      </c>
      <c r="BL33" s="286">
        <f t="shared" si="38"/>
        <v>3</v>
      </c>
      <c r="BM33" s="288">
        <f t="shared" si="39"/>
        <v>1</v>
      </c>
      <c r="BN33" s="289" t="str">
        <f t="shared" si="40"/>
        <v>Memiliki keterampilan sangat baik dalam Menyajikan proses dinamika hidrosfer menggunakan peta dan Menyajikan proses dinamika litosfer dengan menggunakan peta</v>
      </c>
      <c r="BO33" s="67"/>
    </row>
    <row r="34" spans="1:67" ht="33" customHeight="1">
      <c r="A34" s="67"/>
      <c r="B34" s="272">
        <f t="shared" si="23"/>
        <v>21</v>
      </c>
      <c r="C34" s="273">
        <f>IF(Data!F25="","",Data!F25)</f>
        <v>0</v>
      </c>
      <c r="D34" s="274" t="str">
        <f>IF(Data!H25="","",Data!H25)</f>
        <v>Juan Manuel Boys</v>
      </c>
      <c r="E34" s="275" t="str">
        <f>IF(Data!I25="","",Data!I25)</f>
        <v>L</v>
      </c>
      <c r="F34" s="276">
        <v>80</v>
      </c>
      <c r="G34" s="277">
        <v>80</v>
      </c>
      <c r="H34" s="277">
        <v>82</v>
      </c>
      <c r="I34" s="277"/>
      <c r="J34" s="277"/>
      <c r="K34" s="277"/>
      <c r="L34" s="277"/>
      <c r="M34" s="280"/>
      <c r="N34" s="277"/>
      <c r="O34" s="278"/>
      <c r="P34" s="279">
        <f t="shared" si="24"/>
        <v>81</v>
      </c>
      <c r="Q34" s="277">
        <v>79</v>
      </c>
      <c r="R34" s="280">
        <v>79</v>
      </c>
      <c r="S34" s="281">
        <f t="shared" si="25"/>
        <v>80</v>
      </c>
      <c r="T34" s="295" t="str">
        <f t="shared" si="26"/>
        <v>C</v>
      </c>
      <c r="U34" s="1215">
        <f t="shared" si="41"/>
        <v>80.010000000000005</v>
      </c>
      <c r="V34" s="1216">
        <f t="shared" si="41"/>
        <v>80.02</v>
      </c>
      <c r="W34" s="1216">
        <f t="shared" si="41"/>
        <v>82.03</v>
      </c>
      <c r="X34" s="1216" t="str">
        <f t="shared" si="41"/>
        <v/>
      </c>
      <c r="Y34" s="1216" t="str">
        <f t="shared" si="41"/>
        <v/>
      </c>
      <c r="Z34" s="1216" t="str">
        <f t="shared" si="41"/>
        <v/>
      </c>
      <c r="AA34" s="1216" t="str">
        <f t="shared" si="41"/>
        <v/>
      </c>
      <c r="AB34" s="1217" t="str">
        <f t="shared" si="41"/>
        <v/>
      </c>
      <c r="AC34" s="1216" t="str">
        <f t="shared" si="41"/>
        <v/>
      </c>
      <c r="AD34" s="1218" t="str">
        <f t="shared" si="41"/>
        <v/>
      </c>
      <c r="AE34" s="1219">
        <f t="shared" si="27"/>
        <v>82.03</v>
      </c>
      <c r="AF34" s="282">
        <f t="shared" si="28"/>
        <v>80.010000000000005</v>
      </c>
      <c r="AG34" s="282" t="str">
        <f t="shared" si="29"/>
        <v>cukup</v>
      </c>
      <c r="AH34" s="282" t="str">
        <f t="shared" si="29"/>
        <v>cukup</v>
      </c>
      <c r="AI34" s="282">
        <f t="shared" si="30"/>
        <v>3</v>
      </c>
      <c r="AJ34" s="283">
        <f t="shared" si="31"/>
        <v>1</v>
      </c>
      <c r="AK34" s="284" t="str">
        <f t="shared" si="32"/>
        <v>Memiliki kemampuan cukup dalam Menganalisis dinamika hidrosfer dan dampaknya terhadap kehidupani dan Menganalisis dinamika litosfer dan dampaknya terhadap kehidupan</v>
      </c>
      <c r="AL34" s="276">
        <v>80</v>
      </c>
      <c r="AM34" s="277">
        <v>79</v>
      </c>
      <c r="AN34" s="277">
        <v>80</v>
      </c>
      <c r="AO34" s="277"/>
      <c r="AP34" s="277"/>
      <c r="AQ34" s="277"/>
      <c r="AR34" s="277"/>
      <c r="AS34" s="280"/>
      <c r="AT34" s="277"/>
      <c r="AU34" s="278"/>
      <c r="AV34" s="285">
        <f t="shared" si="33"/>
        <v>80</v>
      </c>
      <c r="AW34" s="296" t="str">
        <f t="shared" si="34"/>
        <v>C</v>
      </c>
      <c r="AX34" s="1220">
        <f t="shared" si="42"/>
        <v>80.010000000000005</v>
      </c>
      <c r="AY34" s="1221">
        <f t="shared" si="42"/>
        <v>79.02</v>
      </c>
      <c r="AZ34" s="1221">
        <f t="shared" si="42"/>
        <v>80.03</v>
      </c>
      <c r="BA34" s="1221" t="str">
        <f t="shared" si="42"/>
        <v/>
      </c>
      <c r="BB34" s="1221" t="str">
        <f t="shared" si="42"/>
        <v/>
      </c>
      <c r="BC34" s="1221" t="str">
        <f t="shared" si="42"/>
        <v/>
      </c>
      <c r="BD34" s="1221" t="str">
        <f t="shared" si="42"/>
        <v/>
      </c>
      <c r="BE34" s="1222" t="str">
        <f t="shared" si="42"/>
        <v/>
      </c>
      <c r="BF34" s="1221" t="str">
        <f t="shared" si="42"/>
        <v/>
      </c>
      <c r="BG34" s="1223" t="str">
        <f t="shared" si="42"/>
        <v/>
      </c>
      <c r="BH34" s="286">
        <f t="shared" si="35"/>
        <v>80.03</v>
      </c>
      <c r="BI34" s="286">
        <f t="shared" si="36"/>
        <v>79.02</v>
      </c>
      <c r="BJ34" s="287" t="str">
        <f t="shared" si="37"/>
        <v>cukup</v>
      </c>
      <c r="BK34" s="287" t="str">
        <f t="shared" si="37"/>
        <v>cukup</v>
      </c>
      <c r="BL34" s="286">
        <f t="shared" si="38"/>
        <v>3</v>
      </c>
      <c r="BM34" s="288">
        <f t="shared" si="39"/>
        <v>2</v>
      </c>
      <c r="BN34" s="289" t="str">
        <f t="shared" si="40"/>
        <v>Memiliki keterampilan cukup dalam Menyajikan proses dinamika hidrosfer menggunakan peta dan Menyajikan proses dinamika atmosfer menggunakan peta</v>
      </c>
      <c r="BO34" s="67"/>
    </row>
    <row r="35" spans="1:67" ht="33" customHeight="1">
      <c r="A35" s="67"/>
      <c r="B35" s="272">
        <f t="shared" si="23"/>
        <v>22</v>
      </c>
      <c r="C35" s="273">
        <f>IF(Data!F26="","",Data!F26)</f>
        <v>0</v>
      </c>
      <c r="D35" s="274" t="str">
        <f>IF(Data!H26="","",Data!H26)</f>
        <v>Krisyanti Ernela Kesnay</v>
      </c>
      <c r="E35" s="275" t="str">
        <f>IF(Data!I26="","",Data!I26)</f>
        <v>P</v>
      </c>
      <c r="F35" s="276">
        <v>88</v>
      </c>
      <c r="G35" s="277">
        <v>90</v>
      </c>
      <c r="H35" s="277">
        <v>89</v>
      </c>
      <c r="I35" s="277"/>
      <c r="J35" s="277"/>
      <c r="K35" s="277"/>
      <c r="L35" s="277"/>
      <c r="M35" s="280"/>
      <c r="N35" s="277"/>
      <c r="O35" s="278"/>
      <c r="P35" s="279">
        <f t="shared" si="24"/>
        <v>89</v>
      </c>
      <c r="Q35" s="277">
        <v>82</v>
      </c>
      <c r="R35" s="280">
        <v>88</v>
      </c>
      <c r="S35" s="281">
        <f t="shared" si="25"/>
        <v>87</v>
      </c>
      <c r="T35" s="295" t="str">
        <f t="shared" si="26"/>
        <v>B</v>
      </c>
      <c r="U35" s="1215">
        <f t="shared" si="41"/>
        <v>88.01</v>
      </c>
      <c r="V35" s="1216">
        <f t="shared" si="41"/>
        <v>90.02</v>
      </c>
      <c r="W35" s="1216">
        <f t="shared" si="41"/>
        <v>89.03</v>
      </c>
      <c r="X35" s="1216" t="str">
        <f t="shared" si="41"/>
        <v/>
      </c>
      <c r="Y35" s="1216" t="str">
        <f t="shared" si="41"/>
        <v/>
      </c>
      <c r="Z35" s="1216" t="str">
        <f t="shared" si="41"/>
        <v/>
      </c>
      <c r="AA35" s="1216" t="str">
        <f t="shared" si="41"/>
        <v/>
      </c>
      <c r="AB35" s="1217" t="str">
        <f t="shared" si="41"/>
        <v/>
      </c>
      <c r="AC35" s="1216" t="str">
        <f t="shared" si="41"/>
        <v/>
      </c>
      <c r="AD35" s="1218" t="str">
        <f t="shared" si="41"/>
        <v/>
      </c>
      <c r="AE35" s="1219">
        <f t="shared" si="27"/>
        <v>90.02</v>
      </c>
      <c r="AF35" s="282">
        <f t="shared" si="28"/>
        <v>88.01</v>
      </c>
      <c r="AG35" s="282" t="str">
        <f t="shared" si="29"/>
        <v>baik</v>
      </c>
      <c r="AH35" s="282" t="str">
        <f t="shared" si="29"/>
        <v>baik</v>
      </c>
      <c r="AI35" s="282">
        <f t="shared" si="30"/>
        <v>2</v>
      </c>
      <c r="AJ35" s="283">
        <f t="shared" si="31"/>
        <v>1</v>
      </c>
      <c r="AK35" s="284" t="str">
        <f t="shared" si="32"/>
        <v>Memiliki kemampuan baik dalam Menganalisis dinamika atmosfer dan dampaknya terhadap kehidupan dan Menganalisis dinamika litosfer dan dampaknya terhadap kehidupan</v>
      </c>
      <c r="AL35" s="276">
        <v>95</v>
      </c>
      <c r="AM35" s="277">
        <v>95</v>
      </c>
      <c r="AN35" s="277">
        <v>95</v>
      </c>
      <c r="AO35" s="277"/>
      <c r="AP35" s="277"/>
      <c r="AQ35" s="277"/>
      <c r="AR35" s="277"/>
      <c r="AS35" s="280"/>
      <c r="AT35" s="277"/>
      <c r="AU35" s="278"/>
      <c r="AV35" s="285">
        <f t="shared" si="33"/>
        <v>95</v>
      </c>
      <c r="AW35" s="296" t="str">
        <f t="shared" si="34"/>
        <v>A</v>
      </c>
      <c r="AX35" s="1220">
        <f t="shared" si="42"/>
        <v>95.01</v>
      </c>
      <c r="AY35" s="1221">
        <f t="shared" si="42"/>
        <v>95.02</v>
      </c>
      <c r="AZ35" s="1221">
        <f t="shared" si="42"/>
        <v>95.03</v>
      </c>
      <c r="BA35" s="1221" t="str">
        <f t="shared" si="42"/>
        <v/>
      </c>
      <c r="BB35" s="1221" t="str">
        <f t="shared" si="42"/>
        <v/>
      </c>
      <c r="BC35" s="1221" t="str">
        <f t="shared" si="42"/>
        <v/>
      </c>
      <c r="BD35" s="1221" t="str">
        <f t="shared" si="42"/>
        <v/>
      </c>
      <c r="BE35" s="1222" t="str">
        <f t="shared" si="42"/>
        <v/>
      </c>
      <c r="BF35" s="1221" t="str">
        <f t="shared" si="42"/>
        <v/>
      </c>
      <c r="BG35" s="1223" t="str">
        <f t="shared" si="42"/>
        <v/>
      </c>
      <c r="BH35" s="286">
        <f t="shared" si="35"/>
        <v>95.03</v>
      </c>
      <c r="BI35" s="286">
        <f t="shared" si="36"/>
        <v>95.01</v>
      </c>
      <c r="BJ35" s="287" t="str">
        <f t="shared" si="37"/>
        <v>sangat baik</v>
      </c>
      <c r="BK35" s="287" t="str">
        <f t="shared" si="37"/>
        <v>sangat baik</v>
      </c>
      <c r="BL35" s="286">
        <f t="shared" si="38"/>
        <v>3</v>
      </c>
      <c r="BM35" s="288">
        <f t="shared" si="39"/>
        <v>1</v>
      </c>
      <c r="BN35" s="289" t="str">
        <f t="shared" si="40"/>
        <v>Memiliki keterampilan sangat baik dalam Menyajikan proses dinamika hidrosfer menggunakan peta dan Menyajikan proses dinamika litosfer dengan menggunakan peta</v>
      </c>
      <c r="BO35" s="67"/>
    </row>
    <row r="36" spans="1:67" ht="33" customHeight="1">
      <c r="A36" s="67"/>
      <c r="B36" s="272">
        <f t="shared" si="23"/>
        <v>23</v>
      </c>
      <c r="C36" s="273">
        <f>IF(Data!F27="","",Data!F27)</f>
        <v>0</v>
      </c>
      <c r="D36" s="274" t="str">
        <f>IF(Data!H27="","",Data!H27)</f>
        <v>Leni Aknesia Knoan</v>
      </c>
      <c r="E36" s="275" t="str">
        <f>IF(Data!I27="","",Data!I27)</f>
        <v>P</v>
      </c>
      <c r="F36" s="276">
        <v>0</v>
      </c>
      <c r="G36" s="277">
        <v>0</v>
      </c>
      <c r="H36" s="277">
        <v>0</v>
      </c>
      <c r="I36" s="277"/>
      <c r="J36" s="277"/>
      <c r="K36" s="277"/>
      <c r="L36" s="277"/>
      <c r="M36" s="280"/>
      <c r="N36" s="277"/>
      <c r="O36" s="278"/>
      <c r="P36" s="279">
        <f t="shared" si="24"/>
        <v>0</v>
      </c>
      <c r="Q36" s="277">
        <v>0</v>
      </c>
      <c r="R36" s="280">
        <v>0</v>
      </c>
      <c r="S36" s="281">
        <f t="shared" si="25"/>
        <v>0</v>
      </c>
      <c r="T36" s="295" t="str">
        <f t="shared" si="26"/>
        <v>D</v>
      </c>
      <c r="U36" s="1215">
        <f t="shared" si="41"/>
        <v>0.01</v>
      </c>
      <c r="V36" s="1216">
        <f t="shared" si="41"/>
        <v>0.02</v>
      </c>
      <c r="W36" s="1216">
        <f t="shared" si="41"/>
        <v>0.03</v>
      </c>
      <c r="X36" s="1216" t="str">
        <f t="shared" si="41"/>
        <v/>
      </c>
      <c r="Y36" s="1216" t="str">
        <f t="shared" si="41"/>
        <v/>
      </c>
      <c r="Z36" s="1216" t="str">
        <f t="shared" si="41"/>
        <v/>
      </c>
      <c r="AA36" s="1216" t="str">
        <f t="shared" si="41"/>
        <v/>
      </c>
      <c r="AB36" s="1217" t="str">
        <f t="shared" si="41"/>
        <v/>
      </c>
      <c r="AC36" s="1216" t="str">
        <f t="shared" si="41"/>
        <v/>
      </c>
      <c r="AD36" s="1218" t="str">
        <f t="shared" si="41"/>
        <v/>
      </c>
      <c r="AE36" s="1219">
        <f t="shared" si="27"/>
        <v>0.03</v>
      </c>
      <c r="AF36" s="282">
        <f t="shared" si="28"/>
        <v>0.01</v>
      </c>
      <c r="AG36" s="282" t="str">
        <f t="shared" si="29"/>
        <v>perlu dimaksimalkan</v>
      </c>
      <c r="AH36" s="282" t="str">
        <f t="shared" si="29"/>
        <v>perlu dimaksimalkan</v>
      </c>
      <c r="AI36" s="282">
        <f t="shared" si="30"/>
        <v>3</v>
      </c>
      <c r="AJ36" s="283">
        <f t="shared" si="31"/>
        <v>1</v>
      </c>
      <c r="AK36" s="284" t="str">
        <f t="shared" si="32"/>
        <v>Memiliki kemampuan perlu dimaksimalkan dalam Menganalisis dinamika hidrosfer dan dampaknya terhadap kehidupani dan Menganalisis dinamika litosfer dan dampaknya terhadap kehidupan</v>
      </c>
      <c r="AL36" s="276">
        <v>0</v>
      </c>
      <c r="AM36" s="277">
        <v>0</v>
      </c>
      <c r="AN36" s="277">
        <v>0</v>
      </c>
      <c r="AO36" s="277"/>
      <c r="AP36" s="277"/>
      <c r="AQ36" s="277"/>
      <c r="AR36" s="277"/>
      <c r="AS36" s="280"/>
      <c r="AT36" s="277"/>
      <c r="AU36" s="278"/>
      <c r="AV36" s="285">
        <f t="shared" si="33"/>
        <v>0</v>
      </c>
      <c r="AW36" s="296" t="str">
        <f t="shared" si="34"/>
        <v>D</v>
      </c>
      <c r="AX36" s="1220">
        <f t="shared" si="42"/>
        <v>0.01</v>
      </c>
      <c r="AY36" s="1221">
        <f t="shared" si="42"/>
        <v>0.02</v>
      </c>
      <c r="AZ36" s="1221">
        <f t="shared" si="42"/>
        <v>0.03</v>
      </c>
      <c r="BA36" s="1221" t="str">
        <f t="shared" si="42"/>
        <v/>
      </c>
      <c r="BB36" s="1221" t="str">
        <f t="shared" si="42"/>
        <v/>
      </c>
      <c r="BC36" s="1221" t="str">
        <f t="shared" si="42"/>
        <v/>
      </c>
      <c r="BD36" s="1221" t="str">
        <f t="shared" si="42"/>
        <v/>
      </c>
      <c r="BE36" s="1222" t="str">
        <f t="shared" si="42"/>
        <v/>
      </c>
      <c r="BF36" s="1221" t="str">
        <f t="shared" si="42"/>
        <v/>
      </c>
      <c r="BG36" s="1223" t="str">
        <f t="shared" si="42"/>
        <v/>
      </c>
      <c r="BH36" s="286">
        <f t="shared" si="35"/>
        <v>0.03</v>
      </c>
      <c r="BI36" s="286">
        <f t="shared" si="36"/>
        <v>0.01</v>
      </c>
      <c r="BJ36" s="287" t="str">
        <f t="shared" si="37"/>
        <v>perlu dimaksimalkan</v>
      </c>
      <c r="BK36" s="287" t="str">
        <f t="shared" si="37"/>
        <v>perlu dimaksimalkan</v>
      </c>
      <c r="BL36" s="286">
        <f t="shared" si="38"/>
        <v>3</v>
      </c>
      <c r="BM36" s="288">
        <f t="shared" si="39"/>
        <v>1</v>
      </c>
      <c r="BN36" s="289" t="str">
        <f t="shared" si="40"/>
        <v>Memiliki keterampilan perlu dimaksimalkan dalam Menyajikan proses dinamika hidrosfer menggunakan peta dan Menyajikan proses dinamika litosfer dengan menggunakan peta</v>
      </c>
      <c r="BO36" s="67"/>
    </row>
    <row r="37" spans="1:67" ht="33" customHeight="1">
      <c r="A37" s="67"/>
      <c r="B37" s="272">
        <f t="shared" si="23"/>
        <v>24</v>
      </c>
      <c r="C37" s="273">
        <f>IF(Data!F28="","",Data!F28)</f>
        <v>0</v>
      </c>
      <c r="D37" s="274" t="str">
        <f>IF(Data!H28="","",Data!H28)</f>
        <v>Marlon Dioninsius Lalus</v>
      </c>
      <c r="E37" s="275" t="str">
        <f>IF(Data!I28="","",Data!I28)</f>
        <v>L</v>
      </c>
      <c r="F37" s="276">
        <v>88</v>
      </c>
      <c r="G37" s="277">
        <v>82</v>
      </c>
      <c r="H37" s="277">
        <v>85</v>
      </c>
      <c r="I37" s="277"/>
      <c r="J37" s="277"/>
      <c r="K37" s="277"/>
      <c r="L37" s="277"/>
      <c r="M37" s="280"/>
      <c r="N37" s="277"/>
      <c r="O37" s="278"/>
      <c r="P37" s="279">
        <f t="shared" si="24"/>
        <v>85</v>
      </c>
      <c r="Q37" s="277">
        <v>80</v>
      </c>
      <c r="R37" s="280">
        <v>80</v>
      </c>
      <c r="S37" s="281">
        <f t="shared" si="25"/>
        <v>83</v>
      </c>
      <c r="T37" s="295" t="str">
        <f t="shared" si="26"/>
        <v>C</v>
      </c>
      <c r="U37" s="1215">
        <f t="shared" si="41"/>
        <v>88.01</v>
      </c>
      <c r="V37" s="1216">
        <f t="shared" si="41"/>
        <v>82.02</v>
      </c>
      <c r="W37" s="1216">
        <f t="shared" si="41"/>
        <v>85.03</v>
      </c>
      <c r="X37" s="1216" t="str">
        <f t="shared" si="41"/>
        <v/>
      </c>
      <c r="Y37" s="1216" t="str">
        <f t="shared" si="41"/>
        <v/>
      </c>
      <c r="Z37" s="1216" t="str">
        <f t="shared" si="41"/>
        <v/>
      </c>
      <c r="AA37" s="1216" t="str">
        <f t="shared" si="41"/>
        <v/>
      </c>
      <c r="AB37" s="1217" t="str">
        <f t="shared" si="41"/>
        <v/>
      </c>
      <c r="AC37" s="1216" t="str">
        <f t="shared" si="41"/>
        <v/>
      </c>
      <c r="AD37" s="1218" t="str">
        <f t="shared" si="41"/>
        <v/>
      </c>
      <c r="AE37" s="1219">
        <f t="shared" si="27"/>
        <v>88.01</v>
      </c>
      <c r="AF37" s="282">
        <f t="shared" si="28"/>
        <v>82.02</v>
      </c>
      <c r="AG37" s="282" t="str">
        <f t="shared" si="29"/>
        <v>baik</v>
      </c>
      <c r="AH37" s="282" t="str">
        <f t="shared" si="29"/>
        <v>cukup</v>
      </c>
      <c r="AI37" s="282">
        <f t="shared" si="30"/>
        <v>1</v>
      </c>
      <c r="AJ37" s="283">
        <f t="shared" si="31"/>
        <v>2</v>
      </c>
      <c r="AK37" s="284" t="str">
        <f t="shared" si="32"/>
        <v>Memiliki kemampuan baik dalam Menganalisis dinamika litosfer dan dampaknya terhadap kehidupan, cukup kemampuan dalam Menganalisis dinamika atmosfer dan dampaknya terhadap kehidupan</v>
      </c>
      <c r="AL37" s="276">
        <v>95</v>
      </c>
      <c r="AM37" s="277">
        <v>95</v>
      </c>
      <c r="AN37" s="277">
        <v>95</v>
      </c>
      <c r="AO37" s="277"/>
      <c r="AP37" s="277"/>
      <c r="AQ37" s="277"/>
      <c r="AR37" s="277"/>
      <c r="AS37" s="280"/>
      <c r="AT37" s="277"/>
      <c r="AU37" s="278"/>
      <c r="AV37" s="285">
        <f t="shared" si="33"/>
        <v>95</v>
      </c>
      <c r="AW37" s="296" t="str">
        <f t="shared" si="34"/>
        <v>A</v>
      </c>
      <c r="AX37" s="1220">
        <f t="shared" si="42"/>
        <v>95.01</v>
      </c>
      <c r="AY37" s="1221">
        <f t="shared" si="42"/>
        <v>95.02</v>
      </c>
      <c r="AZ37" s="1221">
        <f t="shared" si="42"/>
        <v>95.03</v>
      </c>
      <c r="BA37" s="1221" t="str">
        <f t="shared" si="42"/>
        <v/>
      </c>
      <c r="BB37" s="1221" t="str">
        <f t="shared" si="42"/>
        <v/>
      </c>
      <c r="BC37" s="1221" t="str">
        <f t="shared" si="42"/>
        <v/>
      </c>
      <c r="BD37" s="1221" t="str">
        <f t="shared" si="42"/>
        <v/>
      </c>
      <c r="BE37" s="1222" t="str">
        <f t="shared" si="42"/>
        <v/>
      </c>
      <c r="BF37" s="1221" t="str">
        <f t="shared" si="42"/>
        <v/>
      </c>
      <c r="BG37" s="1223" t="str">
        <f t="shared" si="42"/>
        <v/>
      </c>
      <c r="BH37" s="286">
        <f t="shared" si="35"/>
        <v>95.03</v>
      </c>
      <c r="BI37" s="286">
        <f t="shared" si="36"/>
        <v>95.01</v>
      </c>
      <c r="BJ37" s="287" t="str">
        <f t="shared" si="37"/>
        <v>sangat baik</v>
      </c>
      <c r="BK37" s="287" t="str">
        <f t="shared" si="37"/>
        <v>sangat baik</v>
      </c>
      <c r="BL37" s="286">
        <f t="shared" si="38"/>
        <v>3</v>
      </c>
      <c r="BM37" s="288">
        <f t="shared" si="39"/>
        <v>1</v>
      </c>
      <c r="BN37" s="289" t="str">
        <f t="shared" si="40"/>
        <v>Memiliki keterampilan sangat baik dalam Menyajikan proses dinamika hidrosfer menggunakan peta dan Menyajikan proses dinamika litosfer dengan menggunakan peta</v>
      </c>
      <c r="BO37" s="67"/>
    </row>
    <row r="38" spans="1:67" ht="33" customHeight="1">
      <c r="A38" s="67"/>
      <c r="B38" s="272">
        <f t="shared" ref="B38:B46" si="43">IF(D38="","",B37+1)</f>
        <v>25</v>
      </c>
      <c r="C38" s="273">
        <f>IF(Data!F29="","",Data!F29)</f>
        <v>0</v>
      </c>
      <c r="D38" s="274" t="str">
        <f>IF(Data!H29="","",Data!H29)</f>
        <v>Maya Trifena Niobe</v>
      </c>
      <c r="E38" s="275" t="str">
        <f>IF(Data!I29="","",Data!I29)</f>
        <v>P</v>
      </c>
      <c r="F38" s="276">
        <v>90</v>
      </c>
      <c r="G38" s="277">
        <v>86</v>
      </c>
      <c r="H38" s="277">
        <v>88</v>
      </c>
      <c r="I38" s="277"/>
      <c r="J38" s="277"/>
      <c r="K38" s="277"/>
      <c r="L38" s="277"/>
      <c r="M38" s="280"/>
      <c r="N38" s="277"/>
      <c r="O38" s="278"/>
      <c r="P38" s="279">
        <f t="shared" si="24"/>
        <v>88</v>
      </c>
      <c r="Q38" s="277">
        <v>84</v>
      </c>
      <c r="R38" s="280">
        <v>88</v>
      </c>
      <c r="S38" s="281">
        <f t="shared" si="25"/>
        <v>87</v>
      </c>
      <c r="T38" s="295" t="str">
        <f t="shared" si="26"/>
        <v>B</v>
      </c>
      <c r="U38" s="1215">
        <f t="shared" si="41"/>
        <v>90.01</v>
      </c>
      <c r="V38" s="1216">
        <f t="shared" si="41"/>
        <v>86.02</v>
      </c>
      <c r="W38" s="1216">
        <f t="shared" si="41"/>
        <v>88.03</v>
      </c>
      <c r="X38" s="1216" t="str">
        <f t="shared" si="41"/>
        <v/>
      </c>
      <c r="Y38" s="1216" t="str">
        <f t="shared" si="41"/>
        <v/>
      </c>
      <c r="Z38" s="1216" t="str">
        <f t="shared" si="41"/>
        <v/>
      </c>
      <c r="AA38" s="1216" t="str">
        <f t="shared" si="41"/>
        <v/>
      </c>
      <c r="AB38" s="1217" t="str">
        <f t="shared" si="41"/>
        <v/>
      </c>
      <c r="AC38" s="1216" t="str">
        <f t="shared" si="41"/>
        <v/>
      </c>
      <c r="AD38" s="1218" t="str">
        <f t="shared" si="41"/>
        <v/>
      </c>
      <c r="AE38" s="1219">
        <f t="shared" si="27"/>
        <v>90.01</v>
      </c>
      <c r="AF38" s="282">
        <f t="shared" si="28"/>
        <v>86.02</v>
      </c>
      <c r="AG38" s="282" t="str">
        <f t="shared" si="29"/>
        <v>baik</v>
      </c>
      <c r="AH38" s="282" t="str">
        <f t="shared" si="29"/>
        <v>baik</v>
      </c>
      <c r="AI38" s="282">
        <f t="shared" si="30"/>
        <v>1</v>
      </c>
      <c r="AJ38" s="283">
        <f t="shared" si="31"/>
        <v>2</v>
      </c>
      <c r="AK38" s="284" t="str">
        <f t="shared" si="32"/>
        <v>Memiliki kemampuan baik dalam Menganalisis dinamika litosfer dan dampaknya terhadap kehidupan dan Menganalisis dinamika atmosfer dan dampaknya terhadap kehidupan</v>
      </c>
      <c r="AL38" s="276">
        <v>95</v>
      </c>
      <c r="AM38" s="277">
        <v>95</v>
      </c>
      <c r="AN38" s="277">
        <v>95</v>
      </c>
      <c r="AO38" s="277"/>
      <c r="AP38" s="277"/>
      <c r="AQ38" s="277"/>
      <c r="AR38" s="277"/>
      <c r="AS38" s="280"/>
      <c r="AT38" s="277"/>
      <c r="AU38" s="278"/>
      <c r="AV38" s="285">
        <f t="shared" si="33"/>
        <v>95</v>
      </c>
      <c r="AW38" s="296" t="str">
        <f t="shared" si="34"/>
        <v>A</v>
      </c>
      <c r="AX38" s="1220">
        <f t="shared" si="42"/>
        <v>95.01</v>
      </c>
      <c r="AY38" s="1221">
        <f t="shared" si="42"/>
        <v>95.02</v>
      </c>
      <c r="AZ38" s="1221">
        <f t="shared" si="42"/>
        <v>95.03</v>
      </c>
      <c r="BA38" s="1221" t="str">
        <f t="shared" si="42"/>
        <v/>
      </c>
      <c r="BB38" s="1221" t="str">
        <f t="shared" si="42"/>
        <v/>
      </c>
      <c r="BC38" s="1221" t="str">
        <f t="shared" si="42"/>
        <v/>
      </c>
      <c r="BD38" s="1221" t="str">
        <f t="shared" si="42"/>
        <v/>
      </c>
      <c r="BE38" s="1222" t="str">
        <f t="shared" si="42"/>
        <v/>
      </c>
      <c r="BF38" s="1221" t="str">
        <f t="shared" si="42"/>
        <v/>
      </c>
      <c r="BG38" s="1223" t="str">
        <f t="shared" si="42"/>
        <v/>
      </c>
      <c r="BH38" s="286">
        <f t="shared" si="35"/>
        <v>95.03</v>
      </c>
      <c r="BI38" s="286">
        <f t="shared" si="36"/>
        <v>95.01</v>
      </c>
      <c r="BJ38" s="287" t="str">
        <f t="shared" si="37"/>
        <v>sangat baik</v>
      </c>
      <c r="BK38" s="287" t="str">
        <f t="shared" si="37"/>
        <v>sangat baik</v>
      </c>
      <c r="BL38" s="286">
        <f t="shared" si="38"/>
        <v>3</v>
      </c>
      <c r="BM38" s="288">
        <f t="shared" si="39"/>
        <v>1</v>
      </c>
      <c r="BN38" s="289" t="str">
        <f t="shared" si="40"/>
        <v>Memiliki keterampilan sangat baik dalam Menyajikan proses dinamika hidrosfer menggunakan peta dan Menyajikan proses dinamika litosfer dengan menggunakan peta</v>
      </c>
      <c r="BO38" s="67"/>
    </row>
    <row r="39" spans="1:67" ht="33" customHeight="1">
      <c r="A39" s="67"/>
      <c r="B39" s="272">
        <f t="shared" si="43"/>
        <v>26</v>
      </c>
      <c r="C39" s="273">
        <f>IF(Data!F30="","",Data!F30)</f>
        <v>0</v>
      </c>
      <c r="D39" s="274" t="str">
        <f>IF(Data!H30="","",Data!H30)</f>
        <v>Misel Miranda Sora</v>
      </c>
      <c r="E39" s="275" t="str">
        <f>IF(Data!I30="","",Data!I30)</f>
        <v>P</v>
      </c>
      <c r="F39" s="276">
        <v>89</v>
      </c>
      <c r="G39" s="277">
        <v>90</v>
      </c>
      <c r="H39" s="277">
        <v>86</v>
      </c>
      <c r="I39" s="277"/>
      <c r="J39" s="277"/>
      <c r="K39" s="277"/>
      <c r="L39" s="277"/>
      <c r="M39" s="280"/>
      <c r="N39" s="277"/>
      <c r="O39" s="278"/>
      <c r="P39" s="279">
        <f t="shared" si="24"/>
        <v>88</v>
      </c>
      <c r="Q39" s="277">
        <v>88</v>
      </c>
      <c r="R39" s="280">
        <v>86</v>
      </c>
      <c r="S39" s="281">
        <f t="shared" si="25"/>
        <v>88</v>
      </c>
      <c r="T39" s="295" t="str">
        <f t="shared" si="26"/>
        <v>B</v>
      </c>
      <c r="U39" s="1215">
        <f t="shared" si="41"/>
        <v>89.01</v>
      </c>
      <c r="V39" s="1216">
        <f t="shared" si="41"/>
        <v>90.02</v>
      </c>
      <c r="W39" s="1216">
        <f t="shared" si="41"/>
        <v>86.03</v>
      </c>
      <c r="X39" s="1216" t="str">
        <f t="shared" si="41"/>
        <v/>
      </c>
      <c r="Y39" s="1216" t="str">
        <f t="shared" si="41"/>
        <v/>
      </c>
      <c r="Z39" s="1216" t="str">
        <f t="shared" si="41"/>
        <v/>
      </c>
      <c r="AA39" s="1216" t="str">
        <f t="shared" si="41"/>
        <v/>
      </c>
      <c r="AB39" s="1217" t="str">
        <f t="shared" si="41"/>
        <v/>
      </c>
      <c r="AC39" s="1216" t="str">
        <f t="shared" si="41"/>
        <v/>
      </c>
      <c r="AD39" s="1218" t="str">
        <f t="shared" si="41"/>
        <v/>
      </c>
      <c r="AE39" s="1219">
        <f t="shared" si="27"/>
        <v>90.02</v>
      </c>
      <c r="AF39" s="282">
        <f t="shared" si="28"/>
        <v>86.03</v>
      </c>
      <c r="AG39" s="282" t="str">
        <f t="shared" si="29"/>
        <v>baik</v>
      </c>
      <c r="AH39" s="282" t="str">
        <f t="shared" si="29"/>
        <v>baik</v>
      </c>
      <c r="AI39" s="282">
        <f t="shared" si="30"/>
        <v>2</v>
      </c>
      <c r="AJ39" s="283">
        <f t="shared" si="31"/>
        <v>3</v>
      </c>
      <c r="AK39" s="284" t="str">
        <f t="shared" si="32"/>
        <v>Memiliki kemampuan baik dalam Menganalisis dinamika atmosfer dan dampaknya terhadap kehidupan dan Menganalisis dinamika hidrosfer dan dampaknya terhadap kehidupani</v>
      </c>
      <c r="AL39" s="276">
        <v>95</v>
      </c>
      <c r="AM39" s="277">
        <v>95</v>
      </c>
      <c r="AN39" s="277">
        <v>95</v>
      </c>
      <c r="AO39" s="277"/>
      <c r="AP39" s="277"/>
      <c r="AQ39" s="277"/>
      <c r="AR39" s="277"/>
      <c r="AS39" s="280"/>
      <c r="AT39" s="277"/>
      <c r="AU39" s="278"/>
      <c r="AV39" s="285">
        <f t="shared" si="33"/>
        <v>95</v>
      </c>
      <c r="AW39" s="296" t="str">
        <f t="shared" si="34"/>
        <v>A</v>
      </c>
      <c r="AX39" s="1220">
        <f t="shared" si="42"/>
        <v>95.01</v>
      </c>
      <c r="AY39" s="1221">
        <f t="shared" si="42"/>
        <v>95.02</v>
      </c>
      <c r="AZ39" s="1221">
        <f t="shared" si="42"/>
        <v>95.03</v>
      </c>
      <c r="BA39" s="1221" t="str">
        <f t="shared" si="42"/>
        <v/>
      </c>
      <c r="BB39" s="1221" t="str">
        <f t="shared" si="42"/>
        <v/>
      </c>
      <c r="BC39" s="1221" t="str">
        <f t="shared" si="42"/>
        <v/>
      </c>
      <c r="BD39" s="1221" t="str">
        <f t="shared" si="42"/>
        <v/>
      </c>
      <c r="BE39" s="1222" t="str">
        <f t="shared" si="42"/>
        <v/>
      </c>
      <c r="BF39" s="1221" t="str">
        <f t="shared" si="42"/>
        <v/>
      </c>
      <c r="BG39" s="1223" t="str">
        <f t="shared" si="42"/>
        <v/>
      </c>
      <c r="BH39" s="286">
        <f t="shared" si="35"/>
        <v>95.03</v>
      </c>
      <c r="BI39" s="286">
        <f t="shared" si="36"/>
        <v>95.01</v>
      </c>
      <c r="BJ39" s="287" t="str">
        <f t="shared" si="37"/>
        <v>sangat baik</v>
      </c>
      <c r="BK39" s="287" t="str">
        <f t="shared" si="37"/>
        <v>sangat baik</v>
      </c>
      <c r="BL39" s="286">
        <f t="shared" si="38"/>
        <v>3</v>
      </c>
      <c r="BM39" s="288">
        <f t="shared" si="39"/>
        <v>1</v>
      </c>
      <c r="BN39" s="289" t="str">
        <f t="shared" si="40"/>
        <v>Memiliki keterampilan sangat baik dalam Menyajikan proses dinamika hidrosfer menggunakan peta dan Menyajikan proses dinamika litosfer dengan menggunakan peta</v>
      </c>
      <c r="BO39" s="67"/>
    </row>
    <row r="40" spans="1:67" ht="33" customHeight="1">
      <c r="A40" s="67"/>
      <c r="B40" s="272">
        <f t="shared" si="43"/>
        <v>27</v>
      </c>
      <c r="C40" s="273">
        <f>IF(Data!F31="","",Data!F31)</f>
        <v>0</v>
      </c>
      <c r="D40" s="274" t="str">
        <f>IF(Data!H31="","",Data!H31)</f>
        <v>Nofianti Tainmeta</v>
      </c>
      <c r="E40" s="275" t="str">
        <f>IF(Data!I31="","",Data!I31)</f>
        <v>P</v>
      </c>
      <c r="F40" s="276">
        <v>90</v>
      </c>
      <c r="G40" s="277">
        <v>90</v>
      </c>
      <c r="H40" s="277">
        <v>88</v>
      </c>
      <c r="I40" s="277"/>
      <c r="J40" s="277"/>
      <c r="K40" s="277"/>
      <c r="L40" s="277"/>
      <c r="M40" s="280"/>
      <c r="N40" s="277"/>
      <c r="O40" s="278"/>
      <c r="P40" s="279">
        <f t="shared" si="24"/>
        <v>89</v>
      </c>
      <c r="Q40" s="277">
        <v>88</v>
      </c>
      <c r="R40" s="280">
        <v>90</v>
      </c>
      <c r="S40" s="281">
        <f t="shared" si="25"/>
        <v>89</v>
      </c>
      <c r="T40" s="295" t="str">
        <f t="shared" si="26"/>
        <v>B</v>
      </c>
      <c r="U40" s="1215">
        <f t="shared" si="41"/>
        <v>90.01</v>
      </c>
      <c r="V40" s="1216">
        <f t="shared" si="41"/>
        <v>90.02</v>
      </c>
      <c r="W40" s="1216">
        <f t="shared" si="41"/>
        <v>88.03</v>
      </c>
      <c r="X40" s="1216" t="str">
        <f t="shared" si="41"/>
        <v/>
      </c>
      <c r="Y40" s="1216" t="str">
        <f t="shared" si="41"/>
        <v/>
      </c>
      <c r="Z40" s="1216" t="str">
        <f t="shared" si="41"/>
        <v/>
      </c>
      <c r="AA40" s="1216" t="str">
        <f t="shared" si="41"/>
        <v/>
      </c>
      <c r="AB40" s="1217" t="str">
        <f t="shared" si="41"/>
        <v/>
      </c>
      <c r="AC40" s="1216" t="str">
        <f t="shared" si="41"/>
        <v/>
      </c>
      <c r="AD40" s="1218" t="str">
        <f t="shared" si="41"/>
        <v/>
      </c>
      <c r="AE40" s="1219">
        <f t="shared" si="27"/>
        <v>90.02</v>
      </c>
      <c r="AF40" s="282">
        <f t="shared" si="28"/>
        <v>88.03</v>
      </c>
      <c r="AG40" s="282" t="str">
        <f t="shared" si="29"/>
        <v>baik</v>
      </c>
      <c r="AH40" s="282" t="str">
        <f t="shared" si="29"/>
        <v>baik</v>
      </c>
      <c r="AI40" s="282">
        <f t="shared" si="30"/>
        <v>2</v>
      </c>
      <c r="AJ40" s="283">
        <f t="shared" si="31"/>
        <v>3</v>
      </c>
      <c r="AK40" s="284" t="str">
        <f t="shared" si="32"/>
        <v>Memiliki kemampuan baik dalam Menganalisis dinamika atmosfer dan dampaknya terhadap kehidupan dan Menganalisis dinamika hidrosfer dan dampaknya terhadap kehidupani</v>
      </c>
      <c r="AL40" s="276">
        <v>95</v>
      </c>
      <c r="AM40" s="277">
        <v>95</v>
      </c>
      <c r="AN40" s="277">
        <v>95</v>
      </c>
      <c r="AO40" s="277"/>
      <c r="AP40" s="277"/>
      <c r="AQ40" s="277"/>
      <c r="AR40" s="277"/>
      <c r="AS40" s="280"/>
      <c r="AT40" s="277"/>
      <c r="AU40" s="278"/>
      <c r="AV40" s="285">
        <f t="shared" si="33"/>
        <v>95</v>
      </c>
      <c r="AW40" s="296" t="str">
        <f t="shared" si="34"/>
        <v>A</v>
      </c>
      <c r="AX40" s="1220">
        <f t="shared" si="42"/>
        <v>95.01</v>
      </c>
      <c r="AY40" s="1221">
        <f t="shared" si="42"/>
        <v>95.02</v>
      </c>
      <c r="AZ40" s="1221">
        <f t="shared" si="42"/>
        <v>95.03</v>
      </c>
      <c r="BA40" s="1221" t="str">
        <f t="shared" si="42"/>
        <v/>
      </c>
      <c r="BB40" s="1221" t="str">
        <f t="shared" si="42"/>
        <v/>
      </c>
      <c r="BC40" s="1221" t="str">
        <f t="shared" si="42"/>
        <v/>
      </c>
      <c r="BD40" s="1221" t="str">
        <f t="shared" si="42"/>
        <v/>
      </c>
      <c r="BE40" s="1222" t="str">
        <f t="shared" si="42"/>
        <v/>
      </c>
      <c r="BF40" s="1221" t="str">
        <f t="shared" si="42"/>
        <v/>
      </c>
      <c r="BG40" s="1223" t="str">
        <f t="shared" si="42"/>
        <v/>
      </c>
      <c r="BH40" s="286">
        <f t="shared" si="35"/>
        <v>95.03</v>
      </c>
      <c r="BI40" s="286">
        <f t="shared" si="36"/>
        <v>95.01</v>
      </c>
      <c r="BJ40" s="287" t="str">
        <f t="shared" si="37"/>
        <v>sangat baik</v>
      </c>
      <c r="BK40" s="287" t="str">
        <f t="shared" si="37"/>
        <v>sangat baik</v>
      </c>
      <c r="BL40" s="286">
        <f t="shared" si="38"/>
        <v>3</v>
      </c>
      <c r="BM40" s="288">
        <f t="shared" si="39"/>
        <v>1</v>
      </c>
      <c r="BN40" s="289" t="str">
        <f t="shared" si="40"/>
        <v>Memiliki keterampilan sangat baik dalam Menyajikan proses dinamika hidrosfer menggunakan peta dan Menyajikan proses dinamika litosfer dengan menggunakan peta</v>
      </c>
      <c r="BO40" s="67"/>
    </row>
    <row r="41" spans="1:67" ht="33" customHeight="1">
      <c r="A41" s="67"/>
      <c r="B41" s="272">
        <f t="shared" si="43"/>
        <v>28</v>
      </c>
      <c r="C41" s="273">
        <f>IF(Data!F32="","",Data!F32)</f>
        <v>0</v>
      </c>
      <c r="D41" s="274" t="str">
        <f>IF(Data!H32="","",Data!H32)</f>
        <v>Ofni Antrikus Banun</v>
      </c>
      <c r="E41" s="275" t="str">
        <f>IF(Data!I32="","",Data!I32)</f>
        <v>L</v>
      </c>
      <c r="F41" s="276">
        <v>79</v>
      </c>
      <c r="G41" s="277">
        <v>80</v>
      </c>
      <c r="H41" s="277">
        <v>80</v>
      </c>
      <c r="I41" s="277"/>
      <c r="J41" s="277"/>
      <c r="K41" s="277"/>
      <c r="L41" s="277"/>
      <c r="M41" s="280"/>
      <c r="N41" s="277"/>
      <c r="O41" s="278"/>
      <c r="P41" s="279">
        <f t="shared" si="24"/>
        <v>80</v>
      </c>
      <c r="Q41" s="277">
        <v>80</v>
      </c>
      <c r="R41" s="280">
        <v>78</v>
      </c>
      <c r="S41" s="281">
        <f t="shared" si="25"/>
        <v>80</v>
      </c>
      <c r="T41" s="295" t="str">
        <f t="shared" si="26"/>
        <v>C</v>
      </c>
      <c r="U41" s="1215">
        <f t="shared" si="41"/>
        <v>79.010000000000005</v>
      </c>
      <c r="V41" s="1216">
        <f t="shared" si="41"/>
        <v>80.02</v>
      </c>
      <c r="W41" s="1216">
        <f t="shared" si="41"/>
        <v>80.03</v>
      </c>
      <c r="X41" s="1216" t="str">
        <f t="shared" si="41"/>
        <v/>
      </c>
      <c r="Y41" s="1216" t="str">
        <f t="shared" si="41"/>
        <v/>
      </c>
      <c r="Z41" s="1216" t="str">
        <f t="shared" si="41"/>
        <v/>
      </c>
      <c r="AA41" s="1216" t="str">
        <f t="shared" si="41"/>
        <v/>
      </c>
      <c r="AB41" s="1217" t="str">
        <f t="shared" si="41"/>
        <v/>
      </c>
      <c r="AC41" s="1216" t="str">
        <f t="shared" si="41"/>
        <v/>
      </c>
      <c r="AD41" s="1218" t="str">
        <f t="shared" si="41"/>
        <v/>
      </c>
      <c r="AE41" s="1219">
        <f t="shared" si="27"/>
        <v>80.03</v>
      </c>
      <c r="AF41" s="282">
        <f t="shared" si="28"/>
        <v>79.010000000000005</v>
      </c>
      <c r="AG41" s="282" t="str">
        <f t="shared" si="29"/>
        <v>cukup</v>
      </c>
      <c r="AH41" s="282" t="str">
        <f t="shared" si="29"/>
        <v>cukup</v>
      </c>
      <c r="AI41" s="282">
        <f t="shared" si="30"/>
        <v>3</v>
      </c>
      <c r="AJ41" s="283">
        <f t="shared" si="31"/>
        <v>1</v>
      </c>
      <c r="AK41" s="284" t="str">
        <f t="shared" si="32"/>
        <v>Memiliki kemampuan cukup dalam Menganalisis dinamika hidrosfer dan dampaknya terhadap kehidupani dan Menganalisis dinamika litosfer dan dampaknya terhadap kehidupan</v>
      </c>
      <c r="AL41" s="276">
        <v>95</v>
      </c>
      <c r="AM41" s="277">
        <v>95</v>
      </c>
      <c r="AN41" s="277">
        <v>95</v>
      </c>
      <c r="AO41" s="277"/>
      <c r="AP41" s="277"/>
      <c r="AQ41" s="277"/>
      <c r="AR41" s="277"/>
      <c r="AS41" s="280"/>
      <c r="AT41" s="277"/>
      <c r="AU41" s="278"/>
      <c r="AV41" s="285">
        <f t="shared" si="33"/>
        <v>95</v>
      </c>
      <c r="AW41" s="296" t="str">
        <f t="shared" si="34"/>
        <v>A</v>
      </c>
      <c r="AX41" s="1220">
        <f t="shared" si="42"/>
        <v>95.01</v>
      </c>
      <c r="AY41" s="1221">
        <f t="shared" si="42"/>
        <v>95.02</v>
      </c>
      <c r="AZ41" s="1221">
        <f t="shared" si="42"/>
        <v>95.03</v>
      </c>
      <c r="BA41" s="1221" t="str">
        <f t="shared" si="42"/>
        <v/>
      </c>
      <c r="BB41" s="1221" t="str">
        <f t="shared" si="42"/>
        <v/>
      </c>
      <c r="BC41" s="1221" t="str">
        <f t="shared" si="42"/>
        <v/>
      </c>
      <c r="BD41" s="1221" t="str">
        <f t="shared" si="42"/>
        <v/>
      </c>
      <c r="BE41" s="1222" t="str">
        <f t="shared" si="42"/>
        <v/>
      </c>
      <c r="BF41" s="1221" t="str">
        <f t="shared" si="42"/>
        <v/>
      </c>
      <c r="BG41" s="1223" t="str">
        <f t="shared" si="42"/>
        <v/>
      </c>
      <c r="BH41" s="286">
        <f t="shared" si="35"/>
        <v>95.03</v>
      </c>
      <c r="BI41" s="286">
        <f t="shared" si="36"/>
        <v>95.01</v>
      </c>
      <c r="BJ41" s="287" t="str">
        <f t="shared" si="37"/>
        <v>sangat baik</v>
      </c>
      <c r="BK41" s="287" t="str">
        <f t="shared" si="37"/>
        <v>sangat baik</v>
      </c>
      <c r="BL41" s="286">
        <f t="shared" si="38"/>
        <v>3</v>
      </c>
      <c r="BM41" s="288">
        <f t="shared" si="39"/>
        <v>1</v>
      </c>
      <c r="BN41" s="289" t="str">
        <f t="shared" si="40"/>
        <v>Memiliki keterampilan sangat baik dalam Menyajikan proses dinamika hidrosfer menggunakan peta dan Menyajikan proses dinamika litosfer dengan menggunakan peta</v>
      </c>
      <c r="BO41" s="67"/>
    </row>
    <row r="42" spans="1:67" ht="33" customHeight="1">
      <c r="A42" s="67"/>
      <c r="B42" s="272">
        <f t="shared" si="43"/>
        <v>29</v>
      </c>
      <c r="C42" s="273">
        <f>IF(Data!F33="","",Data!F33)</f>
        <v>0</v>
      </c>
      <c r="D42" s="274" t="str">
        <f>IF(Data!H33="","",Data!H33)</f>
        <v>Roiyandi Saebesi</v>
      </c>
      <c r="E42" s="275" t="str">
        <f>IF(Data!I33="","",Data!I33)</f>
        <v>L</v>
      </c>
      <c r="F42" s="276">
        <v>86</v>
      </c>
      <c r="G42" s="277">
        <v>82</v>
      </c>
      <c r="H42" s="277">
        <v>85</v>
      </c>
      <c r="I42" s="277"/>
      <c r="J42" s="277"/>
      <c r="K42" s="277"/>
      <c r="L42" s="277"/>
      <c r="M42" s="280"/>
      <c r="N42" s="277"/>
      <c r="O42" s="278"/>
      <c r="P42" s="279">
        <f t="shared" si="24"/>
        <v>84</v>
      </c>
      <c r="Q42" s="277">
        <v>80</v>
      </c>
      <c r="R42" s="280">
        <v>85</v>
      </c>
      <c r="S42" s="281">
        <f t="shared" si="25"/>
        <v>83</v>
      </c>
      <c r="T42" s="295" t="str">
        <f t="shared" si="26"/>
        <v>C</v>
      </c>
      <c r="U42" s="1215">
        <f t="shared" si="41"/>
        <v>86.01</v>
      </c>
      <c r="V42" s="1216">
        <f t="shared" si="41"/>
        <v>82.02</v>
      </c>
      <c r="W42" s="1216">
        <f t="shared" si="41"/>
        <v>85.03</v>
      </c>
      <c r="X42" s="1216" t="str">
        <f t="shared" si="41"/>
        <v/>
      </c>
      <c r="Y42" s="1216" t="str">
        <f t="shared" si="41"/>
        <v/>
      </c>
      <c r="Z42" s="1216" t="str">
        <f t="shared" si="41"/>
        <v/>
      </c>
      <c r="AA42" s="1216" t="str">
        <f t="shared" si="41"/>
        <v/>
      </c>
      <c r="AB42" s="1217" t="str">
        <f t="shared" si="41"/>
        <v/>
      </c>
      <c r="AC42" s="1216" t="str">
        <f t="shared" si="41"/>
        <v/>
      </c>
      <c r="AD42" s="1218" t="str">
        <f t="shared" si="41"/>
        <v/>
      </c>
      <c r="AE42" s="1219">
        <f t="shared" si="27"/>
        <v>86.01</v>
      </c>
      <c r="AF42" s="282">
        <f t="shared" si="28"/>
        <v>82.02</v>
      </c>
      <c r="AG42" s="282" t="str">
        <f t="shared" si="29"/>
        <v>baik</v>
      </c>
      <c r="AH42" s="282" t="str">
        <f t="shared" si="29"/>
        <v>cukup</v>
      </c>
      <c r="AI42" s="282">
        <f t="shared" si="30"/>
        <v>1</v>
      </c>
      <c r="AJ42" s="283">
        <f t="shared" si="31"/>
        <v>2</v>
      </c>
      <c r="AK42" s="284" t="str">
        <f t="shared" si="32"/>
        <v>Memiliki kemampuan baik dalam Menganalisis dinamika litosfer dan dampaknya terhadap kehidupan, cukup kemampuan dalam Menganalisis dinamika atmosfer dan dampaknya terhadap kehidupan</v>
      </c>
      <c r="AL42" s="276">
        <v>95</v>
      </c>
      <c r="AM42" s="277">
        <v>95</v>
      </c>
      <c r="AN42" s="277">
        <v>95</v>
      </c>
      <c r="AO42" s="277"/>
      <c r="AP42" s="277"/>
      <c r="AQ42" s="277"/>
      <c r="AR42" s="277"/>
      <c r="AS42" s="280"/>
      <c r="AT42" s="277"/>
      <c r="AU42" s="278"/>
      <c r="AV42" s="285">
        <f t="shared" si="33"/>
        <v>95</v>
      </c>
      <c r="AW42" s="296" t="str">
        <f t="shared" si="34"/>
        <v>A</v>
      </c>
      <c r="AX42" s="1220">
        <f t="shared" si="42"/>
        <v>95.01</v>
      </c>
      <c r="AY42" s="1221">
        <f t="shared" si="42"/>
        <v>95.02</v>
      </c>
      <c r="AZ42" s="1221">
        <f t="shared" si="42"/>
        <v>95.03</v>
      </c>
      <c r="BA42" s="1221" t="str">
        <f t="shared" si="42"/>
        <v/>
      </c>
      <c r="BB42" s="1221" t="str">
        <f t="shared" si="42"/>
        <v/>
      </c>
      <c r="BC42" s="1221" t="str">
        <f t="shared" si="42"/>
        <v/>
      </c>
      <c r="BD42" s="1221" t="str">
        <f t="shared" si="42"/>
        <v/>
      </c>
      <c r="BE42" s="1222" t="str">
        <f t="shared" si="42"/>
        <v/>
      </c>
      <c r="BF42" s="1221" t="str">
        <f t="shared" si="42"/>
        <v/>
      </c>
      <c r="BG42" s="1223" t="str">
        <f t="shared" si="42"/>
        <v/>
      </c>
      <c r="BH42" s="286">
        <f t="shared" si="35"/>
        <v>95.03</v>
      </c>
      <c r="BI42" s="286">
        <f t="shared" si="36"/>
        <v>95.01</v>
      </c>
      <c r="BJ42" s="287" t="str">
        <f t="shared" si="37"/>
        <v>sangat baik</v>
      </c>
      <c r="BK42" s="287" t="str">
        <f t="shared" si="37"/>
        <v>sangat baik</v>
      </c>
      <c r="BL42" s="286">
        <f t="shared" si="38"/>
        <v>3</v>
      </c>
      <c r="BM42" s="288">
        <f t="shared" si="39"/>
        <v>1</v>
      </c>
      <c r="BN42" s="289" t="str">
        <f t="shared" si="40"/>
        <v>Memiliki keterampilan sangat baik dalam Menyajikan proses dinamika hidrosfer menggunakan peta dan Menyajikan proses dinamika litosfer dengan menggunakan peta</v>
      </c>
      <c r="BO42" s="67"/>
    </row>
    <row r="43" spans="1:67" ht="33" customHeight="1">
      <c r="A43" s="67"/>
      <c r="B43" s="272">
        <f t="shared" si="43"/>
        <v>30</v>
      </c>
      <c r="C43" s="273">
        <f>IF(Data!F34="","",Data!F34)</f>
        <v>0</v>
      </c>
      <c r="D43" s="274" t="str">
        <f>IF(Data!H34="","",Data!H34)</f>
        <v>Roni Yohanis Bira</v>
      </c>
      <c r="E43" s="275" t="str">
        <f>IF(Data!I34="","",Data!I34)</f>
        <v>L</v>
      </c>
      <c r="F43" s="276">
        <v>85</v>
      </c>
      <c r="G43" s="277">
        <v>80</v>
      </c>
      <c r="H43" s="277">
        <v>85</v>
      </c>
      <c r="I43" s="277"/>
      <c r="J43" s="277"/>
      <c r="K43" s="277"/>
      <c r="L43" s="277"/>
      <c r="M43" s="280"/>
      <c r="N43" s="277"/>
      <c r="O43" s="278"/>
      <c r="P43" s="279">
        <f t="shared" si="24"/>
        <v>83</v>
      </c>
      <c r="Q43" s="277">
        <v>80</v>
      </c>
      <c r="R43" s="280">
        <v>85</v>
      </c>
      <c r="S43" s="281">
        <f t="shared" si="25"/>
        <v>83</v>
      </c>
      <c r="T43" s="295" t="str">
        <f t="shared" si="26"/>
        <v>C</v>
      </c>
      <c r="U43" s="1215">
        <f t="shared" si="41"/>
        <v>85.01</v>
      </c>
      <c r="V43" s="1216">
        <f t="shared" si="41"/>
        <v>80.02</v>
      </c>
      <c r="W43" s="1216">
        <f t="shared" si="41"/>
        <v>85.03</v>
      </c>
      <c r="X43" s="1216" t="str">
        <f t="shared" si="41"/>
        <v/>
      </c>
      <c r="Y43" s="1216" t="str">
        <f t="shared" si="41"/>
        <v/>
      </c>
      <c r="Z43" s="1216" t="str">
        <f t="shared" si="41"/>
        <v/>
      </c>
      <c r="AA43" s="1216" t="str">
        <f t="shared" si="41"/>
        <v/>
      </c>
      <c r="AB43" s="1217" t="str">
        <f t="shared" si="41"/>
        <v/>
      </c>
      <c r="AC43" s="1216" t="str">
        <f t="shared" si="41"/>
        <v/>
      </c>
      <c r="AD43" s="1218" t="str">
        <f t="shared" si="41"/>
        <v/>
      </c>
      <c r="AE43" s="1219">
        <f t="shared" si="27"/>
        <v>85.03</v>
      </c>
      <c r="AF43" s="282">
        <f t="shared" si="28"/>
        <v>80.02</v>
      </c>
      <c r="AG43" s="282" t="str">
        <f t="shared" si="29"/>
        <v>baik</v>
      </c>
      <c r="AH43" s="282" t="str">
        <f t="shared" si="29"/>
        <v>cukup</v>
      </c>
      <c r="AI43" s="282">
        <f t="shared" si="30"/>
        <v>3</v>
      </c>
      <c r="AJ43" s="283">
        <f t="shared" si="31"/>
        <v>2</v>
      </c>
      <c r="AK43" s="284" t="str">
        <f t="shared" si="32"/>
        <v>Memiliki kemampuan baik dalam Menganalisis dinamika hidrosfer dan dampaknya terhadap kehidupani, cukup kemampuan dalam Menganalisis dinamika atmosfer dan dampaknya terhadap kehidupan</v>
      </c>
      <c r="AL43" s="276">
        <v>95</v>
      </c>
      <c r="AM43" s="277">
        <v>95</v>
      </c>
      <c r="AN43" s="277">
        <v>95</v>
      </c>
      <c r="AO43" s="277"/>
      <c r="AP43" s="277"/>
      <c r="AQ43" s="277"/>
      <c r="AR43" s="277"/>
      <c r="AS43" s="280"/>
      <c r="AT43" s="277"/>
      <c r="AU43" s="278"/>
      <c r="AV43" s="285">
        <f t="shared" si="33"/>
        <v>95</v>
      </c>
      <c r="AW43" s="296" t="str">
        <f t="shared" si="34"/>
        <v>A</v>
      </c>
      <c r="AX43" s="1220">
        <f t="shared" si="42"/>
        <v>95.01</v>
      </c>
      <c r="AY43" s="1221">
        <f t="shared" si="42"/>
        <v>95.02</v>
      </c>
      <c r="AZ43" s="1221">
        <f t="shared" si="42"/>
        <v>95.03</v>
      </c>
      <c r="BA43" s="1221" t="str">
        <f t="shared" si="42"/>
        <v/>
      </c>
      <c r="BB43" s="1221" t="str">
        <f t="shared" si="42"/>
        <v/>
      </c>
      <c r="BC43" s="1221" t="str">
        <f t="shared" si="42"/>
        <v/>
      </c>
      <c r="BD43" s="1221" t="str">
        <f t="shared" si="42"/>
        <v/>
      </c>
      <c r="BE43" s="1222" t="str">
        <f t="shared" si="42"/>
        <v/>
      </c>
      <c r="BF43" s="1221" t="str">
        <f t="shared" si="42"/>
        <v/>
      </c>
      <c r="BG43" s="1223" t="str">
        <f t="shared" si="42"/>
        <v/>
      </c>
      <c r="BH43" s="286">
        <f t="shared" si="35"/>
        <v>95.03</v>
      </c>
      <c r="BI43" s="286">
        <f t="shared" si="36"/>
        <v>95.01</v>
      </c>
      <c r="BJ43" s="287" t="str">
        <f t="shared" si="37"/>
        <v>sangat baik</v>
      </c>
      <c r="BK43" s="287" t="str">
        <f t="shared" si="37"/>
        <v>sangat baik</v>
      </c>
      <c r="BL43" s="286">
        <f t="shared" si="38"/>
        <v>3</v>
      </c>
      <c r="BM43" s="288">
        <f t="shared" si="39"/>
        <v>1</v>
      </c>
      <c r="BN43" s="289" t="str">
        <f t="shared" si="40"/>
        <v>Memiliki keterampilan sangat baik dalam Menyajikan proses dinamika hidrosfer menggunakan peta dan Menyajikan proses dinamika litosfer dengan menggunakan peta</v>
      </c>
      <c r="BO43" s="67"/>
    </row>
    <row r="44" spans="1:67" ht="33" customHeight="1">
      <c r="A44" s="67"/>
      <c r="B44" s="272">
        <f t="shared" si="43"/>
        <v>31</v>
      </c>
      <c r="C44" s="273">
        <f>IF(Data!F35="","",Data!F35)</f>
        <v>0</v>
      </c>
      <c r="D44" s="274" t="str">
        <f>IF(Data!H35="","",Data!H35)</f>
        <v>Sinta Norliana Funan</v>
      </c>
      <c r="E44" s="275" t="str">
        <f>IF(Data!I35="","",Data!I35)</f>
        <v>P</v>
      </c>
      <c r="F44" s="276">
        <v>88</v>
      </c>
      <c r="G44" s="277">
        <v>89</v>
      </c>
      <c r="H44" s="277">
        <v>90</v>
      </c>
      <c r="I44" s="277"/>
      <c r="J44" s="277"/>
      <c r="K44" s="277"/>
      <c r="L44" s="277"/>
      <c r="M44" s="280"/>
      <c r="N44" s="277"/>
      <c r="O44" s="278"/>
      <c r="P44" s="279">
        <f t="shared" si="24"/>
        <v>89</v>
      </c>
      <c r="Q44" s="277">
        <v>85</v>
      </c>
      <c r="R44" s="280">
        <v>88</v>
      </c>
      <c r="S44" s="281">
        <f t="shared" si="25"/>
        <v>88</v>
      </c>
      <c r="T44" s="295" t="str">
        <f t="shared" si="26"/>
        <v>B</v>
      </c>
      <c r="U44" s="1215">
        <f t="shared" si="41"/>
        <v>88.01</v>
      </c>
      <c r="V44" s="1216">
        <f t="shared" si="41"/>
        <v>89.02</v>
      </c>
      <c r="W44" s="1216">
        <f t="shared" si="41"/>
        <v>90.03</v>
      </c>
      <c r="X44" s="1216" t="str">
        <f t="shared" si="41"/>
        <v/>
      </c>
      <c r="Y44" s="1216" t="str">
        <f t="shared" si="41"/>
        <v/>
      </c>
      <c r="Z44" s="1216" t="str">
        <f t="shared" si="41"/>
        <v/>
      </c>
      <c r="AA44" s="1216" t="str">
        <f t="shared" si="41"/>
        <v/>
      </c>
      <c r="AB44" s="1217" t="str">
        <f t="shared" si="41"/>
        <v/>
      </c>
      <c r="AC44" s="1216" t="str">
        <f t="shared" si="41"/>
        <v/>
      </c>
      <c r="AD44" s="1218" t="str">
        <f t="shared" si="41"/>
        <v/>
      </c>
      <c r="AE44" s="1219">
        <f t="shared" si="27"/>
        <v>90.03</v>
      </c>
      <c r="AF44" s="282">
        <f t="shared" si="28"/>
        <v>88.01</v>
      </c>
      <c r="AG44" s="282" t="str">
        <f t="shared" si="29"/>
        <v>baik</v>
      </c>
      <c r="AH44" s="282" t="str">
        <f t="shared" si="29"/>
        <v>baik</v>
      </c>
      <c r="AI44" s="282">
        <f t="shared" si="30"/>
        <v>3</v>
      </c>
      <c r="AJ44" s="283">
        <f t="shared" si="31"/>
        <v>1</v>
      </c>
      <c r="AK44" s="284" t="str">
        <f t="shared" si="32"/>
        <v>Memiliki kemampuan baik dalam Menganalisis dinamika hidrosfer dan dampaknya terhadap kehidupani dan Menganalisis dinamika litosfer dan dampaknya terhadap kehidupan</v>
      </c>
      <c r="AL44" s="276">
        <v>95</v>
      </c>
      <c r="AM44" s="277">
        <v>95</v>
      </c>
      <c r="AN44" s="277">
        <v>95</v>
      </c>
      <c r="AO44" s="277"/>
      <c r="AP44" s="277"/>
      <c r="AQ44" s="277"/>
      <c r="AR44" s="277"/>
      <c r="AS44" s="280"/>
      <c r="AT44" s="277"/>
      <c r="AU44" s="278"/>
      <c r="AV44" s="285">
        <f t="shared" si="33"/>
        <v>95</v>
      </c>
      <c r="AW44" s="296" t="str">
        <f t="shared" si="34"/>
        <v>A</v>
      </c>
      <c r="AX44" s="1220">
        <f t="shared" si="42"/>
        <v>95.01</v>
      </c>
      <c r="AY44" s="1221">
        <f t="shared" si="42"/>
        <v>95.02</v>
      </c>
      <c r="AZ44" s="1221">
        <f t="shared" si="42"/>
        <v>95.03</v>
      </c>
      <c r="BA44" s="1221" t="str">
        <f t="shared" si="42"/>
        <v/>
      </c>
      <c r="BB44" s="1221" t="str">
        <f t="shared" si="42"/>
        <v/>
      </c>
      <c r="BC44" s="1221" t="str">
        <f t="shared" si="42"/>
        <v/>
      </c>
      <c r="BD44" s="1221" t="str">
        <f t="shared" si="42"/>
        <v/>
      </c>
      <c r="BE44" s="1222" t="str">
        <f t="shared" si="42"/>
        <v/>
      </c>
      <c r="BF44" s="1221" t="str">
        <f t="shared" si="42"/>
        <v/>
      </c>
      <c r="BG44" s="1223" t="str">
        <f t="shared" si="42"/>
        <v/>
      </c>
      <c r="BH44" s="286">
        <f t="shared" si="35"/>
        <v>95.03</v>
      </c>
      <c r="BI44" s="286">
        <f t="shared" si="36"/>
        <v>95.01</v>
      </c>
      <c r="BJ44" s="287" t="str">
        <f t="shared" si="37"/>
        <v>sangat baik</v>
      </c>
      <c r="BK44" s="287" t="str">
        <f t="shared" si="37"/>
        <v>sangat baik</v>
      </c>
      <c r="BL44" s="286">
        <f t="shared" si="38"/>
        <v>3</v>
      </c>
      <c r="BM44" s="288">
        <f t="shared" si="39"/>
        <v>1</v>
      </c>
      <c r="BN44" s="289" t="str">
        <f t="shared" si="40"/>
        <v>Memiliki keterampilan sangat baik dalam Menyajikan proses dinamika hidrosfer menggunakan peta dan Menyajikan proses dinamika litosfer dengan menggunakan peta</v>
      </c>
      <c r="BO44" s="67"/>
    </row>
    <row r="45" spans="1:67" ht="33" customHeight="1">
      <c r="A45" s="67"/>
      <c r="B45" s="272">
        <f t="shared" si="43"/>
        <v>32</v>
      </c>
      <c r="C45" s="273">
        <f>IF(Data!F36="","",Data!F36)</f>
        <v>0</v>
      </c>
      <c r="D45" s="274" t="str">
        <f>IF(Data!H36="","",Data!H36)</f>
        <v>Stevi Otnial Loemnanu</v>
      </c>
      <c r="E45" s="275" t="str">
        <f>IF(Data!I36="","",Data!I36)</f>
        <v>L</v>
      </c>
      <c r="F45" s="276">
        <v>88</v>
      </c>
      <c r="G45" s="277">
        <v>86</v>
      </c>
      <c r="H45" s="277">
        <v>86</v>
      </c>
      <c r="I45" s="277"/>
      <c r="J45" s="277"/>
      <c r="K45" s="277"/>
      <c r="L45" s="277"/>
      <c r="M45" s="280"/>
      <c r="N45" s="277"/>
      <c r="O45" s="278"/>
      <c r="P45" s="279">
        <f t="shared" si="24"/>
        <v>87</v>
      </c>
      <c r="Q45" s="277">
        <v>80</v>
      </c>
      <c r="R45" s="280">
        <v>86</v>
      </c>
      <c r="S45" s="281">
        <f t="shared" si="25"/>
        <v>85</v>
      </c>
      <c r="T45" s="295" t="str">
        <f t="shared" si="26"/>
        <v>B</v>
      </c>
      <c r="U45" s="1215">
        <f t="shared" si="41"/>
        <v>88.01</v>
      </c>
      <c r="V45" s="1216">
        <f t="shared" si="41"/>
        <v>86.02</v>
      </c>
      <c r="W45" s="1216">
        <f t="shared" si="41"/>
        <v>86.03</v>
      </c>
      <c r="X45" s="1216" t="str">
        <f t="shared" si="41"/>
        <v/>
      </c>
      <c r="Y45" s="1216" t="str">
        <f t="shared" si="41"/>
        <v/>
      </c>
      <c r="Z45" s="1216" t="str">
        <f t="shared" si="41"/>
        <v/>
      </c>
      <c r="AA45" s="1216" t="str">
        <f t="shared" si="41"/>
        <v/>
      </c>
      <c r="AB45" s="1217" t="str">
        <f t="shared" si="41"/>
        <v/>
      </c>
      <c r="AC45" s="1216" t="str">
        <f t="shared" si="41"/>
        <v/>
      </c>
      <c r="AD45" s="1218" t="str">
        <f t="shared" si="41"/>
        <v/>
      </c>
      <c r="AE45" s="1219">
        <f t="shared" si="27"/>
        <v>88.01</v>
      </c>
      <c r="AF45" s="282">
        <f t="shared" si="28"/>
        <v>86.02</v>
      </c>
      <c r="AG45" s="282" t="str">
        <f t="shared" si="29"/>
        <v>baik</v>
      </c>
      <c r="AH45" s="282" t="str">
        <f t="shared" si="29"/>
        <v>baik</v>
      </c>
      <c r="AI45" s="282">
        <f t="shared" si="30"/>
        <v>1</v>
      </c>
      <c r="AJ45" s="283">
        <f t="shared" si="31"/>
        <v>2</v>
      </c>
      <c r="AK45" s="284" t="str">
        <f t="shared" si="32"/>
        <v>Memiliki kemampuan baik dalam Menganalisis dinamika litosfer dan dampaknya terhadap kehidupan dan Menganalisis dinamika atmosfer dan dampaknya terhadap kehidupan</v>
      </c>
      <c r="AL45" s="276">
        <v>95</v>
      </c>
      <c r="AM45" s="277">
        <v>95</v>
      </c>
      <c r="AN45" s="277">
        <v>95</v>
      </c>
      <c r="AO45" s="277"/>
      <c r="AP45" s="277"/>
      <c r="AQ45" s="277"/>
      <c r="AR45" s="277"/>
      <c r="AS45" s="280"/>
      <c r="AT45" s="277"/>
      <c r="AU45" s="278"/>
      <c r="AV45" s="285">
        <f t="shared" si="33"/>
        <v>95</v>
      </c>
      <c r="AW45" s="296" t="str">
        <f t="shared" si="34"/>
        <v>A</v>
      </c>
      <c r="AX45" s="1220">
        <f t="shared" si="42"/>
        <v>95.01</v>
      </c>
      <c r="AY45" s="1221">
        <f t="shared" si="42"/>
        <v>95.02</v>
      </c>
      <c r="AZ45" s="1221">
        <f t="shared" si="42"/>
        <v>95.03</v>
      </c>
      <c r="BA45" s="1221" t="str">
        <f t="shared" si="42"/>
        <v/>
      </c>
      <c r="BB45" s="1221" t="str">
        <f t="shared" si="42"/>
        <v/>
      </c>
      <c r="BC45" s="1221" t="str">
        <f t="shared" si="42"/>
        <v/>
      </c>
      <c r="BD45" s="1221" t="str">
        <f t="shared" si="42"/>
        <v/>
      </c>
      <c r="BE45" s="1222" t="str">
        <f t="shared" si="42"/>
        <v/>
      </c>
      <c r="BF45" s="1221" t="str">
        <f t="shared" si="42"/>
        <v/>
      </c>
      <c r="BG45" s="1223" t="str">
        <f t="shared" si="42"/>
        <v/>
      </c>
      <c r="BH45" s="286">
        <f t="shared" si="35"/>
        <v>95.03</v>
      </c>
      <c r="BI45" s="286">
        <f t="shared" si="36"/>
        <v>95.01</v>
      </c>
      <c r="BJ45" s="287" t="str">
        <f t="shared" si="37"/>
        <v>sangat baik</v>
      </c>
      <c r="BK45" s="287" t="str">
        <f t="shared" si="37"/>
        <v>sangat baik</v>
      </c>
      <c r="BL45" s="286">
        <f t="shared" si="38"/>
        <v>3</v>
      </c>
      <c r="BM45" s="288">
        <f t="shared" si="39"/>
        <v>1</v>
      </c>
      <c r="BN45" s="289" t="str">
        <f t="shared" si="40"/>
        <v>Memiliki keterampilan sangat baik dalam Menyajikan proses dinamika hidrosfer menggunakan peta dan Menyajikan proses dinamika litosfer dengan menggunakan peta</v>
      </c>
      <c r="BO45" s="67"/>
    </row>
    <row r="46" spans="1:67" ht="33" customHeight="1">
      <c r="A46" s="67"/>
      <c r="B46" s="272">
        <f t="shared" si="43"/>
        <v>33</v>
      </c>
      <c r="C46" s="273">
        <f>IF(Data!F37="","",Data!F37)</f>
        <v>0</v>
      </c>
      <c r="D46" s="274" t="str">
        <f>IF(Data!H37="","",Data!H37)</f>
        <v>Venciani Sefrianti Sufnera</v>
      </c>
      <c r="E46" s="275" t="str">
        <f>IF(Data!I37="","",Data!I37)</f>
        <v>P</v>
      </c>
      <c r="F46" s="276">
        <v>88</v>
      </c>
      <c r="G46" s="277">
        <v>89</v>
      </c>
      <c r="H46" s="277">
        <v>88</v>
      </c>
      <c r="I46" s="277"/>
      <c r="J46" s="277"/>
      <c r="K46" s="277"/>
      <c r="L46" s="277"/>
      <c r="M46" s="280"/>
      <c r="N46" s="277"/>
      <c r="O46" s="278"/>
      <c r="P46" s="279">
        <f t="shared" si="24"/>
        <v>88</v>
      </c>
      <c r="Q46" s="277">
        <v>82</v>
      </c>
      <c r="R46" s="280">
        <v>88</v>
      </c>
      <c r="S46" s="281">
        <f t="shared" si="25"/>
        <v>87</v>
      </c>
      <c r="T46" s="295" t="str">
        <f t="shared" si="26"/>
        <v>B</v>
      </c>
      <c r="U46" s="1215">
        <f t="shared" si="41"/>
        <v>88.01</v>
      </c>
      <c r="V46" s="1216">
        <f t="shared" si="41"/>
        <v>89.02</v>
      </c>
      <c r="W46" s="1216">
        <f t="shared" si="41"/>
        <v>88.03</v>
      </c>
      <c r="X46" s="1216" t="str">
        <f t="shared" si="41"/>
        <v/>
      </c>
      <c r="Y46" s="1216" t="str">
        <f t="shared" si="41"/>
        <v/>
      </c>
      <c r="Z46" s="1216" t="str">
        <f t="shared" si="41"/>
        <v/>
      </c>
      <c r="AA46" s="1216" t="str">
        <f t="shared" si="41"/>
        <v/>
      </c>
      <c r="AB46" s="1217" t="str">
        <f t="shared" si="41"/>
        <v/>
      </c>
      <c r="AC46" s="1216" t="str">
        <f t="shared" si="41"/>
        <v/>
      </c>
      <c r="AD46" s="1218" t="str">
        <f t="shared" si="41"/>
        <v/>
      </c>
      <c r="AE46" s="1219">
        <f t="shared" si="27"/>
        <v>89.02</v>
      </c>
      <c r="AF46" s="282">
        <f t="shared" si="28"/>
        <v>88.01</v>
      </c>
      <c r="AG46" s="282" t="str">
        <f t="shared" si="29"/>
        <v>baik</v>
      </c>
      <c r="AH46" s="282" t="str">
        <f t="shared" si="29"/>
        <v>baik</v>
      </c>
      <c r="AI46" s="282">
        <f t="shared" si="30"/>
        <v>2</v>
      </c>
      <c r="AJ46" s="283">
        <f t="shared" si="31"/>
        <v>1</v>
      </c>
      <c r="AK46" s="284" t="str">
        <f t="shared" si="32"/>
        <v>Memiliki kemampuan baik dalam Menganalisis dinamika atmosfer dan dampaknya terhadap kehidupan dan Menganalisis dinamika litosfer dan dampaknya terhadap kehidupan</v>
      </c>
      <c r="AL46" s="276">
        <v>95</v>
      </c>
      <c r="AM46" s="277">
        <v>95</v>
      </c>
      <c r="AN46" s="277">
        <v>95</v>
      </c>
      <c r="AO46" s="277"/>
      <c r="AP46" s="277"/>
      <c r="AQ46" s="277"/>
      <c r="AR46" s="277"/>
      <c r="AS46" s="280"/>
      <c r="AT46" s="277"/>
      <c r="AU46" s="278"/>
      <c r="AV46" s="285">
        <f t="shared" si="33"/>
        <v>95</v>
      </c>
      <c r="AW46" s="296" t="str">
        <f t="shared" si="34"/>
        <v>A</v>
      </c>
      <c r="AX46" s="1220">
        <f t="shared" si="42"/>
        <v>95.01</v>
      </c>
      <c r="AY46" s="1221">
        <f t="shared" si="42"/>
        <v>95.02</v>
      </c>
      <c r="AZ46" s="1221">
        <f t="shared" si="42"/>
        <v>95.03</v>
      </c>
      <c r="BA46" s="1221" t="str">
        <f t="shared" si="42"/>
        <v/>
      </c>
      <c r="BB46" s="1221" t="str">
        <f t="shared" si="42"/>
        <v/>
      </c>
      <c r="BC46" s="1221" t="str">
        <f t="shared" si="42"/>
        <v/>
      </c>
      <c r="BD46" s="1221" t="str">
        <f t="shared" si="42"/>
        <v/>
      </c>
      <c r="BE46" s="1222" t="str">
        <f t="shared" si="42"/>
        <v/>
      </c>
      <c r="BF46" s="1221" t="str">
        <f t="shared" si="42"/>
        <v/>
      </c>
      <c r="BG46" s="1223" t="str">
        <f t="shared" si="42"/>
        <v/>
      </c>
      <c r="BH46" s="286">
        <f t="shared" si="35"/>
        <v>95.03</v>
      </c>
      <c r="BI46" s="286">
        <f t="shared" si="36"/>
        <v>95.01</v>
      </c>
      <c r="BJ46" s="287" t="str">
        <f t="shared" si="37"/>
        <v>sangat baik</v>
      </c>
      <c r="BK46" s="287" t="str">
        <f t="shared" si="37"/>
        <v>sangat baik</v>
      </c>
      <c r="BL46" s="286">
        <f t="shared" si="38"/>
        <v>3</v>
      </c>
      <c r="BM46" s="288">
        <f t="shared" si="39"/>
        <v>1</v>
      </c>
      <c r="BN46" s="289" t="str">
        <f t="shared" si="40"/>
        <v>Memiliki keterampilan sangat baik dalam Menyajikan proses dinamika hidrosfer menggunakan peta dan Menyajikan proses dinamika litosfer dengan menggunakan peta</v>
      </c>
      <c r="BO46" s="67"/>
    </row>
    <row r="47" spans="1:67" ht="33" customHeight="1">
      <c r="A47" s="67"/>
      <c r="B47" s="272">
        <f t="shared" ref="B47:B63" si="44">IF(D47="","",B46+1)</f>
        <v>34</v>
      </c>
      <c r="C47" s="273">
        <f>IF(Data!F38="","",Data!F38)</f>
        <v>0</v>
      </c>
      <c r="D47" s="274" t="str">
        <f>IF(Data!H38="","",Data!H38)</f>
        <v>Yangres Nitti</v>
      </c>
      <c r="E47" s="275" t="str">
        <f>IF(Data!I38="","",Data!I38)</f>
        <v>L</v>
      </c>
      <c r="F47" s="276">
        <v>88</v>
      </c>
      <c r="G47" s="277">
        <v>88</v>
      </c>
      <c r="H47" s="277">
        <v>90</v>
      </c>
      <c r="I47" s="277"/>
      <c r="J47" s="277"/>
      <c r="K47" s="277"/>
      <c r="L47" s="277"/>
      <c r="M47" s="280"/>
      <c r="N47" s="277"/>
      <c r="O47" s="278"/>
      <c r="P47" s="279">
        <f t="shared" si="24"/>
        <v>89</v>
      </c>
      <c r="Q47" s="277">
        <v>82</v>
      </c>
      <c r="R47" s="280">
        <v>88</v>
      </c>
      <c r="S47" s="281">
        <f t="shared" si="25"/>
        <v>87</v>
      </c>
      <c r="T47" s="295" t="str">
        <f t="shared" si="26"/>
        <v>B</v>
      </c>
      <c r="U47" s="1215">
        <f t="shared" si="41"/>
        <v>88.01</v>
      </c>
      <c r="V47" s="1216">
        <f t="shared" si="41"/>
        <v>88.02</v>
      </c>
      <c r="W47" s="1216">
        <f t="shared" si="41"/>
        <v>90.03</v>
      </c>
      <c r="X47" s="1216" t="str">
        <f t="shared" si="41"/>
        <v/>
      </c>
      <c r="Y47" s="1216" t="str">
        <f t="shared" si="41"/>
        <v/>
      </c>
      <c r="Z47" s="1216" t="str">
        <f t="shared" si="41"/>
        <v/>
      </c>
      <c r="AA47" s="1216" t="str">
        <f t="shared" si="41"/>
        <v/>
      </c>
      <c r="AB47" s="1217" t="str">
        <f t="shared" si="41"/>
        <v/>
      </c>
      <c r="AC47" s="1216" t="str">
        <f t="shared" si="41"/>
        <v/>
      </c>
      <c r="AD47" s="1218" t="str">
        <f t="shared" si="41"/>
        <v/>
      </c>
      <c r="AE47" s="1219">
        <f t="shared" si="27"/>
        <v>90.03</v>
      </c>
      <c r="AF47" s="282">
        <f t="shared" si="28"/>
        <v>88.01</v>
      </c>
      <c r="AG47" s="282" t="str">
        <f t="shared" si="29"/>
        <v>baik</v>
      </c>
      <c r="AH47" s="282" t="str">
        <f t="shared" si="29"/>
        <v>baik</v>
      </c>
      <c r="AI47" s="282">
        <f t="shared" si="30"/>
        <v>3</v>
      </c>
      <c r="AJ47" s="283">
        <f t="shared" si="31"/>
        <v>1</v>
      </c>
      <c r="AK47" s="284" t="str">
        <f t="shared" si="32"/>
        <v>Memiliki kemampuan baik dalam Menganalisis dinamika hidrosfer dan dampaknya terhadap kehidupani dan Menganalisis dinamika litosfer dan dampaknya terhadap kehidupan</v>
      </c>
      <c r="AL47" s="276">
        <v>95</v>
      </c>
      <c r="AM47" s="277">
        <v>95</v>
      </c>
      <c r="AN47" s="277">
        <v>95</v>
      </c>
      <c r="AO47" s="277"/>
      <c r="AP47" s="277"/>
      <c r="AQ47" s="277"/>
      <c r="AR47" s="277"/>
      <c r="AS47" s="280"/>
      <c r="AT47" s="277"/>
      <c r="AU47" s="278"/>
      <c r="AV47" s="285">
        <f t="shared" si="33"/>
        <v>95</v>
      </c>
      <c r="AW47" s="296" t="str">
        <f t="shared" si="34"/>
        <v>A</v>
      </c>
      <c r="AX47" s="1220">
        <f t="shared" si="42"/>
        <v>95.01</v>
      </c>
      <c r="AY47" s="1221">
        <f t="shared" si="42"/>
        <v>95.02</v>
      </c>
      <c r="AZ47" s="1221">
        <f t="shared" si="42"/>
        <v>95.03</v>
      </c>
      <c r="BA47" s="1221" t="str">
        <f t="shared" si="42"/>
        <v/>
      </c>
      <c r="BB47" s="1221" t="str">
        <f t="shared" si="42"/>
        <v/>
      </c>
      <c r="BC47" s="1221" t="str">
        <f t="shared" si="42"/>
        <v/>
      </c>
      <c r="BD47" s="1221" t="str">
        <f t="shared" si="42"/>
        <v/>
      </c>
      <c r="BE47" s="1222" t="str">
        <f t="shared" si="42"/>
        <v/>
      </c>
      <c r="BF47" s="1221" t="str">
        <f t="shared" si="42"/>
        <v/>
      </c>
      <c r="BG47" s="1223" t="str">
        <f t="shared" si="42"/>
        <v/>
      </c>
      <c r="BH47" s="286">
        <f t="shared" si="35"/>
        <v>95.03</v>
      </c>
      <c r="BI47" s="286">
        <f t="shared" si="36"/>
        <v>95.01</v>
      </c>
      <c r="BJ47" s="287" t="str">
        <f t="shared" si="37"/>
        <v>sangat baik</v>
      </c>
      <c r="BK47" s="287" t="str">
        <f t="shared" si="37"/>
        <v>sangat baik</v>
      </c>
      <c r="BL47" s="286">
        <f t="shared" si="38"/>
        <v>3</v>
      </c>
      <c r="BM47" s="288">
        <f t="shared" si="39"/>
        <v>1</v>
      </c>
      <c r="BN47" s="289" t="str">
        <f t="shared" si="40"/>
        <v>Memiliki keterampilan sangat baik dalam Menyajikan proses dinamika hidrosfer menggunakan peta dan Menyajikan proses dinamika litosfer dengan menggunakan peta</v>
      </c>
      <c r="BO47" s="67"/>
    </row>
    <row r="48" spans="1:67" ht="33" customHeight="1">
      <c r="A48" s="67"/>
      <c r="B48" s="272">
        <f t="shared" si="44"/>
        <v>35</v>
      </c>
      <c r="C48" s="273">
        <f>IF(Data!F39="","",Data!F39)</f>
        <v>0</v>
      </c>
      <c r="D48" s="274" t="str">
        <f>IF(Data!H39="","",Data!H39)</f>
        <v>Yefta Trianus Mau</v>
      </c>
      <c r="E48" s="275" t="str">
        <f>IF(Data!I39="","",Data!I39)</f>
        <v>L</v>
      </c>
      <c r="F48" s="276">
        <v>86</v>
      </c>
      <c r="G48" s="277">
        <v>86</v>
      </c>
      <c r="H48" s="277">
        <v>88</v>
      </c>
      <c r="I48" s="277"/>
      <c r="J48" s="277"/>
      <c r="K48" s="277"/>
      <c r="L48" s="277"/>
      <c r="M48" s="280"/>
      <c r="N48" s="277"/>
      <c r="O48" s="278"/>
      <c r="P48" s="279">
        <f t="shared" si="24"/>
        <v>87</v>
      </c>
      <c r="Q48" s="277">
        <v>80</v>
      </c>
      <c r="R48" s="280">
        <v>88</v>
      </c>
      <c r="S48" s="281">
        <f t="shared" si="25"/>
        <v>86</v>
      </c>
      <c r="T48" s="295" t="str">
        <f t="shared" si="26"/>
        <v>B</v>
      </c>
      <c r="U48" s="1215">
        <f t="shared" si="41"/>
        <v>86.01</v>
      </c>
      <c r="V48" s="1216">
        <f t="shared" si="41"/>
        <v>86.02</v>
      </c>
      <c r="W48" s="1216">
        <f t="shared" si="41"/>
        <v>88.03</v>
      </c>
      <c r="X48" s="1216" t="str">
        <f t="shared" si="41"/>
        <v/>
      </c>
      <c r="Y48" s="1216" t="str">
        <f t="shared" si="41"/>
        <v/>
      </c>
      <c r="Z48" s="1216" t="str">
        <f t="shared" si="41"/>
        <v/>
      </c>
      <c r="AA48" s="1216" t="str">
        <f t="shared" si="41"/>
        <v/>
      </c>
      <c r="AB48" s="1217" t="str">
        <f t="shared" si="41"/>
        <v/>
      </c>
      <c r="AC48" s="1216" t="str">
        <f t="shared" si="41"/>
        <v/>
      </c>
      <c r="AD48" s="1218" t="str">
        <f t="shared" si="41"/>
        <v/>
      </c>
      <c r="AE48" s="1219">
        <f t="shared" si="27"/>
        <v>88.03</v>
      </c>
      <c r="AF48" s="282">
        <f t="shared" si="28"/>
        <v>86.01</v>
      </c>
      <c r="AG48" s="282" t="str">
        <f t="shared" si="29"/>
        <v>baik</v>
      </c>
      <c r="AH48" s="282" t="str">
        <f t="shared" si="29"/>
        <v>baik</v>
      </c>
      <c r="AI48" s="282">
        <f t="shared" si="30"/>
        <v>3</v>
      </c>
      <c r="AJ48" s="283">
        <f t="shared" si="31"/>
        <v>1</v>
      </c>
      <c r="AK48" s="284" t="str">
        <f t="shared" si="32"/>
        <v>Memiliki kemampuan baik dalam Menganalisis dinamika hidrosfer dan dampaknya terhadap kehidupani dan Menganalisis dinamika litosfer dan dampaknya terhadap kehidupan</v>
      </c>
      <c r="AL48" s="276">
        <v>95</v>
      </c>
      <c r="AM48" s="277">
        <v>95</v>
      </c>
      <c r="AN48" s="277">
        <v>95</v>
      </c>
      <c r="AO48" s="277"/>
      <c r="AP48" s="277"/>
      <c r="AQ48" s="277"/>
      <c r="AR48" s="277"/>
      <c r="AS48" s="280"/>
      <c r="AT48" s="277"/>
      <c r="AU48" s="278"/>
      <c r="AV48" s="285">
        <f t="shared" si="33"/>
        <v>95</v>
      </c>
      <c r="AW48" s="296" t="str">
        <f t="shared" si="34"/>
        <v>A</v>
      </c>
      <c r="AX48" s="1220">
        <f t="shared" si="42"/>
        <v>95.01</v>
      </c>
      <c r="AY48" s="1221">
        <f t="shared" si="42"/>
        <v>95.02</v>
      </c>
      <c r="AZ48" s="1221">
        <f t="shared" si="42"/>
        <v>95.03</v>
      </c>
      <c r="BA48" s="1221" t="str">
        <f t="shared" si="42"/>
        <v/>
      </c>
      <c r="BB48" s="1221" t="str">
        <f t="shared" si="42"/>
        <v/>
      </c>
      <c r="BC48" s="1221" t="str">
        <f t="shared" si="42"/>
        <v/>
      </c>
      <c r="BD48" s="1221" t="str">
        <f t="shared" si="42"/>
        <v/>
      </c>
      <c r="BE48" s="1222" t="str">
        <f t="shared" si="42"/>
        <v/>
      </c>
      <c r="BF48" s="1221" t="str">
        <f t="shared" si="42"/>
        <v/>
      </c>
      <c r="BG48" s="1223" t="str">
        <f t="shared" si="42"/>
        <v/>
      </c>
      <c r="BH48" s="286">
        <f t="shared" si="35"/>
        <v>95.03</v>
      </c>
      <c r="BI48" s="286">
        <f t="shared" si="36"/>
        <v>95.01</v>
      </c>
      <c r="BJ48" s="287" t="str">
        <f t="shared" si="37"/>
        <v>sangat baik</v>
      </c>
      <c r="BK48" s="287" t="str">
        <f t="shared" si="37"/>
        <v>sangat baik</v>
      </c>
      <c r="BL48" s="286">
        <f t="shared" si="38"/>
        <v>3</v>
      </c>
      <c r="BM48" s="288">
        <f t="shared" si="39"/>
        <v>1</v>
      </c>
      <c r="BN48" s="289" t="str">
        <f t="shared" si="40"/>
        <v>Memiliki keterampilan sangat baik dalam Menyajikan proses dinamika hidrosfer menggunakan peta dan Menyajikan proses dinamika litosfer dengan menggunakan peta</v>
      </c>
      <c r="BO48" s="67"/>
    </row>
    <row r="49" spans="1:67" ht="33" customHeight="1">
      <c r="A49" s="67"/>
      <c r="B49" s="272">
        <f t="shared" si="44"/>
        <v>36</v>
      </c>
      <c r="C49" s="273">
        <f>IF(Data!F40="","",Data!F40)</f>
        <v>0</v>
      </c>
      <c r="D49" s="274" t="str">
        <f>IF(Data!H40="","",Data!H40)</f>
        <v>Yuliana Febriyanti Nggeon</v>
      </c>
      <c r="E49" s="275" t="str">
        <f>IF(Data!I40="","",Data!I40)</f>
        <v>P</v>
      </c>
      <c r="F49" s="276">
        <v>86</v>
      </c>
      <c r="G49" s="277">
        <v>88</v>
      </c>
      <c r="H49" s="277">
        <v>88</v>
      </c>
      <c r="I49" s="277"/>
      <c r="J49" s="277"/>
      <c r="K49" s="277"/>
      <c r="L49" s="277"/>
      <c r="M49" s="280"/>
      <c r="N49" s="277"/>
      <c r="O49" s="278"/>
      <c r="P49" s="279">
        <f t="shared" si="24"/>
        <v>87</v>
      </c>
      <c r="Q49" s="277">
        <v>82</v>
      </c>
      <c r="R49" s="280">
        <v>88</v>
      </c>
      <c r="S49" s="281">
        <f t="shared" si="25"/>
        <v>86</v>
      </c>
      <c r="T49" s="295" t="str">
        <f t="shared" si="26"/>
        <v>B</v>
      </c>
      <c r="U49" s="1215">
        <f t="shared" si="41"/>
        <v>86.01</v>
      </c>
      <c r="V49" s="1216">
        <f t="shared" si="41"/>
        <v>88.02</v>
      </c>
      <c r="W49" s="1216">
        <f t="shared" si="41"/>
        <v>88.03</v>
      </c>
      <c r="X49" s="1216" t="str">
        <f t="shared" si="41"/>
        <v/>
      </c>
      <c r="Y49" s="1216" t="str">
        <f t="shared" si="41"/>
        <v/>
      </c>
      <c r="Z49" s="1216" t="str">
        <f t="shared" si="41"/>
        <v/>
      </c>
      <c r="AA49" s="1216" t="str">
        <f t="shared" si="41"/>
        <v/>
      </c>
      <c r="AB49" s="1217" t="str">
        <f t="shared" si="41"/>
        <v/>
      </c>
      <c r="AC49" s="1216" t="str">
        <f t="shared" si="41"/>
        <v/>
      </c>
      <c r="AD49" s="1218" t="str">
        <f t="shared" si="41"/>
        <v/>
      </c>
      <c r="AE49" s="1219">
        <f t="shared" si="27"/>
        <v>88.03</v>
      </c>
      <c r="AF49" s="282">
        <f t="shared" si="28"/>
        <v>86.01</v>
      </c>
      <c r="AG49" s="282" t="str">
        <f t="shared" si="29"/>
        <v>baik</v>
      </c>
      <c r="AH49" s="282" t="str">
        <f t="shared" si="29"/>
        <v>baik</v>
      </c>
      <c r="AI49" s="282">
        <f t="shared" si="30"/>
        <v>3</v>
      </c>
      <c r="AJ49" s="283">
        <f t="shared" si="31"/>
        <v>1</v>
      </c>
      <c r="AK49" s="284" t="str">
        <f t="shared" si="32"/>
        <v>Memiliki kemampuan baik dalam Menganalisis dinamika hidrosfer dan dampaknya terhadap kehidupani dan Menganalisis dinamika litosfer dan dampaknya terhadap kehidupan</v>
      </c>
      <c r="AL49" s="276">
        <v>95</v>
      </c>
      <c r="AM49" s="277">
        <v>95</v>
      </c>
      <c r="AN49" s="277">
        <v>95</v>
      </c>
      <c r="AO49" s="277"/>
      <c r="AP49" s="277"/>
      <c r="AQ49" s="277"/>
      <c r="AR49" s="277"/>
      <c r="AS49" s="280"/>
      <c r="AT49" s="277"/>
      <c r="AU49" s="278"/>
      <c r="AV49" s="285">
        <f t="shared" si="33"/>
        <v>95</v>
      </c>
      <c r="AW49" s="296" t="str">
        <f t="shared" si="34"/>
        <v>A</v>
      </c>
      <c r="AX49" s="1220">
        <f t="shared" si="42"/>
        <v>95.01</v>
      </c>
      <c r="AY49" s="1221">
        <f t="shared" si="42"/>
        <v>95.02</v>
      </c>
      <c r="AZ49" s="1221">
        <f t="shared" si="42"/>
        <v>95.03</v>
      </c>
      <c r="BA49" s="1221" t="str">
        <f t="shared" si="42"/>
        <v/>
      </c>
      <c r="BB49" s="1221" t="str">
        <f t="shared" si="42"/>
        <v/>
      </c>
      <c r="BC49" s="1221" t="str">
        <f t="shared" si="42"/>
        <v/>
      </c>
      <c r="BD49" s="1221" t="str">
        <f t="shared" si="42"/>
        <v/>
      </c>
      <c r="BE49" s="1222" t="str">
        <f t="shared" si="42"/>
        <v/>
      </c>
      <c r="BF49" s="1221" t="str">
        <f t="shared" si="42"/>
        <v/>
      </c>
      <c r="BG49" s="1223" t="str">
        <f t="shared" si="42"/>
        <v/>
      </c>
      <c r="BH49" s="286">
        <f t="shared" si="35"/>
        <v>95.03</v>
      </c>
      <c r="BI49" s="286">
        <f t="shared" si="36"/>
        <v>95.01</v>
      </c>
      <c r="BJ49" s="287" t="str">
        <f t="shared" si="37"/>
        <v>sangat baik</v>
      </c>
      <c r="BK49" s="287" t="str">
        <f t="shared" si="37"/>
        <v>sangat baik</v>
      </c>
      <c r="BL49" s="286">
        <f t="shared" si="38"/>
        <v>3</v>
      </c>
      <c r="BM49" s="288">
        <f t="shared" si="39"/>
        <v>1</v>
      </c>
      <c r="BN49" s="289" t="str">
        <f t="shared" si="40"/>
        <v>Memiliki keterampilan sangat baik dalam Menyajikan proses dinamika hidrosfer menggunakan peta dan Menyajikan proses dinamika litosfer dengan menggunakan peta</v>
      </c>
      <c r="BO49" s="67"/>
    </row>
    <row r="50" spans="1:67" ht="33" customHeight="1">
      <c r="A50" s="67"/>
      <c r="B50" s="272">
        <f t="shared" si="44"/>
        <v>37</v>
      </c>
      <c r="C50" s="273">
        <f>IF(Data!F41="","",Data!F41)</f>
        <v>0</v>
      </c>
      <c r="D50" s="274" t="str">
        <f>IF(Data!H41="","",Data!H41)</f>
        <v>Yuninda Pono</v>
      </c>
      <c r="E50" s="275" t="str">
        <f>IF(Data!I41="","",Data!I41)</f>
        <v>P</v>
      </c>
      <c r="F50" s="276">
        <v>90</v>
      </c>
      <c r="G50" s="277">
        <v>90</v>
      </c>
      <c r="H50" s="277">
        <v>88</v>
      </c>
      <c r="I50" s="277"/>
      <c r="J50" s="277"/>
      <c r="K50" s="277"/>
      <c r="L50" s="277"/>
      <c r="M50" s="280"/>
      <c r="N50" s="277"/>
      <c r="O50" s="278"/>
      <c r="P50" s="279">
        <f t="shared" si="24"/>
        <v>89</v>
      </c>
      <c r="Q50" s="277">
        <v>82</v>
      </c>
      <c r="R50" s="280">
        <v>88</v>
      </c>
      <c r="S50" s="281">
        <f t="shared" si="25"/>
        <v>87</v>
      </c>
      <c r="T50" s="295" t="str">
        <f t="shared" si="26"/>
        <v>B</v>
      </c>
      <c r="U50" s="1215">
        <f t="shared" si="41"/>
        <v>90.01</v>
      </c>
      <c r="V50" s="1216">
        <f t="shared" si="41"/>
        <v>90.02</v>
      </c>
      <c r="W50" s="1216">
        <f t="shared" si="41"/>
        <v>88.03</v>
      </c>
      <c r="X50" s="1216" t="str">
        <f t="shared" si="41"/>
        <v/>
      </c>
      <c r="Y50" s="1216" t="str">
        <f t="shared" si="41"/>
        <v/>
      </c>
      <c r="Z50" s="1216" t="str">
        <f t="shared" si="41"/>
        <v/>
      </c>
      <c r="AA50" s="1216" t="str">
        <f t="shared" si="41"/>
        <v/>
      </c>
      <c r="AB50" s="1217" t="str">
        <f t="shared" si="41"/>
        <v/>
      </c>
      <c r="AC50" s="1216" t="str">
        <f t="shared" si="41"/>
        <v/>
      </c>
      <c r="AD50" s="1218" t="str">
        <f t="shared" si="41"/>
        <v/>
      </c>
      <c r="AE50" s="1219">
        <f t="shared" si="27"/>
        <v>90.02</v>
      </c>
      <c r="AF50" s="282">
        <f t="shared" si="28"/>
        <v>88.03</v>
      </c>
      <c r="AG50" s="282" t="str">
        <f t="shared" si="29"/>
        <v>baik</v>
      </c>
      <c r="AH50" s="282" t="str">
        <f t="shared" si="29"/>
        <v>baik</v>
      </c>
      <c r="AI50" s="282">
        <f t="shared" si="30"/>
        <v>2</v>
      </c>
      <c r="AJ50" s="283">
        <f t="shared" si="31"/>
        <v>3</v>
      </c>
      <c r="AK50" s="284" t="str">
        <f t="shared" si="32"/>
        <v>Memiliki kemampuan baik dalam Menganalisis dinamika atmosfer dan dampaknya terhadap kehidupan dan Menganalisis dinamika hidrosfer dan dampaknya terhadap kehidupani</v>
      </c>
      <c r="AL50" s="276">
        <v>95</v>
      </c>
      <c r="AM50" s="277">
        <v>95</v>
      </c>
      <c r="AN50" s="277">
        <v>95</v>
      </c>
      <c r="AO50" s="277"/>
      <c r="AP50" s="277"/>
      <c r="AQ50" s="277"/>
      <c r="AR50" s="277"/>
      <c r="AS50" s="280"/>
      <c r="AT50" s="277"/>
      <c r="AU50" s="278"/>
      <c r="AV50" s="285">
        <f t="shared" si="33"/>
        <v>95</v>
      </c>
      <c r="AW50" s="296" t="str">
        <f t="shared" si="34"/>
        <v>A</v>
      </c>
      <c r="AX50" s="1220">
        <f t="shared" si="42"/>
        <v>95.01</v>
      </c>
      <c r="AY50" s="1221">
        <f t="shared" si="42"/>
        <v>95.02</v>
      </c>
      <c r="AZ50" s="1221">
        <f t="shared" si="42"/>
        <v>95.03</v>
      </c>
      <c r="BA50" s="1221" t="str">
        <f t="shared" si="42"/>
        <v/>
      </c>
      <c r="BB50" s="1221" t="str">
        <f t="shared" si="42"/>
        <v/>
      </c>
      <c r="BC50" s="1221" t="str">
        <f t="shared" si="42"/>
        <v/>
      </c>
      <c r="BD50" s="1221" t="str">
        <f t="shared" si="42"/>
        <v/>
      </c>
      <c r="BE50" s="1222" t="str">
        <f t="shared" si="42"/>
        <v/>
      </c>
      <c r="BF50" s="1221" t="str">
        <f t="shared" si="42"/>
        <v/>
      </c>
      <c r="BG50" s="1223" t="str">
        <f t="shared" si="42"/>
        <v/>
      </c>
      <c r="BH50" s="286">
        <f t="shared" si="35"/>
        <v>95.03</v>
      </c>
      <c r="BI50" s="286">
        <f t="shared" si="36"/>
        <v>95.01</v>
      </c>
      <c r="BJ50" s="287" t="str">
        <f t="shared" si="37"/>
        <v>sangat baik</v>
      </c>
      <c r="BK50" s="287" t="str">
        <f t="shared" si="37"/>
        <v>sangat baik</v>
      </c>
      <c r="BL50" s="286">
        <f t="shared" si="38"/>
        <v>3</v>
      </c>
      <c r="BM50" s="288">
        <f t="shared" si="39"/>
        <v>1</v>
      </c>
      <c r="BN50" s="289" t="str">
        <f t="shared" si="40"/>
        <v>Memiliki keterampilan sangat baik dalam Menyajikan proses dinamika hidrosfer menggunakan peta dan Menyajikan proses dinamika litosfer dengan menggunakan peta</v>
      </c>
      <c r="BO50" s="67"/>
    </row>
    <row r="51" spans="1:67" ht="33" customHeight="1">
      <c r="A51" s="67"/>
      <c r="B51" s="272" t="str">
        <f t="shared" si="44"/>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44"/>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44"/>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44"/>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44"/>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5">IF(K55="","",K55+Z$13)</f>
        <v/>
      </c>
      <c r="AA55" s="1216" t="str">
        <f t="shared" si="45"/>
        <v/>
      </c>
      <c r="AB55" s="1217" t="str">
        <f t="shared" si="45"/>
        <v/>
      </c>
      <c r="AC55" s="1216" t="str">
        <f t="shared" si="45"/>
        <v/>
      </c>
      <c r="AD55" s="1218" t="str">
        <f t="shared" si="45"/>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6">IF(AQ55="","",AQ55+BC$12)</f>
        <v/>
      </c>
      <c r="BD55" s="1221" t="str">
        <f t="shared" si="46"/>
        <v/>
      </c>
      <c r="BE55" s="1222" t="str">
        <f t="shared" si="46"/>
        <v/>
      </c>
      <c r="BF55" s="1221" t="str">
        <f t="shared" si="46"/>
        <v/>
      </c>
      <c r="BG55" s="1223" t="str">
        <f t="shared" si="46"/>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44"/>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7">IF(F56="","",F56+U$13)</f>
        <v/>
      </c>
      <c r="V56" s="1216" t="str">
        <f t="shared" si="47"/>
        <v/>
      </c>
      <c r="W56" s="1216" t="str">
        <f t="shared" si="47"/>
        <v/>
      </c>
      <c r="X56" s="1216" t="str">
        <f t="shared" si="47"/>
        <v/>
      </c>
      <c r="Y56" s="1216" t="str">
        <f t="shared" si="47"/>
        <v/>
      </c>
      <c r="Z56" s="1216" t="str">
        <f t="shared" si="45"/>
        <v/>
      </c>
      <c r="AA56" s="1216" t="str">
        <f t="shared" si="45"/>
        <v/>
      </c>
      <c r="AB56" s="1217" t="str">
        <f t="shared" si="45"/>
        <v/>
      </c>
      <c r="AC56" s="1216" t="str">
        <f t="shared" si="45"/>
        <v/>
      </c>
      <c r="AD56" s="1218" t="str">
        <f t="shared" si="45"/>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8">IF(AL56="","",AL56+AX$12)</f>
        <v/>
      </c>
      <c r="AY56" s="1221" t="str">
        <f t="shared" si="48"/>
        <v/>
      </c>
      <c r="AZ56" s="1221" t="str">
        <f t="shared" si="48"/>
        <v/>
      </c>
      <c r="BA56" s="1221" t="str">
        <f t="shared" si="48"/>
        <v/>
      </c>
      <c r="BB56" s="1221" t="str">
        <f t="shared" si="48"/>
        <v/>
      </c>
      <c r="BC56" s="1221" t="str">
        <f t="shared" si="46"/>
        <v/>
      </c>
      <c r="BD56" s="1221" t="str">
        <f t="shared" si="46"/>
        <v/>
      </c>
      <c r="BE56" s="1222" t="str">
        <f t="shared" si="46"/>
        <v/>
      </c>
      <c r="BF56" s="1221" t="str">
        <f t="shared" si="46"/>
        <v/>
      </c>
      <c r="BG56" s="1223" t="str">
        <f t="shared" si="46"/>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44"/>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7"/>
        <v/>
      </c>
      <c r="V57" s="1216" t="str">
        <f t="shared" si="47"/>
        <v/>
      </c>
      <c r="W57" s="1216" t="str">
        <f t="shared" si="47"/>
        <v/>
      </c>
      <c r="X57" s="1216" t="str">
        <f t="shared" si="47"/>
        <v/>
      </c>
      <c r="Y57" s="1216" t="str">
        <f t="shared" si="47"/>
        <v/>
      </c>
      <c r="Z57" s="1216" t="str">
        <f t="shared" si="45"/>
        <v/>
      </c>
      <c r="AA57" s="1216" t="str">
        <f t="shared" si="45"/>
        <v/>
      </c>
      <c r="AB57" s="1217" t="str">
        <f t="shared" si="45"/>
        <v/>
      </c>
      <c r="AC57" s="1216" t="str">
        <f t="shared" si="45"/>
        <v/>
      </c>
      <c r="AD57" s="1218" t="str">
        <f t="shared" si="45"/>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8"/>
        <v/>
      </c>
      <c r="AY57" s="1221" t="str">
        <f t="shared" si="48"/>
        <v/>
      </c>
      <c r="AZ57" s="1221" t="str">
        <f t="shared" si="48"/>
        <v/>
      </c>
      <c r="BA57" s="1221" t="str">
        <f t="shared" si="48"/>
        <v/>
      </c>
      <c r="BB57" s="1221" t="str">
        <f t="shared" si="48"/>
        <v/>
      </c>
      <c r="BC57" s="1221" t="str">
        <f t="shared" si="46"/>
        <v/>
      </c>
      <c r="BD57" s="1221" t="str">
        <f t="shared" si="46"/>
        <v/>
      </c>
      <c r="BE57" s="1222" t="str">
        <f t="shared" si="46"/>
        <v/>
      </c>
      <c r="BF57" s="1221" t="str">
        <f t="shared" si="46"/>
        <v/>
      </c>
      <c r="BG57" s="1223" t="str">
        <f t="shared" si="46"/>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44"/>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7"/>
        <v/>
      </c>
      <c r="V58" s="1216" t="str">
        <f t="shared" si="47"/>
        <v/>
      </c>
      <c r="W58" s="1216" t="str">
        <f t="shared" si="47"/>
        <v/>
      </c>
      <c r="X58" s="1216" t="str">
        <f t="shared" si="47"/>
        <v/>
      </c>
      <c r="Y58" s="1216" t="str">
        <f t="shared" si="47"/>
        <v/>
      </c>
      <c r="Z58" s="1216" t="str">
        <f t="shared" si="45"/>
        <v/>
      </c>
      <c r="AA58" s="1216" t="str">
        <f t="shared" si="45"/>
        <v/>
      </c>
      <c r="AB58" s="1217" t="str">
        <f t="shared" si="45"/>
        <v/>
      </c>
      <c r="AC58" s="1216" t="str">
        <f t="shared" si="45"/>
        <v/>
      </c>
      <c r="AD58" s="1218" t="str">
        <f t="shared" si="45"/>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8"/>
        <v/>
      </c>
      <c r="AY58" s="1221" t="str">
        <f t="shared" si="48"/>
        <v/>
      </c>
      <c r="AZ58" s="1221" t="str">
        <f t="shared" si="48"/>
        <v/>
      </c>
      <c r="BA58" s="1221" t="str">
        <f t="shared" si="48"/>
        <v/>
      </c>
      <c r="BB58" s="1221" t="str">
        <f t="shared" si="48"/>
        <v/>
      </c>
      <c r="BC58" s="1221" t="str">
        <f t="shared" si="46"/>
        <v/>
      </c>
      <c r="BD58" s="1221" t="str">
        <f t="shared" si="46"/>
        <v/>
      </c>
      <c r="BE58" s="1222" t="str">
        <f t="shared" si="46"/>
        <v/>
      </c>
      <c r="BF58" s="1221" t="str">
        <f t="shared" si="46"/>
        <v/>
      </c>
      <c r="BG58" s="1223" t="str">
        <f t="shared" si="46"/>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44"/>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7"/>
        <v/>
      </c>
      <c r="V59" s="1216" t="str">
        <f t="shared" si="47"/>
        <v/>
      </c>
      <c r="W59" s="1216" t="str">
        <f t="shared" si="47"/>
        <v/>
      </c>
      <c r="X59" s="1216" t="str">
        <f t="shared" si="47"/>
        <v/>
      </c>
      <c r="Y59" s="1216" t="str">
        <f t="shared" si="47"/>
        <v/>
      </c>
      <c r="Z59" s="1216" t="str">
        <f t="shared" si="45"/>
        <v/>
      </c>
      <c r="AA59" s="1216" t="str">
        <f t="shared" si="45"/>
        <v/>
      </c>
      <c r="AB59" s="1217" t="str">
        <f t="shared" si="45"/>
        <v/>
      </c>
      <c r="AC59" s="1216" t="str">
        <f t="shared" si="45"/>
        <v/>
      </c>
      <c r="AD59" s="1218" t="str">
        <f t="shared" si="45"/>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8"/>
        <v/>
      </c>
      <c r="AY59" s="1221" t="str">
        <f t="shared" si="48"/>
        <v/>
      </c>
      <c r="AZ59" s="1221" t="str">
        <f t="shared" si="48"/>
        <v/>
      </c>
      <c r="BA59" s="1221" t="str">
        <f t="shared" si="48"/>
        <v/>
      </c>
      <c r="BB59" s="1221" t="str">
        <f t="shared" si="48"/>
        <v/>
      </c>
      <c r="BC59" s="1221" t="str">
        <f t="shared" si="46"/>
        <v/>
      </c>
      <c r="BD59" s="1221" t="str">
        <f t="shared" si="46"/>
        <v/>
      </c>
      <c r="BE59" s="1222" t="str">
        <f t="shared" si="46"/>
        <v/>
      </c>
      <c r="BF59" s="1221" t="str">
        <f t="shared" si="46"/>
        <v/>
      </c>
      <c r="BG59" s="1223" t="str">
        <f t="shared" si="46"/>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44"/>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7"/>
        <v/>
      </c>
      <c r="V60" s="1216" t="str">
        <f t="shared" si="47"/>
        <v/>
      </c>
      <c r="W60" s="1216" t="str">
        <f t="shared" si="47"/>
        <v/>
      </c>
      <c r="X60" s="1216" t="str">
        <f t="shared" si="47"/>
        <v/>
      </c>
      <c r="Y60" s="1216" t="str">
        <f t="shared" si="47"/>
        <v/>
      </c>
      <c r="Z60" s="1216" t="str">
        <f t="shared" si="45"/>
        <v/>
      </c>
      <c r="AA60" s="1216" t="str">
        <f t="shared" si="45"/>
        <v/>
      </c>
      <c r="AB60" s="1217" t="str">
        <f t="shared" si="45"/>
        <v/>
      </c>
      <c r="AC60" s="1216" t="str">
        <f t="shared" si="45"/>
        <v/>
      </c>
      <c r="AD60" s="1218" t="str">
        <f t="shared" si="45"/>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8"/>
        <v/>
      </c>
      <c r="AY60" s="1221" t="str">
        <f t="shared" si="48"/>
        <v/>
      </c>
      <c r="AZ60" s="1221" t="str">
        <f t="shared" si="48"/>
        <v/>
      </c>
      <c r="BA60" s="1221" t="str">
        <f t="shared" si="48"/>
        <v/>
      </c>
      <c r="BB60" s="1221" t="str">
        <f t="shared" si="48"/>
        <v/>
      </c>
      <c r="BC60" s="1221" t="str">
        <f t="shared" si="46"/>
        <v/>
      </c>
      <c r="BD60" s="1221" t="str">
        <f t="shared" si="46"/>
        <v/>
      </c>
      <c r="BE60" s="1222" t="str">
        <f t="shared" si="46"/>
        <v/>
      </c>
      <c r="BF60" s="1221" t="str">
        <f t="shared" si="46"/>
        <v/>
      </c>
      <c r="BG60" s="1223" t="str">
        <f t="shared" si="46"/>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44"/>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7"/>
        <v/>
      </c>
      <c r="V61" s="1216" t="str">
        <f t="shared" si="47"/>
        <v/>
      </c>
      <c r="W61" s="1216" t="str">
        <f t="shared" si="47"/>
        <v/>
      </c>
      <c r="X61" s="1216" t="str">
        <f t="shared" si="47"/>
        <v/>
      </c>
      <c r="Y61" s="1216" t="str">
        <f t="shared" si="47"/>
        <v/>
      </c>
      <c r="Z61" s="1216" t="str">
        <f t="shared" si="45"/>
        <v/>
      </c>
      <c r="AA61" s="1216" t="str">
        <f t="shared" si="45"/>
        <v/>
      </c>
      <c r="AB61" s="1217" t="str">
        <f t="shared" si="45"/>
        <v/>
      </c>
      <c r="AC61" s="1216" t="str">
        <f t="shared" si="45"/>
        <v/>
      </c>
      <c r="AD61" s="1218" t="str">
        <f t="shared" si="45"/>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8"/>
        <v/>
      </c>
      <c r="AY61" s="1221" t="str">
        <f t="shared" si="48"/>
        <v/>
      </c>
      <c r="AZ61" s="1221" t="str">
        <f t="shared" si="48"/>
        <v/>
      </c>
      <c r="BA61" s="1221" t="str">
        <f t="shared" si="48"/>
        <v/>
      </c>
      <c r="BB61" s="1221" t="str">
        <f t="shared" si="48"/>
        <v/>
      </c>
      <c r="BC61" s="1221" t="str">
        <f t="shared" si="46"/>
        <v/>
      </c>
      <c r="BD61" s="1221" t="str">
        <f t="shared" si="46"/>
        <v/>
      </c>
      <c r="BE61" s="1222" t="str">
        <f t="shared" si="46"/>
        <v/>
      </c>
      <c r="BF61" s="1221" t="str">
        <f t="shared" si="46"/>
        <v/>
      </c>
      <c r="BG61" s="1223" t="str">
        <f t="shared" si="46"/>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44"/>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7"/>
        <v/>
      </c>
      <c r="V62" s="1216" t="str">
        <f t="shared" si="47"/>
        <v/>
      </c>
      <c r="W62" s="1216" t="str">
        <f t="shared" si="47"/>
        <v/>
      </c>
      <c r="X62" s="1216" t="str">
        <f t="shared" si="47"/>
        <v/>
      </c>
      <c r="Y62" s="1216" t="str">
        <f t="shared" si="47"/>
        <v/>
      </c>
      <c r="Z62" s="1216" t="str">
        <f t="shared" si="45"/>
        <v/>
      </c>
      <c r="AA62" s="1216" t="str">
        <f t="shared" si="45"/>
        <v/>
      </c>
      <c r="AB62" s="1217" t="str">
        <f t="shared" si="45"/>
        <v/>
      </c>
      <c r="AC62" s="1216" t="str">
        <f t="shared" si="45"/>
        <v/>
      </c>
      <c r="AD62" s="1218" t="str">
        <f t="shared" si="45"/>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8"/>
        <v/>
      </c>
      <c r="AY62" s="1221" t="str">
        <f t="shared" si="48"/>
        <v/>
      </c>
      <c r="AZ62" s="1221" t="str">
        <f t="shared" si="48"/>
        <v/>
      </c>
      <c r="BA62" s="1221" t="str">
        <f t="shared" si="48"/>
        <v/>
      </c>
      <c r="BB62" s="1221" t="str">
        <f t="shared" si="48"/>
        <v/>
      </c>
      <c r="BC62" s="1221" t="str">
        <f t="shared" si="46"/>
        <v/>
      </c>
      <c r="BD62" s="1221" t="str">
        <f t="shared" si="46"/>
        <v/>
      </c>
      <c r="BE62" s="1222" t="str">
        <f t="shared" si="46"/>
        <v/>
      </c>
      <c r="BF62" s="1221" t="str">
        <f t="shared" si="46"/>
        <v/>
      </c>
      <c r="BG62" s="1223" t="str">
        <f t="shared" si="46"/>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44"/>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7"/>
        <v/>
      </c>
      <c r="V63" s="1216" t="str">
        <f t="shared" si="47"/>
        <v/>
      </c>
      <c r="W63" s="1216" t="str">
        <f t="shared" si="47"/>
        <v/>
      </c>
      <c r="X63" s="1216" t="str">
        <f t="shared" si="47"/>
        <v/>
      </c>
      <c r="Y63" s="1216" t="str">
        <f t="shared" si="47"/>
        <v/>
      </c>
      <c r="Z63" s="1216" t="str">
        <f t="shared" si="45"/>
        <v/>
      </c>
      <c r="AA63" s="1216" t="str">
        <f t="shared" si="45"/>
        <v/>
      </c>
      <c r="AB63" s="1217" t="str">
        <f t="shared" si="45"/>
        <v/>
      </c>
      <c r="AC63" s="1216" t="str">
        <f t="shared" si="45"/>
        <v/>
      </c>
      <c r="AD63" s="1218" t="str">
        <f t="shared" si="45"/>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8"/>
        <v/>
      </c>
      <c r="AY63" s="1221" t="str">
        <f t="shared" si="48"/>
        <v/>
      </c>
      <c r="AZ63" s="1221" t="str">
        <f t="shared" si="48"/>
        <v/>
      </c>
      <c r="BA63" s="1221" t="str">
        <f t="shared" si="48"/>
        <v/>
      </c>
      <c r="BB63" s="1221" t="str">
        <f t="shared" si="48"/>
        <v/>
      </c>
      <c r="BC63" s="1221" t="str">
        <f t="shared" si="46"/>
        <v/>
      </c>
      <c r="BD63" s="1221" t="str">
        <f t="shared" si="46"/>
        <v/>
      </c>
      <c r="BE63" s="1222" t="str">
        <f t="shared" si="46"/>
        <v/>
      </c>
      <c r="BF63" s="1221" t="str">
        <f t="shared" si="46"/>
        <v/>
      </c>
      <c r="BG63" s="1223" t="str">
        <f t="shared" si="46"/>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ht="12">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9">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9"/>
        <v>85</v>
      </c>
      <c r="AM69" s="349" t="s">
        <v>5</v>
      </c>
      <c r="AN69" s="347">
        <f t="shared" ref="AN69" si="50">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Data2!G16</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51">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2">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3">F76</f>
        <v>85</v>
      </c>
      <c r="AM76" s="7" t="s">
        <v>5</v>
      </c>
      <c r="AN76" s="9">
        <f t="shared" si="53"/>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3"/>
        <v>76</v>
      </c>
      <c r="AM77" s="7" t="s">
        <v>5</v>
      </c>
      <c r="AN77" s="9">
        <f t="shared" si="53"/>
        <v>84.5</v>
      </c>
      <c r="AO77" s="1357" t="str">
        <f t="shared" ref="AO77:AO78" si="54">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3"/>
        <v>0</v>
      </c>
      <c r="AM78" s="7" t="s">
        <v>5</v>
      </c>
      <c r="AN78" s="9">
        <f t="shared" si="53"/>
        <v>75.5</v>
      </c>
      <c r="AO78" s="1357" t="str">
        <f t="shared" si="54"/>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75" hidden="1" customHeight="1">
      <c r="C84" s="2"/>
      <c r="AL84" s="10"/>
      <c r="AM84" s="8"/>
      <c r="AN84" s="10"/>
      <c r="AO84" s="108"/>
      <c r="AP84" s="108"/>
      <c r="AQ84" s="108"/>
      <c r="AR84" s="1159"/>
      <c r="AS84" s="1159"/>
      <c r="AT84" s="108"/>
      <c r="AU84" s="108"/>
      <c r="AV84" s="111"/>
    </row>
    <row r="85" spans="3:48" ht="12.75" hidden="1" customHeight="1">
      <c r="C85" s="2"/>
      <c r="AL85" s="10"/>
      <c r="AM85" s="8"/>
      <c r="AN85" s="10"/>
      <c r="AO85" s="108"/>
      <c r="AP85" s="108"/>
      <c r="AQ85" s="108"/>
      <c r="AR85" s="1159"/>
      <c r="AS85" s="1159"/>
      <c r="AT85" s="108"/>
      <c r="AU85" s="108"/>
      <c r="AV85" s="111"/>
    </row>
    <row r="86" spans="3:48" ht="12" hidden="1" customHeight="1"/>
    <row r="87" spans="3:48" ht="12" hidden="1" customHeight="1"/>
    <row r="88" spans="3:48" ht="12" hidden="1" customHeight="1"/>
    <row r="89" spans="3:48" ht="12" hidden="1" customHeight="1"/>
    <row r="90" spans="3:48" ht="12" hidden="1" customHeight="1"/>
    <row r="91" spans="3:48" ht="12" hidden="1" customHeight="1"/>
    <row r="92" spans="3:48" ht="12" hidden="1" customHeight="1"/>
    <row r="93" spans="3:48" ht="0" hidden="1" customHeight="1"/>
    <row r="94" spans="3:48" ht="0" hidden="1" customHeight="1"/>
    <row r="95" spans="3:48" ht="0" hidden="1" customHeight="1"/>
    <row r="96" spans="3:48" ht="0" hidden="1" customHeight="1"/>
    <row r="97" ht="0" hidden="1" customHeight="1"/>
  </sheetData>
  <mergeCells count="70">
    <mergeCell ref="D1:E2"/>
    <mergeCell ref="B3:C4"/>
    <mergeCell ref="D3:E6"/>
    <mergeCell ref="B6:C6"/>
    <mergeCell ref="B7:C7"/>
    <mergeCell ref="D7:E9"/>
    <mergeCell ref="B8:C8"/>
    <mergeCell ref="B9:C9"/>
    <mergeCell ref="B1:C2"/>
    <mergeCell ref="F3:F6"/>
    <mergeCell ref="G3:R6"/>
    <mergeCell ref="AL4:AL5"/>
    <mergeCell ref="AM4:AU5"/>
    <mergeCell ref="AL6:AL7"/>
    <mergeCell ref="AM6:AU7"/>
    <mergeCell ref="F7:F10"/>
    <mergeCell ref="G7:R10"/>
    <mergeCell ref="AL8:AL11"/>
    <mergeCell ref="AM8:AU11"/>
    <mergeCell ref="G11:R11"/>
    <mergeCell ref="G1:R1"/>
    <mergeCell ref="AM1:AU1"/>
    <mergeCell ref="G2:R2"/>
    <mergeCell ref="AL2:AL3"/>
    <mergeCell ref="AM2:AU3"/>
    <mergeCell ref="AW12:AW13"/>
    <mergeCell ref="BN12:BN13"/>
    <mergeCell ref="BJ13:BK13"/>
    <mergeCell ref="BL13:BM13"/>
    <mergeCell ref="AV12:AV13"/>
    <mergeCell ref="AG13:AH13"/>
    <mergeCell ref="AI13:AJ13"/>
    <mergeCell ref="B12:B13"/>
    <mergeCell ref="C12:C13"/>
    <mergeCell ref="D12:D13"/>
    <mergeCell ref="E12:E13"/>
    <mergeCell ref="F12:O12"/>
    <mergeCell ref="S12:S13"/>
    <mergeCell ref="F74:H74"/>
    <mergeCell ref="I74:Q74"/>
    <mergeCell ref="AL74:AN74"/>
    <mergeCell ref="AO74:AV74"/>
    <mergeCell ref="B10:C11"/>
    <mergeCell ref="D10:E11"/>
    <mergeCell ref="F65:Q65"/>
    <mergeCell ref="AL65:AV65"/>
    <mergeCell ref="F67:H67"/>
    <mergeCell ref="I67:Q67"/>
    <mergeCell ref="AL67:AN67"/>
    <mergeCell ref="AO67:AV67"/>
    <mergeCell ref="F66:Q66"/>
    <mergeCell ref="AL66:AV66"/>
    <mergeCell ref="T12:T13"/>
    <mergeCell ref="AK12:AK13"/>
    <mergeCell ref="AO82:AV82"/>
    <mergeCell ref="AO83:AV83"/>
    <mergeCell ref="I77:P77"/>
    <mergeCell ref="I78:P78"/>
    <mergeCell ref="I68:Q68"/>
    <mergeCell ref="AO68:AV68"/>
    <mergeCell ref="I69:Q69"/>
    <mergeCell ref="AO69:AV69"/>
    <mergeCell ref="I70:Q70"/>
    <mergeCell ref="AO70:AV70"/>
    <mergeCell ref="I71:Q71"/>
    <mergeCell ref="AO71:AV71"/>
    <mergeCell ref="I75:P75"/>
    <mergeCell ref="I76:P76"/>
    <mergeCell ref="F73:Q73"/>
    <mergeCell ref="AL73:AV73"/>
  </mergeCells>
  <conditionalFormatting sqref="B14:E63">
    <cfRule type="expression" dxfId="3133" priority="371">
      <formula>AND($B14&lt;&gt;"",$B15="")</formula>
    </cfRule>
    <cfRule type="expression" dxfId="3132" priority="372">
      <formula>$B14=""</formula>
    </cfRule>
  </conditionalFormatting>
  <conditionalFormatting sqref="B56:E56">
    <cfRule type="expression" dxfId="3131" priority="708">
      <formula>AND($B56&lt;&gt;"",$B63="")</formula>
    </cfRule>
    <cfRule type="expression" dxfId="3130" priority="709">
      <formula>$B56=""</formula>
    </cfRule>
  </conditionalFormatting>
  <conditionalFormatting sqref="B50:E50">
    <cfRule type="expression" dxfId="3129" priority="826">
      <formula>AND($B50&lt;&gt;"",$B63="")</formula>
    </cfRule>
    <cfRule type="expression" dxfId="3128" priority="827">
      <formula>$B50=""</formula>
    </cfRule>
  </conditionalFormatting>
  <conditionalFormatting sqref="B43:E44">
    <cfRule type="expression" dxfId="3127" priority="946">
      <formula>AND($B43&lt;&gt;"",$B62="")</formula>
    </cfRule>
    <cfRule type="expression" dxfId="3126" priority="947">
      <formula>$B43=""</formula>
    </cfRule>
  </conditionalFormatting>
  <conditionalFormatting sqref="B63:E63">
    <cfRule type="expression" dxfId="3125" priority="1154">
      <formula>AND($B63&lt;&gt;"",#REF!="")</formula>
    </cfRule>
    <cfRule type="expression" dxfId="3124" priority="1155">
      <formula>$B63=""</formula>
    </cfRule>
  </conditionalFormatting>
  <conditionalFormatting sqref="B61:E61">
    <cfRule type="expression" dxfId="3123" priority="1208">
      <formula>AND($B61&lt;&gt;"",$B64="")</formula>
    </cfRule>
    <cfRule type="expression" dxfId="3122" priority="1209">
      <formula>$B61=""</formula>
    </cfRule>
  </conditionalFormatting>
  <conditionalFormatting sqref="B57:E60">
    <cfRule type="expression" dxfId="3121" priority="1210">
      <formula>AND($B57&lt;&gt;"",#REF!="")</formula>
    </cfRule>
    <cfRule type="expression" dxfId="3120" priority="1211">
      <formula>$B57=""</formula>
    </cfRule>
  </conditionalFormatting>
  <conditionalFormatting sqref="B55:E55">
    <cfRule type="expression" dxfId="3119" priority="1214">
      <formula>AND($B55&lt;&gt;"",$B64="")</formula>
    </cfRule>
    <cfRule type="expression" dxfId="3118" priority="1215">
      <formula>$B55=""</formula>
    </cfRule>
  </conditionalFormatting>
  <conditionalFormatting sqref="B51:E54">
    <cfRule type="expression" dxfId="3117" priority="1216">
      <formula>AND($B51&lt;&gt;"",#REF!="")</formula>
    </cfRule>
    <cfRule type="expression" dxfId="3116" priority="1217">
      <formula>$B51=""</formula>
    </cfRule>
  </conditionalFormatting>
  <conditionalFormatting sqref="B49:E49">
    <cfRule type="expression" dxfId="3115" priority="1220">
      <formula>AND($B49&lt;&gt;"",$B64="")</formula>
    </cfRule>
    <cfRule type="expression" dxfId="3114" priority="1221">
      <formula>$B49=""</formula>
    </cfRule>
  </conditionalFormatting>
  <conditionalFormatting sqref="B45:E63">
    <cfRule type="expression" dxfId="3113" priority="1222">
      <formula>AND($B45&lt;&gt;"",#REF!="")</formula>
    </cfRule>
    <cfRule type="expression" dxfId="3112" priority="1223">
      <formula>$B45=""</formula>
    </cfRule>
  </conditionalFormatting>
  <conditionalFormatting sqref="R70 F66:Q71">
    <cfRule type="expression" dxfId="3111" priority="1226">
      <formula>$F$65="SAMA DENGAN DATA"</formula>
    </cfRule>
  </conditionalFormatting>
  <conditionalFormatting sqref="F66:Q71">
    <cfRule type="expression" dxfId="3110" priority="1228">
      <formula>$F$65="kkm tunggal"</formula>
    </cfRule>
  </conditionalFormatting>
  <conditionalFormatting sqref="AW70:BG70 AL66:AV71">
    <cfRule type="expression" dxfId="3109" priority="1229">
      <formula>$AL$65="SAMA DENGAN DATA"</formula>
    </cfRule>
  </conditionalFormatting>
  <conditionalFormatting sqref="AL66:AV71">
    <cfRule type="expression" dxfId="3108" priority="1231">
      <formula>$AL$65="KKM TUNGGAL"</formula>
    </cfRule>
  </conditionalFormatting>
  <conditionalFormatting sqref="B61:E63">
    <cfRule type="expression" dxfId="3107" priority="2732">
      <formula>AND($B61&lt;&gt;"",$B65="")</formula>
    </cfRule>
    <cfRule type="expression" dxfId="3106" priority="2733">
      <formula>$B61=""</formula>
    </cfRule>
  </conditionalFormatting>
  <conditionalFormatting sqref="B50:E60">
    <cfRule type="expression" dxfId="3105" priority="2734">
      <formula>AND($B50&lt;&gt;"",#REF!="")</formula>
    </cfRule>
    <cfRule type="expression" dxfId="3104" priority="2735">
      <formula>$B50=""</formula>
    </cfRule>
  </conditionalFormatting>
  <conditionalFormatting sqref="U14:AB63 P51:S63 AV14:BE63 AE14:AK63 BH14:BN63 P14:P50 S14:S50">
    <cfRule type="expression" dxfId="3103" priority="186">
      <formula>AND($B14&lt;&gt;"",$B15="")</formula>
    </cfRule>
    <cfRule type="expression" dxfId="3102" priority="187">
      <formula>$B14=""</formula>
    </cfRule>
  </conditionalFormatting>
  <conditionalFormatting sqref="T14:T63">
    <cfRule type="expression" dxfId="3101" priority="184">
      <formula>AND($B14&lt;&gt;"",$B15="")</formula>
    </cfRule>
    <cfRule type="expression" dxfId="3100" priority="185">
      <formula>$B14=""</formula>
    </cfRule>
  </conditionalFormatting>
  <conditionalFormatting sqref="AV14">
    <cfRule type="expression" dxfId="3099" priority="182">
      <formula>AND($B14&lt;&gt;"",$B15="")</formula>
    </cfRule>
    <cfRule type="expression" dxfId="3098" priority="183">
      <formula>$B14=""</formula>
    </cfRule>
  </conditionalFormatting>
  <conditionalFormatting sqref="P56:S56 U56:AB56 BH56:BN56 AE56:AK56 AV56:BE56">
    <cfRule type="expression" dxfId="3097" priority="188">
      <formula>AND($B56&lt;&gt;"",$B63="")</formula>
    </cfRule>
    <cfRule type="expression" dxfId="3096" priority="189">
      <formula>$B56=""</formula>
    </cfRule>
  </conditionalFormatting>
  <conditionalFormatting sqref="P50 U50:AB50 BH50:BN50 AE50:AK50 AV50:BE50 S50">
    <cfRule type="expression" dxfId="3095" priority="190">
      <formula>AND($B50&lt;&gt;"",$B63="")</formula>
    </cfRule>
    <cfRule type="expression" dxfId="3094" priority="191">
      <formula>$B50=""</formula>
    </cfRule>
  </conditionalFormatting>
  <conditionalFormatting sqref="P43:P44 U43:AB44 BH43:BN44 AE43:AK44 AV43:BE44 S43:S44">
    <cfRule type="expression" dxfId="3093" priority="192">
      <formula>AND($B43&lt;&gt;"",$B62="")</formula>
    </cfRule>
    <cfRule type="expression" dxfId="3092" priority="193">
      <formula>$B43=""</formula>
    </cfRule>
  </conditionalFormatting>
  <conditionalFormatting sqref="P63:S63 U63:AB63 BH63:BN63 AE63:AK63 AV63:BE63">
    <cfRule type="expression" dxfId="3091" priority="194">
      <formula>AND($B63&lt;&gt;"",#REF!="")</formula>
    </cfRule>
    <cfRule type="expression" dxfId="3090" priority="195">
      <formula>$B63=""</formula>
    </cfRule>
  </conditionalFormatting>
  <conditionalFormatting sqref="P61:S61 U61:AB61 BH61:BN61 AE61:AK61 AV61:BE61">
    <cfRule type="expression" dxfId="3089" priority="196">
      <formula>AND($B61&lt;&gt;"",$B64="")</formula>
    </cfRule>
    <cfRule type="expression" dxfId="3088" priority="197">
      <formula>$B61=""</formula>
    </cfRule>
  </conditionalFormatting>
  <conditionalFormatting sqref="P57:S60 U57:AB60 BH57:BN60 AE57:AK60 AV57:BE60">
    <cfRule type="expression" dxfId="3087" priority="198">
      <formula>AND($B57&lt;&gt;"",#REF!="")</formula>
    </cfRule>
    <cfRule type="expression" dxfId="3086" priority="199">
      <formula>$B57=""</formula>
    </cfRule>
  </conditionalFormatting>
  <conditionalFormatting sqref="P55:S55 U55:AB55 BH55:BN55 AE55:AK55 AV55:BE55">
    <cfRule type="expression" dxfId="3085" priority="200">
      <formula>AND($B55&lt;&gt;"",$B64="")</formula>
    </cfRule>
    <cfRule type="expression" dxfId="3084" priority="201">
      <formula>$B55=""</formula>
    </cfRule>
  </conditionalFormatting>
  <conditionalFormatting sqref="P51:S54 U51:AB54 BH51:BN54 AE51:AK54 AV51:BE54">
    <cfRule type="expression" dxfId="3083" priority="202">
      <formula>AND($B51&lt;&gt;"",#REF!="")</formula>
    </cfRule>
    <cfRule type="expression" dxfId="3082" priority="203">
      <formula>$B51=""</formula>
    </cfRule>
  </conditionalFormatting>
  <conditionalFormatting sqref="I49:P49 U49:AK49 S49 AO49:BN49">
    <cfRule type="expression" dxfId="3081" priority="204">
      <formula>AND($B49&lt;&gt;"",$B64="")</formula>
    </cfRule>
    <cfRule type="expression" dxfId="3080" priority="205">
      <formula>$B49=""</formula>
    </cfRule>
  </conditionalFormatting>
  <conditionalFormatting sqref="P51:S63 U45:AB63 BH45:BN63 AE45:AK63 AV45:BE63 P45:P50 S45:S50">
    <cfRule type="expression" dxfId="3079" priority="206">
      <formula>AND($B45&lt;&gt;"",#REF!="")</formula>
    </cfRule>
    <cfRule type="expression" dxfId="3078" priority="207">
      <formula>$B45=""</formula>
    </cfRule>
  </conditionalFormatting>
  <conditionalFormatting sqref="T16:T63">
    <cfRule type="expression" dxfId="3077" priority="180">
      <formula>AND($B16&lt;&gt;"",$B17="")</formula>
    </cfRule>
    <cfRule type="expression" dxfId="3076" priority="181">
      <formula>$B16=""</formula>
    </cfRule>
  </conditionalFormatting>
  <conditionalFormatting sqref="U13:AB13 AX12:BG12">
    <cfRule type="expression" dxfId="3075" priority="179">
      <formula>COUNTA(U$14:U$63)&gt;0</formula>
    </cfRule>
  </conditionalFormatting>
  <conditionalFormatting sqref="F51:M63 I14:M50">
    <cfRule type="expression" dxfId="3074" priority="158">
      <formula>AND($B14&lt;&gt;"",$B15="")</formula>
    </cfRule>
    <cfRule type="expression" dxfId="3073" priority="159">
      <formula>$B14=""</formula>
    </cfRule>
  </conditionalFormatting>
  <conditionalFormatting sqref="F56:M56">
    <cfRule type="expression" dxfId="3072" priority="160">
      <formula>AND($B56&lt;&gt;"",$B63="")</formula>
    </cfRule>
    <cfRule type="expression" dxfId="3071" priority="161">
      <formula>$B56=""</formula>
    </cfRule>
  </conditionalFormatting>
  <conditionalFormatting sqref="I50:M50">
    <cfRule type="expression" dxfId="3070" priority="162">
      <formula>AND($B50&lt;&gt;"",$B63="")</formula>
    </cfRule>
    <cfRule type="expression" dxfId="3069" priority="163">
      <formula>$B50=""</formula>
    </cfRule>
  </conditionalFormatting>
  <conditionalFormatting sqref="I43:M44">
    <cfRule type="expression" dxfId="3068" priority="164">
      <formula>AND($B43&lt;&gt;"",$B62="")</formula>
    </cfRule>
    <cfRule type="expression" dxfId="3067" priority="165">
      <formula>$B43=""</formula>
    </cfRule>
  </conditionalFormatting>
  <conditionalFormatting sqref="F63:M63">
    <cfRule type="expression" dxfId="3066" priority="166">
      <formula>AND($B63&lt;&gt;"",#REF!="")</formula>
    </cfRule>
    <cfRule type="expression" dxfId="3065" priority="167">
      <formula>$B63=""</formula>
    </cfRule>
  </conditionalFormatting>
  <conditionalFormatting sqref="F61:M61">
    <cfRule type="expression" dxfId="3064" priority="168">
      <formula>AND($B61&lt;&gt;"",$B64="")</formula>
    </cfRule>
    <cfRule type="expression" dxfId="3063" priority="169">
      <formula>$B61=""</formula>
    </cfRule>
  </conditionalFormatting>
  <conditionalFormatting sqref="F57:M60">
    <cfRule type="expression" dxfId="3062" priority="170">
      <formula>AND($B57&lt;&gt;"",#REF!="")</formula>
    </cfRule>
    <cfRule type="expression" dxfId="3061" priority="171">
      <formula>$B57=""</formula>
    </cfRule>
  </conditionalFormatting>
  <conditionalFormatting sqref="F55:M55">
    <cfRule type="expression" dxfId="3060" priority="172">
      <formula>AND($B55&lt;&gt;"",$B64="")</formula>
    </cfRule>
    <cfRule type="expression" dxfId="3059" priority="173">
      <formula>$B55=""</formula>
    </cfRule>
  </conditionalFormatting>
  <conditionalFormatting sqref="F51:M54">
    <cfRule type="expression" dxfId="3058" priority="174">
      <formula>AND($B51&lt;&gt;"",#REF!="")</formula>
    </cfRule>
    <cfRule type="expression" dxfId="3057" priority="175">
      <formula>$B51=""</formula>
    </cfRule>
  </conditionalFormatting>
  <conditionalFormatting sqref="F51:M63 I45:M50">
    <cfRule type="expression" dxfId="3056" priority="176">
      <formula>AND($B45&lt;&gt;"",#REF!="")</formula>
    </cfRule>
    <cfRule type="expression" dxfId="3055" priority="177">
      <formula>$B45=""</formula>
    </cfRule>
  </conditionalFormatting>
  <conditionalFormatting sqref="F13:M13">
    <cfRule type="expression" dxfId="3054" priority="157">
      <formula>COUNTA(F$14:F$63)&gt;0</formula>
    </cfRule>
  </conditionalFormatting>
  <conditionalFormatting sqref="F51:M63 I14:M50">
    <cfRule type="expression" dxfId="3053" priority="178">
      <formula>COUNTIF($U14:$AB14,F14)&gt;1</formula>
    </cfRule>
  </conditionalFormatting>
  <conditionalFormatting sqref="AC14:AD63">
    <cfRule type="expression" dxfId="3052" priority="137">
      <formula>AND($B14&lt;&gt;"",$B15="")</formula>
    </cfRule>
    <cfRule type="expression" dxfId="3051" priority="138">
      <formula>$B14=""</formula>
    </cfRule>
  </conditionalFormatting>
  <conditionalFormatting sqref="AC56:AD56">
    <cfRule type="expression" dxfId="3050" priority="139">
      <formula>AND($B56&lt;&gt;"",$B63="")</formula>
    </cfRule>
    <cfRule type="expression" dxfId="3049" priority="140">
      <formula>$B56=""</formula>
    </cfRule>
  </conditionalFormatting>
  <conditionalFormatting sqref="AC50:AD50">
    <cfRule type="expression" dxfId="3048" priority="141">
      <formula>AND($B50&lt;&gt;"",$B63="")</formula>
    </cfRule>
    <cfRule type="expression" dxfId="3047" priority="142">
      <formula>$B50=""</formula>
    </cfRule>
  </conditionalFormatting>
  <conditionalFormatting sqref="AC43:AD44">
    <cfRule type="expression" dxfId="3046" priority="143">
      <formula>AND($B43&lt;&gt;"",$B62="")</formula>
    </cfRule>
    <cfRule type="expression" dxfId="3045" priority="144">
      <formula>$B43=""</formula>
    </cfRule>
  </conditionalFormatting>
  <conditionalFormatting sqref="AC63:AD63">
    <cfRule type="expression" dxfId="3044" priority="145">
      <formula>AND($B63&lt;&gt;"",#REF!="")</formula>
    </cfRule>
    <cfRule type="expression" dxfId="3043" priority="146">
      <formula>$B63=""</formula>
    </cfRule>
  </conditionalFormatting>
  <conditionalFormatting sqref="AC61:AD61">
    <cfRule type="expression" dxfId="3042" priority="147">
      <formula>AND($B61&lt;&gt;"",$B64="")</formula>
    </cfRule>
    <cfRule type="expression" dxfId="3041" priority="148">
      <formula>$B61=""</formula>
    </cfRule>
  </conditionalFormatting>
  <conditionalFormatting sqref="AC57:AD60">
    <cfRule type="expression" dxfId="3040" priority="149">
      <formula>AND($B57&lt;&gt;"",#REF!="")</formula>
    </cfRule>
    <cfRule type="expression" dxfId="3039" priority="150">
      <formula>$B57=""</formula>
    </cfRule>
  </conditionalFormatting>
  <conditionalFormatting sqref="AC55:AD55">
    <cfRule type="expression" dxfId="3038" priority="151">
      <formula>AND($B55&lt;&gt;"",$B64="")</formula>
    </cfRule>
    <cfRule type="expression" dxfId="3037" priority="152">
      <formula>$B55=""</formula>
    </cfRule>
  </conditionalFormatting>
  <conditionalFormatting sqref="AC51:AD54">
    <cfRule type="expression" dxfId="3036" priority="153">
      <formula>AND($B51&lt;&gt;"",#REF!="")</formula>
    </cfRule>
    <cfRule type="expression" dxfId="3035" priority="154">
      <formula>$B51=""</formula>
    </cfRule>
  </conditionalFormatting>
  <conditionalFormatting sqref="AC45:AD63">
    <cfRule type="expression" dxfId="3034" priority="155">
      <formula>AND($B45&lt;&gt;"",#REF!="")</formula>
    </cfRule>
    <cfRule type="expression" dxfId="3033" priority="156">
      <formula>$B45=""</formula>
    </cfRule>
  </conditionalFormatting>
  <conditionalFormatting sqref="AC13:AD13">
    <cfRule type="expression" dxfId="3032" priority="136">
      <formula>COUNTA(AC$14:AC$63)&gt;0</formula>
    </cfRule>
  </conditionalFormatting>
  <conditionalFormatting sqref="N14:O63">
    <cfRule type="expression" dxfId="3031" priority="115">
      <formula>AND($B14&lt;&gt;"",$B15="")</formula>
    </cfRule>
    <cfRule type="expression" dxfId="3030" priority="116">
      <formula>$B14=""</formula>
    </cfRule>
  </conditionalFormatting>
  <conditionalFormatting sqref="N56:O56">
    <cfRule type="expression" dxfId="3029" priority="117">
      <formula>AND($B56&lt;&gt;"",$B63="")</formula>
    </cfRule>
    <cfRule type="expression" dxfId="3028" priority="118">
      <formula>$B56=""</formula>
    </cfRule>
  </conditionalFormatting>
  <conditionalFormatting sqref="N50:O50">
    <cfRule type="expression" dxfId="3027" priority="119">
      <formula>AND($B50&lt;&gt;"",$B63="")</formula>
    </cfRule>
    <cfRule type="expression" dxfId="3026" priority="120">
      <formula>$B50=""</formula>
    </cfRule>
  </conditionalFormatting>
  <conditionalFormatting sqref="N43:O44">
    <cfRule type="expression" dxfId="3025" priority="121">
      <formula>AND($B43&lt;&gt;"",$B62="")</formula>
    </cfRule>
    <cfRule type="expression" dxfId="3024" priority="122">
      <formula>$B43=""</formula>
    </cfRule>
  </conditionalFormatting>
  <conditionalFormatting sqref="N63:O63">
    <cfRule type="expression" dxfId="3023" priority="123">
      <formula>AND($B63&lt;&gt;"",#REF!="")</formula>
    </cfRule>
    <cfRule type="expression" dxfId="3022" priority="124">
      <formula>$B63=""</formula>
    </cfRule>
  </conditionalFormatting>
  <conditionalFormatting sqref="N61:O61">
    <cfRule type="expression" dxfId="3021" priority="125">
      <formula>AND($B61&lt;&gt;"",$B64="")</formula>
    </cfRule>
    <cfRule type="expression" dxfId="3020" priority="126">
      <formula>$B61=""</formula>
    </cfRule>
  </conditionalFormatting>
  <conditionalFormatting sqref="N57:O60">
    <cfRule type="expression" dxfId="3019" priority="127">
      <formula>AND($B57&lt;&gt;"",#REF!="")</formula>
    </cfRule>
    <cfRule type="expression" dxfId="3018" priority="128">
      <formula>$B57=""</formula>
    </cfRule>
  </conditionalFormatting>
  <conditionalFormatting sqref="N55:O55">
    <cfRule type="expression" dxfId="3017" priority="129">
      <formula>AND($B55&lt;&gt;"",$B64="")</formula>
    </cfRule>
    <cfRule type="expression" dxfId="3016" priority="130">
      <formula>$B55=""</formula>
    </cfRule>
  </conditionalFormatting>
  <conditionalFormatting sqref="N51:O54">
    <cfRule type="expression" dxfId="3015" priority="131">
      <formula>AND($B51&lt;&gt;"",#REF!="")</formula>
    </cfRule>
    <cfRule type="expression" dxfId="3014" priority="132">
      <formula>$B51=""</formula>
    </cfRule>
  </conditionalFormatting>
  <conditionalFormatting sqref="N45:O63">
    <cfRule type="expression" dxfId="3013" priority="133">
      <formula>AND($B45&lt;&gt;"",#REF!="")</formula>
    </cfRule>
    <cfRule type="expression" dxfId="3012" priority="134">
      <formula>$B45=""</formula>
    </cfRule>
  </conditionalFormatting>
  <conditionalFormatting sqref="N13:O13">
    <cfRule type="expression" dxfId="3011" priority="114">
      <formula>COUNTA(N$14:N$63)&gt;0</formula>
    </cfRule>
  </conditionalFormatting>
  <conditionalFormatting sqref="N14:O63">
    <cfRule type="expression" dxfId="3010" priority="135">
      <formula>COUNTIF($U14:$AB14,N14)&gt;1</formula>
    </cfRule>
  </conditionalFormatting>
  <conditionalFormatting sqref="BF14:BG63">
    <cfRule type="expression" dxfId="3009" priority="94">
      <formula>AND($B14&lt;&gt;"",$B15="")</formula>
    </cfRule>
    <cfRule type="expression" dxfId="3008" priority="95">
      <formula>$B14=""</formula>
    </cfRule>
  </conditionalFormatting>
  <conditionalFormatting sqref="BF56:BG56">
    <cfRule type="expression" dxfId="3007" priority="96">
      <formula>AND($B56&lt;&gt;"",$B63="")</formula>
    </cfRule>
    <cfRule type="expression" dxfId="3006" priority="97">
      <formula>$B56=""</formula>
    </cfRule>
  </conditionalFormatting>
  <conditionalFormatting sqref="BF50:BG50">
    <cfRule type="expression" dxfId="3005" priority="98">
      <formula>AND($B50&lt;&gt;"",$B63="")</formula>
    </cfRule>
    <cfRule type="expression" dxfId="3004" priority="99">
      <formula>$B50=""</formula>
    </cfRule>
  </conditionalFormatting>
  <conditionalFormatting sqref="BF43:BG44">
    <cfRule type="expression" dxfId="3003" priority="100">
      <formula>AND($B43&lt;&gt;"",$B62="")</formula>
    </cfRule>
    <cfRule type="expression" dxfId="3002" priority="101">
      <formula>$B43=""</formula>
    </cfRule>
  </conditionalFormatting>
  <conditionalFormatting sqref="BF63:BG63">
    <cfRule type="expression" dxfId="3001" priority="102">
      <formula>AND($B63&lt;&gt;"",#REF!="")</formula>
    </cfRule>
    <cfRule type="expression" dxfId="3000" priority="103">
      <formula>$B63=""</formula>
    </cfRule>
  </conditionalFormatting>
  <conditionalFormatting sqref="BF61:BG61">
    <cfRule type="expression" dxfId="2999" priority="104">
      <formula>AND($B61&lt;&gt;"",$B64="")</formula>
    </cfRule>
    <cfRule type="expression" dxfId="2998" priority="105">
      <formula>$B61=""</formula>
    </cfRule>
  </conditionalFormatting>
  <conditionalFormatting sqref="BF57:BG60">
    <cfRule type="expression" dxfId="2997" priority="106">
      <formula>AND($B57&lt;&gt;"",#REF!="")</formula>
    </cfRule>
    <cfRule type="expression" dxfId="2996" priority="107">
      <formula>$B57=""</formula>
    </cfRule>
  </conditionalFormatting>
  <conditionalFormatting sqref="BF55:BG55">
    <cfRule type="expression" dxfId="2995" priority="108">
      <formula>AND($B55&lt;&gt;"",$B64="")</formula>
    </cfRule>
    <cfRule type="expression" dxfId="2994" priority="109">
      <formula>$B55=""</formula>
    </cfRule>
  </conditionalFormatting>
  <conditionalFormatting sqref="BF51:BG54">
    <cfRule type="expression" dxfId="2993" priority="110">
      <formula>AND($B51&lt;&gt;"",#REF!="")</formula>
    </cfRule>
    <cfRule type="expression" dxfId="2992" priority="111">
      <formula>$B51=""</formula>
    </cfRule>
  </conditionalFormatting>
  <conditionalFormatting sqref="BF45:BG63">
    <cfRule type="expression" dxfId="2991" priority="112">
      <formula>AND($B45&lt;&gt;"",#REF!="")</formula>
    </cfRule>
    <cfRule type="expression" dxfId="2990" priority="113">
      <formula>$B45=""</formula>
    </cfRule>
  </conditionalFormatting>
  <conditionalFormatting sqref="AL51:AS63 AO14:AS50">
    <cfRule type="expression" dxfId="2989" priority="73">
      <formula>AND($B14&lt;&gt;"",$B15="")</formula>
    </cfRule>
    <cfRule type="expression" dxfId="2988" priority="74">
      <formula>$B14=""</formula>
    </cfRule>
  </conditionalFormatting>
  <conditionalFormatting sqref="AL56:AS56">
    <cfRule type="expression" dxfId="2987" priority="75">
      <formula>AND($B56&lt;&gt;"",$B63="")</formula>
    </cfRule>
    <cfRule type="expression" dxfId="2986" priority="76">
      <formula>$B56=""</formula>
    </cfRule>
  </conditionalFormatting>
  <conditionalFormatting sqref="AO50:AS50">
    <cfRule type="expression" dxfId="2985" priority="77">
      <formula>AND($B50&lt;&gt;"",$B63="")</formula>
    </cfRule>
    <cfRule type="expression" dxfId="2984" priority="78">
      <formula>$B50=""</formula>
    </cfRule>
  </conditionalFormatting>
  <conditionalFormatting sqref="AO43:AS44">
    <cfRule type="expression" dxfId="2983" priority="79">
      <formula>AND($B43&lt;&gt;"",$B62="")</formula>
    </cfRule>
    <cfRule type="expression" dxfId="2982" priority="80">
      <formula>$B43=""</formula>
    </cfRule>
  </conditionalFormatting>
  <conditionalFormatting sqref="AL63:AS63">
    <cfRule type="expression" dxfId="2981" priority="81">
      <formula>AND($B63&lt;&gt;"",#REF!="")</formula>
    </cfRule>
    <cfRule type="expression" dxfId="2980" priority="82">
      <formula>$B63=""</formula>
    </cfRule>
  </conditionalFormatting>
  <conditionalFormatting sqref="AL61:AS61">
    <cfRule type="expression" dxfId="2979" priority="83">
      <formula>AND($B61&lt;&gt;"",$B64="")</formula>
    </cfRule>
    <cfRule type="expression" dxfId="2978" priority="84">
      <formula>$B61=""</formula>
    </cfRule>
  </conditionalFormatting>
  <conditionalFormatting sqref="AL57:AS60">
    <cfRule type="expression" dxfId="2977" priority="85">
      <formula>AND($B57&lt;&gt;"",#REF!="")</formula>
    </cfRule>
    <cfRule type="expression" dxfId="2976" priority="86">
      <formula>$B57=""</formula>
    </cfRule>
  </conditionalFormatting>
  <conditionalFormatting sqref="AL55:AS55">
    <cfRule type="expression" dxfId="2975" priority="87">
      <formula>AND($B55&lt;&gt;"",$B64="")</formula>
    </cfRule>
    <cfRule type="expression" dxfId="2974" priority="88">
      <formula>$B55=""</formula>
    </cfRule>
  </conditionalFormatting>
  <conditionalFormatting sqref="AL51:AS54">
    <cfRule type="expression" dxfId="2973" priority="89">
      <formula>AND($B51&lt;&gt;"",#REF!="")</formula>
    </cfRule>
    <cfRule type="expression" dxfId="2972" priority="90">
      <formula>$B51=""</formula>
    </cfRule>
  </conditionalFormatting>
  <conditionalFormatting sqref="AL51:AS63 AO45:AS50">
    <cfRule type="expression" dxfId="2971" priority="91">
      <formula>AND($B45&lt;&gt;"",#REF!="")</formula>
    </cfRule>
    <cfRule type="expression" dxfId="2970" priority="92">
      <formula>$B45=""</formula>
    </cfRule>
  </conditionalFormatting>
  <conditionalFormatting sqref="AL12:AU12">
    <cfRule type="expression" dxfId="2969" priority="72">
      <formula>COUNTA(AL$14:AL$63)&gt;0</formula>
    </cfRule>
  </conditionalFormatting>
  <conditionalFormatting sqref="AT14:AU63">
    <cfRule type="expression" dxfId="2968" priority="52">
      <formula>AND($B14&lt;&gt;"",$B15="")</formula>
    </cfRule>
    <cfRule type="expression" dxfId="2967" priority="53">
      <formula>$B14=""</formula>
    </cfRule>
  </conditionalFormatting>
  <conditionalFormatting sqref="AT56:AU56">
    <cfRule type="expression" dxfId="2966" priority="54">
      <formula>AND($B56&lt;&gt;"",$B63="")</formula>
    </cfRule>
    <cfRule type="expression" dxfId="2965" priority="55">
      <formula>$B56=""</formula>
    </cfRule>
  </conditionalFormatting>
  <conditionalFormatting sqref="AT50:AU50">
    <cfRule type="expression" dxfId="2964" priority="56">
      <formula>AND($B50&lt;&gt;"",$B63="")</formula>
    </cfRule>
    <cfRule type="expression" dxfId="2963" priority="57">
      <formula>$B50=""</formula>
    </cfRule>
  </conditionalFormatting>
  <conditionalFormatting sqref="AT43:AU44">
    <cfRule type="expression" dxfId="2962" priority="58">
      <formula>AND($B43&lt;&gt;"",$B62="")</formula>
    </cfRule>
    <cfRule type="expression" dxfId="2961" priority="59">
      <formula>$B43=""</formula>
    </cfRule>
  </conditionalFormatting>
  <conditionalFormatting sqref="AT63:AU63">
    <cfRule type="expression" dxfId="2960" priority="60">
      <formula>AND($B63&lt;&gt;"",#REF!="")</formula>
    </cfRule>
    <cfRule type="expression" dxfId="2959" priority="61">
      <formula>$B63=""</formula>
    </cfRule>
  </conditionalFormatting>
  <conditionalFormatting sqref="AT61:AU61">
    <cfRule type="expression" dxfId="2958" priority="62">
      <formula>AND($B61&lt;&gt;"",$B64="")</formula>
    </cfRule>
    <cfRule type="expression" dxfId="2957" priority="63">
      <formula>$B61=""</formula>
    </cfRule>
  </conditionalFormatting>
  <conditionalFormatting sqref="AT57:AU60">
    <cfRule type="expression" dxfId="2956" priority="64">
      <formula>AND($B57&lt;&gt;"",#REF!="")</formula>
    </cfRule>
    <cfRule type="expression" dxfId="2955" priority="65">
      <formula>$B57=""</formula>
    </cfRule>
  </conditionalFormatting>
  <conditionalFormatting sqref="AT55:AU55">
    <cfRule type="expression" dxfId="2954" priority="66">
      <formula>AND($B55&lt;&gt;"",$B64="")</formula>
    </cfRule>
    <cfRule type="expression" dxfId="2953" priority="67">
      <formula>$B55=""</formula>
    </cfRule>
  </conditionalFormatting>
  <conditionalFormatting sqref="AT51:AU54">
    <cfRule type="expression" dxfId="2952" priority="68">
      <formula>AND($B51&lt;&gt;"",#REF!="")</formula>
    </cfRule>
    <cfRule type="expression" dxfId="2951" priority="69">
      <formula>$B51=""</formula>
    </cfRule>
  </conditionalFormatting>
  <conditionalFormatting sqref="AT45:AU63">
    <cfRule type="expression" dxfId="2950" priority="70">
      <formula>AND($B45&lt;&gt;"",#REF!="")</formula>
    </cfRule>
    <cfRule type="expression" dxfId="2949" priority="71">
      <formula>$B45=""</formula>
    </cfRule>
  </conditionalFormatting>
  <conditionalFormatting sqref="AL51:AU63 AO14:AU50">
    <cfRule type="expression" dxfId="2948" priority="93">
      <formula>COUNTIF($AX14:$BE14,AL14)&gt;1</formula>
    </cfRule>
  </conditionalFormatting>
  <conditionalFormatting sqref="F61:S63 U61:BN63">
    <cfRule type="expression" dxfId="2947" priority="208">
      <formula>AND($B61&lt;&gt;"",$B65="")</formula>
    </cfRule>
    <cfRule type="expression" dxfId="2946" priority="209">
      <formula>$B61=""</formula>
    </cfRule>
  </conditionalFormatting>
  <conditionalFormatting sqref="F51:S60 U51:BN60 I50:P50 S50 U50:AK50 AO50:BN50">
    <cfRule type="expression" dxfId="2945" priority="210">
      <formula>AND($B50&lt;&gt;"",#REF!="")</formula>
    </cfRule>
    <cfRule type="expression" dxfId="2944" priority="211">
      <formula>$B50=""</formula>
    </cfRule>
  </conditionalFormatting>
  <conditionalFormatting sqref="T2">
    <cfRule type="expression" dxfId="2943" priority="51">
      <formula>COUNTA(F$14:F$63)&gt;0</formula>
    </cfRule>
  </conditionalFormatting>
  <conditionalFormatting sqref="T3">
    <cfRule type="expression" dxfId="2942" priority="212">
      <formula>COUNTA(G$14:G$63)&gt;0</formula>
    </cfRule>
  </conditionalFormatting>
  <conditionalFormatting sqref="T4">
    <cfRule type="expression" dxfId="2941" priority="213">
      <formula>COUNTA(H$14:H$63)&gt;0</formula>
    </cfRule>
  </conditionalFormatting>
  <conditionalFormatting sqref="T5">
    <cfRule type="expression" dxfId="2940" priority="214">
      <formula>COUNTA(I$14:I$63)&gt;0</formula>
    </cfRule>
  </conditionalFormatting>
  <conditionalFormatting sqref="T7">
    <cfRule type="expression" dxfId="2939" priority="50">
      <formula>COUNTA(K$14:K$63)&gt;0</formula>
    </cfRule>
  </conditionalFormatting>
  <conditionalFormatting sqref="T11">
    <cfRule type="expression" dxfId="2938" priority="215">
      <formula>COUNTA(O$14:O$63)&gt;0</formula>
    </cfRule>
  </conditionalFormatting>
  <conditionalFormatting sqref="T10">
    <cfRule type="expression" dxfId="2937" priority="216">
      <formula>COUNTA(N$14:N$63)&gt;0</formula>
    </cfRule>
  </conditionalFormatting>
  <conditionalFormatting sqref="T9">
    <cfRule type="expression" dxfId="2936" priority="217">
      <formula>COUNTA(M$14:M$63)&gt;0</formula>
    </cfRule>
  </conditionalFormatting>
  <conditionalFormatting sqref="T8">
    <cfRule type="expression" dxfId="2935" priority="218">
      <formula>COUNTA(L$14:L$63)&gt;0</formula>
    </cfRule>
  </conditionalFormatting>
  <conditionalFormatting sqref="T6">
    <cfRule type="expression" dxfId="2934" priority="49">
      <formula>COUNTA(J$14:J$63)&gt;0</formula>
    </cfRule>
  </conditionalFormatting>
  <conditionalFormatting sqref="AW2">
    <cfRule type="expression" dxfId="2933" priority="48">
      <formula>COUNTA(AL$14:AL$63)&gt;0</formula>
    </cfRule>
  </conditionalFormatting>
  <conditionalFormatting sqref="AW3">
    <cfRule type="expression" dxfId="2932" priority="47">
      <formula>COUNTA(AM$14:AM$63)&gt;0</formula>
    </cfRule>
  </conditionalFormatting>
  <conditionalFormatting sqref="AW4">
    <cfRule type="expression" dxfId="2931" priority="46">
      <formula>COUNTA(AN$14:AN$63)&gt;0</formula>
    </cfRule>
  </conditionalFormatting>
  <conditionalFormatting sqref="AW5">
    <cfRule type="expression" dxfId="2930" priority="45">
      <formula>COUNTA(AO$14:AO$63)&gt;0</formula>
    </cfRule>
  </conditionalFormatting>
  <conditionalFormatting sqref="AW6">
    <cfRule type="expression" dxfId="2929" priority="44">
      <formula>COUNTA(AP$14:AP$63)&gt;0</formula>
    </cfRule>
  </conditionalFormatting>
  <conditionalFormatting sqref="AW7">
    <cfRule type="expression" dxfId="2928" priority="43">
      <formula>COUNTA(AQ$14:AQ$63)&gt;0</formula>
    </cfRule>
  </conditionalFormatting>
  <conditionalFormatting sqref="AW8">
    <cfRule type="expression" dxfId="2927" priority="42">
      <formula>COUNTA(AR$14:AR$63)&gt;0</formula>
    </cfRule>
  </conditionalFormatting>
  <conditionalFormatting sqref="AW9">
    <cfRule type="expression" dxfId="2926" priority="41">
      <formula>COUNTA(AS$14:AS$63)&gt;0</formula>
    </cfRule>
  </conditionalFormatting>
  <conditionalFormatting sqref="AW10">
    <cfRule type="expression" dxfId="2925" priority="40">
      <formula>COUNTA(AT$14:AT$63)&gt;0</formula>
    </cfRule>
  </conditionalFormatting>
  <conditionalFormatting sqref="AW11">
    <cfRule type="expression" dxfId="2924" priority="39">
      <formula>COUNTA(AU$14:AU$63)&gt;0</formula>
    </cfRule>
  </conditionalFormatting>
  <conditionalFormatting sqref="F49:H49">
    <cfRule type="expression" dxfId="2923" priority="35">
      <formula>AND($B49&lt;&gt;"",$B64="")</formula>
    </cfRule>
    <cfRule type="expression" dxfId="2922" priority="36">
      <formula>$B49=""</formula>
    </cfRule>
  </conditionalFormatting>
  <conditionalFormatting sqref="F14:H50">
    <cfRule type="expression" dxfId="2921" priority="26">
      <formula>AND($B14&lt;&gt;"",$B15="")</formula>
    </cfRule>
    <cfRule type="expression" dxfId="2920" priority="27">
      <formula>$B14=""</formula>
    </cfRule>
  </conditionalFormatting>
  <conditionalFormatting sqref="F50:H50">
    <cfRule type="expression" dxfId="2919" priority="28">
      <formula>AND($B50&lt;&gt;"",$B63="")</formula>
    </cfRule>
    <cfRule type="expression" dxfId="2918" priority="29">
      <formula>$B50=""</formula>
    </cfRule>
  </conditionalFormatting>
  <conditionalFormatting sqref="F43:H44">
    <cfRule type="expression" dxfId="2917" priority="30">
      <formula>AND($B43&lt;&gt;"",$B62="")</formula>
    </cfRule>
    <cfRule type="expression" dxfId="2916" priority="31">
      <formula>$B43=""</formula>
    </cfRule>
  </conditionalFormatting>
  <conditionalFormatting sqref="F45:H50">
    <cfRule type="expression" dxfId="2915" priority="32">
      <formula>AND($B45&lt;&gt;"",#REF!="")</formula>
    </cfRule>
    <cfRule type="expression" dxfId="2914" priority="33">
      <formula>$B45=""</formula>
    </cfRule>
  </conditionalFormatting>
  <conditionalFormatting sqref="F14:H50">
    <cfRule type="expression" dxfId="2913" priority="34">
      <formula>COUNTIF($U14:$AB14,F14)&gt;1</formula>
    </cfRule>
  </conditionalFormatting>
  <conditionalFormatting sqref="F50:H50">
    <cfRule type="expression" dxfId="2912" priority="37">
      <formula>AND($B50&lt;&gt;"",#REF!="")</formula>
    </cfRule>
    <cfRule type="expression" dxfId="2911" priority="38">
      <formula>$B50=""</formula>
    </cfRule>
  </conditionalFormatting>
  <conditionalFormatting sqref="Q14:R50">
    <cfRule type="expression" dxfId="2910" priority="14">
      <formula>AND($B14&lt;&gt;"",$B15="")</formula>
    </cfRule>
    <cfRule type="expression" dxfId="2909" priority="15">
      <formula>$B14=""</formula>
    </cfRule>
  </conditionalFormatting>
  <conditionalFormatting sqref="Q50:R50">
    <cfRule type="expression" dxfId="2908" priority="16">
      <formula>AND($B50&lt;&gt;"",$B63="")</formula>
    </cfRule>
    <cfRule type="expression" dxfId="2907" priority="17">
      <formula>$B50=""</formula>
    </cfRule>
  </conditionalFormatting>
  <conditionalFormatting sqref="Q43:R44">
    <cfRule type="expression" dxfId="2906" priority="18">
      <formula>AND($B43&lt;&gt;"",$B62="")</formula>
    </cfRule>
    <cfRule type="expression" dxfId="2905" priority="19">
      <formula>$B43=""</formula>
    </cfRule>
  </conditionalFormatting>
  <conditionalFormatting sqref="Q49:R49">
    <cfRule type="expression" dxfId="2904" priority="20">
      <formula>AND($B49&lt;&gt;"",$B64="")</formula>
    </cfRule>
    <cfRule type="expression" dxfId="2903" priority="21">
      <formula>$B49=""</formula>
    </cfRule>
  </conditionalFormatting>
  <conditionalFormatting sqref="Q45:R50">
    <cfRule type="expression" dxfId="2902" priority="22">
      <formula>AND($B45&lt;&gt;"",#REF!="")</formula>
    </cfRule>
    <cfRule type="expression" dxfId="2901" priority="23">
      <formula>$B45=""</formula>
    </cfRule>
  </conditionalFormatting>
  <conditionalFormatting sqref="Q50:R50">
    <cfRule type="expression" dxfId="2900" priority="24">
      <formula>AND($B50&lt;&gt;"",#REF!="")</formula>
    </cfRule>
    <cfRule type="expression" dxfId="2899" priority="25">
      <formula>$B50=""</formula>
    </cfRule>
  </conditionalFormatting>
  <conditionalFormatting sqref="AL49:AN49">
    <cfRule type="expression" dxfId="2898" priority="10">
      <formula>AND($B49&lt;&gt;"",$B64="")</formula>
    </cfRule>
    <cfRule type="expression" dxfId="2897" priority="11">
      <formula>$B49=""</formula>
    </cfRule>
  </conditionalFormatting>
  <conditionalFormatting sqref="AL14:AN50">
    <cfRule type="expression" dxfId="2896" priority="1">
      <formula>AND($B14&lt;&gt;"",$B15="")</formula>
    </cfRule>
    <cfRule type="expression" dxfId="2895" priority="2">
      <formula>$B14=""</formula>
    </cfRule>
  </conditionalFormatting>
  <conditionalFormatting sqref="AL50:AN50">
    <cfRule type="expression" dxfId="2894" priority="3">
      <formula>AND($B50&lt;&gt;"",$B63="")</formula>
    </cfRule>
    <cfRule type="expression" dxfId="2893" priority="4">
      <formula>$B50=""</formula>
    </cfRule>
  </conditionalFormatting>
  <conditionalFormatting sqref="AL43:AN44">
    <cfRule type="expression" dxfId="2892" priority="5">
      <formula>AND($B43&lt;&gt;"",$B62="")</formula>
    </cfRule>
    <cfRule type="expression" dxfId="2891" priority="6">
      <formula>$B43=""</formula>
    </cfRule>
  </conditionalFormatting>
  <conditionalFormatting sqref="AL45:AN50">
    <cfRule type="expression" dxfId="2890" priority="7">
      <formula>AND($B45&lt;&gt;"",#REF!="")</formula>
    </cfRule>
    <cfRule type="expression" dxfId="2889" priority="8">
      <formula>$B45=""</formula>
    </cfRule>
  </conditionalFormatting>
  <conditionalFormatting sqref="AL14:AN50">
    <cfRule type="expression" dxfId="2888" priority="9">
      <formula>COUNTIF($AX14:$BE14,AL14)&gt;1</formula>
    </cfRule>
  </conditionalFormatting>
  <conditionalFormatting sqref="AL50:AN50">
    <cfRule type="expression" dxfId="2887" priority="12">
      <formula>AND($B50&lt;&gt;"",#REF!="")</formula>
    </cfRule>
    <cfRule type="expression" dxfId="2886" priority="13">
      <formula>$B50=""</formula>
    </cfRule>
  </conditionalFormatting>
  <dataValidations count="6">
    <dataValidation allowBlank="1" showInputMessage="1" showErrorMessage="1" prompt="KKM" sqref="H69:H70"/>
    <dataValidation type="whole" allowBlank="1" showInputMessage="1" showErrorMessage="1" errorTitle="Petunjuk" error="Nilai 0-100" sqref="F14:O63 Q14:R63 AL14:AU63">
      <formula1>0</formula1>
      <formula2>100</formula2>
    </dataValidation>
    <dataValidation allowBlank="1" showInputMessage="1" showErrorMessage="1" prompt="Rata-rata Harian" sqref="P12 AV12"/>
    <dataValidation allowBlank="1" showInputMessage="1" showErrorMessage="1" promptTitle="Tulis Bobot Nilai" prompt="Berupa Nilai Praktik, Portofolio atau Proyek._x000a_Bobot Praktik disarankan lebih tinggi" sqref="AL13:AU13 AX13:BG13"/>
    <dataValidation allowBlank="1" showInputMessage="1" showErrorMessage="1" prompt="Bobot Nilai" sqref="P13:R13 BH11 AE12:AF12"/>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0866141732283472" right="0.43307086614173229" top="0.27559055118110237" bottom="0.31496062992125984" header="0.31496062992125984" footer="0.23622047244094491"/>
  <pageSetup paperSize="9" orientation="landscape" blackAndWhite="1"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0000FF"/>
  </sheetPr>
  <dimension ref="A1:DG103"/>
  <sheetViews>
    <sheetView showGridLines="0" showRowColHeaders="0" workbookViewId="0">
      <pane xSplit="5" ySplit="13" topLeftCell="F14" activePane="bottomRight" state="frozen"/>
      <selection activeCell="AW5" sqref="AW5:BN7"/>
      <selection pane="topRight" activeCell="AW5" sqref="AW5:BN7"/>
      <selection pane="bottomLeft" activeCell="AW5" sqref="AW5:BN7"/>
      <selection pane="bottomRight" activeCell="AL14" sqref="AL14:AO50"/>
    </sheetView>
  </sheetViews>
  <sheetFormatPr defaultColWidth="0" defaultRowHeight="12"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t="str">
        <f>Data2!C17</f>
        <v>Ekonomi</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74" t="s">
        <v>1660</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79" t="s">
        <v>1664</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1661</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1665</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1662</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1666</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t="s">
        <v>1663</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1667</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1102</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1230</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1103</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1231</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1104</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1232</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1105</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1233</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1106</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1234</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1107</v>
      </c>
      <c r="AL11" s="1800"/>
      <c r="AM11" s="1803"/>
      <c r="AN11" s="1803"/>
      <c r="AO11" s="1803"/>
      <c r="AP11" s="1803"/>
      <c r="AQ11" s="1803"/>
      <c r="AR11" s="1803"/>
      <c r="AS11" s="1803"/>
      <c r="AT11" s="1803"/>
      <c r="AU11" s="1804"/>
      <c r="AV11" s="1196">
        <v>10</v>
      </c>
      <c r="AW11" s="1197" t="s">
        <v>929</v>
      </c>
      <c r="AX11" s="1198">
        <f t="shared" ref="AX11:BG11" si="1">IF(COUNT(AX14:AX63)&gt;0,AX13,"")</f>
        <v>1</v>
      </c>
      <c r="AY11" s="1198">
        <f t="shared" si="1"/>
        <v>1</v>
      </c>
      <c r="AZ11" s="1198">
        <f t="shared" si="1"/>
        <v>1</v>
      </c>
      <c r="BA11" s="1198">
        <f t="shared" si="1"/>
        <v>1</v>
      </c>
      <c r="BB11" s="1198" t="str">
        <f t="shared" si="1"/>
        <v/>
      </c>
      <c r="BC11" s="1198" t="str">
        <f t="shared" si="1"/>
        <v/>
      </c>
      <c r="BD11" s="1198" t="str">
        <f t="shared" si="1"/>
        <v/>
      </c>
      <c r="BE11" s="1198" t="str">
        <f t="shared" si="1"/>
        <v/>
      </c>
      <c r="BF11" s="1198" t="str">
        <f t="shared" si="1"/>
        <v/>
      </c>
      <c r="BG11" s="1198" t="str">
        <f t="shared" si="1"/>
        <v/>
      </c>
      <c r="BH11" s="1198">
        <f>SUM(AX11:BG11)</f>
        <v>4</v>
      </c>
      <c r="BI11" s="1199"/>
      <c r="BJ11" s="1199"/>
      <c r="BK11" s="1199"/>
      <c r="BL11" s="1199"/>
      <c r="BM11" s="1199"/>
      <c r="BN11" s="1186" t="s">
        <v>1235</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f t="shared" ref="U12:AD12" si="2">IF(COUNT(U14:U63)&gt;0,1,"")</f>
        <v>1</v>
      </c>
      <c r="V12" s="1201">
        <f t="shared" si="2"/>
        <v>1</v>
      </c>
      <c r="W12" s="1201">
        <f t="shared" si="2"/>
        <v>1</v>
      </c>
      <c r="X12" s="1201">
        <f t="shared" si="2"/>
        <v>1</v>
      </c>
      <c r="Y12" s="1201" t="str">
        <f t="shared" si="2"/>
        <v/>
      </c>
      <c r="Z12" s="1201" t="str">
        <f t="shared" si="2"/>
        <v/>
      </c>
      <c r="AA12" s="1201" t="str">
        <f t="shared" si="2"/>
        <v/>
      </c>
      <c r="AB12" s="1201" t="str">
        <f t="shared" si="2"/>
        <v/>
      </c>
      <c r="AC12" s="1201" t="str">
        <f t="shared" si="2"/>
        <v/>
      </c>
      <c r="AD12" s="1201" t="str">
        <f t="shared" si="2"/>
        <v/>
      </c>
      <c r="AE12" s="1202">
        <f>SUM(U12:AD12)</f>
        <v>4</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v>85</v>
      </c>
      <c r="G14" s="277">
        <v>86</v>
      </c>
      <c r="H14" s="277">
        <v>88</v>
      </c>
      <c r="I14" s="277">
        <v>87</v>
      </c>
      <c r="J14" s="277"/>
      <c r="K14" s="277"/>
      <c r="L14" s="277"/>
      <c r="M14" s="280"/>
      <c r="N14" s="277"/>
      <c r="O14" s="278"/>
      <c r="P14" s="279">
        <f t="shared" ref="P14" si="4">IF(COUNT(U14:AD14)&lt;2,"",ROUND(SUM(U14:AD14)/$AE$12,0))</f>
        <v>87</v>
      </c>
      <c r="Q14" s="1480">
        <v>88</v>
      </c>
      <c r="R14" s="1481">
        <v>88</v>
      </c>
      <c r="S14" s="281">
        <f t="shared" ref="S14" si="5">IFERROR(ROUND(((P14*$P$13)+(Q14*$Q$13)+(R14*$R$13))/$AF$12,0),"")</f>
        <v>88</v>
      </c>
      <c r="T14" s="295" t="str">
        <f t="shared" ref="T14" si="6">IF(S14="","",IF(S14&gt;$H$76,$Q$75,IF(S14&gt;$H$77,$Q$76,IF(S14&gt;$H$78,$Q$77,$Q$78))))</f>
        <v>B</v>
      </c>
      <c r="U14" s="1215">
        <f t="shared" ref="U14:AD29" si="7">IF(F14="","",F14+U$13)</f>
        <v>85.01</v>
      </c>
      <c r="V14" s="1216">
        <f t="shared" si="7"/>
        <v>86.02</v>
      </c>
      <c r="W14" s="1216">
        <f t="shared" si="7"/>
        <v>88.03</v>
      </c>
      <c r="X14" s="1216">
        <f t="shared" si="7"/>
        <v>87.04</v>
      </c>
      <c r="Y14" s="1216" t="str">
        <f t="shared" si="7"/>
        <v/>
      </c>
      <c r="Z14" s="1216" t="str">
        <f t="shared" si="7"/>
        <v/>
      </c>
      <c r="AA14" s="1216" t="str">
        <f t="shared" si="7"/>
        <v/>
      </c>
      <c r="AB14" s="1217" t="str">
        <f t="shared" si="7"/>
        <v/>
      </c>
      <c r="AC14" s="1216" t="str">
        <f t="shared" si="7"/>
        <v/>
      </c>
      <c r="AD14" s="1218" t="str">
        <f t="shared" si="7"/>
        <v/>
      </c>
      <c r="AE14" s="1219">
        <f t="shared" ref="AE14" si="8">MAX(U14:AD14)</f>
        <v>88.03</v>
      </c>
      <c r="AF14" s="282">
        <f t="shared" ref="AF14" si="9">MIN(U14:AD14)</f>
        <v>85.01</v>
      </c>
      <c r="AG14" s="282" t="str">
        <f t="shared" ref="AG14:AH29" si="10">IF(AE14&gt;$H$76,$I$75,IF(AE14&gt;$H$77,$I$76,IF(AE14&gt;$H$78,$I$77,$I$78)))</f>
        <v>baik</v>
      </c>
      <c r="AH14" s="282" t="str">
        <f t="shared" si="10"/>
        <v>baik</v>
      </c>
      <c r="AI14" s="282">
        <f t="shared" ref="AI14" si="11">IFERROR(MATCH(AE14,U14:AD14,0),"")</f>
        <v>3</v>
      </c>
      <c r="AJ14" s="283">
        <f t="shared" ref="AJ14" si="12">IFERROR(MATCH(AF14,U14:AD14,0),"")</f>
        <v>1</v>
      </c>
      <c r="AK14" s="284" t="str">
        <f t="shared" ref="AK14" si="13">IF(S14="","",IFERROR("Memiliki kemampuan "&amp;IF(AG14=AH14,AG14&amp;" dalam "&amp;VLOOKUP(AI14,$S$2:$AK$11,19)&amp;" dan "&amp;VLOOKUP(AJ14,$S$2:$AK$11,19),AG14&amp;" dalam "&amp;VLOOKUP(AI14,$S$2:$AK$11,19)&amp;", "&amp;AH14&amp;" kemampuan dalam "&amp;VLOOKUP(AJ14,$S$2:$AK$11,19)),""))</f>
        <v>Memiliki kemampuan baik dalam Memahami konsumsi dan investasi dan Memahami kebijakan pemerintah dalam bidang ekonomi</v>
      </c>
      <c r="AL14" s="276">
        <v>88</v>
      </c>
      <c r="AM14" s="277">
        <v>88</v>
      </c>
      <c r="AN14" s="277">
        <v>88</v>
      </c>
      <c r="AO14" s="277">
        <v>88</v>
      </c>
      <c r="AP14" s="277"/>
      <c r="AQ14" s="277"/>
      <c r="AR14" s="277"/>
      <c r="AS14" s="280"/>
      <c r="AT14" s="277"/>
      <c r="AU14" s="278"/>
      <c r="AV14" s="285">
        <f t="shared" ref="AV14" si="14">IF(COUNT(AL14:AU14)&lt;2,"",ROUND(((AL14*$AX$13)+(AM14*$AY$13)+(AN14*$AZ$13)+(AO14*$BA$13)+(AP14*$BB$13)+(AQ14*$BC$13)+(AR14*$BD$13)+(AS14*$BE$13)+(AT14*$BF$13)+(AU14*$BG$13))/$BH$11,0))</f>
        <v>88</v>
      </c>
      <c r="AW14" s="296" t="str">
        <f t="shared" ref="AW14" si="15">IF(AV14="","",IF(AV14&gt;$AN$76,$AV$75,IF(AV14&gt;$AN$77,$AV$76,IF(AV14&gt;$AN$78,$AV$77,$AV$78))))</f>
        <v>B</v>
      </c>
      <c r="AX14" s="1220">
        <f t="shared" ref="AX14:BG29" si="16">IF(AL14="","",AL14+AX$12)</f>
        <v>88.01</v>
      </c>
      <c r="AY14" s="1221">
        <f t="shared" si="16"/>
        <v>88.02</v>
      </c>
      <c r="AZ14" s="1221">
        <f t="shared" si="16"/>
        <v>88.03</v>
      </c>
      <c r="BA14" s="1221">
        <f t="shared" si="16"/>
        <v>88.04</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88.04</v>
      </c>
      <c r="BI14" s="286">
        <f t="shared" ref="BI14" si="18">MIN(AX14:BG14)</f>
        <v>88.01</v>
      </c>
      <c r="BJ14" s="287" t="str">
        <f t="shared" ref="BJ14:BK14" si="19">IF(BH14&gt;$H$76,$AO$75,IF(BH14&gt;$H$77,$AO$76,IF(BH14&gt;$H$78,$AO$77,$AO$78)))</f>
        <v>baik</v>
      </c>
      <c r="BK14" s="287" t="str">
        <f t="shared" si="19"/>
        <v>baik</v>
      </c>
      <c r="BL14" s="286">
        <f t="shared" ref="BL14" si="20">MATCH(BH14,AX14:BG14,0)</f>
        <v>4</v>
      </c>
      <c r="BM14" s="288">
        <f t="shared" ref="BM14" si="21">MATCH(BI14,AX14:BG14,0)</f>
        <v>1</v>
      </c>
      <c r="BN14" s="289" t="str">
        <f t="shared" ref="BN14" si="22">IF(AV14="","",IFERROR("Memiliki keterampilan "&amp;IF(BJ14=BK14,BJ14&amp;" dalam "&amp;VLOOKUP(BL14,$AV$2:$BN$11,19)&amp;" dan "&amp;VLOOKUP(BM14,$AV$2:$BN$11,19),BJ14&amp;" dalam "&amp;VLOOKUP(BL14,$AV$2:$BN$11,19)&amp;", "&amp;BK14&amp;" keterampilan dalam "&amp;VLOOKUP(BM14,$AV$2:$BN$11,19)),""))</f>
        <v xml:space="preserve">Memiliki keterampilan baik dalam Menbedakan peran bank Umum dan Mendeskripsikan masalah masalah yang di hadapi pemerintah </v>
      </c>
      <c r="BO14" s="67"/>
    </row>
    <row r="15" spans="1:67" ht="33" customHeight="1">
      <c r="A15" s="67"/>
      <c r="B15" s="272">
        <f>IF(D15="","",B14+1)</f>
        <v>2</v>
      </c>
      <c r="C15" s="273">
        <f>IF(Data!F6="","",Data!F6)</f>
        <v>0</v>
      </c>
      <c r="D15" s="274" t="str">
        <f>IF(Data!H6="","",Data!H6)</f>
        <v>Aprianus Bira</v>
      </c>
      <c r="E15" s="275" t="str">
        <f>IF(Data!I6="","",Data!I6)</f>
        <v>L</v>
      </c>
      <c r="F15" s="276">
        <v>82</v>
      </c>
      <c r="G15" s="277">
        <v>85</v>
      </c>
      <c r="H15" s="277">
        <v>85</v>
      </c>
      <c r="I15" s="277">
        <v>82</v>
      </c>
      <c r="J15" s="277"/>
      <c r="K15" s="277"/>
      <c r="L15" s="277"/>
      <c r="M15" s="280"/>
      <c r="N15" s="277"/>
      <c r="O15" s="278"/>
      <c r="P15" s="279">
        <f>IF(COUNT(U15:AD15)&lt;2,"",ROUND(SUM(U15:AD15)/$AE$12,0))</f>
        <v>84</v>
      </c>
      <c r="Q15" s="277">
        <v>86</v>
      </c>
      <c r="R15" s="280">
        <v>85</v>
      </c>
      <c r="S15" s="281">
        <f>IFERROR(ROUND(((P15*$P$13)+(Q15*$Q$13)+(R15*$R$13))/$AF$12,0),"")</f>
        <v>85</v>
      </c>
      <c r="T15" s="295" t="str">
        <f>IF(S15="","",IF(S15&gt;$H$76,$Q$75,IF(S15&gt;$H$77,$Q$76,IF(S15&gt;$H$78,$Q$77,$Q$78))))</f>
        <v>B</v>
      </c>
      <c r="U15" s="1215">
        <f t="shared" si="7"/>
        <v>82.01</v>
      </c>
      <c r="V15" s="1216">
        <f t="shared" si="7"/>
        <v>85.02</v>
      </c>
      <c r="W15" s="1216">
        <f t="shared" si="7"/>
        <v>85.03</v>
      </c>
      <c r="X15" s="1216">
        <f t="shared" si="7"/>
        <v>82.04</v>
      </c>
      <c r="Y15" s="1216" t="str">
        <f t="shared" si="7"/>
        <v/>
      </c>
      <c r="Z15" s="1216" t="str">
        <f t="shared" si="7"/>
        <v/>
      </c>
      <c r="AA15" s="1216" t="str">
        <f t="shared" si="7"/>
        <v/>
      </c>
      <c r="AB15" s="1217" t="str">
        <f t="shared" si="7"/>
        <v/>
      </c>
      <c r="AC15" s="1216" t="str">
        <f t="shared" si="7"/>
        <v/>
      </c>
      <c r="AD15" s="1218" t="str">
        <f t="shared" si="7"/>
        <v/>
      </c>
      <c r="AE15" s="1219">
        <f>MAX(U15:AD15)</f>
        <v>85.03</v>
      </c>
      <c r="AF15" s="282">
        <f>MIN(U15:AD15)</f>
        <v>82.01</v>
      </c>
      <c r="AG15" s="282" t="str">
        <f>IF(AE15&gt;$H$76,$I$75,IF(AE15&gt;$H$77,$I$76,IF(AE15&gt;$H$78,$I$77,$I$78)))</f>
        <v>baik</v>
      </c>
      <c r="AH15" s="282" t="str">
        <f t="shared" si="10"/>
        <v>cukup</v>
      </c>
      <c r="AI15" s="282">
        <f>IFERROR(MATCH(AE15,U15:AD15,0),"")</f>
        <v>3</v>
      </c>
      <c r="AJ15" s="283">
        <f>IFERROR(MATCH(AF15,U15:AD15,0),"")</f>
        <v>1</v>
      </c>
      <c r="AK15" s="284" t="str">
        <f>IF(S15="","",IFERROR("Memiliki kemampuan "&amp;IF(AG15=AH15,AG15&amp;" dalam "&amp;VLOOKUP(AI15,$S$2:$AK$11,19)&amp;" dan "&amp;VLOOKUP(AJ15,$S$2:$AK$11,19),AG15&amp;" dalam "&amp;VLOOKUP(AI15,$S$2:$AK$11,19)&amp;", "&amp;AH15&amp;" kemampuan dalam "&amp;VLOOKUP(AJ15,$S$2:$AK$11,19)),""))</f>
        <v>Memiliki kemampuan baik dalam Memahami konsumsi dan investasi, cukup kemampuan dalam Memahami kebijakan pemerintah dalam bidang ekonomi</v>
      </c>
      <c r="AL15" s="276">
        <v>88</v>
      </c>
      <c r="AM15" s="277">
        <v>88</v>
      </c>
      <c r="AN15" s="277">
        <v>88</v>
      </c>
      <c r="AO15" s="277">
        <v>88</v>
      </c>
      <c r="AP15" s="277"/>
      <c r="AQ15" s="277"/>
      <c r="AR15" s="277"/>
      <c r="AS15" s="280"/>
      <c r="AT15" s="277"/>
      <c r="AU15" s="278"/>
      <c r="AV15" s="285">
        <f>IF(COUNT(AL15:AU15)&lt;2,"",ROUND(((AL15*$AX$13)+(AM15*$AY$13)+(AN15*$AZ$13)+(AO15*$BA$13)+(AP15*$BB$13)+(AQ15*$BC$13)+(AR15*$BD$13)+(AS15*$BE$13)+(AT15*$BF$13)+(AU15*$BG$13))/$BH$11,0))</f>
        <v>88</v>
      </c>
      <c r="AW15" s="296" t="str">
        <f>IF(AV15="","",IF(AV15&gt;$AN$76,$AV$75,IF(AV15&gt;$AN$77,$AV$76,IF(AV15&gt;$AN$78,$AV$77,$AV$78))))</f>
        <v>B</v>
      </c>
      <c r="AX15" s="1220">
        <f t="shared" si="16"/>
        <v>88.01</v>
      </c>
      <c r="AY15" s="1221">
        <f t="shared" si="16"/>
        <v>88.02</v>
      </c>
      <c r="AZ15" s="1221">
        <f>IF(AN15="","",AN15+AZ$12)</f>
        <v>88.03</v>
      </c>
      <c r="BA15" s="1221">
        <f t="shared" si="16"/>
        <v>88.04</v>
      </c>
      <c r="BB15" s="1221" t="str">
        <f t="shared" si="16"/>
        <v/>
      </c>
      <c r="BC15" s="1221" t="str">
        <f t="shared" si="16"/>
        <v/>
      </c>
      <c r="BD15" s="1221" t="str">
        <f t="shared" si="16"/>
        <v/>
      </c>
      <c r="BE15" s="1222" t="str">
        <f t="shared" si="16"/>
        <v/>
      </c>
      <c r="BF15" s="1221" t="str">
        <f t="shared" si="16"/>
        <v/>
      </c>
      <c r="BG15" s="1223" t="str">
        <f t="shared" si="16"/>
        <v/>
      </c>
      <c r="BH15" s="286">
        <f>MAX(AX15:BG15)</f>
        <v>88.04</v>
      </c>
      <c r="BI15" s="286">
        <f>MIN(AX15:BG15)</f>
        <v>88.01</v>
      </c>
      <c r="BJ15" s="287" t="str">
        <f>IF(BH15&gt;$H$76,$AO$75,IF(BH15&gt;$H$77,$AO$76,IF(BH15&gt;$H$78,$AO$77,$AO$78)))</f>
        <v>baik</v>
      </c>
      <c r="BK15" s="287" t="str">
        <f>IF(BI15&gt;$H$76,$AO$75,IF(BI15&gt;$H$77,$AO$76,IF(BI15&gt;$H$78,$AO$77,$AO$78)))</f>
        <v>baik</v>
      </c>
      <c r="BL15" s="286">
        <f>MATCH(BH15,AX15:BG15,0)</f>
        <v>4</v>
      </c>
      <c r="BM15" s="288">
        <f>MATCH(BI15,AX15:BG15,0)</f>
        <v>1</v>
      </c>
      <c r="BN15" s="289" t="str">
        <f>IF(AV15="","",IFERROR("Memiliki keterampilan "&amp;IF(BJ15=BK15,BJ15&amp;" dalam "&amp;VLOOKUP(BL15,$AV$2:$BN$11,19)&amp;" dan "&amp;VLOOKUP(BM15,$AV$2:$BN$11,19),BJ15&amp;" dalam "&amp;VLOOKUP(BL15,$AV$2:$BN$11,19)&amp;", "&amp;BK15&amp;" keterampilan dalam "&amp;VLOOKUP(BM15,$AV$2:$BN$11,19)),""))</f>
        <v xml:space="preserve">Memiliki keterampilan baik dalam Menbedakan peran bank Umum dan Mendeskripsikan masalah masalah yang di hadapi pemerintah </v>
      </c>
      <c r="BO15" s="67"/>
    </row>
    <row r="16" spans="1:67" ht="33" customHeight="1">
      <c r="A16" s="67"/>
      <c r="B16" s="272">
        <f t="shared" ref="B16:B63" si="23">IF(D16="","",B15+1)</f>
        <v>3</v>
      </c>
      <c r="C16" s="273">
        <f>IF(Data!F7="","",Data!F7)</f>
        <v>0</v>
      </c>
      <c r="D16" s="274" t="str">
        <f>IF(Data!H7="","",Data!H7)</f>
        <v>Asri Aldina Baksuni</v>
      </c>
      <c r="E16" s="275" t="str">
        <f>IF(Data!I7="","",Data!I7)</f>
        <v>P</v>
      </c>
      <c r="F16" s="276">
        <v>88</v>
      </c>
      <c r="G16" s="277">
        <v>88</v>
      </c>
      <c r="H16" s="277">
        <v>90</v>
      </c>
      <c r="I16" s="277">
        <v>90</v>
      </c>
      <c r="J16" s="277"/>
      <c r="K16" s="277"/>
      <c r="L16" s="277"/>
      <c r="M16" s="280"/>
      <c r="N16" s="277"/>
      <c r="O16" s="278"/>
      <c r="P16" s="279">
        <f t="shared" ref="P16:P63" si="24">IF(COUNT(U16:AD16)&lt;2,"",ROUND(SUM(U16:AD16)/$AE$12,0))</f>
        <v>89</v>
      </c>
      <c r="Q16" s="277">
        <v>94</v>
      </c>
      <c r="R16" s="280">
        <v>95</v>
      </c>
      <c r="S16" s="281">
        <f t="shared" ref="S16:S63" si="25">IFERROR(ROUND(((P16*$P$13)+(Q16*$Q$13)+(R16*$R$13))/$AF$12,0),"")</f>
        <v>92</v>
      </c>
      <c r="T16" s="295" t="str">
        <f t="shared" ref="T16:T63" si="26">IF(S16="","",IF(S16&gt;$H$76,$Q$75,IF(S16&gt;$H$77,$Q$76,IF(S16&gt;$H$78,$Q$77,$Q$78))))</f>
        <v>B</v>
      </c>
      <c r="U16" s="1215">
        <f t="shared" si="7"/>
        <v>88.01</v>
      </c>
      <c r="V16" s="1216">
        <f t="shared" si="7"/>
        <v>88.02</v>
      </c>
      <c r="W16" s="1216">
        <f t="shared" si="7"/>
        <v>90.03</v>
      </c>
      <c r="X16" s="1216">
        <f t="shared" si="7"/>
        <v>90.04</v>
      </c>
      <c r="Y16" s="1216" t="str">
        <f t="shared" si="7"/>
        <v/>
      </c>
      <c r="Z16" s="1216" t="str">
        <f t="shared" si="7"/>
        <v/>
      </c>
      <c r="AA16" s="1216" t="str">
        <f t="shared" si="7"/>
        <v/>
      </c>
      <c r="AB16" s="1217" t="str">
        <f t="shared" si="7"/>
        <v/>
      </c>
      <c r="AC16" s="1216" t="str">
        <f t="shared" si="7"/>
        <v/>
      </c>
      <c r="AD16" s="1218" t="str">
        <f t="shared" si="7"/>
        <v/>
      </c>
      <c r="AE16" s="1219">
        <f t="shared" ref="AE16:AE63" si="27">MAX(U16:AD16)</f>
        <v>90.04</v>
      </c>
      <c r="AF16" s="282">
        <f t="shared" ref="AF16:AF63" si="28">MIN(U16:AD16)</f>
        <v>88.01</v>
      </c>
      <c r="AG16" s="282" t="str">
        <f t="shared" ref="AG16:AH63" si="29">IF(AE16&gt;$H$76,$I$75,IF(AE16&gt;$H$77,$I$76,IF(AE16&gt;$H$78,$I$77,$I$78)))</f>
        <v>baik</v>
      </c>
      <c r="AH16" s="282" t="str">
        <f t="shared" si="10"/>
        <v>baik</v>
      </c>
      <c r="AI16" s="282">
        <f t="shared" ref="AI16:AI63" si="30">IFERROR(MATCH(AE16,U16:AD16,0),"")</f>
        <v>4</v>
      </c>
      <c r="AJ16" s="283">
        <f t="shared" ref="AJ16:AJ63" si="31">IFERROR(MATCH(AF16,U16:AD16,0),"")</f>
        <v>1</v>
      </c>
      <c r="AK16" s="284" t="str">
        <f t="shared" ref="AK16:AK63" si="32">IF(S16="","",IFERROR("Memiliki kemampuan "&amp;IF(AG16=AH16,AG16&amp;" dalam "&amp;VLOOKUP(AI16,$S$2:$AK$11,19)&amp;" dan "&amp;VLOOKUP(AJ16,$S$2:$AK$11,19),AG16&amp;" dalam "&amp;VLOOKUP(AI16,$S$2:$AK$11,19)&amp;", "&amp;AH16&amp;" kemampuan dalam "&amp;VLOOKUP(AJ16,$S$2:$AK$11,19)),""))</f>
        <v>Memiliki kemampuan baik dalam Memahami uang dan perbankkan dan Memahami kebijakan pemerintah dalam bidang ekonomi</v>
      </c>
      <c r="AL16" s="276">
        <v>88</v>
      </c>
      <c r="AM16" s="277">
        <v>88</v>
      </c>
      <c r="AN16" s="277">
        <v>88</v>
      </c>
      <c r="AO16" s="277">
        <v>88</v>
      </c>
      <c r="AP16" s="277"/>
      <c r="AQ16" s="277"/>
      <c r="AR16" s="277"/>
      <c r="AS16" s="280"/>
      <c r="AT16" s="277"/>
      <c r="AU16" s="278"/>
      <c r="AV16" s="285">
        <f t="shared" ref="AV16:AV63" si="33">IF(COUNT(AL16:AU16)&lt;2,"",ROUND(((AL16*$AX$13)+(AM16*$AY$13)+(AN16*$AZ$13)+(AO16*$BA$13)+(AP16*$BB$13)+(AQ16*$BC$13)+(AR16*$BD$13)+(AS16*$BE$13)+(AT16*$BF$13)+(AU16*$BG$13))/$BH$11,0))</f>
        <v>88</v>
      </c>
      <c r="AW16" s="296" t="str">
        <f t="shared" ref="AW16:AW63" si="34">IF(AV16="","",IF(AV16&gt;$AN$76,$AV$75,IF(AV16&gt;$AN$77,$AV$76,IF(AV16&gt;$AN$78,$AV$77,$AV$78))))</f>
        <v>B</v>
      </c>
      <c r="AX16" s="1220">
        <f t="shared" si="16"/>
        <v>88.01</v>
      </c>
      <c r="AY16" s="1221">
        <f t="shared" si="16"/>
        <v>88.02</v>
      </c>
      <c r="AZ16" s="1221">
        <f t="shared" si="16"/>
        <v>88.03</v>
      </c>
      <c r="BA16" s="1221">
        <f t="shared" si="16"/>
        <v>88.04</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88.04</v>
      </c>
      <c r="BI16" s="286">
        <f t="shared" ref="BI16:BI63" si="36">MIN(AX16:BG16)</f>
        <v>88.01</v>
      </c>
      <c r="BJ16" s="287" t="str">
        <f t="shared" ref="BJ16:BK63" si="37">IF(BH16&gt;$H$76,$AO$75,IF(BH16&gt;$H$77,$AO$76,IF(BH16&gt;$H$78,$AO$77,$AO$78)))</f>
        <v>baik</v>
      </c>
      <c r="BK16" s="287" t="str">
        <f t="shared" si="37"/>
        <v>baik</v>
      </c>
      <c r="BL16" s="286">
        <f t="shared" ref="BL16:BL63" si="38">MATCH(BH16,AX16:BG16,0)</f>
        <v>4</v>
      </c>
      <c r="BM16" s="288">
        <f t="shared" ref="BM16:BM63" si="39">MATCH(BI16,AX16:BG16,0)</f>
        <v>1</v>
      </c>
      <c r="BN16" s="289" t="str">
        <f t="shared" ref="BN16:BN63" si="40">IF(AV16="","",IFERROR("Memiliki keterampilan "&amp;IF(BJ16=BK16,BJ16&amp;" dalam "&amp;VLOOKUP(BL16,$AV$2:$BN$11,19)&amp;" dan "&amp;VLOOKUP(BM16,$AV$2:$BN$11,19),BJ16&amp;" dalam "&amp;VLOOKUP(BL16,$AV$2:$BN$11,19)&amp;", "&amp;BK16&amp;" keterampilan dalam "&amp;VLOOKUP(BM16,$AV$2:$BN$11,19)),""))</f>
        <v xml:space="preserve">Memiliki keterampilan baik dalam Menbedakan peran bank Umum dan Mendeskripsikan masalah masalah yang di hadapi pemerintah </v>
      </c>
      <c r="BO16" s="67"/>
    </row>
    <row r="17" spans="1:67" ht="33" customHeight="1">
      <c r="A17" s="67"/>
      <c r="B17" s="272">
        <f t="shared" si="23"/>
        <v>4</v>
      </c>
      <c r="C17" s="273">
        <f>IF(Data!F8="","",Data!F8)</f>
        <v>0</v>
      </c>
      <c r="D17" s="274" t="str">
        <f>IF(Data!H8="","",Data!H8)</f>
        <v>Asti Welmince Welkis</v>
      </c>
      <c r="E17" s="275" t="str">
        <f>IF(Data!I8="","",Data!I8)</f>
        <v>P</v>
      </c>
      <c r="F17" s="276">
        <v>82</v>
      </c>
      <c r="G17" s="277">
        <v>85</v>
      </c>
      <c r="H17" s="277">
        <v>87</v>
      </c>
      <c r="I17" s="277">
        <v>86</v>
      </c>
      <c r="J17" s="277"/>
      <c r="K17" s="277"/>
      <c r="L17" s="277"/>
      <c r="M17" s="280"/>
      <c r="N17" s="277"/>
      <c r="O17" s="278"/>
      <c r="P17" s="279">
        <f t="shared" si="24"/>
        <v>85</v>
      </c>
      <c r="Q17" s="277">
        <v>86</v>
      </c>
      <c r="R17" s="280">
        <v>88</v>
      </c>
      <c r="S17" s="281">
        <f t="shared" si="25"/>
        <v>86</v>
      </c>
      <c r="T17" s="295" t="str">
        <f t="shared" si="26"/>
        <v>B</v>
      </c>
      <c r="U17" s="1215">
        <f t="shared" si="7"/>
        <v>82.01</v>
      </c>
      <c r="V17" s="1216">
        <f t="shared" si="7"/>
        <v>85.02</v>
      </c>
      <c r="W17" s="1216">
        <f t="shared" si="7"/>
        <v>87.03</v>
      </c>
      <c r="X17" s="1216">
        <f t="shared" si="7"/>
        <v>86.04</v>
      </c>
      <c r="Y17" s="1216" t="str">
        <f t="shared" si="7"/>
        <v/>
      </c>
      <c r="Z17" s="1216" t="str">
        <f t="shared" si="7"/>
        <v/>
      </c>
      <c r="AA17" s="1216" t="str">
        <f t="shared" si="7"/>
        <v/>
      </c>
      <c r="AB17" s="1217" t="str">
        <f t="shared" si="7"/>
        <v/>
      </c>
      <c r="AC17" s="1216" t="str">
        <f t="shared" si="7"/>
        <v/>
      </c>
      <c r="AD17" s="1218" t="str">
        <f t="shared" si="7"/>
        <v/>
      </c>
      <c r="AE17" s="1219">
        <f t="shared" si="27"/>
        <v>87.03</v>
      </c>
      <c r="AF17" s="282">
        <f t="shared" si="28"/>
        <v>82.01</v>
      </c>
      <c r="AG17" s="282" t="str">
        <f t="shared" si="29"/>
        <v>baik</v>
      </c>
      <c r="AH17" s="282" t="str">
        <f t="shared" si="10"/>
        <v>cukup</v>
      </c>
      <c r="AI17" s="282">
        <f t="shared" si="30"/>
        <v>3</v>
      </c>
      <c r="AJ17" s="283">
        <f t="shared" si="31"/>
        <v>1</v>
      </c>
      <c r="AK17" s="284" t="str">
        <f t="shared" si="32"/>
        <v>Memiliki kemampuan baik dalam Memahami konsumsi dan investasi, cukup kemampuan dalam Memahami kebijakan pemerintah dalam bidang ekonomi</v>
      </c>
      <c r="AL17" s="276">
        <v>88</v>
      </c>
      <c r="AM17" s="277">
        <v>88</v>
      </c>
      <c r="AN17" s="277">
        <v>88</v>
      </c>
      <c r="AO17" s="277">
        <v>88</v>
      </c>
      <c r="AP17" s="277"/>
      <c r="AQ17" s="277"/>
      <c r="AR17" s="277"/>
      <c r="AS17" s="280"/>
      <c r="AT17" s="277"/>
      <c r="AU17" s="278"/>
      <c r="AV17" s="285">
        <f t="shared" si="33"/>
        <v>88</v>
      </c>
      <c r="AW17" s="296" t="str">
        <f t="shared" si="34"/>
        <v>B</v>
      </c>
      <c r="AX17" s="1220">
        <f t="shared" si="16"/>
        <v>88.01</v>
      </c>
      <c r="AY17" s="1221">
        <f t="shared" si="16"/>
        <v>88.02</v>
      </c>
      <c r="AZ17" s="1221">
        <f t="shared" si="16"/>
        <v>88.03</v>
      </c>
      <c r="BA17" s="1221">
        <f t="shared" si="16"/>
        <v>88.04</v>
      </c>
      <c r="BB17" s="1221" t="str">
        <f t="shared" si="16"/>
        <v/>
      </c>
      <c r="BC17" s="1221" t="str">
        <f t="shared" si="16"/>
        <v/>
      </c>
      <c r="BD17" s="1221" t="str">
        <f t="shared" si="16"/>
        <v/>
      </c>
      <c r="BE17" s="1222" t="str">
        <f t="shared" si="16"/>
        <v/>
      </c>
      <c r="BF17" s="1221" t="str">
        <f t="shared" si="16"/>
        <v/>
      </c>
      <c r="BG17" s="1223" t="str">
        <f t="shared" si="16"/>
        <v/>
      </c>
      <c r="BH17" s="286">
        <f t="shared" si="35"/>
        <v>88.04</v>
      </c>
      <c r="BI17" s="286">
        <f t="shared" si="36"/>
        <v>88.01</v>
      </c>
      <c r="BJ17" s="287" t="str">
        <f t="shared" si="37"/>
        <v>baik</v>
      </c>
      <c r="BK17" s="287" t="str">
        <f t="shared" si="37"/>
        <v>baik</v>
      </c>
      <c r="BL17" s="286">
        <f t="shared" si="38"/>
        <v>4</v>
      </c>
      <c r="BM17" s="288">
        <f t="shared" si="39"/>
        <v>1</v>
      </c>
      <c r="BN17" s="289" t="str">
        <f t="shared" si="40"/>
        <v xml:space="preserve">Memiliki keterampilan baik dalam Menbedakan peran bank Umum dan Mendeskripsikan masalah masalah yang di hadapi pemerintah </v>
      </c>
      <c r="BO17" s="67"/>
    </row>
    <row r="18" spans="1:67" ht="33" customHeight="1">
      <c r="A18" s="67"/>
      <c r="B18" s="272">
        <f t="shared" si="23"/>
        <v>5</v>
      </c>
      <c r="C18" s="273">
        <f>IF(Data!F9="","",Data!F9)</f>
        <v>0</v>
      </c>
      <c r="D18" s="274" t="str">
        <f>IF(Data!H9="","",Data!H9)</f>
        <v>Aulya Noviyanti Mbura</v>
      </c>
      <c r="E18" s="275" t="str">
        <f>IF(Data!I9="","",Data!I9)</f>
        <v>P</v>
      </c>
      <c r="F18" s="276">
        <v>82</v>
      </c>
      <c r="G18" s="277">
        <v>85</v>
      </c>
      <c r="H18" s="277">
        <v>85</v>
      </c>
      <c r="I18" s="277">
        <v>85</v>
      </c>
      <c r="J18" s="277"/>
      <c r="K18" s="277"/>
      <c r="L18" s="277"/>
      <c r="M18" s="280"/>
      <c r="N18" s="277"/>
      <c r="O18" s="278"/>
      <c r="P18" s="279">
        <f t="shared" si="24"/>
        <v>84</v>
      </c>
      <c r="Q18" s="277">
        <v>88</v>
      </c>
      <c r="R18" s="280">
        <v>86</v>
      </c>
      <c r="S18" s="281">
        <f t="shared" si="25"/>
        <v>86</v>
      </c>
      <c r="T18" s="295" t="str">
        <f t="shared" si="26"/>
        <v>B</v>
      </c>
      <c r="U18" s="1215">
        <f t="shared" si="7"/>
        <v>82.01</v>
      </c>
      <c r="V18" s="1216">
        <f t="shared" si="7"/>
        <v>85.02</v>
      </c>
      <c r="W18" s="1216">
        <f t="shared" si="7"/>
        <v>85.03</v>
      </c>
      <c r="X18" s="1216">
        <f t="shared" si="7"/>
        <v>85.04</v>
      </c>
      <c r="Y18" s="1216" t="str">
        <f t="shared" si="7"/>
        <v/>
      </c>
      <c r="Z18" s="1216" t="str">
        <f t="shared" si="7"/>
        <v/>
      </c>
      <c r="AA18" s="1216" t="str">
        <f t="shared" si="7"/>
        <v/>
      </c>
      <c r="AB18" s="1217" t="str">
        <f t="shared" si="7"/>
        <v/>
      </c>
      <c r="AC18" s="1216" t="str">
        <f t="shared" si="7"/>
        <v/>
      </c>
      <c r="AD18" s="1218" t="str">
        <f t="shared" si="7"/>
        <v/>
      </c>
      <c r="AE18" s="1219">
        <f t="shared" si="27"/>
        <v>85.04</v>
      </c>
      <c r="AF18" s="282">
        <f t="shared" si="28"/>
        <v>82.01</v>
      </c>
      <c r="AG18" s="282" t="str">
        <f t="shared" si="29"/>
        <v>baik</v>
      </c>
      <c r="AH18" s="282" t="str">
        <f t="shared" si="10"/>
        <v>cukup</v>
      </c>
      <c r="AI18" s="282">
        <f t="shared" si="30"/>
        <v>4</v>
      </c>
      <c r="AJ18" s="283">
        <f t="shared" si="31"/>
        <v>1</v>
      </c>
      <c r="AK18" s="284" t="str">
        <f t="shared" si="32"/>
        <v>Memiliki kemampuan baik dalam Memahami uang dan perbankkan, cukup kemampuan dalam Memahami kebijakan pemerintah dalam bidang ekonomi</v>
      </c>
      <c r="AL18" s="276">
        <v>88</v>
      </c>
      <c r="AM18" s="277">
        <v>88</v>
      </c>
      <c r="AN18" s="277">
        <v>88</v>
      </c>
      <c r="AO18" s="277">
        <v>88</v>
      </c>
      <c r="AP18" s="277"/>
      <c r="AQ18" s="277"/>
      <c r="AR18" s="277"/>
      <c r="AS18" s="280"/>
      <c r="AT18" s="277"/>
      <c r="AU18" s="278"/>
      <c r="AV18" s="285">
        <f t="shared" si="33"/>
        <v>88</v>
      </c>
      <c r="AW18" s="296" t="str">
        <f t="shared" si="34"/>
        <v>B</v>
      </c>
      <c r="AX18" s="1220">
        <f t="shared" si="16"/>
        <v>88.01</v>
      </c>
      <c r="AY18" s="1221">
        <f t="shared" si="16"/>
        <v>88.02</v>
      </c>
      <c r="AZ18" s="1221">
        <f t="shared" si="16"/>
        <v>88.03</v>
      </c>
      <c r="BA18" s="1221">
        <f t="shared" si="16"/>
        <v>88.04</v>
      </c>
      <c r="BB18" s="1221" t="str">
        <f t="shared" si="16"/>
        <v/>
      </c>
      <c r="BC18" s="1221" t="str">
        <f t="shared" si="16"/>
        <v/>
      </c>
      <c r="BD18" s="1221" t="str">
        <f t="shared" si="16"/>
        <v/>
      </c>
      <c r="BE18" s="1222" t="str">
        <f t="shared" si="16"/>
        <v/>
      </c>
      <c r="BF18" s="1221" t="str">
        <f t="shared" si="16"/>
        <v/>
      </c>
      <c r="BG18" s="1223" t="str">
        <f t="shared" si="16"/>
        <v/>
      </c>
      <c r="BH18" s="286">
        <f t="shared" si="35"/>
        <v>88.04</v>
      </c>
      <c r="BI18" s="286">
        <f t="shared" si="36"/>
        <v>88.01</v>
      </c>
      <c r="BJ18" s="287" t="str">
        <f t="shared" si="37"/>
        <v>baik</v>
      </c>
      <c r="BK18" s="287" t="str">
        <f t="shared" si="37"/>
        <v>baik</v>
      </c>
      <c r="BL18" s="286">
        <f t="shared" si="38"/>
        <v>4</v>
      </c>
      <c r="BM18" s="288">
        <f t="shared" si="39"/>
        <v>1</v>
      </c>
      <c r="BN18" s="289" t="str">
        <f t="shared" si="40"/>
        <v xml:space="preserve">Memiliki keterampilan baik dalam Menbedakan peran bank Umum dan Mendeskripsikan masalah masalah yang di hadapi pemerintah </v>
      </c>
      <c r="BO18" s="67"/>
    </row>
    <row r="19" spans="1:67" ht="33" customHeight="1">
      <c r="A19" s="67"/>
      <c r="B19" s="272">
        <f t="shared" si="23"/>
        <v>6</v>
      </c>
      <c r="C19" s="273">
        <f>IF(Data!F10="","",Data!F10)</f>
        <v>0</v>
      </c>
      <c r="D19" s="274" t="str">
        <f>IF(Data!H10="","",Data!H10)</f>
        <v>Ayu Oliberta Ranboki</v>
      </c>
      <c r="E19" s="275" t="str">
        <f>IF(Data!I10="","",Data!I10)</f>
        <v>P</v>
      </c>
      <c r="F19" s="276">
        <v>90</v>
      </c>
      <c r="G19" s="277">
        <v>90</v>
      </c>
      <c r="H19" s="277">
        <v>89</v>
      </c>
      <c r="I19" s="277">
        <v>89</v>
      </c>
      <c r="J19" s="277"/>
      <c r="K19" s="277"/>
      <c r="L19" s="277"/>
      <c r="M19" s="280"/>
      <c r="N19" s="277"/>
      <c r="O19" s="278"/>
      <c r="P19" s="279">
        <f t="shared" si="24"/>
        <v>90</v>
      </c>
      <c r="Q19" s="277">
        <v>92</v>
      </c>
      <c r="R19" s="280">
        <v>95</v>
      </c>
      <c r="S19" s="281">
        <f t="shared" si="25"/>
        <v>92</v>
      </c>
      <c r="T19" s="295" t="str">
        <f t="shared" si="26"/>
        <v>B</v>
      </c>
      <c r="U19" s="1215">
        <f t="shared" si="7"/>
        <v>90.01</v>
      </c>
      <c r="V19" s="1216">
        <f t="shared" si="7"/>
        <v>90.02</v>
      </c>
      <c r="W19" s="1216">
        <f t="shared" si="7"/>
        <v>89.03</v>
      </c>
      <c r="X19" s="1216">
        <f t="shared" si="7"/>
        <v>89.04</v>
      </c>
      <c r="Y19" s="1216" t="str">
        <f t="shared" si="7"/>
        <v/>
      </c>
      <c r="Z19" s="1216" t="str">
        <f t="shared" si="7"/>
        <v/>
      </c>
      <c r="AA19" s="1216" t="str">
        <f t="shared" si="7"/>
        <v/>
      </c>
      <c r="AB19" s="1217" t="str">
        <f t="shared" si="7"/>
        <v/>
      </c>
      <c r="AC19" s="1216" t="str">
        <f t="shared" si="7"/>
        <v/>
      </c>
      <c r="AD19" s="1218" t="str">
        <f t="shared" si="7"/>
        <v/>
      </c>
      <c r="AE19" s="1219">
        <f t="shared" si="27"/>
        <v>90.02</v>
      </c>
      <c r="AF19" s="282">
        <f t="shared" si="28"/>
        <v>89.03</v>
      </c>
      <c r="AG19" s="282" t="str">
        <f t="shared" si="29"/>
        <v>baik</v>
      </c>
      <c r="AH19" s="282" t="str">
        <f t="shared" si="10"/>
        <v>baik</v>
      </c>
      <c r="AI19" s="282">
        <f t="shared" si="30"/>
        <v>2</v>
      </c>
      <c r="AJ19" s="283">
        <f t="shared" si="31"/>
        <v>3</v>
      </c>
      <c r="AK19" s="284" t="str">
        <f t="shared" si="32"/>
        <v>Memiliki kemampuan baik dalam Memahami produk domistik bruto, pendapatan nasional bruto dan Memahami konsumsi dan investasi</v>
      </c>
      <c r="AL19" s="276">
        <v>88</v>
      </c>
      <c r="AM19" s="277">
        <v>88</v>
      </c>
      <c r="AN19" s="277">
        <v>88</v>
      </c>
      <c r="AO19" s="277">
        <v>88</v>
      </c>
      <c r="AP19" s="277"/>
      <c r="AQ19" s="277"/>
      <c r="AR19" s="277"/>
      <c r="AS19" s="280"/>
      <c r="AT19" s="277"/>
      <c r="AU19" s="278"/>
      <c r="AV19" s="285">
        <f t="shared" si="33"/>
        <v>88</v>
      </c>
      <c r="AW19" s="296" t="str">
        <f t="shared" si="34"/>
        <v>B</v>
      </c>
      <c r="AX19" s="1220">
        <f t="shared" si="16"/>
        <v>88.01</v>
      </c>
      <c r="AY19" s="1221">
        <f t="shared" si="16"/>
        <v>88.02</v>
      </c>
      <c r="AZ19" s="1221">
        <f t="shared" si="16"/>
        <v>88.03</v>
      </c>
      <c r="BA19" s="1221">
        <f t="shared" si="16"/>
        <v>88.04</v>
      </c>
      <c r="BB19" s="1221" t="str">
        <f t="shared" si="16"/>
        <v/>
      </c>
      <c r="BC19" s="1221" t="str">
        <f t="shared" si="16"/>
        <v/>
      </c>
      <c r="BD19" s="1221" t="str">
        <f t="shared" si="16"/>
        <v/>
      </c>
      <c r="BE19" s="1222" t="str">
        <f t="shared" si="16"/>
        <v/>
      </c>
      <c r="BF19" s="1221" t="str">
        <f t="shared" si="16"/>
        <v/>
      </c>
      <c r="BG19" s="1223" t="str">
        <f t="shared" si="16"/>
        <v/>
      </c>
      <c r="BH19" s="286">
        <f t="shared" si="35"/>
        <v>88.04</v>
      </c>
      <c r="BI19" s="286">
        <f t="shared" si="36"/>
        <v>88.01</v>
      </c>
      <c r="BJ19" s="287" t="str">
        <f t="shared" si="37"/>
        <v>baik</v>
      </c>
      <c r="BK19" s="287" t="str">
        <f t="shared" si="37"/>
        <v>baik</v>
      </c>
      <c r="BL19" s="286">
        <f t="shared" si="38"/>
        <v>4</v>
      </c>
      <c r="BM19" s="288">
        <f t="shared" si="39"/>
        <v>1</v>
      </c>
      <c r="BN19" s="289" t="str">
        <f t="shared" si="40"/>
        <v xml:space="preserve">Memiliki keterampilan baik dalam Menbedakan peran bank Umum dan Mendeskripsikan masalah masalah yang di hadapi pemerintah </v>
      </c>
      <c r="BO19" s="67"/>
    </row>
    <row r="20" spans="1:67" ht="33" customHeight="1">
      <c r="A20" s="67"/>
      <c r="B20" s="272">
        <f t="shared" si="23"/>
        <v>7</v>
      </c>
      <c r="C20" s="273">
        <f>IF(Data!F11="","",Data!F11)</f>
        <v>0</v>
      </c>
      <c r="D20" s="274" t="str">
        <f>IF(Data!H11="","",Data!H11)</f>
        <v>Benediktus Faot</v>
      </c>
      <c r="E20" s="275" t="str">
        <f>IF(Data!I11="","",Data!I11)</f>
        <v>L</v>
      </c>
      <c r="F20" s="276">
        <v>85</v>
      </c>
      <c r="G20" s="277">
        <v>85</v>
      </c>
      <c r="H20" s="277">
        <v>87</v>
      </c>
      <c r="I20" s="277">
        <v>85</v>
      </c>
      <c r="J20" s="277"/>
      <c r="K20" s="277"/>
      <c r="L20" s="277"/>
      <c r="M20" s="280"/>
      <c r="N20" s="277"/>
      <c r="O20" s="278"/>
      <c r="P20" s="279">
        <f t="shared" si="24"/>
        <v>86</v>
      </c>
      <c r="Q20" s="277">
        <v>88</v>
      </c>
      <c r="R20" s="280">
        <v>88</v>
      </c>
      <c r="S20" s="281">
        <f t="shared" si="25"/>
        <v>87</v>
      </c>
      <c r="T20" s="295" t="str">
        <f t="shared" si="26"/>
        <v>B</v>
      </c>
      <c r="U20" s="1215">
        <f t="shared" si="7"/>
        <v>85.01</v>
      </c>
      <c r="V20" s="1216">
        <f t="shared" si="7"/>
        <v>85.02</v>
      </c>
      <c r="W20" s="1216">
        <f t="shared" si="7"/>
        <v>87.03</v>
      </c>
      <c r="X20" s="1216">
        <f t="shared" si="7"/>
        <v>85.04</v>
      </c>
      <c r="Y20" s="1216" t="str">
        <f t="shared" si="7"/>
        <v/>
      </c>
      <c r="Z20" s="1216" t="str">
        <f t="shared" si="7"/>
        <v/>
      </c>
      <c r="AA20" s="1216" t="str">
        <f t="shared" si="7"/>
        <v/>
      </c>
      <c r="AB20" s="1217" t="str">
        <f t="shared" si="7"/>
        <v/>
      </c>
      <c r="AC20" s="1216" t="str">
        <f t="shared" si="7"/>
        <v/>
      </c>
      <c r="AD20" s="1218" t="str">
        <f t="shared" si="7"/>
        <v/>
      </c>
      <c r="AE20" s="1219">
        <f t="shared" si="27"/>
        <v>87.03</v>
      </c>
      <c r="AF20" s="282">
        <f t="shared" si="28"/>
        <v>85.01</v>
      </c>
      <c r="AG20" s="282" t="str">
        <f t="shared" si="29"/>
        <v>baik</v>
      </c>
      <c r="AH20" s="282" t="str">
        <f t="shared" si="10"/>
        <v>baik</v>
      </c>
      <c r="AI20" s="282">
        <f t="shared" si="30"/>
        <v>3</v>
      </c>
      <c r="AJ20" s="283">
        <f t="shared" si="31"/>
        <v>1</v>
      </c>
      <c r="AK20" s="284" t="str">
        <f t="shared" si="32"/>
        <v>Memiliki kemampuan baik dalam Memahami konsumsi dan investasi dan Memahami kebijakan pemerintah dalam bidang ekonomi</v>
      </c>
      <c r="AL20" s="276">
        <v>88</v>
      </c>
      <c r="AM20" s="277">
        <v>88</v>
      </c>
      <c r="AN20" s="277">
        <v>88</v>
      </c>
      <c r="AO20" s="277">
        <v>88</v>
      </c>
      <c r="AP20" s="277"/>
      <c r="AQ20" s="277"/>
      <c r="AR20" s="277"/>
      <c r="AS20" s="280"/>
      <c r="AT20" s="277"/>
      <c r="AU20" s="278"/>
      <c r="AV20" s="285">
        <f t="shared" si="33"/>
        <v>88</v>
      </c>
      <c r="AW20" s="296" t="str">
        <f t="shared" si="34"/>
        <v>B</v>
      </c>
      <c r="AX20" s="1220">
        <f t="shared" si="16"/>
        <v>88.01</v>
      </c>
      <c r="AY20" s="1221">
        <f t="shared" si="16"/>
        <v>88.02</v>
      </c>
      <c r="AZ20" s="1221">
        <f t="shared" si="16"/>
        <v>88.03</v>
      </c>
      <c r="BA20" s="1221">
        <f t="shared" si="16"/>
        <v>88.04</v>
      </c>
      <c r="BB20" s="1221" t="str">
        <f t="shared" si="16"/>
        <v/>
      </c>
      <c r="BC20" s="1221" t="str">
        <f t="shared" si="16"/>
        <v/>
      </c>
      <c r="BD20" s="1221" t="str">
        <f t="shared" si="16"/>
        <v/>
      </c>
      <c r="BE20" s="1222" t="str">
        <f t="shared" si="16"/>
        <v/>
      </c>
      <c r="BF20" s="1221" t="str">
        <f t="shared" si="16"/>
        <v/>
      </c>
      <c r="BG20" s="1223" t="str">
        <f t="shared" si="16"/>
        <v/>
      </c>
      <c r="BH20" s="286">
        <f t="shared" si="35"/>
        <v>88.04</v>
      </c>
      <c r="BI20" s="286">
        <f t="shared" si="36"/>
        <v>88.01</v>
      </c>
      <c r="BJ20" s="287" t="str">
        <f t="shared" si="37"/>
        <v>baik</v>
      </c>
      <c r="BK20" s="287" t="str">
        <f t="shared" si="37"/>
        <v>baik</v>
      </c>
      <c r="BL20" s="286">
        <f t="shared" si="38"/>
        <v>4</v>
      </c>
      <c r="BM20" s="288">
        <f t="shared" si="39"/>
        <v>1</v>
      </c>
      <c r="BN20" s="289" t="str">
        <f t="shared" si="40"/>
        <v xml:space="preserve">Memiliki keterampilan baik dalam Menbedakan peran bank Umum dan Mendeskripsikan masalah masalah yang di hadapi pemerintah </v>
      </c>
      <c r="BO20" s="67"/>
    </row>
    <row r="21" spans="1:67" ht="33" customHeight="1">
      <c r="A21" s="67"/>
      <c r="B21" s="272">
        <f t="shared" si="23"/>
        <v>8</v>
      </c>
      <c r="C21" s="273">
        <f>IF(Data!F12="","",Data!F12)</f>
        <v>0</v>
      </c>
      <c r="D21" s="274" t="str">
        <f>IF(Data!H12="","",Data!H12)</f>
        <v>Betron Imanuel Kuni</v>
      </c>
      <c r="E21" s="275" t="str">
        <f>IF(Data!I12="","",Data!I12)</f>
        <v>L</v>
      </c>
      <c r="F21" s="276">
        <v>82</v>
      </c>
      <c r="G21" s="277">
        <v>85</v>
      </c>
      <c r="H21" s="277">
        <v>82</v>
      </c>
      <c r="I21" s="277">
        <v>88</v>
      </c>
      <c r="J21" s="277"/>
      <c r="K21" s="277"/>
      <c r="L21" s="277"/>
      <c r="M21" s="280"/>
      <c r="N21" s="277"/>
      <c r="O21" s="278"/>
      <c r="P21" s="279">
        <f t="shared" si="24"/>
        <v>84</v>
      </c>
      <c r="Q21" s="277">
        <v>86</v>
      </c>
      <c r="R21" s="280">
        <v>88</v>
      </c>
      <c r="S21" s="281">
        <f t="shared" si="25"/>
        <v>86</v>
      </c>
      <c r="T21" s="295" t="str">
        <f t="shared" si="26"/>
        <v>B</v>
      </c>
      <c r="U21" s="1215">
        <f t="shared" si="7"/>
        <v>82.01</v>
      </c>
      <c r="V21" s="1216">
        <f t="shared" si="7"/>
        <v>85.02</v>
      </c>
      <c r="W21" s="1216">
        <f t="shared" si="7"/>
        <v>82.03</v>
      </c>
      <c r="X21" s="1216">
        <f t="shared" si="7"/>
        <v>88.04</v>
      </c>
      <c r="Y21" s="1216" t="str">
        <f t="shared" si="7"/>
        <v/>
      </c>
      <c r="Z21" s="1216" t="str">
        <f t="shared" si="7"/>
        <v/>
      </c>
      <c r="AA21" s="1216" t="str">
        <f t="shared" si="7"/>
        <v/>
      </c>
      <c r="AB21" s="1217" t="str">
        <f t="shared" si="7"/>
        <v/>
      </c>
      <c r="AC21" s="1216" t="str">
        <f t="shared" si="7"/>
        <v/>
      </c>
      <c r="AD21" s="1218" t="str">
        <f t="shared" si="7"/>
        <v/>
      </c>
      <c r="AE21" s="1219">
        <f t="shared" si="27"/>
        <v>88.04</v>
      </c>
      <c r="AF21" s="282">
        <f t="shared" si="28"/>
        <v>82.01</v>
      </c>
      <c r="AG21" s="282" t="str">
        <f t="shared" si="29"/>
        <v>baik</v>
      </c>
      <c r="AH21" s="282" t="str">
        <f t="shared" si="10"/>
        <v>cukup</v>
      </c>
      <c r="AI21" s="282">
        <f t="shared" si="30"/>
        <v>4</v>
      </c>
      <c r="AJ21" s="283">
        <f t="shared" si="31"/>
        <v>1</v>
      </c>
      <c r="AK21" s="284" t="str">
        <f t="shared" si="32"/>
        <v>Memiliki kemampuan baik dalam Memahami uang dan perbankkan, cukup kemampuan dalam Memahami kebijakan pemerintah dalam bidang ekonomi</v>
      </c>
      <c r="AL21" s="276">
        <v>88</v>
      </c>
      <c r="AM21" s="277">
        <v>88</v>
      </c>
      <c r="AN21" s="277">
        <v>88</v>
      </c>
      <c r="AO21" s="277">
        <v>88</v>
      </c>
      <c r="AP21" s="277"/>
      <c r="AQ21" s="277"/>
      <c r="AR21" s="277"/>
      <c r="AS21" s="280"/>
      <c r="AT21" s="277"/>
      <c r="AU21" s="278"/>
      <c r="AV21" s="285">
        <f t="shared" si="33"/>
        <v>88</v>
      </c>
      <c r="AW21" s="296" t="str">
        <f t="shared" si="34"/>
        <v>B</v>
      </c>
      <c r="AX21" s="1220">
        <f t="shared" si="16"/>
        <v>88.01</v>
      </c>
      <c r="AY21" s="1221">
        <f t="shared" si="16"/>
        <v>88.02</v>
      </c>
      <c r="AZ21" s="1221">
        <f t="shared" si="16"/>
        <v>88.03</v>
      </c>
      <c r="BA21" s="1221">
        <f t="shared" si="16"/>
        <v>88.04</v>
      </c>
      <c r="BB21" s="1221" t="str">
        <f t="shared" si="16"/>
        <v/>
      </c>
      <c r="BC21" s="1221" t="str">
        <f t="shared" si="16"/>
        <v/>
      </c>
      <c r="BD21" s="1221" t="str">
        <f t="shared" si="16"/>
        <v/>
      </c>
      <c r="BE21" s="1222" t="str">
        <f t="shared" si="16"/>
        <v/>
      </c>
      <c r="BF21" s="1221" t="str">
        <f t="shared" si="16"/>
        <v/>
      </c>
      <c r="BG21" s="1223" t="str">
        <f t="shared" si="16"/>
        <v/>
      </c>
      <c r="BH21" s="286">
        <f t="shared" si="35"/>
        <v>88.04</v>
      </c>
      <c r="BI21" s="286">
        <f t="shared" si="36"/>
        <v>88.01</v>
      </c>
      <c r="BJ21" s="287" t="str">
        <f t="shared" si="37"/>
        <v>baik</v>
      </c>
      <c r="BK21" s="287" t="str">
        <f t="shared" si="37"/>
        <v>baik</v>
      </c>
      <c r="BL21" s="286">
        <f t="shared" si="38"/>
        <v>4</v>
      </c>
      <c r="BM21" s="288">
        <f t="shared" si="39"/>
        <v>1</v>
      </c>
      <c r="BN21" s="289" t="str">
        <f t="shared" si="40"/>
        <v xml:space="preserve">Memiliki keterampilan baik dalam Menbedakan peran bank Umum dan Mendeskripsikan masalah masalah yang di hadapi pemerintah </v>
      </c>
      <c r="BO21" s="67"/>
    </row>
    <row r="22" spans="1:67" ht="33" customHeight="1">
      <c r="A22" s="67"/>
      <c r="B22" s="272">
        <f t="shared" si="23"/>
        <v>9</v>
      </c>
      <c r="C22" s="273">
        <f>IF(Data!F13="","",Data!F13)</f>
        <v>0</v>
      </c>
      <c r="D22" s="274" t="str">
        <f>IF(Data!H13="","",Data!H13)</f>
        <v>Demrianus Ton</v>
      </c>
      <c r="E22" s="275" t="str">
        <f>IF(Data!I13="","",Data!I13)</f>
        <v>L</v>
      </c>
      <c r="F22" s="276">
        <v>88</v>
      </c>
      <c r="G22" s="277">
        <v>78</v>
      </c>
      <c r="H22" s="277">
        <v>78</v>
      </c>
      <c r="I22" s="277">
        <v>88</v>
      </c>
      <c r="J22" s="277"/>
      <c r="K22" s="277"/>
      <c r="L22" s="277"/>
      <c r="M22" s="280"/>
      <c r="N22" s="277"/>
      <c r="O22" s="278"/>
      <c r="P22" s="279">
        <f t="shared" si="24"/>
        <v>83</v>
      </c>
      <c r="Q22" s="277">
        <v>78</v>
      </c>
      <c r="R22" s="280">
        <v>78</v>
      </c>
      <c r="S22" s="281">
        <f t="shared" si="25"/>
        <v>81</v>
      </c>
      <c r="T22" s="295" t="str">
        <f t="shared" si="26"/>
        <v>C</v>
      </c>
      <c r="U22" s="1215">
        <f t="shared" si="7"/>
        <v>88.01</v>
      </c>
      <c r="V22" s="1216">
        <f t="shared" si="7"/>
        <v>78.02</v>
      </c>
      <c r="W22" s="1216">
        <f t="shared" si="7"/>
        <v>78.03</v>
      </c>
      <c r="X22" s="1216">
        <f t="shared" si="7"/>
        <v>88.04</v>
      </c>
      <c r="Y22" s="1216" t="str">
        <f t="shared" si="7"/>
        <v/>
      </c>
      <c r="Z22" s="1216" t="str">
        <f t="shared" si="7"/>
        <v/>
      </c>
      <c r="AA22" s="1216" t="str">
        <f t="shared" si="7"/>
        <v/>
      </c>
      <c r="AB22" s="1217" t="str">
        <f t="shared" si="7"/>
        <v/>
      </c>
      <c r="AC22" s="1216" t="str">
        <f t="shared" si="7"/>
        <v/>
      </c>
      <c r="AD22" s="1218" t="str">
        <f t="shared" si="7"/>
        <v/>
      </c>
      <c r="AE22" s="1219">
        <f t="shared" si="27"/>
        <v>88.04</v>
      </c>
      <c r="AF22" s="282">
        <f t="shared" si="28"/>
        <v>78.02</v>
      </c>
      <c r="AG22" s="282" t="str">
        <f t="shared" si="29"/>
        <v>baik</v>
      </c>
      <c r="AH22" s="282" t="str">
        <f t="shared" si="10"/>
        <v>cukup</v>
      </c>
      <c r="AI22" s="282">
        <f t="shared" si="30"/>
        <v>4</v>
      </c>
      <c r="AJ22" s="283">
        <f t="shared" si="31"/>
        <v>2</v>
      </c>
      <c r="AK22" s="284" t="str">
        <f t="shared" si="32"/>
        <v>Memiliki kemampuan baik dalam Memahami uang dan perbankkan, cukup kemampuan dalam Memahami produk domistik bruto, pendapatan nasional bruto</v>
      </c>
      <c r="AL22" s="276">
        <v>88</v>
      </c>
      <c r="AM22" s="277">
        <v>88</v>
      </c>
      <c r="AN22" s="277">
        <v>88</v>
      </c>
      <c r="AO22" s="277">
        <v>88</v>
      </c>
      <c r="AP22" s="277"/>
      <c r="AQ22" s="277"/>
      <c r="AR22" s="277"/>
      <c r="AS22" s="280"/>
      <c r="AT22" s="277"/>
      <c r="AU22" s="278"/>
      <c r="AV22" s="285">
        <f t="shared" si="33"/>
        <v>88</v>
      </c>
      <c r="AW22" s="296" t="str">
        <f t="shared" si="34"/>
        <v>B</v>
      </c>
      <c r="AX22" s="1220">
        <f t="shared" si="16"/>
        <v>88.01</v>
      </c>
      <c r="AY22" s="1221">
        <f t="shared" si="16"/>
        <v>88.02</v>
      </c>
      <c r="AZ22" s="1221">
        <f t="shared" si="16"/>
        <v>88.03</v>
      </c>
      <c r="BA22" s="1221">
        <f t="shared" si="16"/>
        <v>88.04</v>
      </c>
      <c r="BB22" s="1221" t="str">
        <f t="shared" si="16"/>
        <v/>
      </c>
      <c r="BC22" s="1221" t="str">
        <f t="shared" si="16"/>
        <v/>
      </c>
      <c r="BD22" s="1221" t="str">
        <f t="shared" si="16"/>
        <v/>
      </c>
      <c r="BE22" s="1222" t="str">
        <f t="shared" si="16"/>
        <v/>
      </c>
      <c r="BF22" s="1221" t="str">
        <f t="shared" si="16"/>
        <v/>
      </c>
      <c r="BG22" s="1223" t="str">
        <f t="shared" si="16"/>
        <v/>
      </c>
      <c r="BH22" s="286">
        <f t="shared" si="35"/>
        <v>88.04</v>
      </c>
      <c r="BI22" s="286">
        <f t="shared" si="36"/>
        <v>88.01</v>
      </c>
      <c r="BJ22" s="287" t="str">
        <f t="shared" si="37"/>
        <v>baik</v>
      </c>
      <c r="BK22" s="287" t="str">
        <f t="shared" si="37"/>
        <v>baik</v>
      </c>
      <c r="BL22" s="286">
        <f t="shared" si="38"/>
        <v>4</v>
      </c>
      <c r="BM22" s="288">
        <f t="shared" si="39"/>
        <v>1</v>
      </c>
      <c r="BN22" s="289" t="str">
        <f t="shared" si="40"/>
        <v xml:space="preserve">Memiliki keterampilan baik dalam Menbedakan peran bank Umum dan Mendeskripsikan masalah masalah yang di hadapi pemerintah </v>
      </c>
      <c r="BO22" s="67"/>
    </row>
    <row r="23" spans="1:67" ht="33" customHeight="1">
      <c r="A23" s="67"/>
      <c r="B23" s="272">
        <f t="shared" si="23"/>
        <v>10</v>
      </c>
      <c r="C23" s="273">
        <f>IF(Data!F14="","",Data!F14)</f>
        <v>0</v>
      </c>
      <c r="D23" s="274" t="str">
        <f>IF(Data!H14="","",Data!H14)</f>
        <v>Desti Manggoa</v>
      </c>
      <c r="E23" s="275" t="str">
        <f>IF(Data!I14="","",Data!I14)</f>
        <v>P</v>
      </c>
      <c r="F23" s="276">
        <v>86</v>
      </c>
      <c r="G23" s="277">
        <v>85</v>
      </c>
      <c r="H23" s="277">
        <v>87</v>
      </c>
      <c r="I23" s="277">
        <v>87</v>
      </c>
      <c r="J23" s="277"/>
      <c r="K23" s="277"/>
      <c r="L23" s="277"/>
      <c r="M23" s="280"/>
      <c r="N23" s="277"/>
      <c r="O23" s="278"/>
      <c r="P23" s="279">
        <f t="shared" si="24"/>
        <v>86</v>
      </c>
      <c r="Q23" s="277">
        <v>88</v>
      </c>
      <c r="R23" s="280">
        <v>87</v>
      </c>
      <c r="S23" s="281">
        <f t="shared" si="25"/>
        <v>87</v>
      </c>
      <c r="T23" s="295" t="str">
        <f t="shared" si="26"/>
        <v>B</v>
      </c>
      <c r="U23" s="1215">
        <f t="shared" si="7"/>
        <v>86.01</v>
      </c>
      <c r="V23" s="1216">
        <f t="shared" si="7"/>
        <v>85.02</v>
      </c>
      <c r="W23" s="1216">
        <f t="shared" si="7"/>
        <v>87.03</v>
      </c>
      <c r="X23" s="1216">
        <f t="shared" si="7"/>
        <v>87.04</v>
      </c>
      <c r="Y23" s="1216" t="str">
        <f t="shared" si="7"/>
        <v/>
      </c>
      <c r="Z23" s="1216" t="str">
        <f t="shared" si="7"/>
        <v/>
      </c>
      <c r="AA23" s="1216" t="str">
        <f t="shared" si="7"/>
        <v/>
      </c>
      <c r="AB23" s="1217" t="str">
        <f t="shared" si="7"/>
        <v/>
      </c>
      <c r="AC23" s="1216" t="str">
        <f t="shared" si="7"/>
        <v/>
      </c>
      <c r="AD23" s="1218" t="str">
        <f t="shared" si="7"/>
        <v/>
      </c>
      <c r="AE23" s="1219">
        <f t="shared" si="27"/>
        <v>87.04</v>
      </c>
      <c r="AF23" s="282">
        <f t="shared" si="28"/>
        <v>85.02</v>
      </c>
      <c r="AG23" s="282" t="str">
        <f t="shared" si="29"/>
        <v>baik</v>
      </c>
      <c r="AH23" s="282" t="str">
        <f t="shared" si="10"/>
        <v>baik</v>
      </c>
      <c r="AI23" s="282">
        <f t="shared" si="30"/>
        <v>4</v>
      </c>
      <c r="AJ23" s="283">
        <f t="shared" si="31"/>
        <v>2</v>
      </c>
      <c r="AK23" s="284" t="str">
        <f t="shared" si="32"/>
        <v>Memiliki kemampuan baik dalam Memahami uang dan perbankkan dan Memahami produk domistik bruto, pendapatan nasional bruto</v>
      </c>
      <c r="AL23" s="276">
        <v>88</v>
      </c>
      <c r="AM23" s="277">
        <v>88</v>
      </c>
      <c r="AN23" s="277">
        <v>88</v>
      </c>
      <c r="AO23" s="277">
        <v>88</v>
      </c>
      <c r="AP23" s="277"/>
      <c r="AQ23" s="277"/>
      <c r="AR23" s="277"/>
      <c r="AS23" s="280"/>
      <c r="AT23" s="277"/>
      <c r="AU23" s="278"/>
      <c r="AV23" s="285">
        <f t="shared" si="33"/>
        <v>88</v>
      </c>
      <c r="AW23" s="296" t="str">
        <f t="shared" si="34"/>
        <v>B</v>
      </c>
      <c r="AX23" s="1220">
        <f t="shared" si="16"/>
        <v>88.01</v>
      </c>
      <c r="AY23" s="1221">
        <f t="shared" si="16"/>
        <v>88.02</v>
      </c>
      <c r="AZ23" s="1221">
        <f t="shared" si="16"/>
        <v>88.03</v>
      </c>
      <c r="BA23" s="1221">
        <f t="shared" si="16"/>
        <v>88.04</v>
      </c>
      <c r="BB23" s="1221" t="str">
        <f t="shared" si="16"/>
        <v/>
      </c>
      <c r="BC23" s="1221" t="str">
        <f t="shared" si="16"/>
        <v/>
      </c>
      <c r="BD23" s="1221" t="str">
        <f t="shared" si="16"/>
        <v/>
      </c>
      <c r="BE23" s="1222" t="str">
        <f t="shared" si="16"/>
        <v/>
      </c>
      <c r="BF23" s="1221" t="str">
        <f t="shared" si="16"/>
        <v/>
      </c>
      <c r="BG23" s="1223" t="str">
        <f t="shared" si="16"/>
        <v/>
      </c>
      <c r="BH23" s="286">
        <f t="shared" si="35"/>
        <v>88.04</v>
      </c>
      <c r="BI23" s="286">
        <f t="shared" si="36"/>
        <v>88.01</v>
      </c>
      <c r="BJ23" s="287" t="str">
        <f t="shared" si="37"/>
        <v>baik</v>
      </c>
      <c r="BK23" s="287" t="str">
        <f t="shared" si="37"/>
        <v>baik</v>
      </c>
      <c r="BL23" s="286">
        <f t="shared" si="38"/>
        <v>4</v>
      </c>
      <c r="BM23" s="288">
        <f t="shared" si="39"/>
        <v>1</v>
      </c>
      <c r="BN23" s="289" t="str">
        <f t="shared" si="40"/>
        <v xml:space="preserve">Memiliki keterampilan baik dalam Menbedakan peran bank Umum dan Mendeskripsikan masalah masalah yang di hadapi pemerintah </v>
      </c>
      <c r="BO23" s="67"/>
    </row>
    <row r="24" spans="1:67" ht="33" customHeight="1">
      <c r="A24" s="67"/>
      <c r="B24" s="272">
        <f t="shared" si="23"/>
        <v>11</v>
      </c>
      <c r="C24" s="273">
        <f>IF(Data!F15="","",Data!F15)</f>
        <v>0</v>
      </c>
      <c r="D24" s="274" t="str">
        <f>IF(Data!H15="","",Data!H15)</f>
        <v>Dorkas Meliana Talita Kesnay</v>
      </c>
      <c r="E24" s="275" t="str">
        <f>IF(Data!I15="","",Data!I15)</f>
        <v>P</v>
      </c>
      <c r="F24" s="276">
        <v>87</v>
      </c>
      <c r="G24" s="277">
        <v>88</v>
      </c>
      <c r="H24" s="277">
        <v>87</v>
      </c>
      <c r="I24" s="277">
        <v>86</v>
      </c>
      <c r="J24" s="277"/>
      <c r="K24" s="277"/>
      <c r="L24" s="277"/>
      <c r="M24" s="280"/>
      <c r="N24" s="277"/>
      <c r="O24" s="278"/>
      <c r="P24" s="279">
        <f t="shared" si="24"/>
        <v>87</v>
      </c>
      <c r="Q24" s="277">
        <v>88</v>
      </c>
      <c r="R24" s="280">
        <v>88</v>
      </c>
      <c r="S24" s="281">
        <f t="shared" si="25"/>
        <v>88</v>
      </c>
      <c r="T24" s="295" t="str">
        <f t="shared" si="26"/>
        <v>B</v>
      </c>
      <c r="U24" s="1215">
        <f t="shared" si="7"/>
        <v>87.01</v>
      </c>
      <c r="V24" s="1216">
        <f t="shared" si="7"/>
        <v>88.02</v>
      </c>
      <c r="W24" s="1216">
        <f t="shared" si="7"/>
        <v>87.03</v>
      </c>
      <c r="X24" s="1216">
        <f t="shared" si="7"/>
        <v>86.04</v>
      </c>
      <c r="Y24" s="1216" t="str">
        <f t="shared" si="7"/>
        <v/>
      </c>
      <c r="Z24" s="1216" t="str">
        <f t="shared" si="7"/>
        <v/>
      </c>
      <c r="AA24" s="1216" t="str">
        <f t="shared" si="7"/>
        <v/>
      </c>
      <c r="AB24" s="1217" t="str">
        <f t="shared" si="7"/>
        <v/>
      </c>
      <c r="AC24" s="1216" t="str">
        <f t="shared" si="7"/>
        <v/>
      </c>
      <c r="AD24" s="1218" t="str">
        <f t="shared" si="7"/>
        <v/>
      </c>
      <c r="AE24" s="1219">
        <f t="shared" si="27"/>
        <v>88.02</v>
      </c>
      <c r="AF24" s="282">
        <f t="shared" si="28"/>
        <v>86.04</v>
      </c>
      <c r="AG24" s="282" t="str">
        <f t="shared" si="29"/>
        <v>baik</v>
      </c>
      <c r="AH24" s="282" t="str">
        <f t="shared" si="10"/>
        <v>baik</v>
      </c>
      <c r="AI24" s="282">
        <f t="shared" si="30"/>
        <v>2</v>
      </c>
      <c r="AJ24" s="283">
        <f t="shared" si="31"/>
        <v>4</v>
      </c>
      <c r="AK24" s="284" t="str">
        <f t="shared" si="32"/>
        <v>Memiliki kemampuan baik dalam Memahami produk domistik bruto, pendapatan nasional bruto dan Memahami uang dan perbankkan</v>
      </c>
      <c r="AL24" s="276">
        <v>88</v>
      </c>
      <c r="AM24" s="277">
        <v>88</v>
      </c>
      <c r="AN24" s="277">
        <v>88</v>
      </c>
      <c r="AO24" s="277">
        <v>88</v>
      </c>
      <c r="AP24" s="277"/>
      <c r="AQ24" s="277"/>
      <c r="AR24" s="277"/>
      <c r="AS24" s="280"/>
      <c r="AT24" s="277"/>
      <c r="AU24" s="278"/>
      <c r="AV24" s="285">
        <f t="shared" si="33"/>
        <v>88</v>
      </c>
      <c r="AW24" s="296" t="str">
        <f t="shared" si="34"/>
        <v>B</v>
      </c>
      <c r="AX24" s="1220">
        <f t="shared" si="16"/>
        <v>88.01</v>
      </c>
      <c r="AY24" s="1221">
        <f t="shared" si="16"/>
        <v>88.02</v>
      </c>
      <c r="AZ24" s="1221">
        <f t="shared" si="16"/>
        <v>88.03</v>
      </c>
      <c r="BA24" s="1221">
        <f t="shared" si="16"/>
        <v>88.04</v>
      </c>
      <c r="BB24" s="1221" t="str">
        <f t="shared" si="16"/>
        <v/>
      </c>
      <c r="BC24" s="1221" t="str">
        <f t="shared" si="16"/>
        <v/>
      </c>
      <c r="BD24" s="1221" t="str">
        <f t="shared" si="16"/>
        <v/>
      </c>
      <c r="BE24" s="1222" t="str">
        <f t="shared" si="16"/>
        <v/>
      </c>
      <c r="BF24" s="1221" t="str">
        <f t="shared" si="16"/>
        <v/>
      </c>
      <c r="BG24" s="1223" t="str">
        <f t="shared" si="16"/>
        <v/>
      </c>
      <c r="BH24" s="286">
        <f t="shared" si="35"/>
        <v>88.04</v>
      </c>
      <c r="BI24" s="286">
        <f t="shared" si="36"/>
        <v>88.01</v>
      </c>
      <c r="BJ24" s="287" t="str">
        <f t="shared" si="37"/>
        <v>baik</v>
      </c>
      <c r="BK24" s="287" t="str">
        <f t="shared" si="37"/>
        <v>baik</v>
      </c>
      <c r="BL24" s="286">
        <f t="shared" si="38"/>
        <v>4</v>
      </c>
      <c r="BM24" s="288">
        <f t="shared" si="39"/>
        <v>1</v>
      </c>
      <c r="BN24" s="289" t="str">
        <f t="shared" si="40"/>
        <v xml:space="preserve">Memiliki keterampilan baik dalam Menbedakan peran bank Umum dan Mendeskripsikan masalah masalah yang di hadapi pemerintah </v>
      </c>
      <c r="BO24" s="67"/>
    </row>
    <row r="25" spans="1:67" ht="33" customHeight="1">
      <c r="A25" s="67"/>
      <c r="B25" s="272">
        <f t="shared" si="23"/>
        <v>12</v>
      </c>
      <c r="C25" s="273">
        <f>IF(Data!F16="","",Data!F16)</f>
        <v>0</v>
      </c>
      <c r="D25" s="274" t="str">
        <f>IF(Data!H16="","",Data!H16)</f>
        <v>Erto Seprianto Leukune</v>
      </c>
      <c r="E25" s="275" t="str">
        <f>IF(Data!I16="","",Data!I16)</f>
        <v>L</v>
      </c>
      <c r="F25" s="276">
        <v>82</v>
      </c>
      <c r="G25" s="277">
        <v>85</v>
      </c>
      <c r="H25" s="277">
        <v>82</v>
      </c>
      <c r="I25" s="277">
        <v>78</v>
      </c>
      <c r="J25" s="277"/>
      <c r="K25" s="277"/>
      <c r="L25" s="277"/>
      <c r="M25" s="280"/>
      <c r="N25" s="277"/>
      <c r="O25" s="278"/>
      <c r="P25" s="279">
        <f t="shared" si="24"/>
        <v>82</v>
      </c>
      <c r="Q25" s="277">
        <v>78</v>
      </c>
      <c r="R25" s="280">
        <v>85</v>
      </c>
      <c r="S25" s="281">
        <f t="shared" si="25"/>
        <v>82</v>
      </c>
      <c r="T25" s="295" t="str">
        <f t="shared" si="26"/>
        <v>C</v>
      </c>
      <c r="U25" s="1215">
        <f t="shared" si="7"/>
        <v>82.01</v>
      </c>
      <c r="V25" s="1216">
        <f t="shared" si="7"/>
        <v>85.02</v>
      </c>
      <c r="W25" s="1216">
        <f t="shared" si="7"/>
        <v>82.03</v>
      </c>
      <c r="X25" s="1216">
        <f t="shared" si="7"/>
        <v>78.040000000000006</v>
      </c>
      <c r="Y25" s="1216" t="str">
        <f t="shared" si="7"/>
        <v/>
      </c>
      <c r="Z25" s="1216" t="str">
        <f t="shared" si="7"/>
        <v/>
      </c>
      <c r="AA25" s="1216" t="str">
        <f t="shared" si="7"/>
        <v/>
      </c>
      <c r="AB25" s="1217" t="str">
        <f t="shared" si="7"/>
        <v/>
      </c>
      <c r="AC25" s="1216" t="str">
        <f t="shared" si="7"/>
        <v/>
      </c>
      <c r="AD25" s="1218" t="str">
        <f t="shared" si="7"/>
        <v/>
      </c>
      <c r="AE25" s="1219">
        <f t="shared" si="27"/>
        <v>85.02</v>
      </c>
      <c r="AF25" s="282">
        <f t="shared" si="28"/>
        <v>78.040000000000006</v>
      </c>
      <c r="AG25" s="282" t="str">
        <f t="shared" si="29"/>
        <v>baik</v>
      </c>
      <c r="AH25" s="282" t="str">
        <f t="shared" si="10"/>
        <v>cukup</v>
      </c>
      <c r="AI25" s="282">
        <f t="shared" si="30"/>
        <v>2</v>
      </c>
      <c r="AJ25" s="283">
        <f t="shared" si="31"/>
        <v>4</v>
      </c>
      <c r="AK25" s="284" t="str">
        <f t="shared" si="32"/>
        <v>Memiliki kemampuan baik dalam Memahami produk domistik bruto, pendapatan nasional bruto, cukup kemampuan dalam Memahami uang dan perbankkan</v>
      </c>
      <c r="AL25" s="276">
        <v>88</v>
      </c>
      <c r="AM25" s="277">
        <v>88</v>
      </c>
      <c r="AN25" s="277">
        <v>88</v>
      </c>
      <c r="AO25" s="277">
        <v>88</v>
      </c>
      <c r="AP25" s="277"/>
      <c r="AQ25" s="277"/>
      <c r="AR25" s="277"/>
      <c r="AS25" s="280"/>
      <c r="AT25" s="277"/>
      <c r="AU25" s="278"/>
      <c r="AV25" s="285">
        <f t="shared" si="33"/>
        <v>88</v>
      </c>
      <c r="AW25" s="296" t="str">
        <f t="shared" si="34"/>
        <v>B</v>
      </c>
      <c r="AX25" s="1220">
        <f t="shared" si="16"/>
        <v>88.01</v>
      </c>
      <c r="AY25" s="1221">
        <f t="shared" si="16"/>
        <v>88.02</v>
      </c>
      <c r="AZ25" s="1221">
        <f t="shared" si="16"/>
        <v>88.03</v>
      </c>
      <c r="BA25" s="1221">
        <f t="shared" si="16"/>
        <v>88.04</v>
      </c>
      <c r="BB25" s="1221" t="str">
        <f t="shared" si="16"/>
        <v/>
      </c>
      <c r="BC25" s="1221" t="str">
        <f t="shared" si="16"/>
        <v/>
      </c>
      <c r="BD25" s="1221" t="str">
        <f t="shared" si="16"/>
        <v/>
      </c>
      <c r="BE25" s="1222" t="str">
        <f t="shared" si="16"/>
        <v/>
      </c>
      <c r="BF25" s="1221" t="str">
        <f t="shared" si="16"/>
        <v/>
      </c>
      <c r="BG25" s="1223" t="str">
        <f t="shared" si="16"/>
        <v/>
      </c>
      <c r="BH25" s="286">
        <f t="shared" si="35"/>
        <v>88.04</v>
      </c>
      <c r="BI25" s="286">
        <f t="shared" si="36"/>
        <v>88.01</v>
      </c>
      <c r="BJ25" s="287" t="str">
        <f t="shared" si="37"/>
        <v>baik</v>
      </c>
      <c r="BK25" s="287" t="str">
        <f t="shared" si="37"/>
        <v>baik</v>
      </c>
      <c r="BL25" s="286">
        <f t="shared" si="38"/>
        <v>4</v>
      </c>
      <c r="BM25" s="288">
        <f t="shared" si="39"/>
        <v>1</v>
      </c>
      <c r="BN25" s="289" t="str">
        <f t="shared" si="40"/>
        <v xml:space="preserve">Memiliki keterampilan baik dalam Menbedakan peran bank Umum dan Mendeskripsikan masalah masalah yang di hadapi pemerintah </v>
      </c>
      <c r="BO25" s="67"/>
    </row>
    <row r="26" spans="1:67" ht="33" customHeight="1">
      <c r="A26" s="67"/>
      <c r="B26" s="272">
        <f t="shared" si="23"/>
        <v>13</v>
      </c>
      <c r="C26" s="273">
        <f>IF(Data!F17="","",Data!F17)</f>
        <v>0</v>
      </c>
      <c r="D26" s="274" t="str">
        <f>IF(Data!H17="","",Data!H17)</f>
        <v>Feli Tipnoni</v>
      </c>
      <c r="E26" s="275" t="str">
        <f>IF(Data!I17="","",Data!I17)</f>
        <v>P</v>
      </c>
      <c r="F26" s="276">
        <v>82</v>
      </c>
      <c r="G26" s="277">
        <v>85</v>
      </c>
      <c r="H26" s="277">
        <v>85</v>
      </c>
      <c r="I26" s="277">
        <v>87</v>
      </c>
      <c r="J26" s="277"/>
      <c r="K26" s="277"/>
      <c r="L26" s="277"/>
      <c r="M26" s="280"/>
      <c r="N26" s="277"/>
      <c r="O26" s="278"/>
      <c r="P26" s="279">
        <f t="shared" si="24"/>
        <v>85</v>
      </c>
      <c r="Q26" s="277">
        <v>86</v>
      </c>
      <c r="R26" s="280">
        <v>85</v>
      </c>
      <c r="S26" s="281">
        <f t="shared" si="25"/>
        <v>85</v>
      </c>
      <c r="T26" s="295" t="str">
        <f t="shared" si="26"/>
        <v>B</v>
      </c>
      <c r="U26" s="1215">
        <f t="shared" si="7"/>
        <v>82.01</v>
      </c>
      <c r="V26" s="1216">
        <f t="shared" si="7"/>
        <v>85.02</v>
      </c>
      <c r="W26" s="1216">
        <f t="shared" si="7"/>
        <v>85.03</v>
      </c>
      <c r="X26" s="1216">
        <f t="shared" si="7"/>
        <v>87.04</v>
      </c>
      <c r="Y26" s="1216" t="str">
        <f t="shared" si="7"/>
        <v/>
      </c>
      <c r="Z26" s="1216" t="str">
        <f t="shared" si="7"/>
        <v/>
      </c>
      <c r="AA26" s="1216" t="str">
        <f t="shared" si="7"/>
        <v/>
      </c>
      <c r="AB26" s="1217" t="str">
        <f t="shared" si="7"/>
        <v/>
      </c>
      <c r="AC26" s="1216" t="str">
        <f t="shared" si="7"/>
        <v/>
      </c>
      <c r="AD26" s="1218" t="str">
        <f t="shared" si="7"/>
        <v/>
      </c>
      <c r="AE26" s="1219">
        <f t="shared" si="27"/>
        <v>87.04</v>
      </c>
      <c r="AF26" s="282">
        <f t="shared" si="28"/>
        <v>82.01</v>
      </c>
      <c r="AG26" s="282" t="str">
        <f t="shared" si="29"/>
        <v>baik</v>
      </c>
      <c r="AH26" s="282" t="str">
        <f t="shared" si="10"/>
        <v>cukup</v>
      </c>
      <c r="AI26" s="282">
        <f t="shared" si="30"/>
        <v>4</v>
      </c>
      <c r="AJ26" s="283">
        <f t="shared" si="31"/>
        <v>1</v>
      </c>
      <c r="AK26" s="284" t="str">
        <f t="shared" si="32"/>
        <v>Memiliki kemampuan baik dalam Memahami uang dan perbankkan, cukup kemampuan dalam Memahami kebijakan pemerintah dalam bidang ekonomi</v>
      </c>
      <c r="AL26" s="276">
        <v>88</v>
      </c>
      <c r="AM26" s="277">
        <v>88</v>
      </c>
      <c r="AN26" s="277">
        <v>88</v>
      </c>
      <c r="AO26" s="277">
        <v>88</v>
      </c>
      <c r="AP26" s="277"/>
      <c r="AQ26" s="277"/>
      <c r="AR26" s="277"/>
      <c r="AS26" s="280"/>
      <c r="AT26" s="277"/>
      <c r="AU26" s="278"/>
      <c r="AV26" s="285">
        <f t="shared" si="33"/>
        <v>88</v>
      </c>
      <c r="AW26" s="296" t="str">
        <f t="shared" si="34"/>
        <v>B</v>
      </c>
      <c r="AX26" s="1220">
        <f t="shared" si="16"/>
        <v>88.01</v>
      </c>
      <c r="AY26" s="1221">
        <f t="shared" si="16"/>
        <v>88.02</v>
      </c>
      <c r="AZ26" s="1221">
        <f t="shared" si="16"/>
        <v>88.03</v>
      </c>
      <c r="BA26" s="1221">
        <f t="shared" si="16"/>
        <v>88.04</v>
      </c>
      <c r="BB26" s="1221" t="str">
        <f t="shared" si="16"/>
        <v/>
      </c>
      <c r="BC26" s="1221" t="str">
        <f t="shared" si="16"/>
        <v/>
      </c>
      <c r="BD26" s="1221" t="str">
        <f t="shared" si="16"/>
        <v/>
      </c>
      <c r="BE26" s="1222" t="str">
        <f t="shared" si="16"/>
        <v/>
      </c>
      <c r="BF26" s="1221" t="str">
        <f t="shared" si="16"/>
        <v/>
      </c>
      <c r="BG26" s="1223" t="str">
        <f t="shared" si="16"/>
        <v/>
      </c>
      <c r="BH26" s="286">
        <f t="shared" si="35"/>
        <v>88.04</v>
      </c>
      <c r="BI26" s="286">
        <f t="shared" si="36"/>
        <v>88.01</v>
      </c>
      <c r="BJ26" s="287" t="str">
        <f t="shared" si="37"/>
        <v>baik</v>
      </c>
      <c r="BK26" s="287" t="str">
        <f t="shared" si="37"/>
        <v>baik</v>
      </c>
      <c r="BL26" s="286">
        <f t="shared" si="38"/>
        <v>4</v>
      </c>
      <c r="BM26" s="288">
        <f t="shared" si="39"/>
        <v>1</v>
      </c>
      <c r="BN26" s="289" t="str">
        <f t="shared" si="40"/>
        <v xml:space="preserve">Memiliki keterampilan baik dalam Menbedakan peran bank Umum dan Mendeskripsikan masalah masalah yang di hadapi pemerintah </v>
      </c>
      <c r="BO26" s="67"/>
    </row>
    <row r="27" spans="1:67" ht="33" customHeight="1">
      <c r="A27" s="67"/>
      <c r="B27" s="272">
        <f t="shared" si="23"/>
        <v>14</v>
      </c>
      <c r="C27" s="273">
        <f>IF(Data!F18="","",Data!F18)</f>
        <v>0</v>
      </c>
      <c r="D27" s="274" t="str">
        <f>IF(Data!H18="","",Data!H18)</f>
        <v xml:space="preserve">Ferdinandes Sakbana </v>
      </c>
      <c r="E27" s="275" t="str">
        <f>IF(Data!I18="","",Data!I18)</f>
        <v>L</v>
      </c>
      <c r="F27" s="276">
        <v>88</v>
      </c>
      <c r="G27" s="277">
        <v>85</v>
      </c>
      <c r="H27" s="277">
        <v>83</v>
      </c>
      <c r="I27" s="277">
        <v>82</v>
      </c>
      <c r="J27" s="277"/>
      <c r="K27" s="277"/>
      <c r="L27" s="277"/>
      <c r="M27" s="280"/>
      <c r="N27" s="277"/>
      <c r="O27" s="278"/>
      <c r="P27" s="279">
        <f t="shared" si="24"/>
        <v>85</v>
      </c>
      <c r="Q27" s="277">
        <v>88</v>
      </c>
      <c r="R27" s="280">
        <v>89</v>
      </c>
      <c r="S27" s="281">
        <f t="shared" si="25"/>
        <v>87</v>
      </c>
      <c r="T27" s="295" t="str">
        <f t="shared" si="26"/>
        <v>B</v>
      </c>
      <c r="U27" s="1215">
        <f t="shared" si="7"/>
        <v>88.01</v>
      </c>
      <c r="V27" s="1216">
        <f t="shared" si="7"/>
        <v>85.02</v>
      </c>
      <c r="W27" s="1216">
        <f t="shared" si="7"/>
        <v>83.03</v>
      </c>
      <c r="X27" s="1216">
        <f t="shared" si="7"/>
        <v>82.04</v>
      </c>
      <c r="Y27" s="1216" t="str">
        <f t="shared" si="7"/>
        <v/>
      </c>
      <c r="Z27" s="1216" t="str">
        <f t="shared" si="7"/>
        <v/>
      </c>
      <c r="AA27" s="1216" t="str">
        <f t="shared" si="7"/>
        <v/>
      </c>
      <c r="AB27" s="1217" t="str">
        <f t="shared" si="7"/>
        <v/>
      </c>
      <c r="AC27" s="1216" t="str">
        <f t="shared" si="7"/>
        <v/>
      </c>
      <c r="AD27" s="1218" t="str">
        <f t="shared" si="7"/>
        <v/>
      </c>
      <c r="AE27" s="1219">
        <f t="shared" si="27"/>
        <v>88.01</v>
      </c>
      <c r="AF27" s="282">
        <f t="shared" si="28"/>
        <v>82.04</v>
      </c>
      <c r="AG27" s="282" t="str">
        <f t="shared" si="29"/>
        <v>baik</v>
      </c>
      <c r="AH27" s="282" t="str">
        <f t="shared" si="10"/>
        <v>cukup</v>
      </c>
      <c r="AI27" s="282">
        <f t="shared" si="30"/>
        <v>1</v>
      </c>
      <c r="AJ27" s="283">
        <f t="shared" si="31"/>
        <v>4</v>
      </c>
      <c r="AK27" s="284" t="str">
        <f t="shared" si="32"/>
        <v>Memiliki kemampuan baik dalam Memahami kebijakan pemerintah dalam bidang ekonomi, cukup kemampuan dalam Memahami uang dan perbankkan</v>
      </c>
      <c r="AL27" s="276">
        <v>88</v>
      </c>
      <c r="AM27" s="277">
        <v>88</v>
      </c>
      <c r="AN27" s="277">
        <v>88</v>
      </c>
      <c r="AO27" s="277">
        <v>88</v>
      </c>
      <c r="AP27" s="277"/>
      <c r="AQ27" s="277"/>
      <c r="AR27" s="277"/>
      <c r="AS27" s="280"/>
      <c r="AT27" s="277"/>
      <c r="AU27" s="278"/>
      <c r="AV27" s="285">
        <f t="shared" si="33"/>
        <v>88</v>
      </c>
      <c r="AW27" s="296" t="str">
        <f t="shared" si="34"/>
        <v>B</v>
      </c>
      <c r="AX27" s="1220">
        <f t="shared" si="16"/>
        <v>88.01</v>
      </c>
      <c r="AY27" s="1221">
        <f t="shared" si="16"/>
        <v>88.02</v>
      </c>
      <c r="AZ27" s="1221">
        <f t="shared" si="16"/>
        <v>88.03</v>
      </c>
      <c r="BA27" s="1221">
        <f t="shared" si="16"/>
        <v>88.04</v>
      </c>
      <c r="BB27" s="1221" t="str">
        <f t="shared" si="16"/>
        <v/>
      </c>
      <c r="BC27" s="1221" t="str">
        <f t="shared" si="16"/>
        <v/>
      </c>
      <c r="BD27" s="1221" t="str">
        <f t="shared" si="16"/>
        <v/>
      </c>
      <c r="BE27" s="1222" t="str">
        <f t="shared" si="16"/>
        <v/>
      </c>
      <c r="BF27" s="1221" t="str">
        <f t="shared" si="16"/>
        <v/>
      </c>
      <c r="BG27" s="1223" t="str">
        <f t="shared" si="16"/>
        <v/>
      </c>
      <c r="BH27" s="286">
        <f t="shared" si="35"/>
        <v>88.04</v>
      </c>
      <c r="BI27" s="286">
        <f t="shared" si="36"/>
        <v>88.01</v>
      </c>
      <c r="BJ27" s="287" t="str">
        <f t="shared" si="37"/>
        <v>baik</v>
      </c>
      <c r="BK27" s="287" t="str">
        <f t="shared" si="37"/>
        <v>baik</v>
      </c>
      <c r="BL27" s="286">
        <f t="shared" si="38"/>
        <v>4</v>
      </c>
      <c r="BM27" s="288">
        <f t="shared" si="39"/>
        <v>1</v>
      </c>
      <c r="BN27" s="289" t="str">
        <f t="shared" si="40"/>
        <v xml:space="preserve">Memiliki keterampilan baik dalam Menbedakan peran bank Umum dan Mendeskripsikan masalah masalah yang di hadapi pemerintah </v>
      </c>
      <c r="BO27" s="67"/>
    </row>
    <row r="28" spans="1:67" ht="33" customHeight="1">
      <c r="A28" s="67"/>
      <c r="B28" s="272">
        <f t="shared" si="23"/>
        <v>15</v>
      </c>
      <c r="C28" s="273">
        <f>IF(Data!F19="","",Data!F19)</f>
        <v>0</v>
      </c>
      <c r="D28" s="274" t="str">
        <f>IF(Data!H19="","",Data!H19)</f>
        <v>Fitri Novani Nitbani</v>
      </c>
      <c r="E28" s="275" t="str">
        <f>IF(Data!I19="","",Data!I19)</f>
        <v>P</v>
      </c>
      <c r="F28" s="276">
        <v>88</v>
      </c>
      <c r="G28" s="277">
        <v>88</v>
      </c>
      <c r="H28" s="277">
        <v>88</v>
      </c>
      <c r="I28" s="277">
        <v>78</v>
      </c>
      <c r="J28" s="277"/>
      <c r="K28" s="277"/>
      <c r="L28" s="277"/>
      <c r="M28" s="280"/>
      <c r="N28" s="277"/>
      <c r="O28" s="278"/>
      <c r="P28" s="279">
        <f t="shared" si="24"/>
        <v>86</v>
      </c>
      <c r="Q28" s="277">
        <v>88</v>
      </c>
      <c r="R28" s="280">
        <v>77</v>
      </c>
      <c r="S28" s="281">
        <f t="shared" si="25"/>
        <v>84</v>
      </c>
      <c r="T28" s="295" t="str">
        <f t="shared" si="26"/>
        <v>C</v>
      </c>
      <c r="U28" s="1215">
        <f t="shared" si="7"/>
        <v>88.01</v>
      </c>
      <c r="V28" s="1216">
        <f t="shared" si="7"/>
        <v>88.02</v>
      </c>
      <c r="W28" s="1216">
        <f t="shared" si="7"/>
        <v>88.03</v>
      </c>
      <c r="X28" s="1216">
        <f t="shared" si="7"/>
        <v>78.040000000000006</v>
      </c>
      <c r="Y28" s="1216" t="str">
        <f t="shared" si="7"/>
        <v/>
      </c>
      <c r="Z28" s="1216" t="str">
        <f t="shared" si="7"/>
        <v/>
      </c>
      <c r="AA28" s="1216" t="str">
        <f t="shared" si="7"/>
        <v/>
      </c>
      <c r="AB28" s="1217" t="str">
        <f t="shared" si="7"/>
        <v/>
      </c>
      <c r="AC28" s="1216" t="str">
        <f t="shared" si="7"/>
        <v/>
      </c>
      <c r="AD28" s="1218" t="str">
        <f t="shared" si="7"/>
        <v/>
      </c>
      <c r="AE28" s="1219">
        <f t="shared" si="27"/>
        <v>88.03</v>
      </c>
      <c r="AF28" s="282">
        <f t="shared" si="28"/>
        <v>78.040000000000006</v>
      </c>
      <c r="AG28" s="282" t="str">
        <f t="shared" si="29"/>
        <v>baik</v>
      </c>
      <c r="AH28" s="282" t="str">
        <f t="shared" si="10"/>
        <v>cukup</v>
      </c>
      <c r="AI28" s="282">
        <f t="shared" si="30"/>
        <v>3</v>
      </c>
      <c r="AJ28" s="283">
        <f t="shared" si="31"/>
        <v>4</v>
      </c>
      <c r="AK28" s="284" t="str">
        <f t="shared" si="32"/>
        <v>Memiliki kemampuan baik dalam Memahami konsumsi dan investasi, cukup kemampuan dalam Memahami uang dan perbankkan</v>
      </c>
      <c r="AL28" s="276">
        <v>88</v>
      </c>
      <c r="AM28" s="277">
        <v>88</v>
      </c>
      <c r="AN28" s="277">
        <v>88</v>
      </c>
      <c r="AO28" s="277">
        <v>88</v>
      </c>
      <c r="AP28" s="277"/>
      <c r="AQ28" s="277"/>
      <c r="AR28" s="277"/>
      <c r="AS28" s="280"/>
      <c r="AT28" s="277"/>
      <c r="AU28" s="278"/>
      <c r="AV28" s="285">
        <f t="shared" si="33"/>
        <v>88</v>
      </c>
      <c r="AW28" s="296" t="str">
        <f t="shared" si="34"/>
        <v>B</v>
      </c>
      <c r="AX28" s="1220">
        <f t="shared" si="16"/>
        <v>88.01</v>
      </c>
      <c r="AY28" s="1221">
        <f t="shared" si="16"/>
        <v>88.02</v>
      </c>
      <c r="AZ28" s="1221">
        <f t="shared" si="16"/>
        <v>88.03</v>
      </c>
      <c r="BA28" s="1221">
        <f t="shared" si="16"/>
        <v>88.04</v>
      </c>
      <c r="BB28" s="1221" t="str">
        <f t="shared" si="16"/>
        <v/>
      </c>
      <c r="BC28" s="1221" t="str">
        <f t="shared" si="16"/>
        <v/>
      </c>
      <c r="BD28" s="1221" t="str">
        <f t="shared" si="16"/>
        <v/>
      </c>
      <c r="BE28" s="1222" t="str">
        <f t="shared" si="16"/>
        <v/>
      </c>
      <c r="BF28" s="1221" t="str">
        <f t="shared" si="16"/>
        <v/>
      </c>
      <c r="BG28" s="1223" t="str">
        <f t="shared" si="16"/>
        <v/>
      </c>
      <c r="BH28" s="286">
        <f t="shared" si="35"/>
        <v>88.04</v>
      </c>
      <c r="BI28" s="286">
        <f t="shared" si="36"/>
        <v>88.01</v>
      </c>
      <c r="BJ28" s="287" t="str">
        <f t="shared" si="37"/>
        <v>baik</v>
      </c>
      <c r="BK28" s="287" t="str">
        <f t="shared" si="37"/>
        <v>baik</v>
      </c>
      <c r="BL28" s="286">
        <f t="shared" si="38"/>
        <v>4</v>
      </c>
      <c r="BM28" s="288">
        <f t="shared" si="39"/>
        <v>1</v>
      </c>
      <c r="BN28" s="289" t="str">
        <f t="shared" si="40"/>
        <v xml:space="preserve">Memiliki keterampilan baik dalam Menbedakan peran bank Umum dan Mendeskripsikan masalah masalah yang di hadapi pemerintah </v>
      </c>
      <c r="BO28" s="67"/>
    </row>
    <row r="29" spans="1:67" ht="33" customHeight="1">
      <c r="A29" s="67"/>
      <c r="B29" s="272">
        <f t="shared" si="23"/>
        <v>16</v>
      </c>
      <c r="C29" s="273">
        <f>IF(Data!F20="","",Data!F20)</f>
        <v>0</v>
      </c>
      <c r="D29" s="274" t="str">
        <f>IF(Data!H20="","",Data!H20)</f>
        <v>Helsina Benu</v>
      </c>
      <c r="E29" s="275" t="str">
        <f>IF(Data!I20="","",Data!I20)</f>
        <v>P</v>
      </c>
      <c r="F29" s="276">
        <v>88</v>
      </c>
      <c r="G29" s="277">
        <v>88</v>
      </c>
      <c r="H29" s="277">
        <v>88</v>
      </c>
      <c r="I29" s="277">
        <v>88</v>
      </c>
      <c r="J29" s="277"/>
      <c r="K29" s="277"/>
      <c r="L29" s="277"/>
      <c r="M29" s="280"/>
      <c r="N29" s="277"/>
      <c r="O29" s="278"/>
      <c r="P29" s="279">
        <f t="shared" si="24"/>
        <v>88</v>
      </c>
      <c r="Q29" s="277">
        <v>87</v>
      </c>
      <c r="R29" s="280">
        <v>88</v>
      </c>
      <c r="S29" s="281">
        <f t="shared" si="25"/>
        <v>88</v>
      </c>
      <c r="T29" s="295" t="str">
        <f t="shared" si="26"/>
        <v>B</v>
      </c>
      <c r="U29" s="1215">
        <f t="shared" si="7"/>
        <v>88.01</v>
      </c>
      <c r="V29" s="1216">
        <f t="shared" si="7"/>
        <v>88.02</v>
      </c>
      <c r="W29" s="1216">
        <f t="shared" si="7"/>
        <v>88.03</v>
      </c>
      <c r="X29" s="1216">
        <f t="shared" si="7"/>
        <v>88.04</v>
      </c>
      <c r="Y29" s="1216" t="str">
        <f t="shared" si="7"/>
        <v/>
      </c>
      <c r="Z29" s="1216" t="str">
        <f t="shared" si="7"/>
        <v/>
      </c>
      <c r="AA29" s="1216" t="str">
        <f t="shared" si="7"/>
        <v/>
      </c>
      <c r="AB29" s="1217" t="str">
        <f t="shared" si="7"/>
        <v/>
      </c>
      <c r="AC29" s="1216" t="str">
        <f t="shared" si="7"/>
        <v/>
      </c>
      <c r="AD29" s="1218" t="str">
        <f t="shared" si="7"/>
        <v/>
      </c>
      <c r="AE29" s="1219">
        <f t="shared" si="27"/>
        <v>88.04</v>
      </c>
      <c r="AF29" s="282">
        <f t="shared" si="28"/>
        <v>88.01</v>
      </c>
      <c r="AG29" s="282" t="str">
        <f t="shared" si="29"/>
        <v>baik</v>
      </c>
      <c r="AH29" s="282" t="str">
        <f t="shared" si="10"/>
        <v>baik</v>
      </c>
      <c r="AI29" s="282">
        <f t="shared" si="30"/>
        <v>4</v>
      </c>
      <c r="AJ29" s="283">
        <f t="shared" si="31"/>
        <v>1</v>
      </c>
      <c r="AK29" s="284" t="str">
        <f t="shared" si="32"/>
        <v>Memiliki kemampuan baik dalam Memahami uang dan perbankkan dan Memahami kebijakan pemerintah dalam bidang ekonomi</v>
      </c>
      <c r="AL29" s="276">
        <v>88</v>
      </c>
      <c r="AM29" s="277">
        <v>88</v>
      </c>
      <c r="AN29" s="277">
        <v>88</v>
      </c>
      <c r="AO29" s="277">
        <v>88</v>
      </c>
      <c r="AP29" s="277"/>
      <c r="AQ29" s="277"/>
      <c r="AR29" s="277"/>
      <c r="AS29" s="280"/>
      <c r="AT29" s="277"/>
      <c r="AU29" s="278"/>
      <c r="AV29" s="285">
        <f t="shared" si="33"/>
        <v>88</v>
      </c>
      <c r="AW29" s="296" t="str">
        <f t="shared" si="34"/>
        <v>B</v>
      </c>
      <c r="AX29" s="1220">
        <f t="shared" si="16"/>
        <v>88.01</v>
      </c>
      <c r="AY29" s="1221">
        <f t="shared" si="16"/>
        <v>88.02</v>
      </c>
      <c r="AZ29" s="1221">
        <f t="shared" si="16"/>
        <v>88.03</v>
      </c>
      <c r="BA29" s="1221">
        <f t="shared" si="16"/>
        <v>88.04</v>
      </c>
      <c r="BB29" s="1221" t="str">
        <f t="shared" si="16"/>
        <v/>
      </c>
      <c r="BC29" s="1221" t="str">
        <f t="shared" si="16"/>
        <v/>
      </c>
      <c r="BD29" s="1221" t="str">
        <f t="shared" si="16"/>
        <v/>
      </c>
      <c r="BE29" s="1222" t="str">
        <f t="shared" si="16"/>
        <v/>
      </c>
      <c r="BF29" s="1221" t="str">
        <f t="shared" si="16"/>
        <v/>
      </c>
      <c r="BG29" s="1223" t="str">
        <f t="shared" si="16"/>
        <v/>
      </c>
      <c r="BH29" s="286">
        <f t="shared" si="35"/>
        <v>88.04</v>
      </c>
      <c r="BI29" s="286">
        <f t="shared" si="36"/>
        <v>88.01</v>
      </c>
      <c r="BJ29" s="287" t="str">
        <f t="shared" si="37"/>
        <v>baik</v>
      </c>
      <c r="BK29" s="287" t="str">
        <f t="shared" si="37"/>
        <v>baik</v>
      </c>
      <c r="BL29" s="286">
        <f t="shared" si="38"/>
        <v>4</v>
      </c>
      <c r="BM29" s="288">
        <f t="shared" si="39"/>
        <v>1</v>
      </c>
      <c r="BN29" s="289" t="str">
        <f t="shared" si="40"/>
        <v xml:space="preserve">Memiliki keterampilan baik dalam Menbedakan peran bank Umum dan Mendeskripsikan masalah masalah yang di hadapi pemerintah </v>
      </c>
      <c r="BO29" s="67"/>
    </row>
    <row r="30" spans="1:67" ht="33" customHeight="1">
      <c r="A30" s="67"/>
      <c r="B30" s="272">
        <f t="shared" si="23"/>
        <v>17</v>
      </c>
      <c r="C30" s="273">
        <f>IF(Data!F21="","",Data!F21)</f>
        <v>0</v>
      </c>
      <c r="D30" s="274" t="str">
        <f>IF(Data!H21="","",Data!H21)</f>
        <v xml:space="preserve">Hezron Nubatonis </v>
      </c>
      <c r="E30" s="275" t="str">
        <f>IF(Data!I21="","",Data!I21)</f>
        <v>L</v>
      </c>
      <c r="F30" s="276">
        <v>75</v>
      </c>
      <c r="G30" s="277">
        <v>78</v>
      </c>
      <c r="H30" s="277">
        <v>85</v>
      </c>
      <c r="I30" s="277">
        <v>79</v>
      </c>
      <c r="J30" s="277"/>
      <c r="K30" s="277"/>
      <c r="L30" s="277"/>
      <c r="M30" s="280"/>
      <c r="N30" s="277"/>
      <c r="O30" s="278"/>
      <c r="P30" s="279">
        <f t="shared" si="24"/>
        <v>79</v>
      </c>
      <c r="Q30" s="277">
        <v>78</v>
      </c>
      <c r="R30" s="280">
        <v>79</v>
      </c>
      <c r="S30" s="281">
        <f t="shared" si="25"/>
        <v>79</v>
      </c>
      <c r="T30" s="295" t="str">
        <f t="shared" si="26"/>
        <v>C</v>
      </c>
      <c r="U30" s="1215">
        <f t="shared" ref="U30:AD55" si="41">IF(F30="","",F30+U$13)</f>
        <v>75.010000000000005</v>
      </c>
      <c r="V30" s="1216">
        <f t="shared" si="41"/>
        <v>78.02</v>
      </c>
      <c r="W30" s="1216">
        <f t="shared" si="41"/>
        <v>85.03</v>
      </c>
      <c r="X30" s="1216">
        <f t="shared" si="41"/>
        <v>79.040000000000006</v>
      </c>
      <c r="Y30" s="1216" t="str">
        <f t="shared" si="41"/>
        <v/>
      </c>
      <c r="Z30" s="1216" t="str">
        <f t="shared" si="41"/>
        <v/>
      </c>
      <c r="AA30" s="1216" t="str">
        <f t="shared" si="41"/>
        <v/>
      </c>
      <c r="AB30" s="1217" t="str">
        <f t="shared" si="41"/>
        <v/>
      </c>
      <c r="AC30" s="1216" t="str">
        <f t="shared" si="41"/>
        <v/>
      </c>
      <c r="AD30" s="1218" t="str">
        <f t="shared" si="41"/>
        <v/>
      </c>
      <c r="AE30" s="1219">
        <f t="shared" si="27"/>
        <v>85.03</v>
      </c>
      <c r="AF30" s="282">
        <f t="shared" si="28"/>
        <v>75.010000000000005</v>
      </c>
      <c r="AG30" s="282" t="str">
        <f t="shared" si="29"/>
        <v>baik</v>
      </c>
      <c r="AH30" s="282" t="str">
        <f t="shared" si="29"/>
        <v>perlu dimaksimalkan</v>
      </c>
      <c r="AI30" s="282">
        <f t="shared" si="30"/>
        <v>3</v>
      </c>
      <c r="AJ30" s="283">
        <f t="shared" si="31"/>
        <v>1</v>
      </c>
      <c r="AK30" s="284" t="str">
        <f t="shared" si="32"/>
        <v>Memiliki kemampuan baik dalam Memahami konsumsi dan investasi, perlu dimaksimalkan kemampuan dalam Memahami kebijakan pemerintah dalam bidang ekonomi</v>
      </c>
      <c r="AL30" s="276">
        <v>88</v>
      </c>
      <c r="AM30" s="277">
        <v>88</v>
      </c>
      <c r="AN30" s="277">
        <v>88</v>
      </c>
      <c r="AO30" s="277">
        <v>88</v>
      </c>
      <c r="AP30" s="277"/>
      <c r="AQ30" s="277"/>
      <c r="AR30" s="277"/>
      <c r="AS30" s="280"/>
      <c r="AT30" s="277"/>
      <c r="AU30" s="278"/>
      <c r="AV30" s="285">
        <f t="shared" si="33"/>
        <v>88</v>
      </c>
      <c r="AW30" s="296" t="str">
        <f t="shared" si="34"/>
        <v>B</v>
      </c>
      <c r="AX30" s="1220">
        <f t="shared" ref="AX30:BG55" si="42">IF(AL30="","",AL30+AX$12)</f>
        <v>88.01</v>
      </c>
      <c r="AY30" s="1221">
        <f t="shared" si="42"/>
        <v>88.02</v>
      </c>
      <c r="AZ30" s="1221">
        <f t="shared" si="42"/>
        <v>88.03</v>
      </c>
      <c r="BA30" s="1221">
        <f t="shared" si="42"/>
        <v>88.04</v>
      </c>
      <c r="BB30" s="1221" t="str">
        <f t="shared" si="42"/>
        <v/>
      </c>
      <c r="BC30" s="1221" t="str">
        <f t="shared" si="42"/>
        <v/>
      </c>
      <c r="BD30" s="1221" t="str">
        <f t="shared" si="42"/>
        <v/>
      </c>
      <c r="BE30" s="1222" t="str">
        <f t="shared" si="42"/>
        <v/>
      </c>
      <c r="BF30" s="1221" t="str">
        <f t="shared" si="42"/>
        <v/>
      </c>
      <c r="BG30" s="1223" t="str">
        <f t="shared" si="42"/>
        <v/>
      </c>
      <c r="BH30" s="286">
        <f t="shared" si="35"/>
        <v>88.04</v>
      </c>
      <c r="BI30" s="286">
        <f t="shared" si="36"/>
        <v>88.01</v>
      </c>
      <c r="BJ30" s="287" t="str">
        <f t="shared" si="37"/>
        <v>baik</v>
      </c>
      <c r="BK30" s="287" t="str">
        <f t="shared" si="37"/>
        <v>baik</v>
      </c>
      <c r="BL30" s="286">
        <f t="shared" si="38"/>
        <v>4</v>
      </c>
      <c r="BM30" s="288">
        <f t="shared" si="39"/>
        <v>1</v>
      </c>
      <c r="BN30" s="289" t="str">
        <f t="shared" si="40"/>
        <v xml:space="preserve">Memiliki keterampilan baik dalam Menbedakan peran bank Umum dan Mendeskripsikan masalah masalah yang di hadapi pemerintah </v>
      </c>
      <c r="BO30" s="67"/>
    </row>
    <row r="31" spans="1:67" ht="33" customHeight="1">
      <c r="A31" s="67"/>
      <c r="B31" s="272">
        <f t="shared" si="23"/>
        <v>18</v>
      </c>
      <c r="C31" s="273">
        <f>IF(Data!F22="","",Data!F22)</f>
        <v>0</v>
      </c>
      <c r="D31" s="274" t="str">
        <f>IF(Data!H22="","",Data!H22)</f>
        <v>Jelita Anita Boimau</v>
      </c>
      <c r="E31" s="275" t="str">
        <f>IF(Data!I22="","",Data!I22)</f>
        <v>P</v>
      </c>
      <c r="F31" s="276">
        <v>87</v>
      </c>
      <c r="G31" s="277">
        <v>88</v>
      </c>
      <c r="H31" s="277">
        <v>87</v>
      </c>
      <c r="I31" s="277">
        <v>89</v>
      </c>
      <c r="J31" s="277"/>
      <c r="K31" s="277"/>
      <c r="L31" s="277"/>
      <c r="M31" s="280"/>
      <c r="N31" s="277"/>
      <c r="O31" s="278"/>
      <c r="P31" s="279">
        <f t="shared" si="24"/>
        <v>88</v>
      </c>
      <c r="Q31" s="277">
        <v>88</v>
      </c>
      <c r="R31" s="280">
        <v>78</v>
      </c>
      <c r="S31" s="281">
        <f t="shared" si="25"/>
        <v>86</v>
      </c>
      <c r="T31" s="295" t="str">
        <f t="shared" si="26"/>
        <v>B</v>
      </c>
      <c r="U31" s="1215">
        <f t="shared" si="41"/>
        <v>87.01</v>
      </c>
      <c r="V31" s="1216">
        <f t="shared" si="41"/>
        <v>88.02</v>
      </c>
      <c r="W31" s="1216">
        <f t="shared" si="41"/>
        <v>87.03</v>
      </c>
      <c r="X31" s="1216">
        <f t="shared" si="41"/>
        <v>89.04</v>
      </c>
      <c r="Y31" s="1216" t="str">
        <f t="shared" si="41"/>
        <v/>
      </c>
      <c r="Z31" s="1216" t="str">
        <f t="shared" si="41"/>
        <v/>
      </c>
      <c r="AA31" s="1216" t="str">
        <f t="shared" si="41"/>
        <v/>
      </c>
      <c r="AB31" s="1217" t="str">
        <f t="shared" si="41"/>
        <v/>
      </c>
      <c r="AC31" s="1216" t="str">
        <f t="shared" si="41"/>
        <v/>
      </c>
      <c r="AD31" s="1218" t="str">
        <f t="shared" si="41"/>
        <v/>
      </c>
      <c r="AE31" s="1219">
        <f t="shared" si="27"/>
        <v>89.04</v>
      </c>
      <c r="AF31" s="282">
        <f t="shared" si="28"/>
        <v>87.01</v>
      </c>
      <c r="AG31" s="282" t="str">
        <f t="shared" si="29"/>
        <v>baik</v>
      </c>
      <c r="AH31" s="282" t="str">
        <f t="shared" si="29"/>
        <v>baik</v>
      </c>
      <c r="AI31" s="282">
        <f t="shared" si="30"/>
        <v>4</v>
      </c>
      <c r="AJ31" s="283">
        <f t="shared" si="31"/>
        <v>1</v>
      </c>
      <c r="AK31" s="284" t="str">
        <f t="shared" si="32"/>
        <v>Memiliki kemampuan baik dalam Memahami uang dan perbankkan dan Memahami kebijakan pemerintah dalam bidang ekonomi</v>
      </c>
      <c r="AL31" s="276">
        <v>88</v>
      </c>
      <c r="AM31" s="277">
        <v>88</v>
      </c>
      <c r="AN31" s="277">
        <v>88</v>
      </c>
      <c r="AO31" s="277">
        <v>88</v>
      </c>
      <c r="AP31" s="277"/>
      <c r="AQ31" s="277"/>
      <c r="AR31" s="277"/>
      <c r="AS31" s="280"/>
      <c r="AT31" s="277"/>
      <c r="AU31" s="278"/>
      <c r="AV31" s="285">
        <f t="shared" si="33"/>
        <v>88</v>
      </c>
      <c r="AW31" s="296" t="str">
        <f t="shared" si="34"/>
        <v>B</v>
      </c>
      <c r="AX31" s="1220">
        <f t="shared" si="42"/>
        <v>88.01</v>
      </c>
      <c r="AY31" s="1221">
        <f t="shared" si="42"/>
        <v>88.02</v>
      </c>
      <c r="AZ31" s="1221">
        <f t="shared" si="42"/>
        <v>88.03</v>
      </c>
      <c r="BA31" s="1221">
        <f t="shared" si="42"/>
        <v>88.04</v>
      </c>
      <c r="BB31" s="1221" t="str">
        <f t="shared" si="42"/>
        <v/>
      </c>
      <c r="BC31" s="1221" t="str">
        <f t="shared" si="42"/>
        <v/>
      </c>
      <c r="BD31" s="1221" t="str">
        <f t="shared" si="42"/>
        <v/>
      </c>
      <c r="BE31" s="1222" t="str">
        <f t="shared" si="42"/>
        <v/>
      </c>
      <c r="BF31" s="1221" t="str">
        <f t="shared" si="42"/>
        <v/>
      </c>
      <c r="BG31" s="1223" t="str">
        <f t="shared" si="42"/>
        <v/>
      </c>
      <c r="BH31" s="286">
        <f t="shared" si="35"/>
        <v>88.04</v>
      </c>
      <c r="BI31" s="286">
        <f t="shared" si="36"/>
        <v>88.01</v>
      </c>
      <c r="BJ31" s="287" t="str">
        <f t="shared" si="37"/>
        <v>baik</v>
      </c>
      <c r="BK31" s="287" t="str">
        <f t="shared" si="37"/>
        <v>baik</v>
      </c>
      <c r="BL31" s="286">
        <f t="shared" si="38"/>
        <v>4</v>
      </c>
      <c r="BM31" s="288">
        <f t="shared" si="39"/>
        <v>1</v>
      </c>
      <c r="BN31" s="289" t="str">
        <f t="shared" si="40"/>
        <v xml:space="preserve">Memiliki keterampilan baik dalam Menbedakan peran bank Umum dan Mendeskripsikan masalah masalah yang di hadapi pemerintah </v>
      </c>
      <c r="BO31" s="67"/>
    </row>
    <row r="32" spans="1:67" ht="33" customHeight="1">
      <c r="A32" s="67"/>
      <c r="B32" s="272">
        <f t="shared" si="23"/>
        <v>19</v>
      </c>
      <c r="C32" s="273">
        <f>IF(Data!F23="","",Data!F23)</f>
        <v>0</v>
      </c>
      <c r="D32" s="274" t="str">
        <f>IF(Data!H23="","",Data!H23)</f>
        <v>Jidon Nubatonis</v>
      </c>
      <c r="E32" s="275" t="str">
        <f>IF(Data!I23="","",Data!I23)</f>
        <v>L</v>
      </c>
      <c r="F32" s="276">
        <v>88</v>
      </c>
      <c r="G32" s="277">
        <v>87</v>
      </c>
      <c r="H32" s="277">
        <v>87</v>
      </c>
      <c r="I32" s="277">
        <v>88</v>
      </c>
      <c r="J32" s="277"/>
      <c r="K32" s="277"/>
      <c r="L32" s="277"/>
      <c r="M32" s="280"/>
      <c r="N32" s="277"/>
      <c r="O32" s="278"/>
      <c r="P32" s="279">
        <f t="shared" si="24"/>
        <v>88</v>
      </c>
      <c r="Q32" s="277">
        <v>87</v>
      </c>
      <c r="R32" s="280">
        <v>88</v>
      </c>
      <c r="S32" s="281">
        <f t="shared" si="25"/>
        <v>88</v>
      </c>
      <c r="T32" s="295" t="str">
        <f t="shared" si="26"/>
        <v>B</v>
      </c>
      <c r="U32" s="1215">
        <f t="shared" si="41"/>
        <v>88.01</v>
      </c>
      <c r="V32" s="1216">
        <f t="shared" si="41"/>
        <v>87.02</v>
      </c>
      <c r="W32" s="1216">
        <f t="shared" si="41"/>
        <v>87.03</v>
      </c>
      <c r="X32" s="1216">
        <f t="shared" si="41"/>
        <v>88.04</v>
      </c>
      <c r="Y32" s="1216" t="str">
        <f t="shared" si="41"/>
        <v/>
      </c>
      <c r="Z32" s="1216" t="str">
        <f t="shared" si="41"/>
        <v/>
      </c>
      <c r="AA32" s="1216" t="str">
        <f t="shared" si="41"/>
        <v/>
      </c>
      <c r="AB32" s="1217" t="str">
        <f t="shared" si="41"/>
        <v/>
      </c>
      <c r="AC32" s="1216" t="str">
        <f t="shared" si="41"/>
        <v/>
      </c>
      <c r="AD32" s="1218" t="str">
        <f t="shared" si="41"/>
        <v/>
      </c>
      <c r="AE32" s="1219">
        <f t="shared" si="27"/>
        <v>88.04</v>
      </c>
      <c r="AF32" s="282">
        <f t="shared" si="28"/>
        <v>87.02</v>
      </c>
      <c r="AG32" s="282" t="str">
        <f t="shared" si="29"/>
        <v>baik</v>
      </c>
      <c r="AH32" s="282" t="str">
        <f t="shared" si="29"/>
        <v>baik</v>
      </c>
      <c r="AI32" s="282">
        <f t="shared" si="30"/>
        <v>4</v>
      </c>
      <c r="AJ32" s="283">
        <f t="shared" si="31"/>
        <v>2</v>
      </c>
      <c r="AK32" s="284" t="str">
        <f t="shared" si="32"/>
        <v>Memiliki kemampuan baik dalam Memahami uang dan perbankkan dan Memahami produk domistik bruto, pendapatan nasional bruto</v>
      </c>
      <c r="AL32" s="276">
        <v>88</v>
      </c>
      <c r="AM32" s="277">
        <v>88</v>
      </c>
      <c r="AN32" s="277">
        <v>88</v>
      </c>
      <c r="AO32" s="277">
        <v>88</v>
      </c>
      <c r="AP32" s="277"/>
      <c r="AQ32" s="277"/>
      <c r="AR32" s="277"/>
      <c r="AS32" s="280"/>
      <c r="AT32" s="277"/>
      <c r="AU32" s="278"/>
      <c r="AV32" s="285">
        <f t="shared" si="33"/>
        <v>88</v>
      </c>
      <c r="AW32" s="296" t="str">
        <f t="shared" si="34"/>
        <v>B</v>
      </c>
      <c r="AX32" s="1220">
        <f t="shared" si="42"/>
        <v>88.01</v>
      </c>
      <c r="AY32" s="1221">
        <f t="shared" si="42"/>
        <v>88.02</v>
      </c>
      <c r="AZ32" s="1221">
        <f t="shared" si="42"/>
        <v>88.03</v>
      </c>
      <c r="BA32" s="1221">
        <f t="shared" si="42"/>
        <v>88.04</v>
      </c>
      <c r="BB32" s="1221" t="str">
        <f t="shared" si="42"/>
        <v/>
      </c>
      <c r="BC32" s="1221" t="str">
        <f t="shared" si="42"/>
        <v/>
      </c>
      <c r="BD32" s="1221" t="str">
        <f t="shared" si="42"/>
        <v/>
      </c>
      <c r="BE32" s="1222" t="str">
        <f t="shared" si="42"/>
        <v/>
      </c>
      <c r="BF32" s="1221" t="str">
        <f t="shared" si="42"/>
        <v/>
      </c>
      <c r="BG32" s="1223" t="str">
        <f t="shared" si="42"/>
        <v/>
      </c>
      <c r="BH32" s="286">
        <f t="shared" si="35"/>
        <v>88.04</v>
      </c>
      <c r="BI32" s="286">
        <f t="shared" si="36"/>
        <v>88.01</v>
      </c>
      <c r="BJ32" s="287" t="str">
        <f t="shared" si="37"/>
        <v>baik</v>
      </c>
      <c r="BK32" s="287" t="str">
        <f t="shared" si="37"/>
        <v>baik</v>
      </c>
      <c r="BL32" s="286">
        <f t="shared" si="38"/>
        <v>4</v>
      </c>
      <c r="BM32" s="288">
        <f t="shared" si="39"/>
        <v>1</v>
      </c>
      <c r="BN32" s="289" t="str">
        <f t="shared" si="40"/>
        <v xml:space="preserve">Memiliki keterampilan baik dalam Menbedakan peran bank Umum dan Mendeskripsikan masalah masalah yang di hadapi pemerintah </v>
      </c>
      <c r="BO32" s="67"/>
    </row>
    <row r="33" spans="1:67" ht="33" customHeight="1">
      <c r="A33" s="67"/>
      <c r="B33" s="272">
        <f t="shared" si="23"/>
        <v>20</v>
      </c>
      <c r="C33" s="273">
        <f>IF(Data!F24="","",Data!F24)</f>
        <v>0</v>
      </c>
      <c r="D33" s="274" t="str">
        <f>IF(Data!H24="","",Data!H24)</f>
        <v>Jitro Andro Baran</v>
      </c>
      <c r="E33" s="275" t="str">
        <f>IF(Data!I24="","",Data!I24)</f>
        <v>L</v>
      </c>
      <c r="F33" s="276">
        <v>78</v>
      </c>
      <c r="G33" s="277">
        <v>78</v>
      </c>
      <c r="H33" s="277">
        <v>87</v>
      </c>
      <c r="I33" s="277">
        <v>88</v>
      </c>
      <c r="J33" s="277"/>
      <c r="K33" s="277"/>
      <c r="L33" s="277"/>
      <c r="M33" s="280"/>
      <c r="N33" s="277"/>
      <c r="O33" s="278"/>
      <c r="P33" s="279">
        <f t="shared" si="24"/>
        <v>83</v>
      </c>
      <c r="Q33" s="277">
        <v>77</v>
      </c>
      <c r="R33" s="280">
        <v>78</v>
      </c>
      <c r="S33" s="281">
        <f t="shared" si="25"/>
        <v>80</v>
      </c>
      <c r="T33" s="295" t="str">
        <f t="shared" si="26"/>
        <v>C</v>
      </c>
      <c r="U33" s="1215">
        <f t="shared" si="41"/>
        <v>78.010000000000005</v>
      </c>
      <c r="V33" s="1216">
        <f t="shared" si="41"/>
        <v>78.02</v>
      </c>
      <c r="W33" s="1216">
        <f t="shared" si="41"/>
        <v>87.03</v>
      </c>
      <c r="X33" s="1216">
        <f t="shared" si="41"/>
        <v>88.04</v>
      </c>
      <c r="Y33" s="1216" t="str">
        <f t="shared" si="41"/>
        <v/>
      </c>
      <c r="Z33" s="1216" t="str">
        <f t="shared" si="41"/>
        <v/>
      </c>
      <c r="AA33" s="1216" t="str">
        <f t="shared" si="41"/>
        <v/>
      </c>
      <c r="AB33" s="1217" t="str">
        <f t="shared" si="41"/>
        <v/>
      </c>
      <c r="AC33" s="1216" t="str">
        <f t="shared" si="41"/>
        <v/>
      </c>
      <c r="AD33" s="1218" t="str">
        <f t="shared" si="41"/>
        <v/>
      </c>
      <c r="AE33" s="1219">
        <f t="shared" si="27"/>
        <v>88.04</v>
      </c>
      <c r="AF33" s="282">
        <f t="shared" si="28"/>
        <v>78.010000000000005</v>
      </c>
      <c r="AG33" s="282" t="str">
        <f t="shared" si="29"/>
        <v>baik</v>
      </c>
      <c r="AH33" s="282" t="str">
        <f t="shared" si="29"/>
        <v>cukup</v>
      </c>
      <c r="AI33" s="282">
        <f t="shared" si="30"/>
        <v>4</v>
      </c>
      <c r="AJ33" s="283">
        <f t="shared" si="31"/>
        <v>1</v>
      </c>
      <c r="AK33" s="284" t="str">
        <f t="shared" si="32"/>
        <v>Memiliki kemampuan baik dalam Memahami uang dan perbankkan, cukup kemampuan dalam Memahami kebijakan pemerintah dalam bidang ekonomi</v>
      </c>
      <c r="AL33" s="276">
        <v>88</v>
      </c>
      <c r="AM33" s="277">
        <v>88</v>
      </c>
      <c r="AN33" s="277">
        <v>88</v>
      </c>
      <c r="AO33" s="277">
        <v>88</v>
      </c>
      <c r="AP33" s="277"/>
      <c r="AQ33" s="277"/>
      <c r="AR33" s="277"/>
      <c r="AS33" s="280"/>
      <c r="AT33" s="277"/>
      <c r="AU33" s="278"/>
      <c r="AV33" s="285">
        <f t="shared" si="33"/>
        <v>88</v>
      </c>
      <c r="AW33" s="296" t="str">
        <f t="shared" si="34"/>
        <v>B</v>
      </c>
      <c r="AX33" s="1220">
        <f t="shared" si="42"/>
        <v>88.01</v>
      </c>
      <c r="AY33" s="1221">
        <f t="shared" si="42"/>
        <v>88.02</v>
      </c>
      <c r="AZ33" s="1221">
        <f t="shared" si="42"/>
        <v>88.03</v>
      </c>
      <c r="BA33" s="1221">
        <f t="shared" si="42"/>
        <v>88.04</v>
      </c>
      <c r="BB33" s="1221" t="str">
        <f t="shared" si="42"/>
        <v/>
      </c>
      <c r="BC33" s="1221" t="str">
        <f t="shared" si="42"/>
        <v/>
      </c>
      <c r="BD33" s="1221" t="str">
        <f t="shared" si="42"/>
        <v/>
      </c>
      <c r="BE33" s="1222" t="str">
        <f t="shared" si="42"/>
        <v/>
      </c>
      <c r="BF33" s="1221" t="str">
        <f t="shared" si="42"/>
        <v/>
      </c>
      <c r="BG33" s="1223" t="str">
        <f t="shared" si="42"/>
        <v/>
      </c>
      <c r="BH33" s="286">
        <f t="shared" si="35"/>
        <v>88.04</v>
      </c>
      <c r="BI33" s="286">
        <f t="shared" si="36"/>
        <v>88.01</v>
      </c>
      <c r="BJ33" s="287" t="str">
        <f t="shared" si="37"/>
        <v>baik</v>
      </c>
      <c r="BK33" s="287" t="str">
        <f t="shared" si="37"/>
        <v>baik</v>
      </c>
      <c r="BL33" s="286">
        <f t="shared" si="38"/>
        <v>4</v>
      </c>
      <c r="BM33" s="288">
        <f t="shared" si="39"/>
        <v>1</v>
      </c>
      <c r="BN33" s="289" t="str">
        <f t="shared" si="40"/>
        <v xml:space="preserve">Memiliki keterampilan baik dalam Menbedakan peran bank Umum dan Mendeskripsikan masalah masalah yang di hadapi pemerintah </v>
      </c>
      <c r="BO33" s="67"/>
    </row>
    <row r="34" spans="1:67" ht="33" customHeight="1">
      <c r="A34" s="67"/>
      <c r="B34" s="272">
        <f t="shared" si="23"/>
        <v>21</v>
      </c>
      <c r="C34" s="273">
        <f>IF(Data!F25="","",Data!F25)</f>
        <v>0</v>
      </c>
      <c r="D34" s="274" t="str">
        <f>IF(Data!H25="","",Data!H25)</f>
        <v>Juan Manuel Boys</v>
      </c>
      <c r="E34" s="275" t="str">
        <f>IF(Data!I25="","",Data!I25)</f>
        <v>L</v>
      </c>
      <c r="F34" s="276">
        <v>87</v>
      </c>
      <c r="G34" s="277">
        <v>85</v>
      </c>
      <c r="H34" s="277">
        <v>76</v>
      </c>
      <c r="I34" s="277">
        <v>78</v>
      </c>
      <c r="J34" s="277"/>
      <c r="K34" s="277"/>
      <c r="L34" s="277"/>
      <c r="M34" s="280"/>
      <c r="N34" s="277"/>
      <c r="O34" s="278"/>
      <c r="P34" s="279">
        <f t="shared" si="24"/>
        <v>82</v>
      </c>
      <c r="Q34" s="277">
        <v>85</v>
      </c>
      <c r="R34" s="280">
        <v>79</v>
      </c>
      <c r="S34" s="281">
        <f t="shared" si="25"/>
        <v>82</v>
      </c>
      <c r="T34" s="295" t="str">
        <f t="shared" si="26"/>
        <v>C</v>
      </c>
      <c r="U34" s="1215">
        <f t="shared" si="41"/>
        <v>87.01</v>
      </c>
      <c r="V34" s="1216">
        <f t="shared" si="41"/>
        <v>85.02</v>
      </c>
      <c r="W34" s="1216">
        <f t="shared" si="41"/>
        <v>76.03</v>
      </c>
      <c r="X34" s="1216">
        <f t="shared" si="41"/>
        <v>78.040000000000006</v>
      </c>
      <c r="Y34" s="1216" t="str">
        <f t="shared" si="41"/>
        <v/>
      </c>
      <c r="Z34" s="1216" t="str">
        <f t="shared" si="41"/>
        <v/>
      </c>
      <c r="AA34" s="1216" t="str">
        <f t="shared" si="41"/>
        <v/>
      </c>
      <c r="AB34" s="1217" t="str">
        <f t="shared" si="41"/>
        <v/>
      </c>
      <c r="AC34" s="1216" t="str">
        <f t="shared" si="41"/>
        <v/>
      </c>
      <c r="AD34" s="1218" t="str">
        <f t="shared" si="41"/>
        <v/>
      </c>
      <c r="AE34" s="1219">
        <f t="shared" si="27"/>
        <v>87.01</v>
      </c>
      <c r="AF34" s="282">
        <f t="shared" si="28"/>
        <v>76.03</v>
      </c>
      <c r="AG34" s="282" t="str">
        <f t="shared" si="29"/>
        <v>baik</v>
      </c>
      <c r="AH34" s="282" t="str">
        <f t="shared" si="29"/>
        <v>cukup</v>
      </c>
      <c r="AI34" s="282">
        <f t="shared" si="30"/>
        <v>1</v>
      </c>
      <c r="AJ34" s="283">
        <f t="shared" si="31"/>
        <v>3</v>
      </c>
      <c r="AK34" s="284" t="str">
        <f t="shared" si="32"/>
        <v>Memiliki kemampuan baik dalam Memahami kebijakan pemerintah dalam bidang ekonomi, cukup kemampuan dalam Memahami konsumsi dan investasi</v>
      </c>
      <c r="AL34" s="276">
        <v>88</v>
      </c>
      <c r="AM34" s="277">
        <v>88</v>
      </c>
      <c r="AN34" s="277">
        <v>88</v>
      </c>
      <c r="AO34" s="277">
        <v>88</v>
      </c>
      <c r="AP34" s="277"/>
      <c r="AQ34" s="277"/>
      <c r="AR34" s="277"/>
      <c r="AS34" s="280"/>
      <c r="AT34" s="277"/>
      <c r="AU34" s="278"/>
      <c r="AV34" s="285">
        <f t="shared" si="33"/>
        <v>88</v>
      </c>
      <c r="AW34" s="296" t="str">
        <f t="shared" si="34"/>
        <v>B</v>
      </c>
      <c r="AX34" s="1220">
        <f t="shared" si="42"/>
        <v>88.01</v>
      </c>
      <c r="AY34" s="1221">
        <f t="shared" si="42"/>
        <v>88.02</v>
      </c>
      <c r="AZ34" s="1221">
        <f t="shared" si="42"/>
        <v>88.03</v>
      </c>
      <c r="BA34" s="1221">
        <f t="shared" si="42"/>
        <v>88.04</v>
      </c>
      <c r="BB34" s="1221" t="str">
        <f t="shared" si="42"/>
        <v/>
      </c>
      <c r="BC34" s="1221" t="str">
        <f t="shared" si="42"/>
        <v/>
      </c>
      <c r="BD34" s="1221" t="str">
        <f t="shared" si="42"/>
        <v/>
      </c>
      <c r="BE34" s="1222" t="str">
        <f t="shared" si="42"/>
        <v/>
      </c>
      <c r="BF34" s="1221" t="str">
        <f t="shared" si="42"/>
        <v/>
      </c>
      <c r="BG34" s="1223" t="str">
        <f t="shared" si="42"/>
        <v/>
      </c>
      <c r="BH34" s="286">
        <f t="shared" si="35"/>
        <v>88.04</v>
      </c>
      <c r="BI34" s="286">
        <f t="shared" si="36"/>
        <v>88.01</v>
      </c>
      <c r="BJ34" s="287" t="str">
        <f t="shared" si="37"/>
        <v>baik</v>
      </c>
      <c r="BK34" s="287" t="str">
        <f t="shared" si="37"/>
        <v>baik</v>
      </c>
      <c r="BL34" s="286">
        <f t="shared" si="38"/>
        <v>4</v>
      </c>
      <c r="BM34" s="288">
        <f t="shared" si="39"/>
        <v>1</v>
      </c>
      <c r="BN34" s="289" t="str">
        <f t="shared" si="40"/>
        <v xml:space="preserve">Memiliki keterampilan baik dalam Menbedakan peran bank Umum dan Mendeskripsikan masalah masalah yang di hadapi pemerintah </v>
      </c>
      <c r="BO34" s="67"/>
    </row>
    <row r="35" spans="1:67" ht="33" customHeight="1">
      <c r="A35" s="67"/>
      <c r="B35" s="272">
        <f t="shared" si="23"/>
        <v>22</v>
      </c>
      <c r="C35" s="273">
        <f>IF(Data!F26="","",Data!F26)</f>
        <v>0</v>
      </c>
      <c r="D35" s="274" t="str">
        <f>IF(Data!H26="","",Data!H26)</f>
        <v>Krisyanti Ernela Kesnay</v>
      </c>
      <c r="E35" s="275" t="str">
        <f>IF(Data!I26="","",Data!I26)</f>
        <v>P</v>
      </c>
      <c r="F35" s="276">
        <v>88</v>
      </c>
      <c r="G35" s="277">
        <v>88</v>
      </c>
      <c r="H35" s="277">
        <v>89</v>
      </c>
      <c r="I35" s="277">
        <v>87</v>
      </c>
      <c r="J35" s="277"/>
      <c r="K35" s="277"/>
      <c r="L35" s="277"/>
      <c r="M35" s="280"/>
      <c r="N35" s="277"/>
      <c r="O35" s="278"/>
      <c r="P35" s="279">
        <f t="shared" si="24"/>
        <v>88</v>
      </c>
      <c r="Q35" s="277">
        <v>88</v>
      </c>
      <c r="R35" s="280">
        <v>89</v>
      </c>
      <c r="S35" s="281">
        <f t="shared" si="25"/>
        <v>88</v>
      </c>
      <c r="T35" s="295" t="str">
        <f t="shared" si="26"/>
        <v>B</v>
      </c>
      <c r="U35" s="1215">
        <f t="shared" si="41"/>
        <v>88.01</v>
      </c>
      <c r="V35" s="1216">
        <f t="shared" si="41"/>
        <v>88.02</v>
      </c>
      <c r="W35" s="1216">
        <f t="shared" si="41"/>
        <v>89.03</v>
      </c>
      <c r="X35" s="1216">
        <f t="shared" si="41"/>
        <v>87.04</v>
      </c>
      <c r="Y35" s="1216" t="str">
        <f t="shared" si="41"/>
        <v/>
      </c>
      <c r="Z35" s="1216" t="str">
        <f t="shared" si="41"/>
        <v/>
      </c>
      <c r="AA35" s="1216" t="str">
        <f t="shared" si="41"/>
        <v/>
      </c>
      <c r="AB35" s="1217" t="str">
        <f t="shared" si="41"/>
        <v/>
      </c>
      <c r="AC35" s="1216" t="str">
        <f t="shared" si="41"/>
        <v/>
      </c>
      <c r="AD35" s="1218" t="str">
        <f t="shared" si="41"/>
        <v/>
      </c>
      <c r="AE35" s="1219">
        <f t="shared" si="27"/>
        <v>89.03</v>
      </c>
      <c r="AF35" s="282">
        <f t="shared" si="28"/>
        <v>87.04</v>
      </c>
      <c r="AG35" s="282" t="str">
        <f t="shared" si="29"/>
        <v>baik</v>
      </c>
      <c r="AH35" s="282" t="str">
        <f t="shared" si="29"/>
        <v>baik</v>
      </c>
      <c r="AI35" s="282">
        <f t="shared" si="30"/>
        <v>3</v>
      </c>
      <c r="AJ35" s="283">
        <f t="shared" si="31"/>
        <v>4</v>
      </c>
      <c r="AK35" s="284" t="str">
        <f t="shared" si="32"/>
        <v>Memiliki kemampuan baik dalam Memahami konsumsi dan investasi dan Memahami uang dan perbankkan</v>
      </c>
      <c r="AL35" s="276">
        <v>88</v>
      </c>
      <c r="AM35" s="277">
        <v>88</v>
      </c>
      <c r="AN35" s="277">
        <v>88</v>
      </c>
      <c r="AO35" s="277">
        <v>88</v>
      </c>
      <c r="AP35" s="277"/>
      <c r="AQ35" s="277"/>
      <c r="AR35" s="277"/>
      <c r="AS35" s="280"/>
      <c r="AT35" s="277"/>
      <c r="AU35" s="278"/>
      <c r="AV35" s="285">
        <f t="shared" si="33"/>
        <v>88</v>
      </c>
      <c r="AW35" s="296" t="str">
        <f t="shared" si="34"/>
        <v>B</v>
      </c>
      <c r="AX35" s="1220">
        <f t="shared" si="42"/>
        <v>88.01</v>
      </c>
      <c r="AY35" s="1221">
        <f t="shared" si="42"/>
        <v>88.02</v>
      </c>
      <c r="AZ35" s="1221">
        <f t="shared" si="42"/>
        <v>88.03</v>
      </c>
      <c r="BA35" s="1221">
        <f t="shared" si="42"/>
        <v>88.04</v>
      </c>
      <c r="BB35" s="1221" t="str">
        <f t="shared" si="42"/>
        <v/>
      </c>
      <c r="BC35" s="1221" t="str">
        <f t="shared" si="42"/>
        <v/>
      </c>
      <c r="BD35" s="1221" t="str">
        <f t="shared" si="42"/>
        <v/>
      </c>
      <c r="BE35" s="1222" t="str">
        <f t="shared" si="42"/>
        <v/>
      </c>
      <c r="BF35" s="1221" t="str">
        <f t="shared" si="42"/>
        <v/>
      </c>
      <c r="BG35" s="1223" t="str">
        <f t="shared" si="42"/>
        <v/>
      </c>
      <c r="BH35" s="286">
        <f t="shared" si="35"/>
        <v>88.04</v>
      </c>
      <c r="BI35" s="286">
        <f t="shared" si="36"/>
        <v>88.01</v>
      </c>
      <c r="BJ35" s="287" t="str">
        <f t="shared" si="37"/>
        <v>baik</v>
      </c>
      <c r="BK35" s="287" t="str">
        <f t="shared" si="37"/>
        <v>baik</v>
      </c>
      <c r="BL35" s="286">
        <f t="shared" si="38"/>
        <v>4</v>
      </c>
      <c r="BM35" s="288">
        <f t="shared" si="39"/>
        <v>1</v>
      </c>
      <c r="BN35" s="289" t="str">
        <f t="shared" si="40"/>
        <v xml:space="preserve">Memiliki keterampilan baik dalam Menbedakan peran bank Umum dan Mendeskripsikan masalah masalah yang di hadapi pemerintah </v>
      </c>
      <c r="BO35" s="67"/>
    </row>
    <row r="36" spans="1:67" ht="33" customHeight="1">
      <c r="A36" s="67"/>
      <c r="B36" s="272">
        <f t="shared" si="23"/>
        <v>23</v>
      </c>
      <c r="C36" s="273">
        <f>IF(Data!F27="","",Data!F27)</f>
        <v>0</v>
      </c>
      <c r="D36" s="274" t="str">
        <f>IF(Data!H27="","",Data!H27)</f>
        <v>Leni Aknesia Knoan</v>
      </c>
      <c r="E36" s="275" t="str">
        <f>IF(Data!I27="","",Data!I27)</f>
        <v>P</v>
      </c>
      <c r="F36" s="276">
        <v>87</v>
      </c>
      <c r="G36" s="277">
        <v>88</v>
      </c>
      <c r="H36" s="277">
        <v>87</v>
      </c>
      <c r="I36" s="277">
        <v>89</v>
      </c>
      <c r="J36" s="277"/>
      <c r="K36" s="277"/>
      <c r="L36" s="277"/>
      <c r="M36" s="280"/>
      <c r="N36" s="277"/>
      <c r="O36" s="278"/>
      <c r="P36" s="279">
        <f t="shared" si="24"/>
        <v>88</v>
      </c>
      <c r="Q36" s="277">
        <v>88</v>
      </c>
      <c r="R36" s="280">
        <v>89</v>
      </c>
      <c r="S36" s="281">
        <f t="shared" si="25"/>
        <v>88</v>
      </c>
      <c r="T36" s="295" t="str">
        <f t="shared" si="26"/>
        <v>B</v>
      </c>
      <c r="U36" s="1215">
        <f t="shared" si="41"/>
        <v>87.01</v>
      </c>
      <c r="V36" s="1216">
        <f t="shared" si="41"/>
        <v>88.02</v>
      </c>
      <c r="W36" s="1216">
        <f t="shared" si="41"/>
        <v>87.03</v>
      </c>
      <c r="X36" s="1216">
        <f t="shared" si="41"/>
        <v>89.04</v>
      </c>
      <c r="Y36" s="1216" t="str">
        <f t="shared" si="41"/>
        <v/>
      </c>
      <c r="Z36" s="1216" t="str">
        <f t="shared" si="41"/>
        <v/>
      </c>
      <c r="AA36" s="1216" t="str">
        <f t="shared" si="41"/>
        <v/>
      </c>
      <c r="AB36" s="1217" t="str">
        <f t="shared" si="41"/>
        <v/>
      </c>
      <c r="AC36" s="1216" t="str">
        <f t="shared" si="41"/>
        <v/>
      </c>
      <c r="AD36" s="1218" t="str">
        <f t="shared" si="41"/>
        <v/>
      </c>
      <c r="AE36" s="1219">
        <f t="shared" si="27"/>
        <v>89.04</v>
      </c>
      <c r="AF36" s="282">
        <f t="shared" si="28"/>
        <v>87.01</v>
      </c>
      <c r="AG36" s="282" t="str">
        <f t="shared" si="29"/>
        <v>baik</v>
      </c>
      <c r="AH36" s="282" t="str">
        <f t="shared" si="29"/>
        <v>baik</v>
      </c>
      <c r="AI36" s="282">
        <f t="shared" si="30"/>
        <v>4</v>
      </c>
      <c r="AJ36" s="283">
        <f t="shared" si="31"/>
        <v>1</v>
      </c>
      <c r="AK36" s="284" t="str">
        <f t="shared" si="32"/>
        <v>Memiliki kemampuan baik dalam Memahami uang dan perbankkan dan Memahami kebijakan pemerintah dalam bidang ekonomi</v>
      </c>
      <c r="AL36" s="276">
        <v>88</v>
      </c>
      <c r="AM36" s="277">
        <v>88</v>
      </c>
      <c r="AN36" s="277">
        <v>88</v>
      </c>
      <c r="AO36" s="277">
        <v>88</v>
      </c>
      <c r="AP36" s="277"/>
      <c r="AQ36" s="277"/>
      <c r="AR36" s="277"/>
      <c r="AS36" s="280"/>
      <c r="AT36" s="277"/>
      <c r="AU36" s="278"/>
      <c r="AV36" s="285">
        <f t="shared" si="33"/>
        <v>88</v>
      </c>
      <c r="AW36" s="296" t="str">
        <f t="shared" si="34"/>
        <v>B</v>
      </c>
      <c r="AX36" s="1220">
        <f t="shared" si="42"/>
        <v>88.01</v>
      </c>
      <c r="AY36" s="1221">
        <f t="shared" si="42"/>
        <v>88.02</v>
      </c>
      <c r="AZ36" s="1221">
        <f t="shared" si="42"/>
        <v>88.03</v>
      </c>
      <c r="BA36" s="1221">
        <f t="shared" si="42"/>
        <v>88.04</v>
      </c>
      <c r="BB36" s="1221" t="str">
        <f t="shared" si="42"/>
        <v/>
      </c>
      <c r="BC36" s="1221" t="str">
        <f t="shared" si="42"/>
        <v/>
      </c>
      <c r="BD36" s="1221" t="str">
        <f t="shared" si="42"/>
        <v/>
      </c>
      <c r="BE36" s="1222" t="str">
        <f t="shared" si="42"/>
        <v/>
      </c>
      <c r="BF36" s="1221" t="str">
        <f t="shared" si="42"/>
        <v/>
      </c>
      <c r="BG36" s="1223" t="str">
        <f t="shared" si="42"/>
        <v/>
      </c>
      <c r="BH36" s="286">
        <f t="shared" si="35"/>
        <v>88.04</v>
      </c>
      <c r="BI36" s="286">
        <f t="shared" si="36"/>
        <v>88.01</v>
      </c>
      <c r="BJ36" s="287" t="str">
        <f t="shared" si="37"/>
        <v>baik</v>
      </c>
      <c r="BK36" s="287" t="str">
        <f t="shared" si="37"/>
        <v>baik</v>
      </c>
      <c r="BL36" s="286">
        <f t="shared" si="38"/>
        <v>4</v>
      </c>
      <c r="BM36" s="288">
        <f t="shared" si="39"/>
        <v>1</v>
      </c>
      <c r="BN36" s="289" t="str">
        <f t="shared" si="40"/>
        <v xml:space="preserve">Memiliki keterampilan baik dalam Menbedakan peran bank Umum dan Mendeskripsikan masalah masalah yang di hadapi pemerintah </v>
      </c>
      <c r="BO36" s="67"/>
    </row>
    <row r="37" spans="1:67" ht="33" customHeight="1">
      <c r="A37" s="67"/>
      <c r="B37" s="272">
        <f t="shared" si="23"/>
        <v>24</v>
      </c>
      <c r="C37" s="273">
        <f>IF(Data!F28="","",Data!F28)</f>
        <v>0</v>
      </c>
      <c r="D37" s="274" t="str">
        <f>IF(Data!H28="","",Data!H28)</f>
        <v>Marlon Dioninsius Lalus</v>
      </c>
      <c r="E37" s="275" t="str">
        <f>IF(Data!I28="","",Data!I28)</f>
        <v>L</v>
      </c>
      <c r="F37" s="276">
        <v>88</v>
      </c>
      <c r="G37" s="277">
        <v>78</v>
      </c>
      <c r="H37" s="277">
        <v>78</v>
      </c>
      <c r="I37" s="277">
        <v>87</v>
      </c>
      <c r="J37" s="277"/>
      <c r="K37" s="277"/>
      <c r="L37" s="277"/>
      <c r="M37" s="280"/>
      <c r="N37" s="277"/>
      <c r="O37" s="278"/>
      <c r="P37" s="279">
        <f t="shared" si="24"/>
        <v>83</v>
      </c>
      <c r="Q37" s="277">
        <v>85</v>
      </c>
      <c r="R37" s="280">
        <v>83</v>
      </c>
      <c r="S37" s="281">
        <f t="shared" si="25"/>
        <v>84</v>
      </c>
      <c r="T37" s="295" t="str">
        <f t="shared" si="26"/>
        <v>C</v>
      </c>
      <c r="U37" s="1215">
        <f t="shared" si="41"/>
        <v>88.01</v>
      </c>
      <c r="V37" s="1216">
        <f t="shared" si="41"/>
        <v>78.02</v>
      </c>
      <c r="W37" s="1216">
        <f t="shared" si="41"/>
        <v>78.03</v>
      </c>
      <c r="X37" s="1216">
        <f t="shared" si="41"/>
        <v>87.04</v>
      </c>
      <c r="Y37" s="1216" t="str">
        <f t="shared" si="41"/>
        <v/>
      </c>
      <c r="Z37" s="1216" t="str">
        <f t="shared" si="41"/>
        <v/>
      </c>
      <c r="AA37" s="1216" t="str">
        <f t="shared" si="41"/>
        <v/>
      </c>
      <c r="AB37" s="1217" t="str">
        <f t="shared" si="41"/>
        <v/>
      </c>
      <c r="AC37" s="1216" t="str">
        <f t="shared" si="41"/>
        <v/>
      </c>
      <c r="AD37" s="1218" t="str">
        <f t="shared" si="41"/>
        <v/>
      </c>
      <c r="AE37" s="1219">
        <f t="shared" si="27"/>
        <v>88.01</v>
      </c>
      <c r="AF37" s="282">
        <f t="shared" si="28"/>
        <v>78.02</v>
      </c>
      <c r="AG37" s="282" t="str">
        <f t="shared" si="29"/>
        <v>baik</v>
      </c>
      <c r="AH37" s="282" t="str">
        <f t="shared" si="29"/>
        <v>cukup</v>
      </c>
      <c r="AI37" s="282">
        <f t="shared" si="30"/>
        <v>1</v>
      </c>
      <c r="AJ37" s="283">
        <f t="shared" si="31"/>
        <v>2</v>
      </c>
      <c r="AK37" s="284" t="str">
        <f t="shared" si="32"/>
        <v>Memiliki kemampuan baik dalam Memahami kebijakan pemerintah dalam bidang ekonomi, cukup kemampuan dalam Memahami produk domistik bruto, pendapatan nasional bruto</v>
      </c>
      <c r="AL37" s="276">
        <v>88</v>
      </c>
      <c r="AM37" s="277">
        <v>88</v>
      </c>
      <c r="AN37" s="277">
        <v>88</v>
      </c>
      <c r="AO37" s="277">
        <v>88</v>
      </c>
      <c r="AP37" s="277"/>
      <c r="AQ37" s="277"/>
      <c r="AR37" s="277"/>
      <c r="AS37" s="280"/>
      <c r="AT37" s="277"/>
      <c r="AU37" s="278"/>
      <c r="AV37" s="285">
        <f t="shared" si="33"/>
        <v>88</v>
      </c>
      <c r="AW37" s="296" t="str">
        <f t="shared" si="34"/>
        <v>B</v>
      </c>
      <c r="AX37" s="1220">
        <f t="shared" si="42"/>
        <v>88.01</v>
      </c>
      <c r="AY37" s="1221">
        <f t="shared" si="42"/>
        <v>88.02</v>
      </c>
      <c r="AZ37" s="1221">
        <f t="shared" si="42"/>
        <v>88.03</v>
      </c>
      <c r="BA37" s="1221">
        <f t="shared" si="42"/>
        <v>88.04</v>
      </c>
      <c r="BB37" s="1221" t="str">
        <f t="shared" si="42"/>
        <v/>
      </c>
      <c r="BC37" s="1221" t="str">
        <f t="shared" si="42"/>
        <v/>
      </c>
      <c r="BD37" s="1221" t="str">
        <f t="shared" si="42"/>
        <v/>
      </c>
      <c r="BE37" s="1222" t="str">
        <f t="shared" si="42"/>
        <v/>
      </c>
      <c r="BF37" s="1221" t="str">
        <f t="shared" si="42"/>
        <v/>
      </c>
      <c r="BG37" s="1223" t="str">
        <f t="shared" si="42"/>
        <v/>
      </c>
      <c r="BH37" s="286">
        <f t="shared" si="35"/>
        <v>88.04</v>
      </c>
      <c r="BI37" s="286">
        <f t="shared" si="36"/>
        <v>88.01</v>
      </c>
      <c r="BJ37" s="287" t="str">
        <f t="shared" si="37"/>
        <v>baik</v>
      </c>
      <c r="BK37" s="287" t="str">
        <f t="shared" si="37"/>
        <v>baik</v>
      </c>
      <c r="BL37" s="286">
        <f t="shared" si="38"/>
        <v>4</v>
      </c>
      <c r="BM37" s="288">
        <f t="shared" si="39"/>
        <v>1</v>
      </c>
      <c r="BN37" s="289" t="str">
        <f t="shared" si="40"/>
        <v xml:space="preserve">Memiliki keterampilan baik dalam Menbedakan peran bank Umum dan Mendeskripsikan masalah masalah yang di hadapi pemerintah </v>
      </c>
      <c r="BO37" s="67"/>
    </row>
    <row r="38" spans="1:67" ht="33" customHeight="1">
      <c r="A38" s="67"/>
      <c r="B38" s="272">
        <f t="shared" si="23"/>
        <v>25</v>
      </c>
      <c r="C38" s="273">
        <f>IF(Data!F29="","",Data!F29)</f>
        <v>0</v>
      </c>
      <c r="D38" s="274" t="str">
        <f>IF(Data!H29="","",Data!H29)</f>
        <v>Maya Trifena Niobe</v>
      </c>
      <c r="E38" s="275" t="str">
        <f>IF(Data!I29="","",Data!I29)</f>
        <v>P</v>
      </c>
      <c r="F38" s="276">
        <v>88</v>
      </c>
      <c r="G38" s="277">
        <v>87</v>
      </c>
      <c r="H38" s="277">
        <v>87</v>
      </c>
      <c r="I38" s="277">
        <v>87</v>
      </c>
      <c r="J38" s="277"/>
      <c r="K38" s="277"/>
      <c r="L38" s="277"/>
      <c r="M38" s="280"/>
      <c r="N38" s="277"/>
      <c r="O38" s="278"/>
      <c r="P38" s="279">
        <f t="shared" si="24"/>
        <v>87</v>
      </c>
      <c r="Q38" s="277">
        <v>88</v>
      </c>
      <c r="R38" s="280">
        <v>89</v>
      </c>
      <c r="S38" s="281">
        <f t="shared" si="25"/>
        <v>88</v>
      </c>
      <c r="T38" s="295" t="str">
        <f t="shared" si="26"/>
        <v>B</v>
      </c>
      <c r="U38" s="1215">
        <f t="shared" si="41"/>
        <v>88.01</v>
      </c>
      <c r="V38" s="1216">
        <f t="shared" si="41"/>
        <v>87.02</v>
      </c>
      <c r="W38" s="1216">
        <f t="shared" si="41"/>
        <v>87.03</v>
      </c>
      <c r="X38" s="1216">
        <f t="shared" si="41"/>
        <v>87.04</v>
      </c>
      <c r="Y38" s="1216" t="str">
        <f t="shared" si="41"/>
        <v/>
      </c>
      <c r="Z38" s="1216" t="str">
        <f t="shared" si="41"/>
        <v/>
      </c>
      <c r="AA38" s="1216" t="str">
        <f t="shared" si="41"/>
        <v/>
      </c>
      <c r="AB38" s="1217" t="str">
        <f t="shared" si="41"/>
        <v/>
      </c>
      <c r="AC38" s="1216" t="str">
        <f t="shared" si="41"/>
        <v/>
      </c>
      <c r="AD38" s="1218" t="str">
        <f t="shared" si="41"/>
        <v/>
      </c>
      <c r="AE38" s="1219">
        <f t="shared" si="27"/>
        <v>88.01</v>
      </c>
      <c r="AF38" s="282">
        <f t="shared" si="28"/>
        <v>87.02</v>
      </c>
      <c r="AG38" s="282" t="str">
        <f t="shared" si="29"/>
        <v>baik</v>
      </c>
      <c r="AH38" s="282" t="str">
        <f t="shared" si="29"/>
        <v>baik</v>
      </c>
      <c r="AI38" s="282">
        <f t="shared" si="30"/>
        <v>1</v>
      </c>
      <c r="AJ38" s="283">
        <f t="shared" si="31"/>
        <v>2</v>
      </c>
      <c r="AK38" s="284" t="str">
        <f t="shared" si="32"/>
        <v>Memiliki kemampuan baik dalam Memahami kebijakan pemerintah dalam bidang ekonomi dan Memahami produk domistik bruto, pendapatan nasional bruto</v>
      </c>
      <c r="AL38" s="276">
        <v>88</v>
      </c>
      <c r="AM38" s="277">
        <v>88</v>
      </c>
      <c r="AN38" s="277">
        <v>88</v>
      </c>
      <c r="AO38" s="277">
        <v>88</v>
      </c>
      <c r="AP38" s="277"/>
      <c r="AQ38" s="277"/>
      <c r="AR38" s="277"/>
      <c r="AS38" s="280"/>
      <c r="AT38" s="277"/>
      <c r="AU38" s="278"/>
      <c r="AV38" s="285">
        <f t="shared" si="33"/>
        <v>88</v>
      </c>
      <c r="AW38" s="296" t="str">
        <f t="shared" si="34"/>
        <v>B</v>
      </c>
      <c r="AX38" s="1220">
        <f t="shared" si="42"/>
        <v>88.01</v>
      </c>
      <c r="AY38" s="1221">
        <f t="shared" si="42"/>
        <v>88.02</v>
      </c>
      <c r="AZ38" s="1221">
        <f t="shared" si="42"/>
        <v>88.03</v>
      </c>
      <c r="BA38" s="1221">
        <f t="shared" si="42"/>
        <v>88.04</v>
      </c>
      <c r="BB38" s="1221" t="str">
        <f t="shared" si="42"/>
        <v/>
      </c>
      <c r="BC38" s="1221" t="str">
        <f t="shared" si="42"/>
        <v/>
      </c>
      <c r="BD38" s="1221" t="str">
        <f t="shared" si="42"/>
        <v/>
      </c>
      <c r="BE38" s="1222" t="str">
        <f t="shared" si="42"/>
        <v/>
      </c>
      <c r="BF38" s="1221" t="str">
        <f t="shared" si="42"/>
        <v/>
      </c>
      <c r="BG38" s="1223" t="str">
        <f t="shared" si="42"/>
        <v/>
      </c>
      <c r="BH38" s="286">
        <f t="shared" si="35"/>
        <v>88.04</v>
      </c>
      <c r="BI38" s="286">
        <f t="shared" si="36"/>
        <v>88.01</v>
      </c>
      <c r="BJ38" s="287" t="str">
        <f t="shared" si="37"/>
        <v>baik</v>
      </c>
      <c r="BK38" s="287" t="str">
        <f t="shared" si="37"/>
        <v>baik</v>
      </c>
      <c r="BL38" s="286">
        <f t="shared" si="38"/>
        <v>4</v>
      </c>
      <c r="BM38" s="288">
        <f t="shared" si="39"/>
        <v>1</v>
      </c>
      <c r="BN38" s="289" t="str">
        <f t="shared" si="40"/>
        <v xml:space="preserve">Memiliki keterampilan baik dalam Menbedakan peran bank Umum dan Mendeskripsikan masalah masalah yang di hadapi pemerintah </v>
      </c>
      <c r="BO38" s="67"/>
    </row>
    <row r="39" spans="1:67" ht="33" customHeight="1">
      <c r="A39" s="67"/>
      <c r="B39" s="272">
        <f t="shared" si="23"/>
        <v>26</v>
      </c>
      <c r="C39" s="273">
        <f>IF(Data!F30="","",Data!F30)</f>
        <v>0</v>
      </c>
      <c r="D39" s="274" t="str">
        <f>IF(Data!H30="","",Data!H30)</f>
        <v>Misel Miranda Sora</v>
      </c>
      <c r="E39" s="275" t="str">
        <f>IF(Data!I30="","",Data!I30)</f>
        <v>P</v>
      </c>
      <c r="F39" s="276">
        <v>82</v>
      </c>
      <c r="G39" s="277">
        <v>85</v>
      </c>
      <c r="H39" s="277">
        <v>82</v>
      </c>
      <c r="I39" s="277">
        <v>85</v>
      </c>
      <c r="J39" s="277"/>
      <c r="K39" s="277"/>
      <c r="L39" s="277"/>
      <c r="M39" s="280"/>
      <c r="N39" s="277"/>
      <c r="O39" s="278"/>
      <c r="P39" s="279">
        <f t="shared" si="24"/>
        <v>84</v>
      </c>
      <c r="Q39" s="277">
        <v>86</v>
      </c>
      <c r="R39" s="280">
        <v>85</v>
      </c>
      <c r="S39" s="281">
        <f t="shared" si="25"/>
        <v>85</v>
      </c>
      <c r="T39" s="295" t="str">
        <f t="shared" si="26"/>
        <v>B</v>
      </c>
      <c r="U39" s="1215">
        <f t="shared" si="41"/>
        <v>82.01</v>
      </c>
      <c r="V39" s="1216">
        <f t="shared" si="41"/>
        <v>85.02</v>
      </c>
      <c r="W39" s="1216">
        <f t="shared" si="41"/>
        <v>82.03</v>
      </c>
      <c r="X39" s="1216">
        <f t="shared" si="41"/>
        <v>85.04</v>
      </c>
      <c r="Y39" s="1216" t="str">
        <f t="shared" si="41"/>
        <v/>
      </c>
      <c r="Z39" s="1216" t="str">
        <f t="shared" si="41"/>
        <v/>
      </c>
      <c r="AA39" s="1216" t="str">
        <f t="shared" si="41"/>
        <v/>
      </c>
      <c r="AB39" s="1217" t="str">
        <f t="shared" si="41"/>
        <v/>
      </c>
      <c r="AC39" s="1216" t="str">
        <f t="shared" si="41"/>
        <v/>
      </c>
      <c r="AD39" s="1218" t="str">
        <f t="shared" si="41"/>
        <v/>
      </c>
      <c r="AE39" s="1219">
        <f t="shared" si="27"/>
        <v>85.04</v>
      </c>
      <c r="AF39" s="282">
        <f t="shared" si="28"/>
        <v>82.01</v>
      </c>
      <c r="AG39" s="282" t="str">
        <f t="shared" si="29"/>
        <v>baik</v>
      </c>
      <c r="AH39" s="282" t="str">
        <f t="shared" si="29"/>
        <v>cukup</v>
      </c>
      <c r="AI39" s="282">
        <f t="shared" si="30"/>
        <v>4</v>
      </c>
      <c r="AJ39" s="283">
        <f t="shared" si="31"/>
        <v>1</v>
      </c>
      <c r="AK39" s="284" t="str">
        <f t="shared" si="32"/>
        <v>Memiliki kemampuan baik dalam Memahami uang dan perbankkan, cukup kemampuan dalam Memahami kebijakan pemerintah dalam bidang ekonomi</v>
      </c>
      <c r="AL39" s="276">
        <v>88</v>
      </c>
      <c r="AM39" s="277">
        <v>88</v>
      </c>
      <c r="AN39" s="277">
        <v>88</v>
      </c>
      <c r="AO39" s="277">
        <v>88</v>
      </c>
      <c r="AP39" s="277"/>
      <c r="AQ39" s="277"/>
      <c r="AR39" s="277"/>
      <c r="AS39" s="280"/>
      <c r="AT39" s="277"/>
      <c r="AU39" s="278"/>
      <c r="AV39" s="285">
        <f t="shared" si="33"/>
        <v>88</v>
      </c>
      <c r="AW39" s="296" t="str">
        <f t="shared" si="34"/>
        <v>B</v>
      </c>
      <c r="AX39" s="1220">
        <f t="shared" si="42"/>
        <v>88.01</v>
      </c>
      <c r="AY39" s="1221">
        <f t="shared" si="42"/>
        <v>88.02</v>
      </c>
      <c r="AZ39" s="1221">
        <f t="shared" si="42"/>
        <v>88.03</v>
      </c>
      <c r="BA39" s="1221">
        <f t="shared" si="42"/>
        <v>88.04</v>
      </c>
      <c r="BB39" s="1221" t="str">
        <f t="shared" si="42"/>
        <v/>
      </c>
      <c r="BC39" s="1221" t="str">
        <f t="shared" si="42"/>
        <v/>
      </c>
      <c r="BD39" s="1221" t="str">
        <f t="shared" si="42"/>
        <v/>
      </c>
      <c r="BE39" s="1222" t="str">
        <f t="shared" si="42"/>
        <v/>
      </c>
      <c r="BF39" s="1221" t="str">
        <f t="shared" si="42"/>
        <v/>
      </c>
      <c r="BG39" s="1223" t="str">
        <f t="shared" si="42"/>
        <v/>
      </c>
      <c r="BH39" s="286">
        <f t="shared" si="35"/>
        <v>88.04</v>
      </c>
      <c r="BI39" s="286">
        <f t="shared" si="36"/>
        <v>88.01</v>
      </c>
      <c r="BJ39" s="287" t="str">
        <f t="shared" si="37"/>
        <v>baik</v>
      </c>
      <c r="BK39" s="287" t="str">
        <f t="shared" si="37"/>
        <v>baik</v>
      </c>
      <c r="BL39" s="286">
        <f t="shared" si="38"/>
        <v>4</v>
      </c>
      <c r="BM39" s="288">
        <f t="shared" si="39"/>
        <v>1</v>
      </c>
      <c r="BN39" s="289" t="str">
        <f t="shared" si="40"/>
        <v xml:space="preserve">Memiliki keterampilan baik dalam Menbedakan peran bank Umum dan Mendeskripsikan masalah masalah yang di hadapi pemerintah </v>
      </c>
      <c r="BO39" s="67"/>
    </row>
    <row r="40" spans="1:67" ht="33" customHeight="1">
      <c r="A40" s="67"/>
      <c r="B40" s="272">
        <f t="shared" si="23"/>
        <v>27</v>
      </c>
      <c r="C40" s="273">
        <f>IF(Data!F31="","",Data!F31)</f>
        <v>0</v>
      </c>
      <c r="D40" s="274" t="str">
        <f>IF(Data!H31="","",Data!H31)</f>
        <v>Nofianti Tainmeta</v>
      </c>
      <c r="E40" s="275" t="str">
        <f>IF(Data!I31="","",Data!I31)</f>
        <v>P</v>
      </c>
      <c r="F40" s="276">
        <v>87</v>
      </c>
      <c r="G40" s="277">
        <v>88</v>
      </c>
      <c r="H40" s="277">
        <v>87</v>
      </c>
      <c r="I40" s="277">
        <v>85</v>
      </c>
      <c r="J40" s="277"/>
      <c r="K40" s="277"/>
      <c r="L40" s="277"/>
      <c r="M40" s="280"/>
      <c r="N40" s="277"/>
      <c r="O40" s="278"/>
      <c r="P40" s="279">
        <f t="shared" si="24"/>
        <v>87</v>
      </c>
      <c r="Q40" s="277">
        <v>85</v>
      </c>
      <c r="R40" s="280">
        <v>87</v>
      </c>
      <c r="S40" s="281">
        <f t="shared" si="25"/>
        <v>87</v>
      </c>
      <c r="T40" s="295" t="str">
        <f t="shared" si="26"/>
        <v>B</v>
      </c>
      <c r="U40" s="1215">
        <f t="shared" si="41"/>
        <v>87.01</v>
      </c>
      <c r="V40" s="1216">
        <f t="shared" si="41"/>
        <v>88.02</v>
      </c>
      <c r="W40" s="1216">
        <f t="shared" si="41"/>
        <v>87.03</v>
      </c>
      <c r="X40" s="1216">
        <f t="shared" si="41"/>
        <v>85.04</v>
      </c>
      <c r="Y40" s="1216" t="str">
        <f t="shared" si="41"/>
        <v/>
      </c>
      <c r="Z40" s="1216" t="str">
        <f t="shared" si="41"/>
        <v/>
      </c>
      <c r="AA40" s="1216" t="str">
        <f t="shared" si="41"/>
        <v/>
      </c>
      <c r="AB40" s="1217" t="str">
        <f t="shared" si="41"/>
        <v/>
      </c>
      <c r="AC40" s="1216" t="str">
        <f t="shared" si="41"/>
        <v/>
      </c>
      <c r="AD40" s="1218" t="str">
        <f t="shared" si="41"/>
        <v/>
      </c>
      <c r="AE40" s="1219">
        <f t="shared" si="27"/>
        <v>88.02</v>
      </c>
      <c r="AF40" s="282">
        <f t="shared" si="28"/>
        <v>85.04</v>
      </c>
      <c r="AG40" s="282" t="str">
        <f t="shared" si="29"/>
        <v>baik</v>
      </c>
      <c r="AH40" s="282" t="str">
        <f t="shared" si="29"/>
        <v>baik</v>
      </c>
      <c r="AI40" s="282">
        <f t="shared" si="30"/>
        <v>2</v>
      </c>
      <c r="AJ40" s="283">
        <f t="shared" si="31"/>
        <v>4</v>
      </c>
      <c r="AK40" s="284" t="str">
        <f t="shared" si="32"/>
        <v>Memiliki kemampuan baik dalam Memahami produk domistik bruto, pendapatan nasional bruto dan Memahami uang dan perbankkan</v>
      </c>
      <c r="AL40" s="276">
        <v>88</v>
      </c>
      <c r="AM40" s="277">
        <v>88</v>
      </c>
      <c r="AN40" s="277">
        <v>88</v>
      </c>
      <c r="AO40" s="277">
        <v>88</v>
      </c>
      <c r="AP40" s="277"/>
      <c r="AQ40" s="277"/>
      <c r="AR40" s="277"/>
      <c r="AS40" s="280"/>
      <c r="AT40" s="277"/>
      <c r="AU40" s="278"/>
      <c r="AV40" s="285">
        <f t="shared" si="33"/>
        <v>88</v>
      </c>
      <c r="AW40" s="296" t="str">
        <f t="shared" si="34"/>
        <v>B</v>
      </c>
      <c r="AX40" s="1220">
        <f t="shared" si="42"/>
        <v>88.01</v>
      </c>
      <c r="AY40" s="1221">
        <f t="shared" si="42"/>
        <v>88.02</v>
      </c>
      <c r="AZ40" s="1221">
        <f t="shared" si="42"/>
        <v>88.03</v>
      </c>
      <c r="BA40" s="1221">
        <f t="shared" si="42"/>
        <v>88.04</v>
      </c>
      <c r="BB40" s="1221" t="str">
        <f t="shared" si="42"/>
        <v/>
      </c>
      <c r="BC40" s="1221" t="str">
        <f t="shared" si="42"/>
        <v/>
      </c>
      <c r="BD40" s="1221" t="str">
        <f t="shared" si="42"/>
        <v/>
      </c>
      <c r="BE40" s="1222" t="str">
        <f t="shared" si="42"/>
        <v/>
      </c>
      <c r="BF40" s="1221" t="str">
        <f t="shared" si="42"/>
        <v/>
      </c>
      <c r="BG40" s="1223" t="str">
        <f t="shared" si="42"/>
        <v/>
      </c>
      <c r="BH40" s="286">
        <f t="shared" si="35"/>
        <v>88.04</v>
      </c>
      <c r="BI40" s="286">
        <f t="shared" si="36"/>
        <v>88.01</v>
      </c>
      <c r="BJ40" s="287" t="str">
        <f t="shared" si="37"/>
        <v>baik</v>
      </c>
      <c r="BK40" s="287" t="str">
        <f t="shared" si="37"/>
        <v>baik</v>
      </c>
      <c r="BL40" s="286">
        <f t="shared" si="38"/>
        <v>4</v>
      </c>
      <c r="BM40" s="288">
        <f t="shared" si="39"/>
        <v>1</v>
      </c>
      <c r="BN40" s="289" t="str">
        <f t="shared" si="40"/>
        <v xml:space="preserve">Memiliki keterampilan baik dalam Menbedakan peran bank Umum dan Mendeskripsikan masalah masalah yang di hadapi pemerintah </v>
      </c>
      <c r="BO40" s="67"/>
    </row>
    <row r="41" spans="1:67" ht="33" customHeight="1">
      <c r="A41" s="67"/>
      <c r="B41" s="272">
        <f t="shared" si="23"/>
        <v>28</v>
      </c>
      <c r="C41" s="273">
        <f>IF(Data!F32="","",Data!F32)</f>
        <v>0</v>
      </c>
      <c r="D41" s="274" t="str">
        <f>IF(Data!H32="","",Data!H32)</f>
        <v>Ofni Antrikus Banun</v>
      </c>
      <c r="E41" s="275" t="str">
        <f>IF(Data!I32="","",Data!I32)</f>
        <v>L</v>
      </c>
      <c r="F41" s="276">
        <v>87</v>
      </c>
      <c r="G41" s="277">
        <v>87</v>
      </c>
      <c r="H41" s="277">
        <v>88</v>
      </c>
      <c r="I41" s="277">
        <v>86</v>
      </c>
      <c r="J41" s="277"/>
      <c r="K41" s="277"/>
      <c r="L41" s="277"/>
      <c r="M41" s="280"/>
      <c r="N41" s="277"/>
      <c r="O41" s="278"/>
      <c r="P41" s="279">
        <f t="shared" si="24"/>
        <v>87</v>
      </c>
      <c r="Q41" s="277">
        <v>78</v>
      </c>
      <c r="R41" s="280">
        <v>79</v>
      </c>
      <c r="S41" s="281">
        <f t="shared" si="25"/>
        <v>83</v>
      </c>
      <c r="T41" s="295" t="str">
        <f t="shared" si="26"/>
        <v>C</v>
      </c>
      <c r="U41" s="1215">
        <f t="shared" si="41"/>
        <v>87.01</v>
      </c>
      <c r="V41" s="1216">
        <f t="shared" si="41"/>
        <v>87.02</v>
      </c>
      <c r="W41" s="1216">
        <f t="shared" si="41"/>
        <v>88.03</v>
      </c>
      <c r="X41" s="1216">
        <f t="shared" si="41"/>
        <v>86.04</v>
      </c>
      <c r="Y41" s="1216" t="str">
        <f t="shared" si="41"/>
        <v/>
      </c>
      <c r="Z41" s="1216" t="str">
        <f t="shared" si="41"/>
        <v/>
      </c>
      <c r="AA41" s="1216" t="str">
        <f t="shared" si="41"/>
        <v/>
      </c>
      <c r="AB41" s="1217" t="str">
        <f t="shared" si="41"/>
        <v/>
      </c>
      <c r="AC41" s="1216" t="str">
        <f t="shared" si="41"/>
        <v/>
      </c>
      <c r="AD41" s="1218" t="str">
        <f t="shared" si="41"/>
        <v/>
      </c>
      <c r="AE41" s="1219">
        <f t="shared" si="27"/>
        <v>88.03</v>
      </c>
      <c r="AF41" s="282">
        <f t="shared" si="28"/>
        <v>86.04</v>
      </c>
      <c r="AG41" s="282" t="str">
        <f t="shared" si="29"/>
        <v>baik</v>
      </c>
      <c r="AH41" s="282" t="str">
        <f t="shared" si="29"/>
        <v>baik</v>
      </c>
      <c r="AI41" s="282">
        <f t="shared" si="30"/>
        <v>3</v>
      </c>
      <c r="AJ41" s="283">
        <f t="shared" si="31"/>
        <v>4</v>
      </c>
      <c r="AK41" s="284" t="str">
        <f t="shared" si="32"/>
        <v>Memiliki kemampuan baik dalam Memahami konsumsi dan investasi dan Memahami uang dan perbankkan</v>
      </c>
      <c r="AL41" s="276">
        <v>88</v>
      </c>
      <c r="AM41" s="277">
        <v>88</v>
      </c>
      <c r="AN41" s="277">
        <v>88</v>
      </c>
      <c r="AO41" s="277">
        <v>88</v>
      </c>
      <c r="AP41" s="277"/>
      <c r="AQ41" s="277"/>
      <c r="AR41" s="277"/>
      <c r="AS41" s="280"/>
      <c r="AT41" s="277"/>
      <c r="AU41" s="278"/>
      <c r="AV41" s="285">
        <f t="shared" si="33"/>
        <v>88</v>
      </c>
      <c r="AW41" s="296" t="str">
        <f t="shared" si="34"/>
        <v>B</v>
      </c>
      <c r="AX41" s="1220">
        <f t="shared" si="42"/>
        <v>88.01</v>
      </c>
      <c r="AY41" s="1221">
        <f t="shared" si="42"/>
        <v>88.02</v>
      </c>
      <c r="AZ41" s="1221">
        <f t="shared" si="42"/>
        <v>88.03</v>
      </c>
      <c r="BA41" s="1221">
        <f t="shared" si="42"/>
        <v>88.04</v>
      </c>
      <c r="BB41" s="1221" t="str">
        <f t="shared" si="42"/>
        <v/>
      </c>
      <c r="BC41" s="1221" t="str">
        <f t="shared" si="42"/>
        <v/>
      </c>
      <c r="BD41" s="1221" t="str">
        <f t="shared" si="42"/>
        <v/>
      </c>
      <c r="BE41" s="1222" t="str">
        <f t="shared" si="42"/>
        <v/>
      </c>
      <c r="BF41" s="1221" t="str">
        <f t="shared" si="42"/>
        <v/>
      </c>
      <c r="BG41" s="1223" t="str">
        <f t="shared" si="42"/>
        <v/>
      </c>
      <c r="BH41" s="286">
        <f t="shared" si="35"/>
        <v>88.04</v>
      </c>
      <c r="BI41" s="286">
        <f t="shared" si="36"/>
        <v>88.01</v>
      </c>
      <c r="BJ41" s="287" t="str">
        <f t="shared" si="37"/>
        <v>baik</v>
      </c>
      <c r="BK41" s="287" t="str">
        <f t="shared" si="37"/>
        <v>baik</v>
      </c>
      <c r="BL41" s="286">
        <f t="shared" si="38"/>
        <v>4</v>
      </c>
      <c r="BM41" s="288">
        <f t="shared" si="39"/>
        <v>1</v>
      </c>
      <c r="BN41" s="289" t="str">
        <f t="shared" si="40"/>
        <v xml:space="preserve">Memiliki keterampilan baik dalam Menbedakan peran bank Umum dan Mendeskripsikan masalah masalah yang di hadapi pemerintah </v>
      </c>
      <c r="BO41" s="67"/>
    </row>
    <row r="42" spans="1:67" ht="33" customHeight="1">
      <c r="A42" s="67"/>
      <c r="B42" s="272">
        <f t="shared" si="23"/>
        <v>29</v>
      </c>
      <c r="C42" s="273">
        <f>IF(Data!F33="","",Data!F33)</f>
        <v>0</v>
      </c>
      <c r="D42" s="274" t="str">
        <f>IF(Data!H33="","",Data!H33)</f>
        <v>Roiyandi Saebesi</v>
      </c>
      <c r="E42" s="275" t="str">
        <f>IF(Data!I33="","",Data!I33)</f>
        <v>L</v>
      </c>
      <c r="F42" s="276">
        <v>87</v>
      </c>
      <c r="G42" s="277">
        <v>87</v>
      </c>
      <c r="H42" s="277">
        <v>86</v>
      </c>
      <c r="I42" s="277">
        <v>88</v>
      </c>
      <c r="J42" s="277"/>
      <c r="K42" s="277"/>
      <c r="L42" s="277"/>
      <c r="M42" s="280"/>
      <c r="N42" s="277"/>
      <c r="O42" s="278"/>
      <c r="P42" s="279">
        <f t="shared" si="24"/>
        <v>87</v>
      </c>
      <c r="Q42" s="277">
        <v>78</v>
      </c>
      <c r="R42" s="280">
        <v>88</v>
      </c>
      <c r="S42" s="281">
        <f t="shared" si="25"/>
        <v>85</v>
      </c>
      <c r="T42" s="295" t="str">
        <f t="shared" si="26"/>
        <v>B</v>
      </c>
      <c r="U42" s="1215">
        <f t="shared" si="41"/>
        <v>87.01</v>
      </c>
      <c r="V42" s="1216">
        <f t="shared" si="41"/>
        <v>87.02</v>
      </c>
      <c r="W42" s="1216">
        <f t="shared" si="41"/>
        <v>86.03</v>
      </c>
      <c r="X42" s="1216">
        <f t="shared" si="41"/>
        <v>88.04</v>
      </c>
      <c r="Y42" s="1216" t="str">
        <f t="shared" si="41"/>
        <v/>
      </c>
      <c r="Z42" s="1216" t="str">
        <f t="shared" si="41"/>
        <v/>
      </c>
      <c r="AA42" s="1216" t="str">
        <f t="shared" si="41"/>
        <v/>
      </c>
      <c r="AB42" s="1217" t="str">
        <f t="shared" si="41"/>
        <v/>
      </c>
      <c r="AC42" s="1216" t="str">
        <f t="shared" si="41"/>
        <v/>
      </c>
      <c r="AD42" s="1218" t="str">
        <f t="shared" si="41"/>
        <v/>
      </c>
      <c r="AE42" s="1219">
        <f t="shared" si="27"/>
        <v>88.04</v>
      </c>
      <c r="AF42" s="282">
        <f t="shared" si="28"/>
        <v>86.03</v>
      </c>
      <c r="AG42" s="282" t="str">
        <f t="shared" si="29"/>
        <v>baik</v>
      </c>
      <c r="AH42" s="282" t="str">
        <f t="shared" si="29"/>
        <v>baik</v>
      </c>
      <c r="AI42" s="282">
        <f t="shared" si="30"/>
        <v>4</v>
      </c>
      <c r="AJ42" s="283">
        <f t="shared" si="31"/>
        <v>3</v>
      </c>
      <c r="AK42" s="284" t="str">
        <f t="shared" si="32"/>
        <v>Memiliki kemampuan baik dalam Memahami uang dan perbankkan dan Memahami konsumsi dan investasi</v>
      </c>
      <c r="AL42" s="276">
        <v>88</v>
      </c>
      <c r="AM42" s="277">
        <v>88</v>
      </c>
      <c r="AN42" s="277">
        <v>88</v>
      </c>
      <c r="AO42" s="277">
        <v>88</v>
      </c>
      <c r="AP42" s="277"/>
      <c r="AQ42" s="277"/>
      <c r="AR42" s="277"/>
      <c r="AS42" s="280"/>
      <c r="AT42" s="277"/>
      <c r="AU42" s="278"/>
      <c r="AV42" s="285">
        <f t="shared" si="33"/>
        <v>88</v>
      </c>
      <c r="AW42" s="296" t="str">
        <f t="shared" si="34"/>
        <v>B</v>
      </c>
      <c r="AX42" s="1220">
        <f t="shared" si="42"/>
        <v>88.01</v>
      </c>
      <c r="AY42" s="1221">
        <f t="shared" si="42"/>
        <v>88.02</v>
      </c>
      <c r="AZ42" s="1221">
        <f t="shared" si="42"/>
        <v>88.03</v>
      </c>
      <c r="BA42" s="1221">
        <f t="shared" si="42"/>
        <v>88.04</v>
      </c>
      <c r="BB42" s="1221" t="str">
        <f t="shared" si="42"/>
        <v/>
      </c>
      <c r="BC42" s="1221" t="str">
        <f t="shared" si="42"/>
        <v/>
      </c>
      <c r="BD42" s="1221" t="str">
        <f t="shared" si="42"/>
        <v/>
      </c>
      <c r="BE42" s="1222" t="str">
        <f t="shared" si="42"/>
        <v/>
      </c>
      <c r="BF42" s="1221" t="str">
        <f t="shared" si="42"/>
        <v/>
      </c>
      <c r="BG42" s="1223" t="str">
        <f t="shared" si="42"/>
        <v/>
      </c>
      <c r="BH42" s="286">
        <f t="shared" si="35"/>
        <v>88.04</v>
      </c>
      <c r="BI42" s="286">
        <f t="shared" si="36"/>
        <v>88.01</v>
      </c>
      <c r="BJ42" s="287" t="str">
        <f t="shared" si="37"/>
        <v>baik</v>
      </c>
      <c r="BK42" s="287" t="str">
        <f t="shared" si="37"/>
        <v>baik</v>
      </c>
      <c r="BL42" s="286">
        <f t="shared" si="38"/>
        <v>4</v>
      </c>
      <c r="BM42" s="288">
        <f t="shared" si="39"/>
        <v>1</v>
      </c>
      <c r="BN42" s="289" t="str">
        <f t="shared" si="40"/>
        <v xml:space="preserve">Memiliki keterampilan baik dalam Menbedakan peran bank Umum dan Mendeskripsikan masalah masalah yang di hadapi pemerintah </v>
      </c>
      <c r="BO42" s="67"/>
    </row>
    <row r="43" spans="1:67" ht="33" customHeight="1">
      <c r="A43" s="67"/>
      <c r="B43" s="272">
        <f t="shared" si="23"/>
        <v>30</v>
      </c>
      <c r="C43" s="273">
        <f>IF(Data!F34="","",Data!F34)</f>
        <v>0</v>
      </c>
      <c r="D43" s="274" t="str">
        <f>IF(Data!H34="","",Data!H34)</f>
        <v>Roni Yohanis Bira</v>
      </c>
      <c r="E43" s="275" t="str">
        <f>IF(Data!I34="","",Data!I34)</f>
        <v>L</v>
      </c>
      <c r="F43" s="276">
        <v>87</v>
      </c>
      <c r="G43" s="277">
        <v>86</v>
      </c>
      <c r="H43" s="277">
        <v>88</v>
      </c>
      <c r="I43" s="277">
        <v>86</v>
      </c>
      <c r="J43" s="277"/>
      <c r="K43" s="277"/>
      <c r="L43" s="277"/>
      <c r="M43" s="280"/>
      <c r="N43" s="277"/>
      <c r="O43" s="278"/>
      <c r="P43" s="279">
        <f t="shared" si="24"/>
        <v>87</v>
      </c>
      <c r="Q43" s="277">
        <v>87</v>
      </c>
      <c r="R43" s="280">
        <v>88</v>
      </c>
      <c r="S43" s="281">
        <f t="shared" si="25"/>
        <v>87</v>
      </c>
      <c r="T43" s="295" t="str">
        <f t="shared" si="26"/>
        <v>B</v>
      </c>
      <c r="U43" s="1215">
        <f t="shared" si="41"/>
        <v>87.01</v>
      </c>
      <c r="V43" s="1216">
        <f t="shared" si="41"/>
        <v>86.02</v>
      </c>
      <c r="W43" s="1216">
        <f t="shared" si="41"/>
        <v>88.03</v>
      </c>
      <c r="X43" s="1216">
        <f t="shared" si="41"/>
        <v>86.04</v>
      </c>
      <c r="Y43" s="1216" t="str">
        <f t="shared" si="41"/>
        <v/>
      </c>
      <c r="Z43" s="1216" t="str">
        <f t="shared" si="41"/>
        <v/>
      </c>
      <c r="AA43" s="1216" t="str">
        <f t="shared" si="41"/>
        <v/>
      </c>
      <c r="AB43" s="1217" t="str">
        <f t="shared" si="41"/>
        <v/>
      </c>
      <c r="AC43" s="1216" t="str">
        <f t="shared" si="41"/>
        <v/>
      </c>
      <c r="AD43" s="1218" t="str">
        <f t="shared" si="41"/>
        <v/>
      </c>
      <c r="AE43" s="1219">
        <f t="shared" si="27"/>
        <v>88.03</v>
      </c>
      <c r="AF43" s="282">
        <f t="shared" si="28"/>
        <v>86.02</v>
      </c>
      <c r="AG43" s="282" t="str">
        <f t="shared" si="29"/>
        <v>baik</v>
      </c>
      <c r="AH43" s="282" t="str">
        <f t="shared" si="29"/>
        <v>baik</v>
      </c>
      <c r="AI43" s="282">
        <f t="shared" si="30"/>
        <v>3</v>
      </c>
      <c r="AJ43" s="283">
        <f t="shared" si="31"/>
        <v>2</v>
      </c>
      <c r="AK43" s="284" t="str">
        <f t="shared" si="32"/>
        <v>Memiliki kemampuan baik dalam Memahami konsumsi dan investasi dan Memahami produk domistik bruto, pendapatan nasional bruto</v>
      </c>
      <c r="AL43" s="276">
        <v>88</v>
      </c>
      <c r="AM43" s="277">
        <v>88</v>
      </c>
      <c r="AN43" s="277">
        <v>88</v>
      </c>
      <c r="AO43" s="277">
        <v>88</v>
      </c>
      <c r="AP43" s="277"/>
      <c r="AQ43" s="277"/>
      <c r="AR43" s="277"/>
      <c r="AS43" s="280"/>
      <c r="AT43" s="277"/>
      <c r="AU43" s="278"/>
      <c r="AV43" s="285">
        <f t="shared" si="33"/>
        <v>88</v>
      </c>
      <c r="AW43" s="296" t="str">
        <f t="shared" si="34"/>
        <v>B</v>
      </c>
      <c r="AX43" s="1220">
        <f t="shared" si="42"/>
        <v>88.01</v>
      </c>
      <c r="AY43" s="1221">
        <f t="shared" si="42"/>
        <v>88.02</v>
      </c>
      <c r="AZ43" s="1221">
        <f t="shared" si="42"/>
        <v>88.03</v>
      </c>
      <c r="BA43" s="1221">
        <f t="shared" si="42"/>
        <v>88.04</v>
      </c>
      <c r="BB43" s="1221" t="str">
        <f t="shared" si="42"/>
        <v/>
      </c>
      <c r="BC43" s="1221" t="str">
        <f t="shared" si="42"/>
        <v/>
      </c>
      <c r="BD43" s="1221" t="str">
        <f t="shared" si="42"/>
        <v/>
      </c>
      <c r="BE43" s="1222" t="str">
        <f t="shared" si="42"/>
        <v/>
      </c>
      <c r="BF43" s="1221" t="str">
        <f t="shared" si="42"/>
        <v/>
      </c>
      <c r="BG43" s="1223" t="str">
        <f t="shared" si="42"/>
        <v/>
      </c>
      <c r="BH43" s="286">
        <f t="shared" si="35"/>
        <v>88.04</v>
      </c>
      <c r="BI43" s="286">
        <f t="shared" si="36"/>
        <v>88.01</v>
      </c>
      <c r="BJ43" s="287" t="str">
        <f t="shared" si="37"/>
        <v>baik</v>
      </c>
      <c r="BK43" s="287" t="str">
        <f t="shared" si="37"/>
        <v>baik</v>
      </c>
      <c r="BL43" s="286">
        <f t="shared" si="38"/>
        <v>4</v>
      </c>
      <c r="BM43" s="288">
        <f t="shared" si="39"/>
        <v>1</v>
      </c>
      <c r="BN43" s="289" t="str">
        <f t="shared" si="40"/>
        <v xml:space="preserve">Memiliki keterampilan baik dalam Menbedakan peran bank Umum dan Mendeskripsikan masalah masalah yang di hadapi pemerintah </v>
      </c>
      <c r="BO43" s="67"/>
    </row>
    <row r="44" spans="1:67" ht="33" customHeight="1">
      <c r="A44" s="67"/>
      <c r="B44" s="272">
        <f t="shared" si="23"/>
        <v>31</v>
      </c>
      <c r="C44" s="273">
        <f>IF(Data!F35="","",Data!F35)</f>
        <v>0</v>
      </c>
      <c r="D44" s="274" t="str">
        <f>IF(Data!H35="","",Data!H35)</f>
        <v>Sinta Norliana Funan</v>
      </c>
      <c r="E44" s="275" t="str">
        <f>IF(Data!I35="","",Data!I35)</f>
        <v>P</v>
      </c>
      <c r="F44" s="276">
        <v>88</v>
      </c>
      <c r="G44" s="277">
        <v>87</v>
      </c>
      <c r="H44" s="277">
        <v>88</v>
      </c>
      <c r="I44" s="277">
        <v>88</v>
      </c>
      <c r="J44" s="277"/>
      <c r="K44" s="277"/>
      <c r="L44" s="277"/>
      <c r="M44" s="280"/>
      <c r="N44" s="277"/>
      <c r="O44" s="278"/>
      <c r="P44" s="279">
        <f t="shared" si="24"/>
        <v>88</v>
      </c>
      <c r="Q44" s="277">
        <v>88</v>
      </c>
      <c r="R44" s="280">
        <v>87</v>
      </c>
      <c r="S44" s="281">
        <f t="shared" si="25"/>
        <v>88</v>
      </c>
      <c r="T44" s="295" t="str">
        <f t="shared" si="26"/>
        <v>B</v>
      </c>
      <c r="U44" s="1215">
        <f t="shared" si="41"/>
        <v>88.01</v>
      </c>
      <c r="V44" s="1216">
        <f t="shared" si="41"/>
        <v>87.02</v>
      </c>
      <c r="W44" s="1216">
        <f t="shared" si="41"/>
        <v>88.03</v>
      </c>
      <c r="X44" s="1216">
        <f t="shared" si="41"/>
        <v>88.04</v>
      </c>
      <c r="Y44" s="1216" t="str">
        <f t="shared" si="41"/>
        <v/>
      </c>
      <c r="Z44" s="1216" t="str">
        <f t="shared" si="41"/>
        <v/>
      </c>
      <c r="AA44" s="1216" t="str">
        <f t="shared" si="41"/>
        <v/>
      </c>
      <c r="AB44" s="1217" t="str">
        <f t="shared" si="41"/>
        <v/>
      </c>
      <c r="AC44" s="1216" t="str">
        <f t="shared" si="41"/>
        <v/>
      </c>
      <c r="AD44" s="1218" t="str">
        <f t="shared" si="41"/>
        <v/>
      </c>
      <c r="AE44" s="1219">
        <f t="shared" si="27"/>
        <v>88.04</v>
      </c>
      <c r="AF44" s="282">
        <f t="shared" si="28"/>
        <v>87.02</v>
      </c>
      <c r="AG44" s="282" t="str">
        <f t="shared" si="29"/>
        <v>baik</v>
      </c>
      <c r="AH44" s="282" t="str">
        <f t="shared" si="29"/>
        <v>baik</v>
      </c>
      <c r="AI44" s="282">
        <f t="shared" si="30"/>
        <v>4</v>
      </c>
      <c r="AJ44" s="283">
        <f t="shared" si="31"/>
        <v>2</v>
      </c>
      <c r="AK44" s="284" t="str">
        <f t="shared" si="32"/>
        <v>Memiliki kemampuan baik dalam Memahami uang dan perbankkan dan Memahami produk domistik bruto, pendapatan nasional bruto</v>
      </c>
      <c r="AL44" s="276">
        <v>88</v>
      </c>
      <c r="AM44" s="277">
        <v>88</v>
      </c>
      <c r="AN44" s="277">
        <v>88</v>
      </c>
      <c r="AO44" s="277">
        <v>88</v>
      </c>
      <c r="AP44" s="277"/>
      <c r="AQ44" s="277"/>
      <c r="AR44" s="277"/>
      <c r="AS44" s="280"/>
      <c r="AT44" s="277"/>
      <c r="AU44" s="278"/>
      <c r="AV44" s="285">
        <f t="shared" si="33"/>
        <v>88</v>
      </c>
      <c r="AW44" s="296" t="str">
        <f t="shared" si="34"/>
        <v>B</v>
      </c>
      <c r="AX44" s="1220">
        <f t="shared" si="42"/>
        <v>88.01</v>
      </c>
      <c r="AY44" s="1221">
        <f t="shared" si="42"/>
        <v>88.02</v>
      </c>
      <c r="AZ44" s="1221">
        <f t="shared" si="42"/>
        <v>88.03</v>
      </c>
      <c r="BA44" s="1221">
        <f t="shared" si="42"/>
        <v>88.04</v>
      </c>
      <c r="BB44" s="1221" t="str">
        <f t="shared" si="42"/>
        <v/>
      </c>
      <c r="BC44" s="1221" t="str">
        <f t="shared" si="42"/>
        <v/>
      </c>
      <c r="BD44" s="1221" t="str">
        <f t="shared" si="42"/>
        <v/>
      </c>
      <c r="BE44" s="1222" t="str">
        <f t="shared" si="42"/>
        <v/>
      </c>
      <c r="BF44" s="1221" t="str">
        <f t="shared" si="42"/>
        <v/>
      </c>
      <c r="BG44" s="1223" t="str">
        <f t="shared" si="42"/>
        <v/>
      </c>
      <c r="BH44" s="286">
        <f t="shared" si="35"/>
        <v>88.04</v>
      </c>
      <c r="BI44" s="286">
        <f t="shared" si="36"/>
        <v>88.01</v>
      </c>
      <c r="BJ44" s="287" t="str">
        <f t="shared" si="37"/>
        <v>baik</v>
      </c>
      <c r="BK44" s="287" t="str">
        <f t="shared" si="37"/>
        <v>baik</v>
      </c>
      <c r="BL44" s="286">
        <f t="shared" si="38"/>
        <v>4</v>
      </c>
      <c r="BM44" s="288">
        <f t="shared" si="39"/>
        <v>1</v>
      </c>
      <c r="BN44" s="289" t="str">
        <f t="shared" si="40"/>
        <v xml:space="preserve">Memiliki keterampilan baik dalam Menbedakan peran bank Umum dan Mendeskripsikan masalah masalah yang di hadapi pemerintah </v>
      </c>
      <c r="BO44" s="67"/>
    </row>
    <row r="45" spans="1:67" ht="33" customHeight="1">
      <c r="A45" s="67"/>
      <c r="B45" s="272">
        <f t="shared" si="23"/>
        <v>32</v>
      </c>
      <c r="C45" s="273">
        <f>IF(Data!F36="","",Data!F36)</f>
        <v>0</v>
      </c>
      <c r="D45" s="274" t="str">
        <f>IF(Data!H36="","",Data!H36)</f>
        <v>Stevi Otnial Loemnanu</v>
      </c>
      <c r="E45" s="275" t="str">
        <f>IF(Data!I36="","",Data!I36)</f>
        <v>L</v>
      </c>
      <c r="F45" s="276">
        <v>88</v>
      </c>
      <c r="G45" s="277">
        <v>86</v>
      </c>
      <c r="H45" s="277">
        <v>85</v>
      </c>
      <c r="I45" s="277">
        <v>85</v>
      </c>
      <c r="J45" s="277"/>
      <c r="K45" s="277"/>
      <c r="L45" s="277"/>
      <c r="M45" s="280"/>
      <c r="N45" s="277"/>
      <c r="O45" s="278"/>
      <c r="P45" s="279">
        <f t="shared" si="24"/>
        <v>86</v>
      </c>
      <c r="Q45" s="277">
        <v>86</v>
      </c>
      <c r="R45" s="280">
        <v>87</v>
      </c>
      <c r="S45" s="281">
        <f t="shared" si="25"/>
        <v>86</v>
      </c>
      <c r="T45" s="295" t="str">
        <f t="shared" si="26"/>
        <v>B</v>
      </c>
      <c r="U45" s="1215">
        <f t="shared" si="41"/>
        <v>88.01</v>
      </c>
      <c r="V45" s="1216">
        <f t="shared" si="41"/>
        <v>86.02</v>
      </c>
      <c r="W45" s="1216">
        <f t="shared" si="41"/>
        <v>85.03</v>
      </c>
      <c r="X45" s="1216">
        <f t="shared" si="41"/>
        <v>85.04</v>
      </c>
      <c r="Y45" s="1216" t="str">
        <f t="shared" si="41"/>
        <v/>
      </c>
      <c r="Z45" s="1216" t="str">
        <f t="shared" si="41"/>
        <v/>
      </c>
      <c r="AA45" s="1216" t="str">
        <f t="shared" si="41"/>
        <v/>
      </c>
      <c r="AB45" s="1217" t="str">
        <f t="shared" si="41"/>
        <v/>
      </c>
      <c r="AC45" s="1216" t="str">
        <f t="shared" si="41"/>
        <v/>
      </c>
      <c r="AD45" s="1218" t="str">
        <f t="shared" si="41"/>
        <v/>
      </c>
      <c r="AE45" s="1219">
        <f t="shared" si="27"/>
        <v>88.01</v>
      </c>
      <c r="AF45" s="282">
        <f t="shared" si="28"/>
        <v>85.03</v>
      </c>
      <c r="AG45" s="282" t="str">
        <f t="shared" si="29"/>
        <v>baik</v>
      </c>
      <c r="AH45" s="282" t="str">
        <f t="shared" si="29"/>
        <v>baik</v>
      </c>
      <c r="AI45" s="282">
        <f t="shared" si="30"/>
        <v>1</v>
      </c>
      <c r="AJ45" s="283">
        <f t="shared" si="31"/>
        <v>3</v>
      </c>
      <c r="AK45" s="284" t="str">
        <f t="shared" si="32"/>
        <v>Memiliki kemampuan baik dalam Memahami kebijakan pemerintah dalam bidang ekonomi dan Memahami konsumsi dan investasi</v>
      </c>
      <c r="AL45" s="276">
        <v>88</v>
      </c>
      <c r="AM45" s="277">
        <v>88</v>
      </c>
      <c r="AN45" s="277">
        <v>88</v>
      </c>
      <c r="AO45" s="277">
        <v>88</v>
      </c>
      <c r="AP45" s="277"/>
      <c r="AQ45" s="277"/>
      <c r="AR45" s="277"/>
      <c r="AS45" s="280"/>
      <c r="AT45" s="277"/>
      <c r="AU45" s="278"/>
      <c r="AV45" s="285">
        <f t="shared" si="33"/>
        <v>88</v>
      </c>
      <c r="AW45" s="296" t="str">
        <f t="shared" si="34"/>
        <v>B</v>
      </c>
      <c r="AX45" s="1220">
        <f t="shared" si="42"/>
        <v>88.01</v>
      </c>
      <c r="AY45" s="1221">
        <f t="shared" si="42"/>
        <v>88.02</v>
      </c>
      <c r="AZ45" s="1221">
        <f t="shared" si="42"/>
        <v>88.03</v>
      </c>
      <c r="BA45" s="1221">
        <f t="shared" si="42"/>
        <v>88.04</v>
      </c>
      <c r="BB45" s="1221" t="str">
        <f t="shared" si="42"/>
        <v/>
      </c>
      <c r="BC45" s="1221" t="str">
        <f t="shared" si="42"/>
        <v/>
      </c>
      <c r="BD45" s="1221" t="str">
        <f t="shared" si="42"/>
        <v/>
      </c>
      <c r="BE45" s="1222" t="str">
        <f t="shared" si="42"/>
        <v/>
      </c>
      <c r="BF45" s="1221" t="str">
        <f t="shared" si="42"/>
        <v/>
      </c>
      <c r="BG45" s="1223" t="str">
        <f t="shared" si="42"/>
        <v/>
      </c>
      <c r="BH45" s="286">
        <f t="shared" si="35"/>
        <v>88.04</v>
      </c>
      <c r="BI45" s="286">
        <f t="shared" si="36"/>
        <v>88.01</v>
      </c>
      <c r="BJ45" s="287" t="str">
        <f t="shared" si="37"/>
        <v>baik</v>
      </c>
      <c r="BK45" s="287" t="str">
        <f t="shared" si="37"/>
        <v>baik</v>
      </c>
      <c r="BL45" s="286">
        <f t="shared" si="38"/>
        <v>4</v>
      </c>
      <c r="BM45" s="288">
        <f t="shared" si="39"/>
        <v>1</v>
      </c>
      <c r="BN45" s="289" t="str">
        <f t="shared" si="40"/>
        <v xml:space="preserve">Memiliki keterampilan baik dalam Menbedakan peran bank Umum dan Mendeskripsikan masalah masalah yang di hadapi pemerintah </v>
      </c>
      <c r="BO45" s="67"/>
    </row>
    <row r="46" spans="1:67" ht="33" customHeight="1">
      <c r="A46" s="67"/>
      <c r="B46" s="272">
        <f t="shared" si="23"/>
        <v>33</v>
      </c>
      <c r="C46" s="273">
        <f>IF(Data!F37="","",Data!F37)</f>
        <v>0</v>
      </c>
      <c r="D46" s="274" t="str">
        <f>IF(Data!H37="","",Data!H37)</f>
        <v>Venciani Sefrianti Sufnera</v>
      </c>
      <c r="E46" s="275" t="str">
        <f>IF(Data!I37="","",Data!I37)</f>
        <v>P</v>
      </c>
      <c r="F46" s="276">
        <v>88</v>
      </c>
      <c r="G46" s="277">
        <v>86</v>
      </c>
      <c r="H46" s="277">
        <v>86</v>
      </c>
      <c r="I46" s="277">
        <v>85</v>
      </c>
      <c r="J46" s="277"/>
      <c r="K46" s="277"/>
      <c r="L46" s="277"/>
      <c r="M46" s="280"/>
      <c r="N46" s="277"/>
      <c r="O46" s="278"/>
      <c r="P46" s="279">
        <f t="shared" si="24"/>
        <v>86</v>
      </c>
      <c r="Q46" s="277">
        <v>85</v>
      </c>
      <c r="R46" s="280">
        <v>87</v>
      </c>
      <c r="S46" s="281">
        <f t="shared" si="25"/>
        <v>86</v>
      </c>
      <c r="T46" s="295" t="str">
        <f t="shared" si="26"/>
        <v>B</v>
      </c>
      <c r="U46" s="1215">
        <f t="shared" si="41"/>
        <v>88.01</v>
      </c>
      <c r="V46" s="1216">
        <f t="shared" si="41"/>
        <v>86.02</v>
      </c>
      <c r="W46" s="1216">
        <f t="shared" si="41"/>
        <v>86.03</v>
      </c>
      <c r="X46" s="1216">
        <f t="shared" si="41"/>
        <v>85.04</v>
      </c>
      <c r="Y46" s="1216" t="str">
        <f t="shared" si="41"/>
        <v/>
      </c>
      <c r="Z46" s="1216" t="str">
        <f t="shared" si="41"/>
        <v/>
      </c>
      <c r="AA46" s="1216" t="str">
        <f t="shared" si="41"/>
        <v/>
      </c>
      <c r="AB46" s="1217" t="str">
        <f t="shared" si="41"/>
        <v/>
      </c>
      <c r="AC46" s="1216" t="str">
        <f t="shared" si="41"/>
        <v/>
      </c>
      <c r="AD46" s="1218" t="str">
        <f t="shared" si="41"/>
        <v/>
      </c>
      <c r="AE46" s="1219">
        <f t="shared" si="27"/>
        <v>88.01</v>
      </c>
      <c r="AF46" s="282">
        <f t="shared" si="28"/>
        <v>85.04</v>
      </c>
      <c r="AG46" s="282" t="str">
        <f t="shared" si="29"/>
        <v>baik</v>
      </c>
      <c r="AH46" s="282" t="str">
        <f t="shared" si="29"/>
        <v>baik</v>
      </c>
      <c r="AI46" s="282">
        <f t="shared" si="30"/>
        <v>1</v>
      </c>
      <c r="AJ46" s="283">
        <f t="shared" si="31"/>
        <v>4</v>
      </c>
      <c r="AK46" s="284" t="str">
        <f t="shared" si="32"/>
        <v>Memiliki kemampuan baik dalam Memahami kebijakan pemerintah dalam bidang ekonomi dan Memahami uang dan perbankkan</v>
      </c>
      <c r="AL46" s="276">
        <v>88</v>
      </c>
      <c r="AM46" s="277">
        <v>88</v>
      </c>
      <c r="AN46" s="277">
        <v>88</v>
      </c>
      <c r="AO46" s="277">
        <v>88</v>
      </c>
      <c r="AP46" s="277"/>
      <c r="AQ46" s="277"/>
      <c r="AR46" s="277"/>
      <c r="AS46" s="280"/>
      <c r="AT46" s="277"/>
      <c r="AU46" s="278"/>
      <c r="AV46" s="285">
        <f t="shared" si="33"/>
        <v>88</v>
      </c>
      <c r="AW46" s="296" t="str">
        <f t="shared" si="34"/>
        <v>B</v>
      </c>
      <c r="AX46" s="1220">
        <f t="shared" si="42"/>
        <v>88.01</v>
      </c>
      <c r="AY46" s="1221">
        <f t="shared" si="42"/>
        <v>88.02</v>
      </c>
      <c r="AZ46" s="1221">
        <f t="shared" si="42"/>
        <v>88.03</v>
      </c>
      <c r="BA46" s="1221">
        <f t="shared" si="42"/>
        <v>88.04</v>
      </c>
      <c r="BB46" s="1221" t="str">
        <f t="shared" si="42"/>
        <v/>
      </c>
      <c r="BC46" s="1221" t="str">
        <f t="shared" si="42"/>
        <v/>
      </c>
      <c r="BD46" s="1221" t="str">
        <f t="shared" si="42"/>
        <v/>
      </c>
      <c r="BE46" s="1222" t="str">
        <f t="shared" si="42"/>
        <v/>
      </c>
      <c r="BF46" s="1221" t="str">
        <f t="shared" si="42"/>
        <v/>
      </c>
      <c r="BG46" s="1223" t="str">
        <f t="shared" si="42"/>
        <v/>
      </c>
      <c r="BH46" s="286">
        <f t="shared" si="35"/>
        <v>88.04</v>
      </c>
      <c r="BI46" s="286">
        <f t="shared" si="36"/>
        <v>88.01</v>
      </c>
      <c r="BJ46" s="287" t="str">
        <f t="shared" si="37"/>
        <v>baik</v>
      </c>
      <c r="BK46" s="287" t="str">
        <f t="shared" si="37"/>
        <v>baik</v>
      </c>
      <c r="BL46" s="286">
        <f t="shared" si="38"/>
        <v>4</v>
      </c>
      <c r="BM46" s="288">
        <f t="shared" si="39"/>
        <v>1</v>
      </c>
      <c r="BN46" s="289" t="str">
        <f t="shared" si="40"/>
        <v xml:space="preserve">Memiliki keterampilan baik dalam Menbedakan peran bank Umum dan Mendeskripsikan masalah masalah yang di hadapi pemerintah </v>
      </c>
      <c r="BO46" s="67"/>
    </row>
    <row r="47" spans="1:67" ht="33" customHeight="1">
      <c r="A47" s="67"/>
      <c r="B47" s="272">
        <f t="shared" si="23"/>
        <v>34</v>
      </c>
      <c r="C47" s="273">
        <f>IF(Data!F38="","",Data!F38)</f>
        <v>0</v>
      </c>
      <c r="D47" s="274" t="str">
        <f>IF(Data!H38="","",Data!H38)</f>
        <v>Yangres Nitti</v>
      </c>
      <c r="E47" s="275" t="str">
        <f>IF(Data!I38="","",Data!I38)</f>
        <v>L</v>
      </c>
      <c r="F47" s="276">
        <v>88</v>
      </c>
      <c r="G47" s="277">
        <v>87</v>
      </c>
      <c r="H47" s="277">
        <v>88</v>
      </c>
      <c r="I47" s="277">
        <v>88</v>
      </c>
      <c r="J47" s="277"/>
      <c r="K47" s="277"/>
      <c r="L47" s="277"/>
      <c r="M47" s="280"/>
      <c r="N47" s="277"/>
      <c r="O47" s="278"/>
      <c r="P47" s="279">
        <f t="shared" si="24"/>
        <v>88</v>
      </c>
      <c r="Q47" s="277">
        <v>88</v>
      </c>
      <c r="R47" s="280">
        <v>88</v>
      </c>
      <c r="S47" s="281">
        <f t="shared" si="25"/>
        <v>88</v>
      </c>
      <c r="T47" s="295" t="str">
        <f t="shared" si="26"/>
        <v>B</v>
      </c>
      <c r="U47" s="1215">
        <f t="shared" si="41"/>
        <v>88.01</v>
      </c>
      <c r="V47" s="1216">
        <f t="shared" si="41"/>
        <v>87.02</v>
      </c>
      <c r="W47" s="1216">
        <f t="shared" si="41"/>
        <v>88.03</v>
      </c>
      <c r="X47" s="1216">
        <f t="shared" si="41"/>
        <v>88.04</v>
      </c>
      <c r="Y47" s="1216" t="str">
        <f t="shared" si="41"/>
        <v/>
      </c>
      <c r="Z47" s="1216" t="str">
        <f t="shared" si="41"/>
        <v/>
      </c>
      <c r="AA47" s="1216" t="str">
        <f t="shared" si="41"/>
        <v/>
      </c>
      <c r="AB47" s="1217" t="str">
        <f t="shared" si="41"/>
        <v/>
      </c>
      <c r="AC47" s="1216" t="str">
        <f t="shared" si="41"/>
        <v/>
      </c>
      <c r="AD47" s="1218" t="str">
        <f t="shared" si="41"/>
        <v/>
      </c>
      <c r="AE47" s="1219">
        <f t="shared" si="27"/>
        <v>88.04</v>
      </c>
      <c r="AF47" s="282">
        <f t="shared" si="28"/>
        <v>87.02</v>
      </c>
      <c r="AG47" s="282" t="str">
        <f t="shared" si="29"/>
        <v>baik</v>
      </c>
      <c r="AH47" s="282" t="str">
        <f t="shared" si="29"/>
        <v>baik</v>
      </c>
      <c r="AI47" s="282">
        <f t="shared" si="30"/>
        <v>4</v>
      </c>
      <c r="AJ47" s="283">
        <f t="shared" si="31"/>
        <v>2</v>
      </c>
      <c r="AK47" s="284" t="str">
        <f t="shared" si="32"/>
        <v>Memiliki kemampuan baik dalam Memahami uang dan perbankkan dan Memahami produk domistik bruto, pendapatan nasional bruto</v>
      </c>
      <c r="AL47" s="276">
        <v>88</v>
      </c>
      <c r="AM47" s="277">
        <v>88</v>
      </c>
      <c r="AN47" s="277">
        <v>88</v>
      </c>
      <c r="AO47" s="277">
        <v>88</v>
      </c>
      <c r="AP47" s="277"/>
      <c r="AQ47" s="277"/>
      <c r="AR47" s="277"/>
      <c r="AS47" s="280"/>
      <c r="AT47" s="277"/>
      <c r="AU47" s="278"/>
      <c r="AV47" s="285">
        <f t="shared" si="33"/>
        <v>88</v>
      </c>
      <c r="AW47" s="296" t="str">
        <f t="shared" si="34"/>
        <v>B</v>
      </c>
      <c r="AX47" s="1220">
        <f t="shared" si="42"/>
        <v>88.01</v>
      </c>
      <c r="AY47" s="1221">
        <f t="shared" si="42"/>
        <v>88.02</v>
      </c>
      <c r="AZ47" s="1221">
        <f t="shared" si="42"/>
        <v>88.03</v>
      </c>
      <c r="BA47" s="1221">
        <f t="shared" si="42"/>
        <v>88.04</v>
      </c>
      <c r="BB47" s="1221" t="str">
        <f t="shared" si="42"/>
        <v/>
      </c>
      <c r="BC47" s="1221" t="str">
        <f t="shared" si="42"/>
        <v/>
      </c>
      <c r="BD47" s="1221" t="str">
        <f t="shared" si="42"/>
        <v/>
      </c>
      <c r="BE47" s="1222" t="str">
        <f t="shared" si="42"/>
        <v/>
      </c>
      <c r="BF47" s="1221" t="str">
        <f t="shared" si="42"/>
        <v/>
      </c>
      <c r="BG47" s="1223" t="str">
        <f t="shared" si="42"/>
        <v/>
      </c>
      <c r="BH47" s="286">
        <f t="shared" si="35"/>
        <v>88.04</v>
      </c>
      <c r="BI47" s="286">
        <f t="shared" si="36"/>
        <v>88.01</v>
      </c>
      <c r="BJ47" s="287" t="str">
        <f t="shared" si="37"/>
        <v>baik</v>
      </c>
      <c r="BK47" s="287" t="str">
        <f t="shared" si="37"/>
        <v>baik</v>
      </c>
      <c r="BL47" s="286">
        <f t="shared" si="38"/>
        <v>4</v>
      </c>
      <c r="BM47" s="288">
        <f t="shared" si="39"/>
        <v>1</v>
      </c>
      <c r="BN47" s="289" t="str">
        <f t="shared" si="40"/>
        <v xml:space="preserve">Memiliki keterampilan baik dalam Menbedakan peran bank Umum dan Mendeskripsikan masalah masalah yang di hadapi pemerintah </v>
      </c>
      <c r="BO47" s="67"/>
    </row>
    <row r="48" spans="1:67" ht="33" customHeight="1">
      <c r="A48" s="67"/>
      <c r="B48" s="272">
        <f t="shared" si="23"/>
        <v>35</v>
      </c>
      <c r="C48" s="273">
        <f>IF(Data!F39="","",Data!F39)</f>
        <v>0</v>
      </c>
      <c r="D48" s="274" t="str">
        <f>IF(Data!H39="","",Data!H39)</f>
        <v>Yefta Trianus Mau</v>
      </c>
      <c r="E48" s="275" t="str">
        <f>IF(Data!I39="","",Data!I39)</f>
        <v>L</v>
      </c>
      <c r="F48" s="276">
        <v>88</v>
      </c>
      <c r="G48" s="277">
        <v>88</v>
      </c>
      <c r="H48" s="277">
        <v>88</v>
      </c>
      <c r="I48" s="277">
        <v>87</v>
      </c>
      <c r="J48" s="277"/>
      <c r="K48" s="277"/>
      <c r="L48" s="277"/>
      <c r="M48" s="280"/>
      <c r="N48" s="277"/>
      <c r="O48" s="278"/>
      <c r="P48" s="279">
        <f t="shared" si="24"/>
        <v>88</v>
      </c>
      <c r="Q48" s="277">
        <v>88</v>
      </c>
      <c r="R48" s="280">
        <v>88</v>
      </c>
      <c r="S48" s="281">
        <f t="shared" si="25"/>
        <v>88</v>
      </c>
      <c r="T48" s="295" t="str">
        <f t="shared" si="26"/>
        <v>B</v>
      </c>
      <c r="U48" s="1215">
        <f t="shared" si="41"/>
        <v>88.01</v>
      </c>
      <c r="V48" s="1216">
        <f t="shared" si="41"/>
        <v>88.02</v>
      </c>
      <c r="W48" s="1216">
        <f t="shared" si="41"/>
        <v>88.03</v>
      </c>
      <c r="X48" s="1216">
        <f t="shared" si="41"/>
        <v>87.04</v>
      </c>
      <c r="Y48" s="1216" t="str">
        <f t="shared" si="41"/>
        <v/>
      </c>
      <c r="Z48" s="1216" t="str">
        <f t="shared" si="41"/>
        <v/>
      </c>
      <c r="AA48" s="1216" t="str">
        <f t="shared" si="41"/>
        <v/>
      </c>
      <c r="AB48" s="1217" t="str">
        <f t="shared" si="41"/>
        <v/>
      </c>
      <c r="AC48" s="1216" t="str">
        <f t="shared" si="41"/>
        <v/>
      </c>
      <c r="AD48" s="1218" t="str">
        <f t="shared" si="41"/>
        <v/>
      </c>
      <c r="AE48" s="1219">
        <f t="shared" si="27"/>
        <v>88.03</v>
      </c>
      <c r="AF48" s="282">
        <f t="shared" si="28"/>
        <v>87.04</v>
      </c>
      <c r="AG48" s="282" t="str">
        <f t="shared" si="29"/>
        <v>baik</v>
      </c>
      <c r="AH48" s="282" t="str">
        <f t="shared" si="29"/>
        <v>baik</v>
      </c>
      <c r="AI48" s="282">
        <f t="shared" si="30"/>
        <v>3</v>
      </c>
      <c r="AJ48" s="283">
        <f t="shared" si="31"/>
        <v>4</v>
      </c>
      <c r="AK48" s="284" t="str">
        <f t="shared" si="32"/>
        <v>Memiliki kemampuan baik dalam Memahami konsumsi dan investasi dan Memahami uang dan perbankkan</v>
      </c>
      <c r="AL48" s="276">
        <v>88</v>
      </c>
      <c r="AM48" s="277">
        <v>88</v>
      </c>
      <c r="AN48" s="277">
        <v>88</v>
      </c>
      <c r="AO48" s="277">
        <v>88</v>
      </c>
      <c r="AP48" s="277"/>
      <c r="AQ48" s="277"/>
      <c r="AR48" s="277"/>
      <c r="AS48" s="280"/>
      <c r="AT48" s="277"/>
      <c r="AU48" s="278"/>
      <c r="AV48" s="285">
        <f t="shared" si="33"/>
        <v>88</v>
      </c>
      <c r="AW48" s="296" t="str">
        <f t="shared" si="34"/>
        <v>B</v>
      </c>
      <c r="AX48" s="1220">
        <f t="shared" si="42"/>
        <v>88.01</v>
      </c>
      <c r="AY48" s="1221">
        <f t="shared" si="42"/>
        <v>88.02</v>
      </c>
      <c r="AZ48" s="1221">
        <f t="shared" si="42"/>
        <v>88.03</v>
      </c>
      <c r="BA48" s="1221">
        <f t="shared" si="42"/>
        <v>88.04</v>
      </c>
      <c r="BB48" s="1221" t="str">
        <f t="shared" si="42"/>
        <v/>
      </c>
      <c r="BC48" s="1221" t="str">
        <f t="shared" si="42"/>
        <v/>
      </c>
      <c r="BD48" s="1221" t="str">
        <f t="shared" si="42"/>
        <v/>
      </c>
      <c r="BE48" s="1222" t="str">
        <f t="shared" si="42"/>
        <v/>
      </c>
      <c r="BF48" s="1221" t="str">
        <f t="shared" si="42"/>
        <v/>
      </c>
      <c r="BG48" s="1223" t="str">
        <f t="shared" si="42"/>
        <v/>
      </c>
      <c r="BH48" s="286">
        <f t="shared" si="35"/>
        <v>88.04</v>
      </c>
      <c r="BI48" s="286">
        <f t="shared" si="36"/>
        <v>88.01</v>
      </c>
      <c r="BJ48" s="287" t="str">
        <f t="shared" si="37"/>
        <v>baik</v>
      </c>
      <c r="BK48" s="287" t="str">
        <f t="shared" si="37"/>
        <v>baik</v>
      </c>
      <c r="BL48" s="286">
        <f t="shared" si="38"/>
        <v>4</v>
      </c>
      <c r="BM48" s="288">
        <f t="shared" si="39"/>
        <v>1</v>
      </c>
      <c r="BN48" s="289" t="str">
        <f t="shared" si="40"/>
        <v xml:space="preserve">Memiliki keterampilan baik dalam Menbedakan peran bank Umum dan Mendeskripsikan masalah masalah yang di hadapi pemerintah </v>
      </c>
      <c r="BO48" s="67"/>
    </row>
    <row r="49" spans="1:67" ht="33" customHeight="1">
      <c r="A49" s="67"/>
      <c r="B49" s="272">
        <f t="shared" si="23"/>
        <v>36</v>
      </c>
      <c r="C49" s="273">
        <f>IF(Data!F40="","",Data!F40)</f>
        <v>0</v>
      </c>
      <c r="D49" s="274" t="str">
        <f>IF(Data!H40="","",Data!H40)</f>
        <v>Yuliana Febriyanti Nggeon</v>
      </c>
      <c r="E49" s="275" t="str">
        <f>IF(Data!I40="","",Data!I40)</f>
        <v>P</v>
      </c>
      <c r="F49" s="276">
        <v>87</v>
      </c>
      <c r="G49" s="277">
        <v>88</v>
      </c>
      <c r="H49" s="277">
        <v>88</v>
      </c>
      <c r="I49" s="277">
        <v>87</v>
      </c>
      <c r="J49" s="277"/>
      <c r="K49" s="277"/>
      <c r="L49" s="277"/>
      <c r="M49" s="280"/>
      <c r="N49" s="277"/>
      <c r="O49" s="278"/>
      <c r="P49" s="279">
        <f t="shared" si="24"/>
        <v>88</v>
      </c>
      <c r="Q49" s="277">
        <v>78</v>
      </c>
      <c r="R49" s="280">
        <v>79</v>
      </c>
      <c r="S49" s="281">
        <f t="shared" si="25"/>
        <v>83</v>
      </c>
      <c r="T49" s="295" t="str">
        <f t="shared" si="26"/>
        <v>C</v>
      </c>
      <c r="U49" s="1215">
        <f t="shared" si="41"/>
        <v>87.01</v>
      </c>
      <c r="V49" s="1216">
        <f t="shared" si="41"/>
        <v>88.02</v>
      </c>
      <c r="W49" s="1216">
        <f t="shared" si="41"/>
        <v>88.03</v>
      </c>
      <c r="X49" s="1216">
        <f t="shared" si="41"/>
        <v>87.04</v>
      </c>
      <c r="Y49" s="1216" t="str">
        <f t="shared" si="41"/>
        <v/>
      </c>
      <c r="Z49" s="1216" t="str">
        <f t="shared" si="41"/>
        <v/>
      </c>
      <c r="AA49" s="1216" t="str">
        <f t="shared" si="41"/>
        <v/>
      </c>
      <c r="AB49" s="1217" t="str">
        <f t="shared" si="41"/>
        <v/>
      </c>
      <c r="AC49" s="1216" t="str">
        <f t="shared" si="41"/>
        <v/>
      </c>
      <c r="AD49" s="1218" t="str">
        <f t="shared" si="41"/>
        <v/>
      </c>
      <c r="AE49" s="1219">
        <f t="shared" si="27"/>
        <v>88.03</v>
      </c>
      <c r="AF49" s="282">
        <f t="shared" si="28"/>
        <v>87.01</v>
      </c>
      <c r="AG49" s="282" t="str">
        <f t="shared" si="29"/>
        <v>baik</v>
      </c>
      <c r="AH49" s="282" t="str">
        <f t="shared" si="29"/>
        <v>baik</v>
      </c>
      <c r="AI49" s="282">
        <f t="shared" si="30"/>
        <v>3</v>
      </c>
      <c r="AJ49" s="283">
        <f t="shared" si="31"/>
        <v>1</v>
      </c>
      <c r="AK49" s="284" t="str">
        <f t="shared" si="32"/>
        <v>Memiliki kemampuan baik dalam Memahami konsumsi dan investasi dan Memahami kebijakan pemerintah dalam bidang ekonomi</v>
      </c>
      <c r="AL49" s="276">
        <v>88</v>
      </c>
      <c r="AM49" s="277">
        <v>88</v>
      </c>
      <c r="AN49" s="277">
        <v>88</v>
      </c>
      <c r="AO49" s="277">
        <v>88</v>
      </c>
      <c r="AP49" s="277"/>
      <c r="AQ49" s="277"/>
      <c r="AR49" s="277"/>
      <c r="AS49" s="280"/>
      <c r="AT49" s="277"/>
      <c r="AU49" s="278"/>
      <c r="AV49" s="285">
        <f t="shared" si="33"/>
        <v>88</v>
      </c>
      <c r="AW49" s="296" t="str">
        <f t="shared" si="34"/>
        <v>B</v>
      </c>
      <c r="AX49" s="1220">
        <f t="shared" si="42"/>
        <v>88.01</v>
      </c>
      <c r="AY49" s="1221">
        <f t="shared" si="42"/>
        <v>88.02</v>
      </c>
      <c r="AZ49" s="1221">
        <f t="shared" si="42"/>
        <v>88.03</v>
      </c>
      <c r="BA49" s="1221">
        <f t="shared" si="42"/>
        <v>88.04</v>
      </c>
      <c r="BB49" s="1221" t="str">
        <f t="shared" si="42"/>
        <v/>
      </c>
      <c r="BC49" s="1221" t="str">
        <f t="shared" si="42"/>
        <v/>
      </c>
      <c r="BD49" s="1221" t="str">
        <f t="shared" si="42"/>
        <v/>
      </c>
      <c r="BE49" s="1222" t="str">
        <f t="shared" si="42"/>
        <v/>
      </c>
      <c r="BF49" s="1221" t="str">
        <f t="shared" si="42"/>
        <v/>
      </c>
      <c r="BG49" s="1223" t="str">
        <f t="shared" si="42"/>
        <v/>
      </c>
      <c r="BH49" s="286">
        <f t="shared" si="35"/>
        <v>88.04</v>
      </c>
      <c r="BI49" s="286">
        <f t="shared" si="36"/>
        <v>88.01</v>
      </c>
      <c r="BJ49" s="287" t="str">
        <f t="shared" si="37"/>
        <v>baik</v>
      </c>
      <c r="BK49" s="287" t="str">
        <f t="shared" si="37"/>
        <v>baik</v>
      </c>
      <c r="BL49" s="286">
        <f t="shared" si="38"/>
        <v>4</v>
      </c>
      <c r="BM49" s="288">
        <f t="shared" si="39"/>
        <v>1</v>
      </c>
      <c r="BN49" s="289" t="str">
        <f t="shared" si="40"/>
        <v xml:space="preserve">Memiliki keterampilan baik dalam Menbedakan peran bank Umum dan Mendeskripsikan masalah masalah yang di hadapi pemerintah </v>
      </c>
      <c r="BO49" s="67"/>
    </row>
    <row r="50" spans="1:67" ht="33" customHeight="1">
      <c r="A50" s="67"/>
      <c r="B50" s="272">
        <f t="shared" si="23"/>
        <v>37</v>
      </c>
      <c r="C50" s="273">
        <f>IF(Data!F41="","",Data!F41)</f>
        <v>0</v>
      </c>
      <c r="D50" s="274" t="str">
        <f>IF(Data!H41="","",Data!H41)</f>
        <v>Yuninda Pono</v>
      </c>
      <c r="E50" s="275" t="str">
        <f>IF(Data!I41="","",Data!I41)</f>
        <v>P</v>
      </c>
      <c r="F50" s="276">
        <v>86</v>
      </c>
      <c r="G50" s="277">
        <v>87</v>
      </c>
      <c r="H50" s="277">
        <v>88</v>
      </c>
      <c r="I50" s="277">
        <v>87</v>
      </c>
      <c r="J50" s="277"/>
      <c r="K50" s="277"/>
      <c r="L50" s="277"/>
      <c r="M50" s="280"/>
      <c r="N50" s="277"/>
      <c r="O50" s="278"/>
      <c r="P50" s="279">
        <f t="shared" si="24"/>
        <v>87</v>
      </c>
      <c r="Q50" s="277">
        <v>88</v>
      </c>
      <c r="R50" s="280">
        <v>89</v>
      </c>
      <c r="S50" s="281">
        <f t="shared" si="25"/>
        <v>88</v>
      </c>
      <c r="T50" s="295" t="str">
        <f t="shared" si="26"/>
        <v>B</v>
      </c>
      <c r="U50" s="1215">
        <f t="shared" si="41"/>
        <v>86.01</v>
      </c>
      <c r="V50" s="1216">
        <f t="shared" si="41"/>
        <v>87.02</v>
      </c>
      <c r="W50" s="1216">
        <f t="shared" si="41"/>
        <v>88.03</v>
      </c>
      <c r="X50" s="1216">
        <f t="shared" si="41"/>
        <v>87.04</v>
      </c>
      <c r="Y50" s="1216" t="str">
        <f t="shared" si="41"/>
        <v/>
      </c>
      <c r="Z50" s="1216" t="str">
        <f t="shared" si="41"/>
        <v/>
      </c>
      <c r="AA50" s="1216" t="str">
        <f t="shared" si="41"/>
        <v/>
      </c>
      <c r="AB50" s="1217" t="str">
        <f t="shared" si="41"/>
        <v/>
      </c>
      <c r="AC50" s="1216" t="str">
        <f t="shared" si="41"/>
        <v/>
      </c>
      <c r="AD50" s="1218" t="str">
        <f t="shared" si="41"/>
        <v/>
      </c>
      <c r="AE50" s="1219">
        <f t="shared" si="27"/>
        <v>88.03</v>
      </c>
      <c r="AF50" s="282">
        <f t="shared" si="28"/>
        <v>86.01</v>
      </c>
      <c r="AG50" s="282" t="str">
        <f t="shared" si="29"/>
        <v>baik</v>
      </c>
      <c r="AH50" s="282" t="str">
        <f t="shared" si="29"/>
        <v>baik</v>
      </c>
      <c r="AI50" s="282">
        <f t="shared" si="30"/>
        <v>3</v>
      </c>
      <c r="AJ50" s="283">
        <f t="shared" si="31"/>
        <v>1</v>
      </c>
      <c r="AK50" s="284" t="str">
        <f t="shared" si="32"/>
        <v>Memiliki kemampuan baik dalam Memahami konsumsi dan investasi dan Memahami kebijakan pemerintah dalam bidang ekonomi</v>
      </c>
      <c r="AL50" s="276">
        <v>88</v>
      </c>
      <c r="AM50" s="277">
        <v>88</v>
      </c>
      <c r="AN50" s="277">
        <v>88</v>
      </c>
      <c r="AO50" s="277">
        <v>88</v>
      </c>
      <c r="AP50" s="277"/>
      <c r="AQ50" s="277"/>
      <c r="AR50" s="277"/>
      <c r="AS50" s="280"/>
      <c r="AT50" s="277"/>
      <c r="AU50" s="278"/>
      <c r="AV50" s="285">
        <f t="shared" si="33"/>
        <v>88</v>
      </c>
      <c r="AW50" s="296" t="str">
        <f t="shared" si="34"/>
        <v>B</v>
      </c>
      <c r="AX50" s="1220">
        <f t="shared" si="42"/>
        <v>88.01</v>
      </c>
      <c r="AY50" s="1221">
        <f t="shared" si="42"/>
        <v>88.02</v>
      </c>
      <c r="AZ50" s="1221">
        <f t="shared" si="42"/>
        <v>88.03</v>
      </c>
      <c r="BA50" s="1221">
        <f t="shared" si="42"/>
        <v>88.04</v>
      </c>
      <c r="BB50" s="1221" t="str">
        <f t="shared" si="42"/>
        <v/>
      </c>
      <c r="BC50" s="1221" t="str">
        <f t="shared" si="42"/>
        <v/>
      </c>
      <c r="BD50" s="1221" t="str">
        <f t="shared" si="42"/>
        <v/>
      </c>
      <c r="BE50" s="1222" t="str">
        <f t="shared" si="42"/>
        <v/>
      </c>
      <c r="BF50" s="1221" t="str">
        <f t="shared" si="42"/>
        <v/>
      </c>
      <c r="BG50" s="1223" t="str">
        <f t="shared" si="42"/>
        <v/>
      </c>
      <c r="BH50" s="286">
        <f t="shared" si="35"/>
        <v>88.04</v>
      </c>
      <c r="BI50" s="286">
        <f t="shared" si="36"/>
        <v>88.01</v>
      </c>
      <c r="BJ50" s="287" t="str">
        <f t="shared" si="37"/>
        <v>baik</v>
      </c>
      <c r="BK50" s="287" t="str">
        <f t="shared" si="37"/>
        <v>baik</v>
      </c>
      <c r="BL50" s="286">
        <f t="shared" si="38"/>
        <v>4</v>
      </c>
      <c r="BM50" s="288">
        <f t="shared" si="39"/>
        <v>1</v>
      </c>
      <c r="BN50" s="289" t="str">
        <f t="shared" si="40"/>
        <v xml:space="preserve">Memiliki keterampilan baik dalam Menbedakan peran bank Umum dan Mendeskripsikan masalah masalah yang di hadapi pemerintah </v>
      </c>
      <c r="BO50" s="67"/>
    </row>
    <row r="51" spans="1:67" ht="33" customHeight="1">
      <c r="A51" s="67"/>
      <c r="B51" s="272" t="str">
        <f t="shared" si="23"/>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23"/>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23"/>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23"/>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23"/>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3">IF(K55="","",K55+Z$13)</f>
        <v/>
      </c>
      <c r="AA55" s="1216" t="str">
        <f t="shared" si="43"/>
        <v/>
      </c>
      <c r="AB55" s="1217" t="str">
        <f t="shared" si="43"/>
        <v/>
      </c>
      <c r="AC55" s="1216" t="str">
        <f t="shared" si="43"/>
        <v/>
      </c>
      <c r="AD55" s="1218" t="str">
        <f t="shared" si="43"/>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4">IF(AQ55="","",AQ55+BC$12)</f>
        <v/>
      </c>
      <c r="BD55" s="1221" t="str">
        <f t="shared" si="44"/>
        <v/>
      </c>
      <c r="BE55" s="1222" t="str">
        <f t="shared" si="44"/>
        <v/>
      </c>
      <c r="BF55" s="1221" t="str">
        <f t="shared" si="44"/>
        <v/>
      </c>
      <c r="BG55" s="1223" t="str">
        <f t="shared" si="44"/>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23"/>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5">IF(F56="","",F56+U$13)</f>
        <v/>
      </c>
      <c r="V56" s="1216" t="str">
        <f t="shared" si="45"/>
        <v/>
      </c>
      <c r="W56" s="1216" t="str">
        <f t="shared" si="45"/>
        <v/>
      </c>
      <c r="X56" s="1216" t="str">
        <f t="shared" si="45"/>
        <v/>
      </c>
      <c r="Y56" s="1216" t="str">
        <f t="shared" si="45"/>
        <v/>
      </c>
      <c r="Z56" s="1216" t="str">
        <f t="shared" si="43"/>
        <v/>
      </c>
      <c r="AA56" s="1216" t="str">
        <f t="shared" si="43"/>
        <v/>
      </c>
      <c r="AB56" s="1217" t="str">
        <f t="shared" si="43"/>
        <v/>
      </c>
      <c r="AC56" s="1216" t="str">
        <f t="shared" si="43"/>
        <v/>
      </c>
      <c r="AD56" s="1218" t="str">
        <f t="shared" si="43"/>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6">IF(AL56="","",AL56+AX$12)</f>
        <v/>
      </c>
      <c r="AY56" s="1221" t="str">
        <f t="shared" si="46"/>
        <v/>
      </c>
      <c r="AZ56" s="1221" t="str">
        <f t="shared" si="46"/>
        <v/>
      </c>
      <c r="BA56" s="1221" t="str">
        <f t="shared" si="46"/>
        <v/>
      </c>
      <c r="BB56" s="1221" t="str">
        <f t="shared" si="46"/>
        <v/>
      </c>
      <c r="BC56" s="1221" t="str">
        <f t="shared" si="44"/>
        <v/>
      </c>
      <c r="BD56" s="1221" t="str">
        <f t="shared" si="44"/>
        <v/>
      </c>
      <c r="BE56" s="1222" t="str">
        <f t="shared" si="44"/>
        <v/>
      </c>
      <c r="BF56" s="1221" t="str">
        <f t="shared" si="44"/>
        <v/>
      </c>
      <c r="BG56" s="1223" t="str">
        <f t="shared" si="44"/>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23"/>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5"/>
        <v/>
      </c>
      <c r="V57" s="1216" t="str">
        <f t="shared" si="45"/>
        <v/>
      </c>
      <c r="W57" s="1216" t="str">
        <f t="shared" si="45"/>
        <v/>
      </c>
      <c r="X57" s="1216" t="str">
        <f t="shared" si="45"/>
        <v/>
      </c>
      <c r="Y57" s="1216" t="str">
        <f t="shared" si="45"/>
        <v/>
      </c>
      <c r="Z57" s="1216" t="str">
        <f t="shared" si="43"/>
        <v/>
      </c>
      <c r="AA57" s="1216" t="str">
        <f t="shared" si="43"/>
        <v/>
      </c>
      <c r="AB57" s="1217" t="str">
        <f t="shared" si="43"/>
        <v/>
      </c>
      <c r="AC57" s="1216" t="str">
        <f t="shared" si="43"/>
        <v/>
      </c>
      <c r="AD57" s="1218" t="str">
        <f t="shared" si="43"/>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6"/>
        <v/>
      </c>
      <c r="AY57" s="1221" t="str">
        <f t="shared" si="46"/>
        <v/>
      </c>
      <c r="AZ57" s="1221" t="str">
        <f t="shared" si="46"/>
        <v/>
      </c>
      <c r="BA57" s="1221" t="str">
        <f t="shared" si="46"/>
        <v/>
      </c>
      <c r="BB57" s="1221" t="str">
        <f t="shared" si="46"/>
        <v/>
      </c>
      <c r="BC57" s="1221" t="str">
        <f t="shared" si="44"/>
        <v/>
      </c>
      <c r="BD57" s="1221" t="str">
        <f t="shared" si="44"/>
        <v/>
      </c>
      <c r="BE57" s="1222" t="str">
        <f t="shared" si="44"/>
        <v/>
      </c>
      <c r="BF57" s="1221" t="str">
        <f t="shared" si="44"/>
        <v/>
      </c>
      <c r="BG57" s="1223" t="str">
        <f t="shared" si="44"/>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23"/>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5"/>
        <v/>
      </c>
      <c r="V58" s="1216" t="str">
        <f t="shared" si="45"/>
        <v/>
      </c>
      <c r="W58" s="1216" t="str">
        <f t="shared" si="45"/>
        <v/>
      </c>
      <c r="X58" s="1216" t="str">
        <f t="shared" si="45"/>
        <v/>
      </c>
      <c r="Y58" s="1216" t="str">
        <f t="shared" si="45"/>
        <v/>
      </c>
      <c r="Z58" s="1216" t="str">
        <f t="shared" si="43"/>
        <v/>
      </c>
      <c r="AA58" s="1216" t="str">
        <f t="shared" si="43"/>
        <v/>
      </c>
      <c r="AB58" s="1217" t="str">
        <f t="shared" si="43"/>
        <v/>
      </c>
      <c r="AC58" s="1216" t="str">
        <f t="shared" si="43"/>
        <v/>
      </c>
      <c r="AD58" s="1218" t="str">
        <f t="shared" si="43"/>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6"/>
        <v/>
      </c>
      <c r="AY58" s="1221" t="str">
        <f t="shared" si="46"/>
        <v/>
      </c>
      <c r="AZ58" s="1221" t="str">
        <f t="shared" si="46"/>
        <v/>
      </c>
      <c r="BA58" s="1221" t="str">
        <f t="shared" si="46"/>
        <v/>
      </c>
      <c r="BB58" s="1221" t="str">
        <f t="shared" si="46"/>
        <v/>
      </c>
      <c r="BC58" s="1221" t="str">
        <f t="shared" si="44"/>
        <v/>
      </c>
      <c r="BD58" s="1221" t="str">
        <f t="shared" si="44"/>
        <v/>
      </c>
      <c r="BE58" s="1222" t="str">
        <f t="shared" si="44"/>
        <v/>
      </c>
      <c r="BF58" s="1221" t="str">
        <f t="shared" si="44"/>
        <v/>
      </c>
      <c r="BG58" s="1223" t="str">
        <f t="shared" si="44"/>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23"/>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5"/>
        <v/>
      </c>
      <c r="V59" s="1216" t="str">
        <f t="shared" si="45"/>
        <v/>
      </c>
      <c r="W59" s="1216" t="str">
        <f t="shared" si="45"/>
        <v/>
      </c>
      <c r="X59" s="1216" t="str">
        <f t="shared" si="45"/>
        <v/>
      </c>
      <c r="Y59" s="1216" t="str">
        <f t="shared" si="45"/>
        <v/>
      </c>
      <c r="Z59" s="1216" t="str">
        <f t="shared" si="43"/>
        <v/>
      </c>
      <c r="AA59" s="1216" t="str">
        <f t="shared" si="43"/>
        <v/>
      </c>
      <c r="AB59" s="1217" t="str">
        <f t="shared" si="43"/>
        <v/>
      </c>
      <c r="AC59" s="1216" t="str">
        <f t="shared" si="43"/>
        <v/>
      </c>
      <c r="AD59" s="1218" t="str">
        <f t="shared" si="43"/>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6"/>
        <v/>
      </c>
      <c r="AY59" s="1221" t="str">
        <f t="shared" si="46"/>
        <v/>
      </c>
      <c r="AZ59" s="1221" t="str">
        <f t="shared" si="46"/>
        <v/>
      </c>
      <c r="BA59" s="1221" t="str">
        <f t="shared" si="46"/>
        <v/>
      </c>
      <c r="BB59" s="1221" t="str">
        <f t="shared" si="46"/>
        <v/>
      </c>
      <c r="BC59" s="1221" t="str">
        <f t="shared" si="44"/>
        <v/>
      </c>
      <c r="BD59" s="1221" t="str">
        <f t="shared" si="44"/>
        <v/>
      </c>
      <c r="BE59" s="1222" t="str">
        <f t="shared" si="44"/>
        <v/>
      </c>
      <c r="BF59" s="1221" t="str">
        <f t="shared" si="44"/>
        <v/>
      </c>
      <c r="BG59" s="1223" t="str">
        <f t="shared" si="44"/>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23"/>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5"/>
        <v/>
      </c>
      <c r="V60" s="1216" t="str">
        <f t="shared" si="45"/>
        <v/>
      </c>
      <c r="W60" s="1216" t="str">
        <f t="shared" si="45"/>
        <v/>
      </c>
      <c r="X60" s="1216" t="str">
        <f t="shared" si="45"/>
        <v/>
      </c>
      <c r="Y60" s="1216" t="str">
        <f t="shared" si="45"/>
        <v/>
      </c>
      <c r="Z60" s="1216" t="str">
        <f t="shared" si="43"/>
        <v/>
      </c>
      <c r="AA60" s="1216" t="str">
        <f t="shared" si="43"/>
        <v/>
      </c>
      <c r="AB60" s="1217" t="str">
        <f t="shared" si="43"/>
        <v/>
      </c>
      <c r="AC60" s="1216" t="str">
        <f t="shared" si="43"/>
        <v/>
      </c>
      <c r="AD60" s="1218" t="str">
        <f t="shared" si="43"/>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6"/>
        <v/>
      </c>
      <c r="AY60" s="1221" t="str">
        <f t="shared" si="46"/>
        <v/>
      </c>
      <c r="AZ60" s="1221" t="str">
        <f t="shared" si="46"/>
        <v/>
      </c>
      <c r="BA60" s="1221" t="str">
        <f t="shared" si="46"/>
        <v/>
      </c>
      <c r="BB60" s="1221" t="str">
        <f t="shared" si="46"/>
        <v/>
      </c>
      <c r="BC60" s="1221" t="str">
        <f t="shared" si="44"/>
        <v/>
      </c>
      <c r="BD60" s="1221" t="str">
        <f t="shared" si="44"/>
        <v/>
      </c>
      <c r="BE60" s="1222" t="str">
        <f t="shared" si="44"/>
        <v/>
      </c>
      <c r="BF60" s="1221" t="str">
        <f t="shared" si="44"/>
        <v/>
      </c>
      <c r="BG60" s="1223" t="str">
        <f t="shared" si="44"/>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23"/>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5"/>
        <v/>
      </c>
      <c r="V61" s="1216" t="str">
        <f t="shared" si="45"/>
        <v/>
      </c>
      <c r="W61" s="1216" t="str">
        <f t="shared" si="45"/>
        <v/>
      </c>
      <c r="X61" s="1216" t="str">
        <f t="shared" si="45"/>
        <v/>
      </c>
      <c r="Y61" s="1216" t="str">
        <f t="shared" si="45"/>
        <v/>
      </c>
      <c r="Z61" s="1216" t="str">
        <f t="shared" si="43"/>
        <v/>
      </c>
      <c r="AA61" s="1216" t="str">
        <f t="shared" si="43"/>
        <v/>
      </c>
      <c r="AB61" s="1217" t="str">
        <f t="shared" si="43"/>
        <v/>
      </c>
      <c r="AC61" s="1216" t="str">
        <f t="shared" si="43"/>
        <v/>
      </c>
      <c r="AD61" s="1218" t="str">
        <f t="shared" si="43"/>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6"/>
        <v/>
      </c>
      <c r="AY61" s="1221" t="str">
        <f t="shared" si="46"/>
        <v/>
      </c>
      <c r="AZ61" s="1221" t="str">
        <f t="shared" si="46"/>
        <v/>
      </c>
      <c r="BA61" s="1221" t="str">
        <f t="shared" si="46"/>
        <v/>
      </c>
      <c r="BB61" s="1221" t="str">
        <f t="shared" si="46"/>
        <v/>
      </c>
      <c r="BC61" s="1221" t="str">
        <f t="shared" si="44"/>
        <v/>
      </c>
      <c r="BD61" s="1221" t="str">
        <f t="shared" si="44"/>
        <v/>
      </c>
      <c r="BE61" s="1222" t="str">
        <f t="shared" si="44"/>
        <v/>
      </c>
      <c r="BF61" s="1221" t="str">
        <f t="shared" si="44"/>
        <v/>
      </c>
      <c r="BG61" s="1223" t="str">
        <f t="shared" si="44"/>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23"/>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5"/>
        <v/>
      </c>
      <c r="V62" s="1216" t="str">
        <f t="shared" si="45"/>
        <v/>
      </c>
      <c r="W62" s="1216" t="str">
        <f t="shared" si="45"/>
        <v/>
      </c>
      <c r="X62" s="1216" t="str">
        <f t="shared" si="45"/>
        <v/>
      </c>
      <c r="Y62" s="1216" t="str">
        <f t="shared" si="45"/>
        <v/>
      </c>
      <c r="Z62" s="1216" t="str">
        <f t="shared" si="43"/>
        <v/>
      </c>
      <c r="AA62" s="1216" t="str">
        <f t="shared" si="43"/>
        <v/>
      </c>
      <c r="AB62" s="1217" t="str">
        <f t="shared" si="43"/>
        <v/>
      </c>
      <c r="AC62" s="1216" t="str">
        <f t="shared" si="43"/>
        <v/>
      </c>
      <c r="AD62" s="1218" t="str">
        <f t="shared" si="43"/>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6"/>
        <v/>
      </c>
      <c r="AY62" s="1221" t="str">
        <f t="shared" si="46"/>
        <v/>
      </c>
      <c r="AZ62" s="1221" t="str">
        <f t="shared" si="46"/>
        <v/>
      </c>
      <c r="BA62" s="1221" t="str">
        <f t="shared" si="46"/>
        <v/>
      </c>
      <c r="BB62" s="1221" t="str">
        <f t="shared" si="46"/>
        <v/>
      </c>
      <c r="BC62" s="1221" t="str">
        <f t="shared" si="44"/>
        <v/>
      </c>
      <c r="BD62" s="1221" t="str">
        <f t="shared" si="44"/>
        <v/>
      </c>
      <c r="BE62" s="1222" t="str">
        <f t="shared" si="44"/>
        <v/>
      </c>
      <c r="BF62" s="1221" t="str">
        <f t="shared" si="44"/>
        <v/>
      </c>
      <c r="BG62" s="1223" t="str">
        <f t="shared" si="44"/>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23"/>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5"/>
        <v/>
      </c>
      <c r="V63" s="1216" t="str">
        <f t="shared" si="45"/>
        <v/>
      </c>
      <c r="W63" s="1216" t="str">
        <f t="shared" si="45"/>
        <v/>
      </c>
      <c r="X63" s="1216" t="str">
        <f t="shared" si="45"/>
        <v/>
      </c>
      <c r="Y63" s="1216" t="str">
        <f t="shared" si="45"/>
        <v/>
      </c>
      <c r="Z63" s="1216" t="str">
        <f t="shared" si="43"/>
        <v/>
      </c>
      <c r="AA63" s="1216" t="str">
        <f t="shared" si="43"/>
        <v/>
      </c>
      <c r="AB63" s="1217" t="str">
        <f t="shared" si="43"/>
        <v/>
      </c>
      <c r="AC63" s="1216" t="str">
        <f t="shared" si="43"/>
        <v/>
      </c>
      <c r="AD63" s="1218" t="str">
        <f t="shared" si="43"/>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6"/>
        <v/>
      </c>
      <c r="AY63" s="1221" t="str">
        <f t="shared" si="46"/>
        <v/>
      </c>
      <c r="AZ63" s="1221" t="str">
        <f t="shared" si="46"/>
        <v/>
      </c>
      <c r="BA63" s="1221" t="str">
        <f t="shared" si="46"/>
        <v/>
      </c>
      <c r="BB63" s="1221" t="str">
        <f t="shared" si="46"/>
        <v/>
      </c>
      <c r="BC63" s="1221" t="str">
        <f t="shared" si="44"/>
        <v/>
      </c>
      <c r="BD63" s="1221" t="str">
        <f t="shared" si="44"/>
        <v/>
      </c>
      <c r="BE63" s="1222" t="str">
        <f t="shared" si="44"/>
        <v/>
      </c>
      <c r="BF63" s="1221" t="str">
        <f t="shared" si="44"/>
        <v/>
      </c>
      <c r="BG63" s="1223" t="str">
        <f t="shared" si="44"/>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7">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7"/>
        <v>85</v>
      </c>
      <c r="AM69" s="349" t="s">
        <v>5</v>
      </c>
      <c r="AN69" s="347">
        <f t="shared" ref="AN69" si="48">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Data2!G17</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49">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0">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1">F76</f>
        <v>85</v>
      </c>
      <c r="AM76" s="7" t="s">
        <v>5</v>
      </c>
      <c r="AN76" s="9">
        <f t="shared" si="51"/>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1"/>
        <v>76</v>
      </c>
      <c r="AM77" s="7" t="s">
        <v>5</v>
      </c>
      <c r="AN77" s="9">
        <f t="shared" si="51"/>
        <v>84.5</v>
      </c>
      <c r="AO77" s="1357" t="str">
        <f t="shared" ref="AO77:AO78" si="52">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1"/>
        <v>0</v>
      </c>
      <c r="AM78" s="7" t="s">
        <v>5</v>
      </c>
      <c r="AN78" s="9">
        <f t="shared" si="51"/>
        <v>75.5</v>
      </c>
      <c r="AO78" s="1357" t="str">
        <f t="shared" si="52"/>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75" hidden="1" customHeight="1">
      <c r="C84" s="2"/>
      <c r="AL84" s="10"/>
      <c r="AM84" s="8"/>
      <c r="AN84" s="10"/>
      <c r="AO84" s="512"/>
      <c r="AP84" s="512"/>
      <c r="AQ84" s="512"/>
      <c r="AR84" s="1159"/>
      <c r="AS84" s="1159"/>
      <c r="AT84" s="512"/>
      <c r="AU84" s="512"/>
      <c r="AV84" s="512"/>
    </row>
    <row r="85" spans="3:48" ht="12.75" hidden="1" customHeight="1">
      <c r="C85" s="2"/>
      <c r="AL85" s="10"/>
      <c r="AM85" s="8"/>
      <c r="AN85" s="10"/>
      <c r="AO85" s="512"/>
      <c r="AP85" s="512"/>
      <c r="AQ85" s="512"/>
      <c r="AR85" s="1159"/>
      <c r="AS85" s="1159"/>
      <c r="AT85" s="512"/>
      <c r="AU85" s="512"/>
      <c r="AV85" s="512"/>
    </row>
    <row r="86" spans="3:48" ht="12" hidden="1" customHeight="1"/>
    <row r="87" spans="3:48" ht="12" hidden="1" customHeight="1"/>
    <row r="88" spans="3:48" ht="12" hidden="1" customHeight="1"/>
    <row r="89" spans="3:48" ht="12" hidden="1" customHeight="1"/>
    <row r="90" spans="3:48" ht="12" hidden="1" customHeight="1"/>
    <row r="91" spans="3:48" ht="12" hidden="1" customHeight="1">
      <c r="C91" s="2"/>
      <c r="F91" s="2"/>
      <c r="G91" s="2"/>
      <c r="H91" s="2"/>
      <c r="I91" s="2"/>
      <c r="J91" s="2"/>
      <c r="K91" s="2"/>
      <c r="L91" s="2"/>
      <c r="M91" s="2"/>
      <c r="S91" s="2"/>
      <c r="AL91" s="2"/>
      <c r="AM91" s="2"/>
      <c r="AN91" s="2"/>
      <c r="AO91" s="2"/>
      <c r="AP91" s="2"/>
      <c r="AQ91" s="2"/>
      <c r="AR91" s="2"/>
      <c r="AS91" s="2"/>
    </row>
    <row r="92" spans="3:48" ht="12" hidden="1" customHeight="1">
      <c r="C92" s="2"/>
      <c r="F92" s="2"/>
      <c r="G92" s="2"/>
      <c r="H92" s="2"/>
      <c r="I92" s="2"/>
      <c r="J92" s="2"/>
      <c r="K92" s="2"/>
      <c r="L92" s="2"/>
      <c r="M92" s="2"/>
      <c r="S92" s="2"/>
      <c r="AL92" s="2"/>
      <c r="AM92" s="2"/>
      <c r="AN92" s="2"/>
      <c r="AO92" s="2"/>
      <c r="AP92" s="2"/>
      <c r="AQ92" s="2"/>
      <c r="AR92" s="2"/>
      <c r="AS92" s="2"/>
    </row>
    <row r="93" spans="3:48" hidden="1"/>
    <row r="94" spans="3:48" hidden="1"/>
    <row r="95" spans="3:48" hidden="1"/>
    <row r="96" spans="3:48" hidden="1"/>
    <row r="97" hidden="1"/>
    <row r="98" hidden="1"/>
    <row r="99" hidden="1"/>
    <row r="100" hidden="1"/>
    <row r="101" hidden="1"/>
    <row r="102" hidden="1"/>
    <row r="103" hidden="1"/>
  </sheetData>
  <mergeCells count="70">
    <mergeCell ref="D1:E2"/>
    <mergeCell ref="B3:C4"/>
    <mergeCell ref="D3:E6"/>
    <mergeCell ref="B6:C6"/>
    <mergeCell ref="B7:C7"/>
    <mergeCell ref="D7:E9"/>
    <mergeCell ref="B8:C8"/>
    <mergeCell ref="B9:C9"/>
    <mergeCell ref="B1:C2"/>
    <mergeCell ref="F3:F6"/>
    <mergeCell ref="G3:R6"/>
    <mergeCell ref="AL4:AL5"/>
    <mergeCell ref="AM4:AU5"/>
    <mergeCell ref="AL6:AL7"/>
    <mergeCell ref="AM6:AU7"/>
    <mergeCell ref="F7:F10"/>
    <mergeCell ref="G7:R10"/>
    <mergeCell ref="AL8:AL11"/>
    <mergeCell ref="AM8:AU11"/>
    <mergeCell ref="G11:R11"/>
    <mergeCell ref="G1:R1"/>
    <mergeCell ref="AM1:AU1"/>
    <mergeCell ref="G2:R2"/>
    <mergeCell ref="AL2:AL3"/>
    <mergeCell ref="AM2:AU3"/>
    <mergeCell ref="I78:P78"/>
    <mergeCell ref="AO82:AV82"/>
    <mergeCell ref="AO83:AV83"/>
    <mergeCell ref="I75:P75"/>
    <mergeCell ref="I76:P76"/>
    <mergeCell ref="I77:P77"/>
    <mergeCell ref="I71:Q71"/>
    <mergeCell ref="AO71:AV71"/>
    <mergeCell ref="F73:Q73"/>
    <mergeCell ref="AL73:AV73"/>
    <mergeCell ref="F74:H74"/>
    <mergeCell ref="I74:Q74"/>
    <mergeCell ref="AL74:AN74"/>
    <mergeCell ref="AO74:AV74"/>
    <mergeCell ref="I68:Q68"/>
    <mergeCell ref="AO68:AV68"/>
    <mergeCell ref="I69:Q69"/>
    <mergeCell ref="AO69:AV69"/>
    <mergeCell ref="I70:Q70"/>
    <mergeCell ref="AO70:AV70"/>
    <mergeCell ref="F65:Q65"/>
    <mergeCell ref="AL65:AV65"/>
    <mergeCell ref="F66:Q66"/>
    <mergeCell ref="AL66:AV66"/>
    <mergeCell ref="F67:H67"/>
    <mergeCell ref="I67:Q67"/>
    <mergeCell ref="AL67:AN67"/>
    <mergeCell ref="AO67:AV67"/>
    <mergeCell ref="BN12:BN13"/>
    <mergeCell ref="AG13:AH13"/>
    <mergeCell ref="AI13:AJ13"/>
    <mergeCell ref="BJ13:BK13"/>
    <mergeCell ref="BL13:BM13"/>
    <mergeCell ref="AV12:AV13"/>
    <mergeCell ref="AW12:AW13"/>
    <mergeCell ref="B10:C11"/>
    <mergeCell ref="D10:E11"/>
    <mergeCell ref="S12:S13"/>
    <mergeCell ref="T12:T13"/>
    <mergeCell ref="AK12:AK13"/>
    <mergeCell ref="B12:B13"/>
    <mergeCell ref="C12:C13"/>
    <mergeCell ref="D12:D13"/>
    <mergeCell ref="E12:E13"/>
    <mergeCell ref="F12:O12"/>
  </mergeCells>
  <conditionalFormatting sqref="B14:E63">
    <cfRule type="expression" dxfId="2885" priority="273">
      <formula>AND($B14&lt;&gt;"",$B15="")</formula>
    </cfRule>
    <cfRule type="expression" dxfId="2884" priority="274">
      <formula>$B14=""</formula>
    </cfRule>
  </conditionalFormatting>
  <conditionalFormatting sqref="B56:E56">
    <cfRule type="expression" dxfId="2883" priority="275">
      <formula>AND($B56&lt;&gt;"",$B63="")</formula>
    </cfRule>
    <cfRule type="expression" dxfId="2882" priority="276">
      <formula>$B56=""</formula>
    </cfRule>
  </conditionalFormatting>
  <conditionalFormatting sqref="B50:E50">
    <cfRule type="expression" dxfId="2881" priority="277">
      <formula>AND($B50&lt;&gt;"",$B63="")</formula>
    </cfRule>
    <cfRule type="expression" dxfId="2880" priority="278">
      <formula>$B50=""</formula>
    </cfRule>
  </conditionalFormatting>
  <conditionalFormatting sqref="B43:E44">
    <cfRule type="expression" dxfId="2879" priority="279">
      <formula>AND($B43&lt;&gt;"",$B62="")</formula>
    </cfRule>
    <cfRule type="expression" dxfId="2878" priority="280">
      <formula>$B43=""</formula>
    </cfRule>
  </conditionalFormatting>
  <conditionalFormatting sqref="B63:E63">
    <cfRule type="expression" dxfId="2877" priority="281">
      <formula>AND($B63&lt;&gt;"",#REF!="")</formula>
    </cfRule>
    <cfRule type="expression" dxfId="2876" priority="282">
      <formula>$B63=""</formula>
    </cfRule>
  </conditionalFormatting>
  <conditionalFormatting sqref="B61:E61">
    <cfRule type="expression" dxfId="2875" priority="283">
      <formula>AND($B61&lt;&gt;"",$B64="")</formula>
    </cfRule>
    <cfRule type="expression" dxfId="2874" priority="284">
      <formula>$B61=""</formula>
    </cfRule>
  </conditionalFormatting>
  <conditionalFormatting sqref="B57:E60">
    <cfRule type="expression" dxfId="2873" priority="285">
      <formula>AND($B57&lt;&gt;"",#REF!="")</formula>
    </cfRule>
    <cfRule type="expression" dxfId="2872" priority="286">
      <formula>$B57=""</formula>
    </cfRule>
  </conditionalFormatting>
  <conditionalFormatting sqref="B55:E55">
    <cfRule type="expression" dxfId="2871" priority="287">
      <formula>AND($B55&lt;&gt;"",$B64="")</formula>
    </cfRule>
    <cfRule type="expression" dxfId="2870" priority="288">
      <formula>$B55=""</formula>
    </cfRule>
  </conditionalFormatting>
  <conditionalFormatting sqref="B51:E54">
    <cfRule type="expression" dxfId="2869" priority="289">
      <formula>AND($B51&lt;&gt;"",#REF!="")</formula>
    </cfRule>
    <cfRule type="expression" dxfId="2868" priority="290">
      <formula>$B51=""</formula>
    </cfRule>
  </conditionalFormatting>
  <conditionalFormatting sqref="B49:E49">
    <cfRule type="expression" dxfId="2867" priority="291">
      <formula>AND($B49&lt;&gt;"",$B64="")</formula>
    </cfRule>
    <cfRule type="expression" dxfId="2866" priority="292">
      <formula>$B49=""</formula>
    </cfRule>
  </conditionalFormatting>
  <conditionalFormatting sqref="B45:E63">
    <cfRule type="expression" dxfId="2865" priority="293">
      <formula>AND($B45&lt;&gt;"",#REF!="")</formula>
    </cfRule>
    <cfRule type="expression" dxfId="2864" priority="294">
      <formula>$B45=""</formula>
    </cfRule>
  </conditionalFormatting>
  <conditionalFormatting sqref="R70 F66:Q71">
    <cfRule type="expression" dxfId="2863" priority="295">
      <formula>$F$65="SAMA DENGAN DATA"</formula>
    </cfRule>
  </conditionalFormatting>
  <conditionalFormatting sqref="F66:Q71">
    <cfRule type="expression" dxfId="2862" priority="296">
      <formula>$F$65="kkm tunggal"</formula>
    </cfRule>
  </conditionalFormatting>
  <conditionalFormatting sqref="AW70:BG70 AL66:AV71">
    <cfRule type="expression" dxfId="2861" priority="297">
      <formula>$AL$65="SAMA DENGAN DATA"</formula>
    </cfRule>
  </conditionalFormatting>
  <conditionalFormatting sqref="AL66:AV71">
    <cfRule type="expression" dxfId="2860" priority="298">
      <formula>$AL$65="KKM TUNGGAL"</formula>
    </cfRule>
  </conditionalFormatting>
  <conditionalFormatting sqref="B61:E63">
    <cfRule type="expression" dxfId="2859" priority="2720">
      <formula>AND($B61&lt;&gt;"",$B65="")</formula>
    </cfRule>
    <cfRule type="expression" dxfId="2858" priority="2721">
      <formula>$B61=""</formula>
    </cfRule>
  </conditionalFormatting>
  <conditionalFormatting sqref="B50:E60">
    <cfRule type="expression" dxfId="2857" priority="2722">
      <formula>AND($B50&lt;&gt;"",#REF!="")</formula>
    </cfRule>
    <cfRule type="expression" dxfId="2856" priority="2723">
      <formula>$B50=""</formula>
    </cfRule>
  </conditionalFormatting>
  <conditionalFormatting sqref="U14:AB63 P51:S63 AV14:BE63 AE14:AK63 BH14:BN63 P14:P50 S14:S50">
    <cfRule type="expression" dxfId="2855" priority="186">
      <formula>AND($B14&lt;&gt;"",$B15="")</formula>
    </cfRule>
    <cfRule type="expression" dxfId="2854" priority="187">
      <formula>$B14=""</formula>
    </cfRule>
  </conditionalFormatting>
  <conditionalFormatting sqref="T14:T63">
    <cfRule type="expression" dxfId="2853" priority="184">
      <formula>AND($B14&lt;&gt;"",$B15="")</formula>
    </cfRule>
    <cfRule type="expression" dxfId="2852" priority="185">
      <formula>$B14=""</formula>
    </cfRule>
  </conditionalFormatting>
  <conditionalFormatting sqref="AV14">
    <cfRule type="expression" dxfId="2851" priority="182">
      <formula>AND($B14&lt;&gt;"",$B15="")</formula>
    </cfRule>
    <cfRule type="expression" dxfId="2850" priority="183">
      <formula>$B14=""</formula>
    </cfRule>
  </conditionalFormatting>
  <conditionalFormatting sqref="P56:S56 U56:AB56 BH56:BN56 AE56:AK56 AV56:BE56">
    <cfRule type="expression" dxfId="2849" priority="188">
      <formula>AND($B56&lt;&gt;"",$B63="")</formula>
    </cfRule>
    <cfRule type="expression" dxfId="2848" priority="189">
      <formula>$B56=""</formula>
    </cfRule>
  </conditionalFormatting>
  <conditionalFormatting sqref="P50 U50:AB50 BH50:BN50 AE50:AK50 AV50:BE50 S50">
    <cfRule type="expression" dxfId="2847" priority="190">
      <formula>AND($B50&lt;&gt;"",$B63="")</formula>
    </cfRule>
    <cfRule type="expression" dxfId="2846" priority="191">
      <formula>$B50=""</formula>
    </cfRule>
  </conditionalFormatting>
  <conditionalFormatting sqref="P43:P44 U43:AB44 BH43:BN44 AE43:AK44 AV43:BE44 S43:S44">
    <cfRule type="expression" dxfId="2845" priority="192">
      <formula>AND($B43&lt;&gt;"",$B62="")</formula>
    </cfRule>
    <cfRule type="expression" dxfId="2844" priority="193">
      <formula>$B43=""</formula>
    </cfRule>
  </conditionalFormatting>
  <conditionalFormatting sqref="P63:S63 U63:AB63 BH63:BN63 AE63:AK63 AV63:BE63">
    <cfRule type="expression" dxfId="2843" priority="194">
      <formula>AND($B63&lt;&gt;"",#REF!="")</formula>
    </cfRule>
    <cfRule type="expression" dxfId="2842" priority="195">
      <formula>$B63=""</formula>
    </cfRule>
  </conditionalFormatting>
  <conditionalFormatting sqref="P61:S61 U61:AB61 BH61:BN61 AE61:AK61 AV61:BE61">
    <cfRule type="expression" dxfId="2841" priority="196">
      <formula>AND($B61&lt;&gt;"",$B64="")</formula>
    </cfRule>
    <cfRule type="expression" dxfId="2840" priority="197">
      <formula>$B61=""</formula>
    </cfRule>
  </conditionalFormatting>
  <conditionalFormatting sqref="P57:S60 U57:AB60 BH57:BN60 AE57:AK60 AV57:BE60">
    <cfRule type="expression" dxfId="2839" priority="198">
      <formula>AND($B57&lt;&gt;"",#REF!="")</formula>
    </cfRule>
    <cfRule type="expression" dxfId="2838" priority="199">
      <formula>$B57=""</formula>
    </cfRule>
  </conditionalFormatting>
  <conditionalFormatting sqref="P55:S55 U55:AB55 BH55:BN55 AE55:AK55 AV55:BE55">
    <cfRule type="expression" dxfId="2837" priority="200">
      <formula>AND($B55&lt;&gt;"",$B64="")</formula>
    </cfRule>
    <cfRule type="expression" dxfId="2836" priority="201">
      <formula>$B55=""</formula>
    </cfRule>
  </conditionalFormatting>
  <conditionalFormatting sqref="P51:S54 U51:AB54 BH51:BN54 AE51:AK54 AV51:BE54">
    <cfRule type="expression" dxfId="2835" priority="202">
      <formula>AND($B51&lt;&gt;"",#REF!="")</formula>
    </cfRule>
    <cfRule type="expression" dxfId="2834" priority="203">
      <formula>$B51=""</formula>
    </cfRule>
  </conditionalFormatting>
  <conditionalFormatting sqref="J49:P49 U49:AK49 S49 AP49:BN49">
    <cfRule type="expression" dxfId="2833" priority="204">
      <formula>AND($B49&lt;&gt;"",$B64="")</formula>
    </cfRule>
    <cfRule type="expression" dxfId="2832" priority="205">
      <formula>$B49=""</formula>
    </cfRule>
  </conditionalFormatting>
  <conditionalFormatting sqref="P51:S63 U45:AB63 BH45:BN63 AE45:AK63 AV45:BE63 P45:P50 S45:S50">
    <cfRule type="expression" dxfId="2831" priority="206">
      <formula>AND($B45&lt;&gt;"",#REF!="")</formula>
    </cfRule>
    <cfRule type="expression" dxfId="2830" priority="207">
      <formula>$B45=""</formula>
    </cfRule>
  </conditionalFormatting>
  <conditionalFormatting sqref="T16:T63">
    <cfRule type="expression" dxfId="2829" priority="180">
      <formula>AND($B16&lt;&gt;"",$B17="")</formula>
    </cfRule>
    <cfRule type="expression" dxfId="2828" priority="181">
      <formula>$B16=""</formula>
    </cfRule>
  </conditionalFormatting>
  <conditionalFormatting sqref="U13:AB13 AX12:BG12">
    <cfRule type="expression" dxfId="2827" priority="179">
      <formula>COUNTA(U$14:U$63)&gt;0</formula>
    </cfRule>
  </conditionalFormatting>
  <conditionalFormatting sqref="F51:M63 J14:M50">
    <cfRule type="expression" dxfId="2826" priority="158">
      <formula>AND($B14&lt;&gt;"",$B15="")</formula>
    </cfRule>
    <cfRule type="expression" dxfId="2825" priority="159">
      <formula>$B14=""</formula>
    </cfRule>
  </conditionalFormatting>
  <conditionalFormatting sqref="F56:M56">
    <cfRule type="expression" dxfId="2824" priority="160">
      <formula>AND($B56&lt;&gt;"",$B63="")</formula>
    </cfRule>
    <cfRule type="expression" dxfId="2823" priority="161">
      <formula>$B56=""</formula>
    </cfRule>
  </conditionalFormatting>
  <conditionalFormatting sqref="J50:M50">
    <cfRule type="expression" dxfId="2822" priority="162">
      <formula>AND($B50&lt;&gt;"",$B63="")</formula>
    </cfRule>
    <cfRule type="expression" dxfId="2821" priority="163">
      <formula>$B50=""</formula>
    </cfRule>
  </conditionalFormatting>
  <conditionalFormatting sqref="J43:M44">
    <cfRule type="expression" dxfId="2820" priority="164">
      <formula>AND($B43&lt;&gt;"",$B62="")</formula>
    </cfRule>
    <cfRule type="expression" dxfId="2819" priority="165">
      <formula>$B43=""</formula>
    </cfRule>
  </conditionalFormatting>
  <conditionalFormatting sqref="F63:M63">
    <cfRule type="expression" dxfId="2818" priority="166">
      <formula>AND($B63&lt;&gt;"",#REF!="")</formula>
    </cfRule>
    <cfRule type="expression" dxfId="2817" priority="167">
      <formula>$B63=""</formula>
    </cfRule>
  </conditionalFormatting>
  <conditionalFormatting sqref="F61:M61">
    <cfRule type="expression" dxfId="2816" priority="168">
      <formula>AND($B61&lt;&gt;"",$B64="")</formula>
    </cfRule>
    <cfRule type="expression" dxfId="2815" priority="169">
      <formula>$B61=""</formula>
    </cfRule>
  </conditionalFormatting>
  <conditionalFormatting sqref="F57:M60">
    <cfRule type="expression" dxfId="2814" priority="170">
      <formula>AND($B57&lt;&gt;"",#REF!="")</formula>
    </cfRule>
    <cfRule type="expression" dxfId="2813" priority="171">
      <formula>$B57=""</formula>
    </cfRule>
  </conditionalFormatting>
  <conditionalFormatting sqref="F55:M55">
    <cfRule type="expression" dxfId="2812" priority="172">
      <formula>AND($B55&lt;&gt;"",$B64="")</formula>
    </cfRule>
    <cfRule type="expression" dxfId="2811" priority="173">
      <formula>$B55=""</formula>
    </cfRule>
  </conditionalFormatting>
  <conditionalFormatting sqref="F51:M54">
    <cfRule type="expression" dxfId="2810" priority="174">
      <formula>AND($B51&lt;&gt;"",#REF!="")</formula>
    </cfRule>
    <cfRule type="expression" dxfId="2809" priority="175">
      <formula>$B51=""</formula>
    </cfRule>
  </conditionalFormatting>
  <conditionalFormatting sqref="F51:M63 J45:M50">
    <cfRule type="expression" dxfId="2808" priority="176">
      <formula>AND($B45&lt;&gt;"",#REF!="")</formula>
    </cfRule>
    <cfRule type="expression" dxfId="2807" priority="177">
      <formula>$B45=""</formula>
    </cfRule>
  </conditionalFormatting>
  <conditionalFormatting sqref="F13:M13">
    <cfRule type="expression" dxfId="2806" priority="157">
      <formula>COUNTA(F$14:F$63)&gt;0</formula>
    </cfRule>
  </conditionalFormatting>
  <conditionalFormatting sqref="F51:M63 J14:M50">
    <cfRule type="expression" dxfId="2805" priority="178">
      <formula>COUNTIF($U14:$AB14,F14)&gt;1</formula>
    </cfRule>
  </conditionalFormatting>
  <conditionalFormatting sqref="AC14:AD63">
    <cfRule type="expression" dxfId="2804" priority="137">
      <formula>AND($B14&lt;&gt;"",$B15="")</formula>
    </cfRule>
    <cfRule type="expression" dxfId="2803" priority="138">
      <formula>$B14=""</formula>
    </cfRule>
  </conditionalFormatting>
  <conditionalFormatting sqref="AC56:AD56">
    <cfRule type="expression" dxfId="2802" priority="139">
      <formula>AND($B56&lt;&gt;"",$B63="")</formula>
    </cfRule>
    <cfRule type="expression" dxfId="2801" priority="140">
      <formula>$B56=""</formula>
    </cfRule>
  </conditionalFormatting>
  <conditionalFormatting sqref="AC50:AD50">
    <cfRule type="expression" dxfId="2800" priority="141">
      <formula>AND($B50&lt;&gt;"",$B63="")</formula>
    </cfRule>
    <cfRule type="expression" dxfId="2799" priority="142">
      <formula>$B50=""</formula>
    </cfRule>
  </conditionalFormatting>
  <conditionalFormatting sqref="AC43:AD44">
    <cfRule type="expression" dxfId="2798" priority="143">
      <formula>AND($B43&lt;&gt;"",$B62="")</formula>
    </cfRule>
    <cfRule type="expression" dxfId="2797" priority="144">
      <formula>$B43=""</formula>
    </cfRule>
  </conditionalFormatting>
  <conditionalFormatting sqref="AC63:AD63">
    <cfRule type="expression" dxfId="2796" priority="145">
      <formula>AND($B63&lt;&gt;"",#REF!="")</formula>
    </cfRule>
    <cfRule type="expression" dxfId="2795" priority="146">
      <formula>$B63=""</formula>
    </cfRule>
  </conditionalFormatting>
  <conditionalFormatting sqref="AC61:AD61">
    <cfRule type="expression" dxfId="2794" priority="147">
      <formula>AND($B61&lt;&gt;"",$B64="")</formula>
    </cfRule>
    <cfRule type="expression" dxfId="2793" priority="148">
      <formula>$B61=""</formula>
    </cfRule>
  </conditionalFormatting>
  <conditionalFormatting sqref="AC57:AD60">
    <cfRule type="expression" dxfId="2792" priority="149">
      <formula>AND($B57&lt;&gt;"",#REF!="")</formula>
    </cfRule>
    <cfRule type="expression" dxfId="2791" priority="150">
      <formula>$B57=""</formula>
    </cfRule>
  </conditionalFormatting>
  <conditionalFormatting sqref="AC55:AD55">
    <cfRule type="expression" dxfId="2790" priority="151">
      <formula>AND($B55&lt;&gt;"",$B64="")</formula>
    </cfRule>
    <cfRule type="expression" dxfId="2789" priority="152">
      <formula>$B55=""</formula>
    </cfRule>
  </conditionalFormatting>
  <conditionalFormatting sqref="AC51:AD54">
    <cfRule type="expression" dxfId="2788" priority="153">
      <formula>AND($B51&lt;&gt;"",#REF!="")</formula>
    </cfRule>
    <cfRule type="expression" dxfId="2787" priority="154">
      <formula>$B51=""</formula>
    </cfRule>
  </conditionalFormatting>
  <conditionalFormatting sqref="AC45:AD63">
    <cfRule type="expression" dxfId="2786" priority="155">
      <formula>AND($B45&lt;&gt;"",#REF!="")</formula>
    </cfRule>
    <cfRule type="expression" dxfId="2785" priority="156">
      <formula>$B45=""</formula>
    </cfRule>
  </conditionalFormatting>
  <conditionalFormatting sqref="AC13:AD13">
    <cfRule type="expression" dxfId="2784" priority="136">
      <formula>COUNTA(AC$14:AC$63)&gt;0</formula>
    </cfRule>
  </conditionalFormatting>
  <conditionalFormatting sqref="N14:O63">
    <cfRule type="expression" dxfId="2783" priority="115">
      <formula>AND($B14&lt;&gt;"",$B15="")</formula>
    </cfRule>
    <cfRule type="expression" dxfId="2782" priority="116">
      <formula>$B14=""</formula>
    </cfRule>
  </conditionalFormatting>
  <conditionalFormatting sqref="N56:O56">
    <cfRule type="expression" dxfId="2781" priority="117">
      <formula>AND($B56&lt;&gt;"",$B63="")</formula>
    </cfRule>
    <cfRule type="expression" dxfId="2780" priority="118">
      <formula>$B56=""</formula>
    </cfRule>
  </conditionalFormatting>
  <conditionalFormatting sqref="N50:O50">
    <cfRule type="expression" dxfId="2779" priority="119">
      <formula>AND($B50&lt;&gt;"",$B63="")</formula>
    </cfRule>
    <cfRule type="expression" dxfId="2778" priority="120">
      <formula>$B50=""</formula>
    </cfRule>
  </conditionalFormatting>
  <conditionalFormatting sqref="N43:O44">
    <cfRule type="expression" dxfId="2777" priority="121">
      <formula>AND($B43&lt;&gt;"",$B62="")</formula>
    </cfRule>
    <cfRule type="expression" dxfId="2776" priority="122">
      <formula>$B43=""</formula>
    </cfRule>
  </conditionalFormatting>
  <conditionalFormatting sqref="N63:O63">
    <cfRule type="expression" dxfId="2775" priority="123">
      <formula>AND($B63&lt;&gt;"",#REF!="")</formula>
    </cfRule>
    <cfRule type="expression" dxfId="2774" priority="124">
      <formula>$B63=""</formula>
    </cfRule>
  </conditionalFormatting>
  <conditionalFormatting sqref="N61:O61">
    <cfRule type="expression" dxfId="2773" priority="125">
      <formula>AND($B61&lt;&gt;"",$B64="")</formula>
    </cfRule>
    <cfRule type="expression" dxfId="2772" priority="126">
      <formula>$B61=""</formula>
    </cfRule>
  </conditionalFormatting>
  <conditionalFormatting sqref="N57:O60">
    <cfRule type="expression" dxfId="2771" priority="127">
      <formula>AND($B57&lt;&gt;"",#REF!="")</formula>
    </cfRule>
    <cfRule type="expression" dxfId="2770" priority="128">
      <formula>$B57=""</formula>
    </cfRule>
  </conditionalFormatting>
  <conditionalFormatting sqref="N55:O55">
    <cfRule type="expression" dxfId="2769" priority="129">
      <formula>AND($B55&lt;&gt;"",$B64="")</formula>
    </cfRule>
    <cfRule type="expression" dxfId="2768" priority="130">
      <formula>$B55=""</formula>
    </cfRule>
  </conditionalFormatting>
  <conditionalFormatting sqref="N51:O54">
    <cfRule type="expression" dxfId="2767" priority="131">
      <formula>AND($B51&lt;&gt;"",#REF!="")</formula>
    </cfRule>
    <cfRule type="expression" dxfId="2766" priority="132">
      <formula>$B51=""</formula>
    </cfRule>
  </conditionalFormatting>
  <conditionalFormatting sqref="N45:O63">
    <cfRule type="expression" dxfId="2765" priority="133">
      <formula>AND($B45&lt;&gt;"",#REF!="")</formula>
    </cfRule>
    <cfRule type="expression" dxfId="2764" priority="134">
      <formula>$B45=""</formula>
    </cfRule>
  </conditionalFormatting>
  <conditionalFormatting sqref="N13:O13">
    <cfRule type="expression" dxfId="2763" priority="114">
      <formula>COUNTA(N$14:N$63)&gt;0</formula>
    </cfRule>
  </conditionalFormatting>
  <conditionalFormatting sqref="N14:O63">
    <cfRule type="expression" dxfId="2762" priority="135">
      <formula>COUNTIF($U14:$AB14,N14)&gt;1</formula>
    </cfRule>
  </conditionalFormatting>
  <conditionalFormatting sqref="BF14:BG63">
    <cfRule type="expression" dxfId="2761" priority="94">
      <formula>AND($B14&lt;&gt;"",$B15="")</formula>
    </cfRule>
    <cfRule type="expression" dxfId="2760" priority="95">
      <formula>$B14=""</formula>
    </cfRule>
  </conditionalFormatting>
  <conditionalFormatting sqref="BF56:BG56">
    <cfRule type="expression" dxfId="2759" priority="96">
      <formula>AND($B56&lt;&gt;"",$B63="")</formula>
    </cfRule>
    <cfRule type="expression" dxfId="2758" priority="97">
      <formula>$B56=""</formula>
    </cfRule>
  </conditionalFormatting>
  <conditionalFormatting sqref="BF50:BG50">
    <cfRule type="expression" dxfId="2757" priority="98">
      <formula>AND($B50&lt;&gt;"",$B63="")</formula>
    </cfRule>
    <cfRule type="expression" dxfId="2756" priority="99">
      <formula>$B50=""</formula>
    </cfRule>
  </conditionalFormatting>
  <conditionalFormatting sqref="BF43:BG44">
    <cfRule type="expression" dxfId="2755" priority="100">
      <formula>AND($B43&lt;&gt;"",$B62="")</formula>
    </cfRule>
    <cfRule type="expression" dxfId="2754" priority="101">
      <formula>$B43=""</formula>
    </cfRule>
  </conditionalFormatting>
  <conditionalFormatting sqref="BF63:BG63">
    <cfRule type="expression" dxfId="2753" priority="102">
      <formula>AND($B63&lt;&gt;"",#REF!="")</formula>
    </cfRule>
    <cfRule type="expression" dxfId="2752" priority="103">
      <formula>$B63=""</formula>
    </cfRule>
  </conditionalFormatting>
  <conditionalFormatting sqref="BF61:BG61">
    <cfRule type="expression" dxfId="2751" priority="104">
      <formula>AND($B61&lt;&gt;"",$B64="")</formula>
    </cfRule>
    <cfRule type="expression" dxfId="2750" priority="105">
      <formula>$B61=""</formula>
    </cfRule>
  </conditionalFormatting>
  <conditionalFormatting sqref="BF57:BG60">
    <cfRule type="expression" dxfId="2749" priority="106">
      <formula>AND($B57&lt;&gt;"",#REF!="")</formula>
    </cfRule>
    <cfRule type="expression" dxfId="2748" priority="107">
      <formula>$B57=""</formula>
    </cfRule>
  </conditionalFormatting>
  <conditionalFormatting sqref="BF55:BG55">
    <cfRule type="expression" dxfId="2747" priority="108">
      <formula>AND($B55&lt;&gt;"",$B64="")</formula>
    </cfRule>
    <cfRule type="expression" dxfId="2746" priority="109">
      <formula>$B55=""</formula>
    </cfRule>
  </conditionalFormatting>
  <conditionalFormatting sqref="BF51:BG54">
    <cfRule type="expression" dxfId="2745" priority="110">
      <formula>AND($B51&lt;&gt;"",#REF!="")</formula>
    </cfRule>
    <cfRule type="expression" dxfId="2744" priority="111">
      <formula>$B51=""</formula>
    </cfRule>
  </conditionalFormatting>
  <conditionalFormatting sqref="BF45:BG63">
    <cfRule type="expression" dxfId="2743" priority="112">
      <formula>AND($B45&lt;&gt;"",#REF!="")</formula>
    </cfRule>
    <cfRule type="expression" dxfId="2742" priority="113">
      <formula>$B45=""</formula>
    </cfRule>
  </conditionalFormatting>
  <conditionalFormatting sqref="AL51:AS63 AP14:AS50">
    <cfRule type="expression" dxfId="2741" priority="73">
      <formula>AND($B14&lt;&gt;"",$B15="")</formula>
    </cfRule>
    <cfRule type="expression" dxfId="2740" priority="74">
      <formula>$B14=""</formula>
    </cfRule>
  </conditionalFormatting>
  <conditionalFormatting sqref="AL56:AS56">
    <cfRule type="expression" dxfId="2739" priority="75">
      <formula>AND($B56&lt;&gt;"",$B63="")</formula>
    </cfRule>
    <cfRule type="expression" dxfId="2738" priority="76">
      <formula>$B56=""</formula>
    </cfRule>
  </conditionalFormatting>
  <conditionalFormatting sqref="AP50:AS50">
    <cfRule type="expression" dxfId="2737" priority="77">
      <formula>AND($B50&lt;&gt;"",$B63="")</formula>
    </cfRule>
    <cfRule type="expression" dxfId="2736" priority="78">
      <formula>$B50=""</formula>
    </cfRule>
  </conditionalFormatting>
  <conditionalFormatting sqref="AP43:AS44">
    <cfRule type="expression" dxfId="2735" priority="79">
      <formula>AND($B43&lt;&gt;"",$B62="")</formula>
    </cfRule>
    <cfRule type="expression" dxfId="2734" priority="80">
      <formula>$B43=""</formula>
    </cfRule>
  </conditionalFormatting>
  <conditionalFormatting sqref="AL63:AS63">
    <cfRule type="expression" dxfId="2733" priority="81">
      <formula>AND($B63&lt;&gt;"",#REF!="")</formula>
    </cfRule>
    <cfRule type="expression" dxfId="2732" priority="82">
      <formula>$B63=""</formula>
    </cfRule>
  </conditionalFormatting>
  <conditionalFormatting sqref="AL61:AS61">
    <cfRule type="expression" dxfId="2731" priority="83">
      <formula>AND($B61&lt;&gt;"",$B64="")</formula>
    </cfRule>
    <cfRule type="expression" dxfId="2730" priority="84">
      <formula>$B61=""</formula>
    </cfRule>
  </conditionalFormatting>
  <conditionalFormatting sqref="AL57:AS60">
    <cfRule type="expression" dxfId="2729" priority="85">
      <formula>AND($B57&lt;&gt;"",#REF!="")</formula>
    </cfRule>
    <cfRule type="expression" dxfId="2728" priority="86">
      <formula>$B57=""</formula>
    </cfRule>
  </conditionalFormatting>
  <conditionalFormatting sqref="AL55:AS55">
    <cfRule type="expression" dxfId="2727" priority="87">
      <formula>AND($B55&lt;&gt;"",$B64="")</formula>
    </cfRule>
    <cfRule type="expression" dxfId="2726" priority="88">
      <formula>$B55=""</formula>
    </cfRule>
  </conditionalFormatting>
  <conditionalFormatting sqref="AL51:AS54">
    <cfRule type="expression" dxfId="2725" priority="89">
      <formula>AND($B51&lt;&gt;"",#REF!="")</formula>
    </cfRule>
    <cfRule type="expression" dxfId="2724" priority="90">
      <formula>$B51=""</formula>
    </cfRule>
  </conditionalFormatting>
  <conditionalFormatting sqref="AL51:AS63 AP45:AS50">
    <cfRule type="expression" dxfId="2723" priority="91">
      <formula>AND($B45&lt;&gt;"",#REF!="")</formula>
    </cfRule>
    <cfRule type="expression" dxfId="2722" priority="92">
      <formula>$B45=""</formula>
    </cfRule>
  </conditionalFormatting>
  <conditionalFormatting sqref="AL12:AU12">
    <cfRule type="expression" dxfId="2721" priority="72">
      <formula>COUNTA(AL$14:AL$63)&gt;0</formula>
    </cfRule>
  </conditionalFormatting>
  <conditionalFormatting sqref="AT14:AU63">
    <cfRule type="expression" dxfId="2720" priority="52">
      <formula>AND($B14&lt;&gt;"",$B15="")</formula>
    </cfRule>
    <cfRule type="expression" dxfId="2719" priority="53">
      <formula>$B14=""</formula>
    </cfRule>
  </conditionalFormatting>
  <conditionalFormatting sqref="AT56:AU56">
    <cfRule type="expression" dxfId="2718" priority="54">
      <formula>AND($B56&lt;&gt;"",$B63="")</formula>
    </cfRule>
    <cfRule type="expression" dxfId="2717" priority="55">
      <formula>$B56=""</formula>
    </cfRule>
  </conditionalFormatting>
  <conditionalFormatting sqref="AT50:AU50">
    <cfRule type="expression" dxfId="2716" priority="56">
      <formula>AND($B50&lt;&gt;"",$B63="")</formula>
    </cfRule>
    <cfRule type="expression" dxfId="2715" priority="57">
      <formula>$B50=""</formula>
    </cfRule>
  </conditionalFormatting>
  <conditionalFormatting sqref="AT43:AU44">
    <cfRule type="expression" dxfId="2714" priority="58">
      <formula>AND($B43&lt;&gt;"",$B62="")</formula>
    </cfRule>
    <cfRule type="expression" dxfId="2713" priority="59">
      <formula>$B43=""</formula>
    </cfRule>
  </conditionalFormatting>
  <conditionalFormatting sqref="AT63:AU63">
    <cfRule type="expression" dxfId="2712" priority="60">
      <formula>AND($B63&lt;&gt;"",#REF!="")</formula>
    </cfRule>
    <cfRule type="expression" dxfId="2711" priority="61">
      <formula>$B63=""</formula>
    </cfRule>
  </conditionalFormatting>
  <conditionalFormatting sqref="AT61:AU61">
    <cfRule type="expression" dxfId="2710" priority="62">
      <formula>AND($B61&lt;&gt;"",$B64="")</formula>
    </cfRule>
    <cfRule type="expression" dxfId="2709" priority="63">
      <formula>$B61=""</formula>
    </cfRule>
  </conditionalFormatting>
  <conditionalFormatting sqref="AT57:AU60">
    <cfRule type="expression" dxfId="2708" priority="64">
      <formula>AND($B57&lt;&gt;"",#REF!="")</formula>
    </cfRule>
    <cfRule type="expression" dxfId="2707" priority="65">
      <formula>$B57=""</formula>
    </cfRule>
  </conditionalFormatting>
  <conditionalFormatting sqref="AT55:AU55">
    <cfRule type="expression" dxfId="2706" priority="66">
      <formula>AND($B55&lt;&gt;"",$B64="")</formula>
    </cfRule>
    <cfRule type="expression" dxfId="2705" priority="67">
      <formula>$B55=""</formula>
    </cfRule>
  </conditionalFormatting>
  <conditionalFormatting sqref="AT51:AU54">
    <cfRule type="expression" dxfId="2704" priority="68">
      <formula>AND($B51&lt;&gt;"",#REF!="")</formula>
    </cfRule>
    <cfRule type="expression" dxfId="2703" priority="69">
      <formula>$B51=""</formula>
    </cfRule>
  </conditionalFormatting>
  <conditionalFormatting sqref="AT45:AU63">
    <cfRule type="expression" dxfId="2702" priority="70">
      <formula>AND($B45&lt;&gt;"",#REF!="")</formula>
    </cfRule>
    <cfRule type="expression" dxfId="2701" priority="71">
      <formula>$B45=""</formula>
    </cfRule>
  </conditionalFormatting>
  <conditionalFormatting sqref="AL51:AU63 AP14:AU50">
    <cfRule type="expression" dxfId="2700" priority="93">
      <formula>COUNTIF($AX14:$BE14,AL14)&gt;1</formula>
    </cfRule>
  </conditionalFormatting>
  <conditionalFormatting sqref="F61:S63 U61:BN63">
    <cfRule type="expression" dxfId="2699" priority="208">
      <formula>AND($B61&lt;&gt;"",$B65="")</formula>
    </cfRule>
    <cfRule type="expression" dxfId="2698" priority="209">
      <formula>$B61=""</formula>
    </cfRule>
  </conditionalFormatting>
  <conditionalFormatting sqref="F51:S60 U51:BN60 J50:P50 S50 U50:AK50 AP50:BN50">
    <cfRule type="expression" dxfId="2697" priority="210">
      <formula>AND($B50&lt;&gt;"",#REF!="")</formula>
    </cfRule>
    <cfRule type="expression" dxfId="2696" priority="211">
      <formula>$B50=""</formula>
    </cfRule>
  </conditionalFormatting>
  <conditionalFormatting sqref="T2">
    <cfRule type="expression" dxfId="2695" priority="51">
      <formula>COUNTA(F$14:F$63)&gt;0</formula>
    </cfRule>
  </conditionalFormatting>
  <conditionalFormatting sqref="T3">
    <cfRule type="expression" dxfId="2694" priority="212">
      <formula>COUNTA(G$14:G$63)&gt;0</formula>
    </cfRule>
  </conditionalFormatting>
  <conditionalFormatting sqref="T4">
    <cfRule type="expression" dxfId="2693" priority="213">
      <formula>COUNTA(H$14:H$63)&gt;0</formula>
    </cfRule>
  </conditionalFormatting>
  <conditionalFormatting sqref="T5">
    <cfRule type="expression" dxfId="2692" priority="214">
      <formula>COUNTA(I$14:I$63)&gt;0</formula>
    </cfRule>
  </conditionalFormatting>
  <conditionalFormatting sqref="T7">
    <cfRule type="expression" dxfId="2691" priority="50">
      <formula>COUNTA(K$14:K$63)&gt;0</formula>
    </cfRule>
  </conditionalFormatting>
  <conditionalFormatting sqref="T11">
    <cfRule type="expression" dxfId="2690" priority="215">
      <formula>COUNTA(O$14:O$63)&gt;0</formula>
    </cfRule>
  </conditionalFormatting>
  <conditionalFormatting sqref="T10">
    <cfRule type="expression" dxfId="2689" priority="216">
      <formula>COUNTA(N$14:N$63)&gt;0</formula>
    </cfRule>
  </conditionalFormatting>
  <conditionalFormatting sqref="T9">
    <cfRule type="expression" dxfId="2688" priority="217">
      <formula>COUNTA(M$14:M$63)&gt;0</formula>
    </cfRule>
  </conditionalFormatting>
  <conditionalFormatting sqref="T8">
    <cfRule type="expression" dxfId="2687" priority="218">
      <formula>COUNTA(L$14:L$63)&gt;0</formula>
    </cfRule>
  </conditionalFormatting>
  <conditionalFormatting sqref="T6">
    <cfRule type="expression" dxfId="2686" priority="49">
      <formula>COUNTA(J$14:J$63)&gt;0</formula>
    </cfRule>
  </conditionalFormatting>
  <conditionalFormatting sqref="AW2">
    <cfRule type="expression" dxfId="2685" priority="48">
      <formula>COUNTA(AL$14:AL$63)&gt;0</formula>
    </cfRule>
  </conditionalFormatting>
  <conditionalFormatting sqref="AW3">
    <cfRule type="expression" dxfId="2684" priority="47">
      <formula>COUNTA(AM$14:AM$63)&gt;0</formula>
    </cfRule>
  </conditionalFormatting>
  <conditionalFormatting sqref="AW4">
    <cfRule type="expression" dxfId="2683" priority="46">
      <formula>COUNTA(AN$14:AN$63)&gt;0</formula>
    </cfRule>
  </conditionalFormatting>
  <conditionalFormatting sqref="AW5">
    <cfRule type="expression" dxfId="2682" priority="45">
      <formula>COUNTA(AO$14:AO$63)&gt;0</formula>
    </cfRule>
  </conditionalFormatting>
  <conditionalFormatting sqref="AW6">
    <cfRule type="expression" dxfId="2681" priority="44">
      <formula>COUNTA(AP$14:AP$63)&gt;0</formula>
    </cfRule>
  </conditionalFormatting>
  <conditionalFormatting sqref="AW7">
    <cfRule type="expression" dxfId="2680" priority="43">
      <formula>COUNTA(AQ$14:AQ$63)&gt;0</formula>
    </cfRule>
  </conditionalFormatting>
  <conditionalFormatting sqref="AW8">
    <cfRule type="expression" dxfId="2679" priority="42">
      <formula>COUNTA(AR$14:AR$63)&gt;0</formula>
    </cfRule>
  </conditionalFormatting>
  <conditionalFormatting sqref="AW9">
    <cfRule type="expression" dxfId="2678" priority="41">
      <formula>COUNTA(AS$14:AS$63)&gt;0</formula>
    </cfRule>
  </conditionalFormatting>
  <conditionalFormatting sqref="AW10">
    <cfRule type="expression" dxfId="2677" priority="40">
      <formula>COUNTA(AT$14:AT$63)&gt;0</formula>
    </cfRule>
  </conditionalFormatting>
  <conditionalFormatting sqref="AW11">
    <cfRule type="expression" dxfId="2676" priority="39">
      <formula>COUNTA(AU$14:AU$63)&gt;0</formula>
    </cfRule>
  </conditionalFormatting>
  <conditionalFormatting sqref="F49:I49">
    <cfRule type="expression" dxfId="2675" priority="35">
      <formula>AND($B49&lt;&gt;"",$B64="")</formula>
    </cfRule>
    <cfRule type="expression" dxfId="2674" priority="36">
      <formula>$B49=""</formula>
    </cfRule>
  </conditionalFormatting>
  <conditionalFormatting sqref="F14:I50">
    <cfRule type="expression" dxfId="2673" priority="26">
      <formula>AND($B14&lt;&gt;"",$B15="")</formula>
    </cfRule>
    <cfRule type="expression" dxfId="2672" priority="27">
      <formula>$B14=""</formula>
    </cfRule>
  </conditionalFormatting>
  <conditionalFormatting sqref="F50:I50">
    <cfRule type="expression" dxfId="2671" priority="28">
      <formula>AND($B50&lt;&gt;"",$B63="")</formula>
    </cfRule>
    <cfRule type="expression" dxfId="2670" priority="29">
      <formula>$B50=""</formula>
    </cfRule>
  </conditionalFormatting>
  <conditionalFormatting sqref="F43:I44">
    <cfRule type="expression" dxfId="2669" priority="30">
      <formula>AND($B43&lt;&gt;"",$B62="")</formula>
    </cfRule>
    <cfRule type="expression" dxfId="2668" priority="31">
      <formula>$B43=""</formula>
    </cfRule>
  </conditionalFormatting>
  <conditionalFormatting sqref="F45:I50">
    <cfRule type="expression" dxfId="2667" priority="32">
      <formula>AND($B45&lt;&gt;"",#REF!="")</formula>
    </cfRule>
    <cfRule type="expression" dxfId="2666" priority="33">
      <formula>$B45=""</formula>
    </cfRule>
  </conditionalFormatting>
  <conditionalFormatting sqref="F14:I50">
    <cfRule type="expression" dxfId="2665" priority="34">
      <formula>COUNTIF($U14:$AB14,F14)&gt;1</formula>
    </cfRule>
  </conditionalFormatting>
  <conditionalFormatting sqref="F50:I50">
    <cfRule type="expression" dxfId="2664" priority="37">
      <formula>AND($B50&lt;&gt;"",#REF!="")</formula>
    </cfRule>
    <cfRule type="expression" dxfId="2663" priority="38">
      <formula>$B50=""</formula>
    </cfRule>
  </conditionalFormatting>
  <conditionalFormatting sqref="Q14:R50">
    <cfRule type="expression" dxfId="2662" priority="14">
      <formula>AND($B14&lt;&gt;"",$B15="")</formula>
    </cfRule>
    <cfRule type="expression" dxfId="2661" priority="15">
      <formula>$B14=""</formula>
    </cfRule>
  </conditionalFormatting>
  <conditionalFormatting sqref="Q50:R50">
    <cfRule type="expression" dxfId="2660" priority="16">
      <formula>AND($B50&lt;&gt;"",$B63="")</formula>
    </cfRule>
    <cfRule type="expression" dxfId="2659" priority="17">
      <formula>$B50=""</formula>
    </cfRule>
  </conditionalFormatting>
  <conditionalFormatting sqref="Q43:R44">
    <cfRule type="expression" dxfId="2658" priority="18">
      <formula>AND($B43&lt;&gt;"",$B62="")</formula>
    </cfRule>
    <cfRule type="expression" dxfId="2657" priority="19">
      <formula>$B43=""</formula>
    </cfRule>
  </conditionalFormatting>
  <conditionalFormatting sqref="Q49:R49">
    <cfRule type="expression" dxfId="2656" priority="20">
      <formula>AND($B49&lt;&gt;"",$B64="")</formula>
    </cfRule>
    <cfRule type="expression" dxfId="2655" priority="21">
      <formula>$B49=""</formula>
    </cfRule>
  </conditionalFormatting>
  <conditionalFormatting sqref="Q45:R50">
    <cfRule type="expression" dxfId="2654" priority="22">
      <formula>AND($B45&lt;&gt;"",#REF!="")</formula>
    </cfRule>
    <cfRule type="expression" dxfId="2653" priority="23">
      <formula>$B45=""</formula>
    </cfRule>
  </conditionalFormatting>
  <conditionalFormatting sqref="Q50:R50">
    <cfRule type="expression" dxfId="2652" priority="24">
      <formula>AND($B50&lt;&gt;"",#REF!="")</formula>
    </cfRule>
    <cfRule type="expression" dxfId="2651" priority="25">
      <formula>$B50=""</formula>
    </cfRule>
  </conditionalFormatting>
  <conditionalFormatting sqref="AL49:AO49">
    <cfRule type="expression" dxfId="2650" priority="10">
      <formula>AND($B49&lt;&gt;"",$B64="")</formula>
    </cfRule>
    <cfRule type="expression" dxfId="2649" priority="11">
      <formula>$B49=""</formula>
    </cfRule>
  </conditionalFormatting>
  <conditionalFormatting sqref="AL14:AO50">
    <cfRule type="expression" dxfId="2648" priority="1">
      <formula>AND($B14&lt;&gt;"",$B15="")</formula>
    </cfRule>
    <cfRule type="expression" dxfId="2647" priority="2">
      <formula>$B14=""</formula>
    </cfRule>
  </conditionalFormatting>
  <conditionalFormatting sqref="AL50:AO50">
    <cfRule type="expression" dxfId="2646" priority="3">
      <formula>AND($B50&lt;&gt;"",$B63="")</formula>
    </cfRule>
    <cfRule type="expression" dxfId="2645" priority="4">
      <formula>$B50=""</formula>
    </cfRule>
  </conditionalFormatting>
  <conditionalFormatting sqref="AL43:AO44">
    <cfRule type="expression" dxfId="2644" priority="5">
      <formula>AND($B43&lt;&gt;"",$B62="")</formula>
    </cfRule>
    <cfRule type="expression" dxfId="2643" priority="6">
      <formula>$B43=""</formula>
    </cfRule>
  </conditionalFormatting>
  <conditionalFormatting sqref="AL45:AO50">
    <cfRule type="expression" dxfId="2642" priority="7">
      <formula>AND($B45&lt;&gt;"",#REF!="")</formula>
    </cfRule>
    <cfRule type="expression" dxfId="2641" priority="8">
      <formula>$B45=""</formula>
    </cfRule>
  </conditionalFormatting>
  <conditionalFormatting sqref="AL14:AO50">
    <cfRule type="expression" dxfId="2640" priority="9">
      <formula>COUNTIF($AX14:$BE14,AL14)&gt;1</formula>
    </cfRule>
  </conditionalFormatting>
  <conditionalFormatting sqref="AL50:AO50">
    <cfRule type="expression" dxfId="2639" priority="12">
      <formula>AND($B50&lt;&gt;"",#REF!="")</formula>
    </cfRule>
    <cfRule type="expression" dxfId="2638" priority="13">
      <formula>$B50=""</formula>
    </cfRule>
  </conditionalFormatting>
  <dataValidations count="6">
    <dataValidation allowBlank="1" showInputMessage="1" showErrorMessage="1" prompt="Bobot Nilai" sqref="P13:R13 BH11 AE12:AF12"/>
    <dataValidation allowBlank="1" showInputMessage="1" showErrorMessage="1" promptTitle="Tulis Bobot Nilai" prompt="Berupa Nilai Praktik, Portofolio atau Proyek._x000a_Bobot Praktik disarankan lebih tinggi" sqref="AL13:AU13 AX13:BG13"/>
    <dataValidation allowBlank="1" showInputMessage="1" showErrorMessage="1" prompt="Rata-rata Harian" sqref="P12 AV12"/>
    <dataValidation type="whole" allowBlank="1" showInputMessage="1" showErrorMessage="1" errorTitle="Petunjuk" error="Nilai 0-100" sqref="F14:O63 Q14:R63 AL14:AU63">
      <formula1>0</formula1>
      <formula2>100</formula2>
    </dataValidation>
    <dataValidation allowBlank="1" showInputMessage="1" showErrorMessage="1" prompt="KKM" sqref="H69:H70"/>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00FF"/>
  </sheetPr>
  <dimension ref="A1:DG103"/>
  <sheetViews>
    <sheetView showGridLines="0" showRowColHeaders="0" workbookViewId="0">
      <pane xSplit="5" ySplit="13" topLeftCell="F26" activePane="bottomRight" state="frozen"/>
      <selection activeCell="AW5" sqref="AW5:BN7"/>
      <selection pane="topRight" activeCell="AW5" sqref="AW5:BN7"/>
      <selection pane="bottomLeft" activeCell="AW5" sqref="AW5:BN7"/>
      <selection pane="bottomRight" activeCell="AL14" sqref="AL14:AO50"/>
    </sheetView>
  </sheetViews>
  <sheetFormatPr defaultColWidth="0" defaultRowHeight="12"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t="str">
        <f>Data2!C18</f>
        <v>Sejarah Peminatan</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484" t="s">
        <v>1668</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484" t="s">
        <v>1672</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484" t="s">
        <v>1669</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485" t="s">
        <v>1673</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484" t="s">
        <v>1670</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484" t="s">
        <v>1674</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484" t="s">
        <v>1671</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484" t="s">
        <v>1675</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1096</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1224</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1097</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1225</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1098</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1226</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1099</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1227</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1100</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1228</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1101</v>
      </c>
      <c r="AL11" s="1800"/>
      <c r="AM11" s="1803"/>
      <c r="AN11" s="1803"/>
      <c r="AO11" s="1803"/>
      <c r="AP11" s="1803"/>
      <c r="AQ11" s="1803"/>
      <c r="AR11" s="1803"/>
      <c r="AS11" s="1803"/>
      <c r="AT11" s="1803"/>
      <c r="AU11" s="1804"/>
      <c r="AV11" s="1196">
        <v>10</v>
      </c>
      <c r="AW11" s="1197" t="s">
        <v>929</v>
      </c>
      <c r="AX11" s="1198">
        <f t="shared" ref="AX11:BG11" si="1">IF(COUNT(AX14:AX63)&gt;0,AX13,"")</f>
        <v>1</v>
      </c>
      <c r="AY11" s="1198">
        <f t="shared" si="1"/>
        <v>1</v>
      </c>
      <c r="AZ11" s="1198">
        <f t="shared" si="1"/>
        <v>1</v>
      </c>
      <c r="BA11" s="1198">
        <f t="shared" si="1"/>
        <v>1</v>
      </c>
      <c r="BB11" s="1198" t="str">
        <f t="shared" si="1"/>
        <v/>
      </c>
      <c r="BC11" s="1198" t="str">
        <f t="shared" si="1"/>
        <v/>
      </c>
      <c r="BD11" s="1198" t="str">
        <f t="shared" si="1"/>
        <v/>
      </c>
      <c r="BE11" s="1198" t="str">
        <f t="shared" si="1"/>
        <v/>
      </c>
      <c r="BF11" s="1198" t="str">
        <f t="shared" si="1"/>
        <v/>
      </c>
      <c r="BG11" s="1198" t="str">
        <f t="shared" si="1"/>
        <v/>
      </c>
      <c r="BH11" s="1198">
        <f>SUM(AX11:BG11)</f>
        <v>4</v>
      </c>
      <c r="BI11" s="1199"/>
      <c r="BJ11" s="1199"/>
      <c r="BK11" s="1199"/>
      <c r="BL11" s="1199"/>
      <c r="BM11" s="1199"/>
      <c r="BN11" s="1186" t="s">
        <v>1229</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f t="shared" ref="U12:AD12" si="2">IF(COUNT(U14:U63)&gt;0,1,"")</f>
        <v>1</v>
      </c>
      <c r="V12" s="1201">
        <f t="shared" si="2"/>
        <v>1</v>
      </c>
      <c r="W12" s="1201">
        <f t="shared" si="2"/>
        <v>1</v>
      </c>
      <c r="X12" s="1201">
        <f t="shared" si="2"/>
        <v>1</v>
      </c>
      <c r="Y12" s="1201" t="str">
        <f t="shared" si="2"/>
        <v/>
      </c>
      <c r="Z12" s="1201" t="str">
        <f t="shared" si="2"/>
        <v/>
      </c>
      <c r="AA12" s="1201" t="str">
        <f t="shared" si="2"/>
        <v/>
      </c>
      <c r="AB12" s="1201" t="str">
        <f t="shared" si="2"/>
        <v/>
      </c>
      <c r="AC12" s="1201" t="str">
        <f t="shared" si="2"/>
        <v/>
      </c>
      <c r="AD12" s="1201" t="str">
        <f t="shared" si="2"/>
        <v/>
      </c>
      <c r="AE12" s="1202">
        <f>SUM(U12:AD12)</f>
        <v>4</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v>90</v>
      </c>
      <c r="G14" s="276">
        <v>88</v>
      </c>
      <c r="H14" s="276">
        <v>88</v>
      </c>
      <c r="I14" s="276">
        <v>88</v>
      </c>
      <c r="J14" s="277"/>
      <c r="K14" s="277"/>
      <c r="L14" s="277"/>
      <c r="M14" s="280"/>
      <c r="N14" s="277"/>
      <c r="O14" s="278"/>
      <c r="P14" s="279">
        <f t="shared" ref="P14" si="4">IF(COUNT(U14:AD14)&lt;2,"",ROUND(SUM(U14:AD14)/$AE$12,0))</f>
        <v>89</v>
      </c>
      <c r="Q14" s="1480">
        <v>88</v>
      </c>
      <c r="R14" s="1481">
        <v>76</v>
      </c>
      <c r="S14" s="281">
        <f t="shared" ref="S14" si="5">IFERROR(ROUND(((P14*$P$13)+(Q14*$Q$13)+(R14*$R$13))/$AF$12,0),"")</f>
        <v>86</v>
      </c>
      <c r="T14" s="295" t="str">
        <f t="shared" ref="T14" si="6">IF(S14="","",IF(S14&gt;$H$76,$Q$75,IF(S14&gt;$H$77,$Q$76,IF(S14&gt;$H$78,$Q$77,$Q$78))))</f>
        <v>B</v>
      </c>
      <c r="U14" s="1215">
        <f t="shared" ref="U14:AD29" si="7">IF(F14="","",F14+U$13)</f>
        <v>90.01</v>
      </c>
      <c r="V14" s="1216">
        <f t="shared" si="7"/>
        <v>88.02</v>
      </c>
      <c r="W14" s="1216">
        <f t="shared" si="7"/>
        <v>88.03</v>
      </c>
      <c r="X14" s="1216">
        <f t="shared" si="7"/>
        <v>88.04</v>
      </c>
      <c r="Y14" s="1216" t="str">
        <f t="shared" si="7"/>
        <v/>
      </c>
      <c r="Z14" s="1216" t="str">
        <f t="shared" si="7"/>
        <v/>
      </c>
      <c r="AA14" s="1216" t="str">
        <f t="shared" si="7"/>
        <v/>
      </c>
      <c r="AB14" s="1217" t="str">
        <f t="shared" si="7"/>
        <v/>
      </c>
      <c r="AC14" s="1216" t="str">
        <f t="shared" si="7"/>
        <v/>
      </c>
      <c r="AD14" s="1218" t="str">
        <f t="shared" si="7"/>
        <v/>
      </c>
      <c r="AE14" s="1219">
        <f t="shared" ref="AE14" si="8">MAX(U14:AD14)</f>
        <v>90.01</v>
      </c>
      <c r="AF14" s="282">
        <f t="shared" ref="AF14" si="9">MIN(U14:AD14)</f>
        <v>88.02</v>
      </c>
      <c r="AG14" s="282" t="str">
        <f t="shared" ref="AG14:AH29" si="10">IF(AE14&gt;$H$76,$I$75,IF(AE14&gt;$H$77,$I$76,IF(AE14&gt;$H$78,$I$77,$I$78)))</f>
        <v>baik</v>
      </c>
      <c r="AH14" s="282" t="str">
        <f t="shared" si="10"/>
        <v>baik</v>
      </c>
      <c r="AI14" s="282">
        <f t="shared" ref="AI14" si="11">IFERROR(MATCH(AE14,U14:AD14,0),"")</f>
        <v>1</v>
      </c>
      <c r="AJ14" s="283">
        <f t="shared" ref="AJ14" si="12">IFERROR(MATCH(AF14,U14:AD14,0),"")</f>
        <v>2</v>
      </c>
      <c r="AK14" s="284" t="str">
        <f t="shared" ref="AK14" si="13">IF(S14="","",IFERROR("Memiliki kemampuan "&amp;IF(AG14=AH14,AG14&amp;" dalam "&amp;VLOOKUP(AI14,$S$2:$AK$11,19)&amp;" dan "&amp;VLOOKUP(AJ14,$S$2:$AK$11,19),AG14&amp;" dalam "&amp;VLOOKUP(AI14,$S$2:$AK$11,19)&amp;", "&amp;AH14&amp;" kemampuan dalam "&amp;VLOOKUP(AJ14,$S$2:$AK$11,19)),""))</f>
        <v>Memiliki kemampuan baik dalam Menganalisis berbagai bentuk/jenis sumber Sejarah dan Menganalisis langkah-langkah penelitian Sejarah terhadap berbagai peristiwa Sejarah</v>
      </c>
      <c r="AL14" s="2">
        <v>90</v>
      </c>
      <c r="AM14" s="277">
        <v>80</v>
      </c>
      <c r="AN14" s="277">
        <v>80</v>
      </c>
      <c r="AO14" s="277">
        <v>90</v>
      </c>
      <c r="AP14" s="277"/>
      <c r="AQ14" s="277"/>
      <c r="AR14" s="277"/>
      <c r="AS14" s="280"/>
      <c r="AT14" s="277"/>
      <c r="AU14" s="278"/>
      <c r="AV14" s="285">
        <f t="shared" ref="AV14" si="14">IF(COUNT(AL14:AU14)&lt;2,"",ROUND(((AL14*$AX$13)+(AM14*$AY$13)+(AN14*$AZ$13)+(AO14*$BA$13)+(AP14*$BB$13)+(AQ14*$BC$13)+(AR14*$BD$13)+(AS14*$BE$13)+(AT14*$BF$13)+(AU14*$BG$13))/$BH$11,0))</f>
        <v>85</v>
      </c>
      <c r="AW14" s="296" t="str">
        <f t="shared" ref="AW14" si="15">IF(AV14="","",IF(AV14&gt;$AN$76,$AV$75,IF(AV14&gt;$AN$77,$AV$76,IF(AV14&gt;$AN$78,$AV$77,$AV$78))))</f>
        <v>B</v>
      </c>
      <c r="AX14" s="1220">
        <f t="shared" ref="AX14:BG29" si="16">IF(AL14="","",AL14+AX$12)</f>
        <v>90.01</v>
      </c>
      <c r="AY14" s="1221">
        <f t="shared" si="16"/>
        <v>80.02</v>
      </c>
      <c r="AZ14" s="1221">
        <f t="shared" si="16"/>
        <v>80.03</v>
      </c>
      <c r="BA14" s="1221">
        <f t="shared" si="16"/>
        <v>90.04</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90.04</v>
      </c>
      <c r="BI14" s="286">
        <f t="shared" ref="BI14" si="18">MIN(AX14:BG14)</f>
        <v>80.02</v>
      </c>
      <c r="BJ14" s="287" t="str">
        <f t="shared" ref="BJ14:BK14" si="19">IF(BH14&gt;$H$76,$AO$75,IF(BH14&gt;$H$77,$AO$76,IF(BH14&gt;$H$78,$AO$77,$AO$78)))</f>
        <v>baik</v>
      </c>
      <c r="BK14" s="287" t="str">
        <f t="shared" si="19"/>
        <v>cukup</v>
      </c>
      <c r="BL14" s="286">
        <f t="shared" ref="BL14" si="20">MATCH(BH14,AX14:BG14,0)</f>
        <v>4</v>
      </c>
      <c r="BM14" s="288">
        <f t="shared" ref="BM14" si="21">MATCH(BI14,AX14:BG14,0)</f>
        <v>2</v>
      </c>
      <c r="BN14" s="289" t="str">
        <f t="shared" ref="BN14" si="22">IF(AV14="","",IFERROR("Memiliki keterampilan "&amp;IF(BJ14=BK14,BJ14&amp;" dalam "&amp;VLOOKUP(BL14,$AV$2:$BN$11,19)&amp;" dan "&amp;VLOOKUP(BM14,$AV$2:$BN$11,19),BJ14&amp;" dalam "&amp;VLOOKUP(BL14,$AV$2:$BN$11,19)&amp;", "&amp;BK14&amp;" keterampilan dalam "&amp;VLOOKUP(BM14,$AV$2:$BN$11,19)),""))</f>
        <v xml:space="preserve">Memiliki keterampilan baik dalam Menyajikan hasil analisis mengenai keterkaitan antara Manusia Purba Indonesia dan Dunia dengan manusia modern secara fisik dan budaya, dalam berbagai bentuk presentasi., cukup keterampilan dalam Melakukan  penelitian sejarah secara sederhana dan menyajikanya dalam bentuk laporan penelitian.
</v>
      </c>
      <c r="BO14" s="67"/>
    </row>
    <row r="15" spans="1:67" ht="33" customHeight="1">
      <c r="A15" s="67"/>
      <c r="B15" s="272">
        <f>IF(D15="","",B14+1)</f>
        <v>2</v>
      </c>
      <c r="C15" s="273">
        <f>IF(Data!F6="","",Data!F6)</f>
        <v>0</v>
      </c>
      <c r="D15" s="274" t="str">
        <f>IF(Data!H6="","",Data!H6)</f>
        <v>Aprianus Bira</v>
      </c>
      <c r="E15" s="275" t="str">
        <f>IF(Data!I6="","",Data!I6)</f>
        <v>L</v>
      </c>
      <c r="F15" s="276">
        <v>90</v>
      </c>
      <c r="G15" s="276">
        <v>88</v>
      </c>
      <c r="H15" s="276">
        <v>88</v>
      </c>
      <c r="I15" s="276">
        <v>88</v>
      </c>
      <c r="J15" s="277"/>
      <c r="K15" s="277"/>
      <c r="L15" s="277"/>
      <c r="M15" s="280"/>
      <c r="N15" s="277"/>
      <c r="O15" s="278"/>
      <c r="P15" s="279">
        <f>IF(COUNT(U15:AD15)&lt;2,"",ROUND(SUM(U15:AD15)/$AE$12,0))</f>
        <v>89</v>
      </c>
      <c r="Q15" s="1488">
        <v>88</v>
      </c>
      <c r="R15" s="1488">
        <v>76</v>
      </c>
      <c r="S15" s="281">
        <f>IFERROR(ROUND(((P15*$P$13)+(Q15*$Q$13)+(R15*$R$13))/$AF$12,0),"")</f>
        <v>86</v>
      </c>
      <c r="T15" s="295" t="str">
        <f>IF(S15="","",IF(S15&gt;$H$76,$Q$75,IF(S15&gt;$H$77,$Q$76,IF(S15&gt;$H$78,$Q$77,$Q$78))))</f>
        <v>B</v>
      </c>
      <c r="U15" s="1215">
        <f t="shared" si="7"/>
        <v>90.01</v>
      </c>
      <c r="V15" s="1216">
        <f t="shared" si="7"/>
        <v>88.02</v>
      </c>
      <c r="W15" s="1216">
        <f t="shared" si="7"/>
        <v>88.03</v>
      </c>
      <c r="X15" s="1216">
        <f t="shared" si="7"/>
        <v>88.04</v>
      </c>
      <c r="Y15" s="1216" t="str">
        <f t="shared" si="7"/>
        <v/>
      </c>
      <c r="Z15" s="1216" t="str">
        <f t="shared" si="7"/>
        <v/>
      </c>
      <c r="AA15" s="1216" t="str">
        <f t="shared" si="7"/>
        <v/>
      </c>
      <c r="AB15" s="1217" t="str">
        <f t="shared" si="7"/>
        <v/>
      </c>
      <c r="AC15" s="1216" t="str">
        <f t="shared" si="7"/>
        <v/>
      </c>
      <c r="AD15" s="1218" t="str">
        <f t="shared" si="7"/>
        <v/>
      </c>
      <c r="AE15" s="1219">
        <f>MAX(U15:AD15)</f>
        <v>90.01</v>
      </c>
      <c r="AF15" s="282">
        <f>MIN(U15:AD15)</f>
        <v>88.02</v>
      </c>
      <c r="AG15" s="282" t="str">
        <f>IF(AE15&gt;$H$76,$I$75,IF(AE15&gt;$H$77,$I$76,IF(AE15&gt;$H$78,$I$77,$I$78)))</f>
        <v>baik</v>
      </c>
      <c r="AH15" s="282" t="str">
        <f t="shared" si="10"/>
        <v>baik</v>
      </c>
      <c r="AI15" s="282">
        <f>IFERROR(MATCH(AE15,U15:AD15,0),"")</f>
        <v>1</v>
      </c>
      <c r="AJ15" s="283">
        <f>IFERROR(MATCH(AF15,U15:AD15,0),"")</f>
        <v>2</v>
      </c>
      <c r="AK15" s="284" t="str">
        <f>IF(S15="","",IFERROR("Memiliki kemampuan "&amp;IF(AG15=AH15,AG15&amp;" dalam "&amp;VLOOKUP(AI15,$S$2:$AK$11,19)&amp;" dan "&amp;VLOOKUP(AJ15,$S$2:$AK$11,19),AG15&amp;" dalam "&amp;VLOOKUP(AI15,$S$2:$AK$11,19)&amp;", "&amp;AH15&amp;" kemampuan dalam "&amp;VLOOKUP(AJ15,$S$2:$AK$11,19)),""))</f>
        <v>Memiliki kemampuan baik dalam Menganalisis berbagai bentuk/jenis sumber Sejarah dan Menganalisis langkah-langkah penelitian Sejarah terhadap berbagai peristiwa Sejarah</v>
      </c>
      <c r="AL15" s="2">
        <v>90</v>
      </c>
      <c r="AM15" s="277">
        <v>80</v>
      </c>
      <c r="AN15" s="277">
        <v>90</v>
      </c>
      <c r="AO15" s="277">
        <v>80</v>
      </c>
      <c r="AP15" s="277"/>
      <c r="AQ15" s="277"/>
      <c r="AR15" s="277"/>
      <c r="AS15" s="280"/>
      <c r="AT15" s="277"/>
      <c r="AU15" s="278"/>
      <c r="AV15" s="285">
        <f>IF(COUNT(AL15:AU15)&lt;2,"",ROUND(((AL15*$AX$13)+(AM15*$AY$13)+(AN15*$AZ$13)+(AO15*$BA$13)+(AP15*$BB$13)+(AQ15*$BC$13)+(AR15*$BD$13)+(AS15*$BE$13)+(AT15*$BF$13)+(AU15*$BG$13))/$BH$11,0))</f>
        <v>85</v>
      </c>
      <c r="AW15" s="296" t="str">
        <f>IF(AV15="","",IF(AV15&gt;$AN$76,$AV$75,IF(AV15&gt;$AN$77,$AV$76,IF(AV15&gt;$AN$78,$AV$77,$AV$78))))</f>
        <v>B</v>
      </c>
      <c r="AX15" s="1220">
        <f t="shared" si="16"/>
        <v>90.01</v>
      </c>
      <c r="AY15" s="1221">
        <f t="shared" si="16"/>
        <v>80.02</v>
      </c>
      <c r="AZ15" s="1221">
        <f>IF(AN15="","",AN15+AZ$12)</f>
        <v>90.03</v>
      </c>
      <c r="BA15" s="1221">
        <f t="shared" si="16"/>
        <v>80.040000000000006</v>
      </c>
      <c r="BB15" s="1221" t="str">
        <f t="shared" si="16"/>
        <v/>
      </c>
      <c r="BC15" s="1221" t="str">
        <f t="shared" si="16"/>
        <v/>
      </c>
      <c r="BD15" s="1221" t="str">
        <f t="shared" si="16"/>
        <v/>
      </c>
      <c r="BE15" s="1222" t="str">
        <f t="shared" si="16"/>
        <v/>
      </c>
      <c r="BF15" s="1221" t="str">
        <f t="shared" si="16"/>
        <v/>
      </c>
      <c r="BG15" s="1223" t="str">
        <f t="shared" si="16"/>
        <v/>
      </c>
      <c r="BH15" s="286">
        <f>MAX(AX15:BG15)</f>
        <v>90.03</v>
      </c>
      <c r="BI15" s="286">
        <f>MIN(AX15:BG15)</f>
        <v>80.02</v>
      </c>
      <c r="BJ15" s="287" t="str">
        <f>IF(BH15&gt;$H$76,$AO$75,IF(BH15&gt;$H$77,$AO$76,IF(BH15&gt;$H$78,$AO$77,$AO$78)))</f>
        <v>baik</v>
      </c>
      <c r="BK15" s="287" t="str">
        <f>IF(BI15&gt;$H$76,$AO$75,IF(BI15&gt;$H$77,$AO$76,IF(BI15&gt;$H$78,$AO$77,$AO$78)))</f>
        <v>cukup</v>
      </c>
      <c r="BL15" s="286">
        <f>MATCH(BH15,AX15:BG15,0)</f>
        <v>3</v>
      </c>
      <c r="BM15" s="288">
        <f>MATCH(BI15,AX15:BG15,0)</f>
        <v>2</v>
      </c>
      <c r="BN15" s="289" t="str">
        <f>IF(AV15="","",IFERROR("Memiliki keterampilan "&amp;IF(BJ15=BK15,BJ15&amp;" dalam "&amp;VLOOKUP(BL15,$AV$2:$BN$11,19)&amp;" dan "&amp;VLOOKUP(BM15,$AV$2:$BN$11,19),BJ15&amp;" dalam "&amp;VLOOKUP(BL15,$AV$2:$BN$11,19)&amp;", "&amp;BK15&amp;" keterampilan dalam "&amp;VLOOKUP(BM15,$AV$2:$BN$11,19)),""))</f>
        <v xml:space="preserve">Memiliki keterampilan baik dalam Menyajikan hasil mengklasifikasi ciri-ciri historiografi tradisional, kolonial dan modern dari sumber yag ditentukan guru, dalam berbagai bentuk presentasi., cukup keterampilan dalam Melakukan  penelitian sejarah secara sederhana dan menyajikanya dalam bentuk laporan penelitian.
</v>
      </c>
      <c r="BO15" s="67"/>
    </row>
    <row r="16" spans="1:67" ht="33" customHeight="1">
      <c r="A16" s="67"/>
      <c r="B16" s="272">
        <f t="shared" ref="B16:B63" si="23">IF(D16="","",B15+1)</f>
        <v>3</v>
      </c>
      <c r="C16" s="273">
        <f>IF(Data!F7="","",Data!F7)</f>
        <v>0</v>
      </c>
      <c r="D16" s="274" t="str">
        <f>IF(Data!H7="","",Data!H7)</f>
        <v>Asri Aldina Baksuni</v>
      </c>
      <c r="E16" s="275" t="str">
        <f>IF(Data!I7="","",Data!I7)</f>
        <v>P</v>
      </c>
      <c r="F16" s="276">
        <v>100</v>
      </c>
      <c r="G16" s="276">
        <v>88</v>
      </c>
      <c r="H16" s="276">
        <v>90</v>
      </c>
      <c r="I16" s="276">
        <v>88</v>
      </c>
      <c r="J16" s="277"/>
      <c r="K16" s="277"/>
      <c r="L16" s="277"/>
      <c r="M16" s="280"/>
      <c r="N16" s="277"/>
      <c r="O16" s="278"/>
      <c r="P16" s="279">
        <f t="shared" ref="P16:P63" si="24">IF(COUNT(U16:AD16)&lt;2,"",ROUND(SUM(U16:AD16)/$AE$12,0))</f>
        <v>92</v>
      </c>
      <c r="Q16" s="1488">
        <v>88</v>
      </c>
      <c r="R16" s="1488">
        <v>76</v>
      </c>
      <c r="S16" s="281">
        <f t="shared" ref="S16:S63" si="25">IFERROR(ROUND(((P16*$P$13)+(Q16*$Q$13)+(R16*$R$13))/$AF$12,0),"")</f>
        <v>87</v>
      </c>
      <c r="T16" s="295" t="str">
        <f t="shared" ref="T16:T63" si="26">IF(S16="","",IF(S16&gt;$H$76,$Q$75,IF(S16&gt;$H$77,$Q$76,IF(S16&gt;$H$78,$Q$77,$Q$78))))</f>
        <v>B</v>
      </c>
      <c r="U16" s="1215">
        <f t="shared" si="7"/>
        <v>100.01</v>
      </c>
      <c r="V16" s="1216">
        <f t="shared" si="7"/>
        <v>88.02</v>
      </c>
      <c r="W16" s="1216">
        <f t="shared" si="7"/>
        <v>90.03</v>
      </c>
      <c r="X16" s="1216">
        <f t="shared" si="7"/>
        <v>88.04</v>
      </c>
      <c r="Y16" s="1216" t="str">
        <f t="shared" si="7"/>
        <v/>
      </c>
      <c r="Z16" s="1216" t="str">
        <f t="shared" si="7"/>
        <v/>
      </c>
      <c r="AA16" s="1216" t="str">
        <f t="shared" si="7"/>
        <v/>
      </c>
      <c r="AB16" s="1217" t="str">
        <f t="shared" si="7"/>
        <v/>
      </c>
      <c r="AC16" s="1216" t="str">
        <f t="shared" si="7"/>
        <v/>
      </c>
      <c r="AD16" s="1218" t="str">
        <f t="shared" si="7"/>
        <v/>
      </c>
      <c r="AE16" s="1219">
        <f t="shared" ref="AE16:AE63" si="27">MAX(U16:AD16)</f>
        <v>100.01</v>
      </c>
      <c r="AF16" s="282">
        <f t="shared" ref="AF16:AF63" si="28">MIN(U16:AD16)</f>
        <v>88.02</v>
      </c>
      <c r="AG16" s="282" t="str">
        <f t="shared" ref="AG16:AH63" si="29">IF(AE16&gt;$H$76,$I$75,IF(AE16&gt;$H$77,$I$76,IF(AE16&gt;$H$78,$I$77,$I$78)))</f>
        <v>sangat baik</v>
      </c>
      <c r="AH16" s="282" t="str">
        <f t="shared" si="10"/>
        <v>baik</v>
      </c>
      <c r="AI16" s="282">
        <f t="shared" ref="AI16:AI63" si="30">IFERROR(MATCH(AE16,U16:AD16,0),"")</f>
        <v>1</v>
      </c>
      <c r="AJ16" s="283">
        <f t="shared" ref="AJ16:AJ63" si="31">IFERROR(MATCH(AF16,U16:AD16,0),"")</f>
        <v>2</v>
      </c>
      <c r="AK16" s="284" t="str">
        <f t="shared" ref="AK16:AK63" si="32">IF(S16="","",IFERROR("Memiliki kemampuan "&amp;IF(AG16=AH16,AG16&amp;" dalam "&amp;VLOOKUP(AI16,$S$2:$AK$11,19)&amp;" dan "&amp;VLOOKUP(AJ16,$S$2:$AK$11,19),AG16&amp;" dalam "&amp;VLOOKUP(AI16,$S$2:$AK$11,19)&amp;", "&amp;AH16&amp;" kemampuan dalam "&amp;VLOOKUP(AJ16,$S$2:$AK$11,19)),""))</f>
        <v>Memiliki kemampuan sangat baik dalam Menganalisis berbagai bentuk/jenis sumber Sejarah, baik kemampuan dalam Menganalisis langkah-langkah penelitian Sejarah terhadap berbagai peristiwa Sejarah</v>
      </c>
      <c r="AL16" s="2">
        <v>90</v>
      </c>
      <c r="AM16" s="277">
        <v>90</v>
      </c>
      <c r="AN16" s="277">
        <v>80</v>
      </c>
      <c r="AO16" s="277">
        <v>80</v>
      </c>
      <c r="AP16" s="277"/>
      <c r="AQ16" s="277"/>
      <c r="AR16" s="277"/>
      <c r="AS16" s="280"/>
      <c r="AT16" s="277"/>
      <c r="AU16" s="278"/>
      <c r="AV16" s="285">
        <f t="shared" ref="AV16:AV63" si="33">IF(COUNT(AL16:AU16)&lt;2,"",ROUND(((AL16*$AX$13)+(AM16*$AY$13)+(AN16*$AZ$13)+(AO16*$BA$13)+(AP16*$BB$13)+(AQ16*$BC$13)+(AR16*$BD$13)+(AS16*$BE$13)+(AT16*$BF$13)+(AU16*$BG$13))/$BH$11,0))</f>
        <v>85</v>
      </c>
      <c r="AW16" s="296" t="str">
        <f t="shared" ref="AW16:AW63" si="34">IF(AV16="","",IF(AV16&gt;$AN$76,$AV$75,IF(AV16&gt;$AN$77,$AV$76,IF(AV16&gt;$AN$78,$AV$77,$AV$78))))</f>
        <v>B</v>
      </c>
      <c r="AX16" s="1220">
        <f t="shared" si="16"/>
        <v>90.01</v>
      </c>
      <c r="AY16" s="1221">
        <f t="shared" si="16"/>
        <v>90.02</v>
      </c>
      <c r="AZ16" s="1221">
        <f t="shared" si="16"/>
        <v>80.03</v>
      </c>
      <c r="BA16" s="1221">
        <f t="shared" si="16"/>
        <v>80.040000000000006</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90.02</v>
      </c>
      <c r="BI16" s="286">
        <f t="shared" ref="BI16:BI63" si="36">MIN(AX16:BG16)</f>
        <v>80.03</v>
      </c>
      <c r="BJ16" s="287" t="str">
        <f t="shared" ref="BJ16:BK63" si="37">IF(BH16&gt;$H$76,$AO$75,IF(BH16&gt;$H$77,$AO$76,IF(BH16&gt;$H$78,$AO$77,$AO$78)))</f>
        <v>baik</v>
      </c>
      <c r="BK16" s="287" t="str">
        <f t="shared" si="37"/>
        <v>cukup</v>
      </c>
      <c r="BL16" s="286">
        <f t="shared" ref="BL16:BL63" si="38">MATCH(BH16,AX16:BG16,0)</f>
        <v>2</v>
      </c>
      <c r="BM16" s="288">
        <f t="shared" ref="BM16:BM63" si="39">MATCH(BI16,AX16:BG16,0)</f>
        <v>3</v>
      </c>
      <c r="BN16" s="289" t="str">
        <f t="shared" ref="BN16:BN63" si="40">IF(AV16="","",IFERROR("Memiliki keterampilan "&amp;IF(BJ16=BK16,BJ16&amp;" dalam "&amp;VLOOKUP(BL16,$AV$2:$BN$11,19)&amp;" dan "&amp;VLOOKUP(BM16,$AV$2:$BN$11,19),BJ16&amp;" dalam "&amp;VLOOKUP(BL16,$AV$2:$BN$11,19)&amp;", "&amp;BK16&amp;" keterampilan dalam "&amp;VLOOKUP(BM16,$AV$2:$BN$11,19)),""))</f>
        <v>Memiliki keterampilan baik dalam Melakukan  penelitian sejarah secara sederhana dan menyajikanya dalam bentuk laporan penelitian.
, cukup keterampilan dalam Menyajikan hasil mengklasifikasi ciri-ciri historiografi tradisional, kolonial dan modern dari sumber yag ditentukan guru, dalam berbagai bentuk presentasi.</v>
      </c>
      <c r="BO16" s="67"/>
    </row>
    <row r="17" spans="1:67" ht="33" customHeight="1">
      <c r="A17" s="67"/>
      <c r="B17" s="272">
        <f t="shared" si="23"/>
        <v>4</v>
      </c>
      <c r="C17" s="273">
        <f>IF(Data!F8="","",Data!F8)</f>
        <v>0</v>
      </c>
      <c r="D17" s="274" t="str">
        <f>IF(Data!H8="","",Data!H8)</f>
        <v>Asti Welmince Welkis</v>
      </c>
      <c r="E17" s="275" t="str">
        <f>IF(Data!I8="","",Data!I8)</f>
        <v>P</v>
      </c>
      <c r="F17" s="276">
        <v>90</v>
      </c>
      <c r="G17" s="276">
        <v>88</v>
      </c>
      <c r="H17" s="276">
        <v>88</v>
      </c>
      <c r="I17" s="276">
        <v>88</v>
      </c>
      <c r="J17" s="277"/>
      <c r="K17" s="277"/>
      <c r="L17" s="277"/>
      <c r="M17" s="280"/>
      <c r="N17" s="277"/>
      <c r="O17" s="278"/>
      <c r="P17" s="279">
        <f t="shared" si="24"/>
        <v>89</v>
      </c>
      <c r="Q17" s="1488">
        <v>88</v>
      </c>
      <c r="R17" s="1488">
        <v>76</v>
      </c>
      <c r="S17" s="281">
        <f t="shared" si="25"/>
        <v>86</v>
      </c>
      <c r="T17" s="295" t="str">
        <f t="shared" si="26"/>
        <v>B</v>
      </c>
      <c r="U17" s="1215">
        <f t="shared" si="7"/>
        <v>90.01</v>
      </c>
      <c r="V17" s="1216">
        <f t="shared" si="7"/>
        <v>88.02</v>
      </c>
      <c r="W17" s="1216">
        <f t="shared" si="7"/>
        <v>88.03</v>
      </c>
      <c r="X17" s="1216">
        <f t="shared" si="7"/>
        <v>88.04</v>
      </c>
      <c r="Y17" s="1216" t="str">
        <f t="shared" si="7"/>
        <v/>
      </c>
      <c r="Z17" s="1216" t="str">
        <f t="shared" si="7"/>
        <v/>
      </c>
      <c r="AA17" s="1216" t="str">
        <f t="shared" si="7"/>
        <v/>
      </c>
      <c r="AB17" s="1217" t="str">
        <f t="shared" si="7"/>
        <v/>
      </c>
      <c r="AC17" s="1216" t="str">
        <f t="shared" si="7"/>
        <v/>
      </c>
      <c r="AD17" s="1218" t="str">
        <f t="shared" si="7"/>
        <v/>
      </c>
      <c r="AE17" s="1219">
        <f t="shared" si="27"/>
        <v>90.01</v>
      </c>
      <c r="AF17" s="282">
        <f t="shared" si="28"/>
        <v>88.02</v>
      </c>
      <c r="AG17" s="282" t="str">
        <f t="shared" si="29"/>
        <v>baik</v>
      </c>
      <c r="AH17" s="282" t="str">
        <f t="shared" si="10"/>
        <v>baik</v>
      </c>
      <c r="AI17" s="282">
        <f t="shared" si="30"/>
        <v>1</v>
      </c>
      <c r="AJ17" s="283">
        <f t="shared" si="31"/>
        <v>2</v>
      </c>
      <c r="AK17" s="284" t="str">
        <f t="shared" si="32"/>
        <v>Memiliki kemampuan baik dalam Menganalisis berbagai bentuk/jenis sumber Sejarah dan Menganalisis langkah-langkah penelitian Sejarah terhadap berbagai peristiwa Sejarah</v>
      </c>
      <c r="AL17" s="2">
        <v>90</v>
      </c>
      <c r="AM17" s="277">
        <v>80</v>
      </c>
      <c r="AN17" s="277">
        <v>80</v>
      </c>
      <c r="AO17" s="277">
        <v>80</v>
      </c>
      <c r="AP17" s="277"/>
      <c r="AQ17" s="277"/>
      <c r="AR17" s="277"/>
      <c r="AS17" s="280"/>
      <c r="AT17" s="277"/>
      <c r="AU17" s="278"/>
      <c r="AV17" s="285">
        <f t="shared" si="33"/>
        <v>83</v>
      </c>
      <c r="AW17" s="296" t="str">
        <f t="shared" si="34"/>
        <v>C</v>
      </c>
      <c r="AX17" s="1220">
        <f t="shared" si="16"/>
        <v>90.01</v>
      </c>
      <c r="AY17" s="1221">
        <f t="shared" si="16"/>
        <v>80.02</v>
      </c>
      <c r="AZ17" s="1221">
        <f t="shared" si="16"/>
        <v>80.03</v>
      </c>
      <c r="BA17" s="1221">
        <f t="shared" si="16"/>
        <v>80.040000000000006</v>
      </c>
      <c r="BB17" s="1221" t="str">
        <f t="shared" si="16"/>
        <v/>
      </c>
      <c r="BC17" s="1221" t="str">
        <f t="shared" si="16"/>
        <v/>
      </c>
      <c r="BD17" s="1221" t="str">
        <f t="shared" si="16"/>
        <v/>
      </c>
      <c r="BE17" s="1222" t="str">
        <f t="shared" si="16"/>
        <v/>
      </c>
      <c r="BF17" s="1221" t="str">
        <f t="shared" si="16"/>
        <v/>
      </c>
      <c r="BG17" s="1223" t="str">
        <f t="shared" si="16"/>
        <v/>
      </c>
      <c r="BH17" s="286">
        <f t="shared" si="35"/>
        <v>90.01</v>
      </c>
      <c r="BI17" s="286">
        <f t="shared" si="36"/>
        <v>80.02</v>
      </c>
      <c r="BJ17" s="287" t="str">
        <f t="shared" si="37"/>
        <v>baik</v>
      </c>
      <c r="BK17" s="287" t="str">
        <f t="shared" si="37"/>
        <v>cukup</v>
      </c>
      <c r="BL17" s="286">
        <f t="shared" si="38"/>
        <v>1</v>
      </c>
      <c r="BM17" s="288">
        <f t="shared" si="39"/>
        <v>2</v>
      </c>
      <c r="BN17" s="289" t="str">
        <f t="shared" si="40"/>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BO17" s="67"/>
    </row>
    <row r="18" spans="1:67" ht="33" customHeight="1">
      <c r="A18" s="67"/>
      <c r="B18" s="272">
        <f t="shared" si="23"/>
        <v>5</v>
      </c>
      <c r="C18" s="273">
        <f>IF(Data!F9="","",Data!F9)</f>
        <v>0</v>
      </c>
      <c r="D18" s="274" t="str">
        <f>IF(Data!H9="","",Data!H9)</f>
        <v>Aulya Noviyanti Mbura</v>
      </c>
      <c r="E18" s="275" t="str">
        <f>IF(Data!I9="","",Data!I9)</f>
        <v>P</v>
      </c>
      <c r="F18" s="276">
        <v>90</v>
      </c>
      <c r="G18" s="276">
        <v>90</v>
      </c>
      <c r="H18" s="276">
        <v>88</v>
      </c>
      <c r="I18" s="276">
        <v>88</v>
      </c>
      <c r="J18" s="277"/>
      <c r="K18" s="277"/>
      <c r="L18" s="277"/>
      <c r="M18" s="280"/>
      <c r="N18" s="277"/>
      <c r="O18" s="278"/>
      <c r="P18" s="279">
        <f t="shared" si="24"/>
        <v>89</v>
      </c>
      <c r="Q18" s="1488">
        <v>88</v>
      </c>
      <c r="R18" s="1488">
        <v>76</v>
      </c>
      <c r="S18" s="281">
        <f t="shared" si="25"/>
        <v>86</v>
      </c>
      <c r="T18" s="295" t="str">
        <f t="shared" si="26"/>
        <v>B</v>
      </c>
      <c r="U18" s="1215">
        <f t="shared" si="7"/>
        <v>90.01</v>
      </c>
      <c r="V18" s="1216">
        <f t="shared" si="7"/>
        <v>90.02</v>
      </c>
      <c r="W18" s="1216">
        <f t="shared" si="7"/>
        <v>88.03</v>
      </c>
      <c r="X18" s="1216">
        <f t="shared" si="7"/>
        <v>88.04</v>
      </c>
      <c r="Y18" s="1216" t="str">
        <f t="shared" si="7"/>
        <v/>
      </c>
      <c r="Z18" s="1216" t="str">
        <f t="shared" si="7"/>
        <v/>
      </c>
      <c r="AA18" s="1216" t="str">
        <f t="shared" si="7"/>
        <v/>
      </c>
      <c r="AB18" s="1217" t="str">
        <f t="shared" si="7"/>
        <v/>
      </c>
      <c r="AC18" s="1216" t="str">
        <f t="shared" si="7"/>
        <v/>
      </c>
      <c r="AD18" s="1218" t="str">
        <f t="shared" si="7"/>
        <v/>
      </c>
      <c r="AE18" s="1219">
        <f t="shared" si="27"/>
        <v>90.02</v>
      </c>
      <c r="AF18" s="282">
        <f t="shared" si="28"/>
        <v>88.03</v>
      </c>
      <c r="AG18" s="282" t="str">
        <f t="shared" si="29"/>
        <v>baik</v>
      </c>
      <c r="AH18" s="282" t="str">
        <f t="shared" si="10"/>
        <v>baik</v>
      </c>
      <c r="AI18" s="282">
        <f t="shared" si="30"/>
        <v>2</v>
      </c>
      <c r="AJ18" s="283">
        <f t="shared" si="31"/>
        <v>3</v>
      </c>
      <c r="AK18" s="284" t="str">
        <f t="shared" si="32"/>
        <v>Memiliki kemampuan baik dalam Menganalisis langkah-langkah penelitian Sejarah terhadap berbagai peristiwa Sejarah dan Menganalisis perbedaan ciri-ciri dari historiografi tradisional, kolonial dan modern</v>
      </c>
      <c r="AL18" s="2">
        <v>90</v>
      </c>
      <c r="AM18" s="277">
        <v>80</v>
      </c>
      <c r="AN18" s="277">
        <v>80</v>
      </c>
      <c r="AO18" s="277">
        <v>90</v>
      </c>
      <c r="AP18" s="277"/>
      <c r="AQ18" s="277"/>
      <c r="AR18" s="277"/>
      <c r="AS18" s="280"/>
      <c r="AT18" s="277"/>
      <c r="AU18" s="278"/>
      <c r="AV18" s="285">
        <f t="shared" si="33"/>
        <v>85</v>
      </c>
      <c r="AW18" s="296" t="str">
        <f t="shared" si="34"/>
        <v>B</v>
      </c>
      <c r="AX18" s="1220">
        <f t="shared" si="16"/>
        <v>90.01</v>
      </c>
      <c r="AY18" s="1221">
        <f t="shared" si="16"/>
        <v>80.02</v>
      </c>
      <c r="AZ18" s="1221">
        <f t="shared" si="16"/>
        <v>80.03</v>
      </c>
      <c r="BA18" s="1221">
        <f t="shared" si="16"/>
        <v>90.04</v>
      </c>
      <c r="BB18" s="1221" t="str">
        <f t="shared" si="16"/>
        <v/>
      </c>
      <c r="BC18" s="1221" t="str">
        <f t="shared" si="16"/>
        <v/>
      </c>
      <c r="BD18" s="1221" t="str">
        <f t="shared" si="16"/>
        <v/>
      </c>
      <c r="BE18" s="1222" t="str">
        <f t="shared" si="16"/>
        <v/>
      </c>
      <c r="BF18" s="1221" t="str">
        <f t="shared" si="16"/>
        <v/>
      </c>
      <c r="BG18" s="1223" t="str">
        <f t="shared" si="16"/>
        <v/>
      </c>
      <c r="BH18" s="286">
        <f t="shared" si="35"/>
        <v>90.04</v>
      </c>
      <c r="BI18" s="286">
        <f t="shared" si="36"/>
        <v>80.02</v>
      </c>
      <c r="BJ18" s="287" t="str">
        <f t="shared" si="37"/>
        <v>baik</v>
      </c>
      <c r="BK18" s="287" t="str">
        <f t="shared" si="37"/>
        <v>cukup</v>
      </c>
      <c r="BL18" s="286">
        <f t="shared" si="38"/>
        <v>4</v>
      </c>
      <c r="BM18" s="288">
        <f t="shared" si="39"/>
        <v>2</v>
      </c>
      <c r="BN18" s="289" t="str">
        <f t="shared" si="40"/>
        <v xml:space="preserve">Memiliki keterampilan baik dalam Menyajikan hasil analisis mengenai keterkaitan antara Manusia Purba Indonesia dan Dunia dengan manusia modern secara fisik dan budaya, dalam berbagai bentuk presentasi., cukup keterampilan dalam Melakukan  penelitian sejarah secara sederhana dan menyajikanya dalam bentuk laporan penelitian.
</v>
      </c>
      <c r="BO18" s="67"/>
    </row>
    <row r="19" spans="1:67" ht="33" customHeight="1">
      <c r="A19" s="67"/>
      <c r="B19" s="272">
        <f t="shared" si="23"/>
        <v>6</v>
      </c>
      <c r="C19" s="273">
        <f>IF(Data!F10="","",Data!F10)</f>
        <v>0</v>
      </c>
      <c r="D19" s="274" t="str">
        <f>IF(Data!H10="","",Data!H10)</f>
        <v>Ayu Oliberta Ranboki</v>
      </c>
      <c r="E19" s="275" t="str">
        <f>IF(Data!I10="","",Data!I10)</f>
        <v>P</v>
      </c>
      <c r="F19" s="276">
        <v>90</v>
      </c>
      <c r="G19" s="276">
        <v>90</v>
      </c>
      <c r="H19" s="276">
        <v>88</v>
      </c>
      <c r="I19" s="276">
        <v>90</v>
      </c>
      <c r="J19" s="277"/>
      <c r="K19" s="277"/>
      <c r="L19" s="277"/>
      <c r="M19" s="280"/>
      <c r="N19" s="277"/>
      <c r="O19" s="278"/>
      <c r="P19" s="279">
        <f t="shared" si="24"/>
        <v>90</v>
      </c>
      <c r="Q19" s="1488">
        <v>88</v>
      </c>
      <c r="R19" s="1488">
        <v>76</v>
      </c>
      <c r="S19" s="281">
        <f t="shared" si="25"/>
        <v>86</v>
      </c>
      <c r="T19" s="295" t="str">
        <f t="shared" si="26"/>
        <v>B</v>
      </c>
      <c r="U19" s="1215">
        <f t="shared" si="7"/>
        <v>90.01</v>
      </c>
      <c r="V19" s="1216">
        <f t="shared" si="7"/>
        <v>90.02</v>
      </c>
      <c r="W19" s="1216">
        <f t="shared" si="7"/>
        <v>88.03</v>
      </c>
      <c r="X19" s="1216">
        <f t="shared" si="7"/>
        <v>90.04</v>
      </c>
      <c r="Y19" s="1216" t="str">
        <f t="shared" si="7"/>
        <v/>
      </c>
      <c r="Z19" s="1216" t="str">
        <f t="shared" si="7"/>
        <v/>
      </c>
      <c r="AA19" s="1216" t="str">
        <f t="shared" si="7"/>
        <v/>
      </c>
      <c r="AB19" s="1217" t="str">
        <f t="shared" si="7"/>
        <v/>
      </c>
      <c r="AC19" s="1216" t="str">
        <f t="shared" si="7"/>
        <v/>
      </c>
      <c r="AD19" s="1218" t="str">
        <f t="shared" si="7"/>
        <v/>
      </c>
      <c r="AE19" s="1219">
        <f t="shared" si="27"/>
        <v>90.04</v>
      </c>
      <c r="AF19" s="282">
        <f t="shared" si="28"/>
        <v>88.03</v>
      </c>
      <c r="AG19" s="282" t="str">
        <f t="shared" si="29"/>
        <v>baik</v>
      </c>
      <c r="AH19" s="282" t="str">
        <f t="shared" si="10"/>
        <v>baik</v>
      </c>
      <c r="AI19" s="282">
        <f t="shared" si="30"/>
        <v>4</v>
      </c>
      <c r="AJ19" s="283">
        <f t="shared" si="31"/>
        <v>3</v>
      </c>
      <c r="AK19" s="284" t="str">
        <f t="shared" si="32"/>
        <v>Memiliki kemampuan baik dalam Menganalisis keterkaitan antara manusia purba Indonesia dan Dunia dengan manusia modern dalam fisik dan budaya dan Menganalisis perbedaan ciri-ciri dari historiografi tradisional, kolonial dan modern</v>
      </c>
      <c r="AL19" s="2">
        <v>90</v>
      </c>
      <c r="AM19" s="277">
        <v>80</v>
      </c>
      <c r="AN19" s="277">
        <v>80</v>
      </c>
      <c r="AO19" s="277">
        <v>90</v>
      </c>
      <c r="AP19" s="277"/>
      <c r="AQ19" s="277"/>
      <c r="AR19" s="277"/>
      <c r="AS19" s="280"/>
      <c r="AT19" s="277"/>
      <c r="AU19" s="278"/>
      <c r="AV19" s="285">
        <f t="shared" si="33"/>
        <v>85</v>
      </c>
      <c r="AW19" s="296" t="str">
        <f t="shared" si="34"/>
        <v>B</v>
      </c>
      <c r="AX19" s="1220">
        <f t="shared" si="16"/>
        <v>90.01</v>
      </c>
      <c r="AY19" s="1221">
        <f t="shared" si="16"/>
        <v>80.02</v>
      </c>
      <c r="AZ19" s="1221">
        <f t="shared" si="16"/>
        <v>80.03</v>
      </c>
      <c r="BA19" s="1221">
        <f t="shared" si="16"/>
        <v>90.04</v>
      </c>
      <c r="BB19" s="1221" t="str">
        <f t="shared" si="16"/>
        <v/>
      </c>
      <c r="BC19" s="1221" t="str">
        <f t="shared" si="16"/>
        <v/>
      </c>
      <c r="BD19" s="1221" t="str">
        <f t="shared" si="16"/>
        <v/>
      </c>
      <c r="BE19" s="1222" t="str">
        <f t="shared" si="16"/>
        <v/>
      </c>
      <c r="BF19" s="1221" t="str">
        <f t="shared" si="16"/>
        <v/>
      </c>
      <c r="BG19" s="1223" t="str">
        <f t="shared" si="16"/>
        <v/>
      </c>
      <c r="BH19" s="286">
        <f t="shared" si="35"/>
        <v>90.04</v>
      </c>
      <c r="BI19" s="286">
        <f t="shared" si="36"/>
        <v>80.02</v>
      </c>
      <c r="BJ19" s="287" t="str">
        <f t="shared" si="37"/>
        <v>baik</v>
      </c>
      <c r="BK19" s="287" t="str">
        <f t="shared" si="37"/>
        <v>cukup</v>
      </c>
      <c r="BL19" s="286">
        <f t="shared" si="38"/>
        <v>4</v>
      </c>
      <c r="BM19" s="288">
        <f t="shared" si="39"/>
        <v>2</v>
      </c>
      <c r="BN19" s="289" t="str">
        <f t="shared" si="40"/>
        <v xml:space="preserve">Memiliki keterampilan baik dalam Menyajikan hasil analisis mengenai keterkaitan antara Manusia Purba Indonesia dan Dunia dengan manusia modern secara fisik dan budaya, dalam berbagai bentuk presentasi., cukup keterampilan dalam Melakukan  penelitian sejarah secara sederhana dan menyajikanya dalam bentuk laporan penelitian.
</v>
      </c>
      <c r="BO19" s="67"/>
    </row>
    <row r="20" spans="1:67" ht="33" customHeight="1">
      <c r="A20" s="67"/>
      <c r="B20" s="272">
        <f t="shared" si="23"/>
        <v>7</v>
      </c>
      <c r="C20" s="273">
        <f>IF(Data!F11="","",Data!F11)</f>
        <v>0</v>
      </c>
      <c r="D20" s="274" t="str">
        <f>IF(Data!H11="","",Data!H11)</f>
        <v>Benediktus Faot</v>
      </c>
      <c r="E20" s="275" t="str">
        <f>IF(Data!I11="","",Data!I11)</f>
        <v>L</v>
      </c>
      <c r="F20" s="276">
        <v>90</v>
      </c>
      <c r="G20" s="276">
        <v>80</v>
      </c>
      <c r="H20" s="276">
        <v>80</v>
      </c>
      <c r="I20" s="276">
        <v>80</v>
      </c>
      <c r="J20" s="277"/>
      <c r="K20" s="277"/>
      <c r="L20" s="277"/>
      <c r="M20" s="280"/>
      <c r="N20" s="277"/>
      <c r="O20" s="278"/>
      <c r="P20" s="279">
        <f t="shared" si="24"/>
        <v>83</v>
      </c>
      <c r="Q20" s="1488">
        <v>80</v>
      </c>
      <c r="R20" s="1488">
        <v>76</v>
      </c>
      <c r="S20" s="281">
        <f t="shared" si="25"/>
        <v>81</v>
      </c>
      <c r="T20" s="295" t="str">
        <f t="shared" si="26"/>
        <v>C</v>
      </c>
      <c r="U20" s="1215">
        <f t="shared" si="7"/>
        <v>90.01</v>
      </c>
      <c r="V20" s="1216">
        <f t="shared" si="7"/>
        <v>80.02</v>
      </c>
      <c r="W20" s="1216">
        <f t="shared" si="7"/>
        <v>80.03</v>
      </c>
      <c r="X20" s="1216">
        <f t="shared" si="7"/>
        <v>80.040000000000006</v>
      </c>
      <c r="Y20" s="1216" t="str">
        <f t="shared" si="7"/>
        <v/>
      </c>
      <c r="Z20" s="1216" t="str">
        <f t="shared" si="7"/>
        <v/>
      </c>
      <c r="AA20" s="1216" t="str">
        <f t="shared" si="7"/>
        <v/>
      </c>
      <c r="AB20" s="1217" t="str">
        <f t="shared" si="7"/>
        <v/>
      </c>
      <c r="AC20" s="1216" t="str">
        <f t="shared" si="7"/>
        <v/>
      </c>
      <c r="AD20" s="1218" t="str">
        <f t="shared" si="7"/>
        <v/>
      </c>
      <c r="AE20" s="1219">
        <f t="shared" si="27"/>
        <v>90.01</v>
      </c>
      <c r="AF20" s="282">
        <f t="shared" si="28"/>
        <v>80.02</v>
      </c>
      <c r="AG20" s="282" t="str">
        <f t="shared" si="29"/>
        <v>baik</v>
      </c>
      <c r="AH20" s="282" t="str">
        <f t="shared" si="10"/>
        <v>cukup</v>
      </c>
      <c r="AI20" s="282">
        <f t="shared" si="30"/>
        <v>1</v>
      </c>
      <c r="AJ20" s="283">
        <f t="shared" si="31"/>
        <v>2</v>
      </c>
      <c r="AK20" s="284" t="str">
        <f t="shared" si="32"/>
        <v>Memiliki kemampuan baik dalam Menganalisis berbagai bentuk/jenis sumber Sejarah, cukup kemampuan dalam Menganalisis langkah-langkah penelitian Sejarah terhadap berbagai peristiwa Sejarah</v>
      </c>
      <c r="AL20" s="2">
        <v>90</v>
      </c>
      <c r="AM20" s="277">
        <v>80</v>
      </c>
      <c r="AN20" s="277">
        <v>80</v>
      </c>
      <c r="AO20" s="277">
        <v>88</v>
      </c>
      <c r="AP20" s="277"/>
      <c r="AQ20" s="277"/>
      <c r="AR20" s="277"/>
      <c r="AS20" s="280"/>
      <c r="AT20" s="277"/>
      <c r="AU20" s="278"/>
      <c r="AV20" s="285">
        <f t="shared" si="33"/>
        <v>85</v>
      </c>
      <c r="AW20" s="296" t="str">
        <f t="shared" si="34"/>
        <v>B</v>
      </c>
      <c r="AX20" s="1220">
        <f t="shared" si="16"/>
        <v>90.01</v>
      </c>
      <c r="AY20" s="1221">
        <f t="shared" si="16"/>
        <v>80.02</v>
      </c>
      <c r="AZ20" s="1221">
        <f t="shared" si="16"/>
        <v>80.03</v>
      </c>
      <c r="BA20" s="1221">
        <f t="shared" si="16"/>
        <v>88.04</v>
      </c>
      <c r="BB20" s="1221" t="str">
        <f t="shared" si="16"/>
        <v/>
      </c>
      <c r="BC20" s="1221" t="str">
        <f t="shared" si="16"/>
        <v/>
      </c>
      <c r="BD20" s="1221" t="str">
        <f t="shared" si="16"/>
        <v/>
      </c>
      <c r="BE20" s="1222" t="str">
        <f t="shared" si="16"/>
        <v/>
      </c>
      <c r="BF20" s="1221" t="str">
        <f t="shared" si="16"/>
        <v/>
      </c>
      <c r="BG20" s="1223" t="str">
        <f t="shared" si="16"/>
        <v/>
      </c>
      <c r="BH20" s="286">
        <f t="shared" si="35"/>
        <v>90.01</v>
      </c>
      <c r="BI20" s="286">
        <f t="shared" si="36"/>
        <v>80.02</v>
      </c>
      <c r="BJ20" s="287" t="str">
        <f t="shared" si="37"/>
        <v>baik</v>
      </c>
      <c r="BK20" s="287" t="str">
        <f t="shared" si="37"/>
        <v>cukup</v>
      </c>
      <c r="BL20" s="286">
        <f t="shared" si="38"/>
        <v>1</v>
      </c>
      <c r="BM20" s="288">
        <f t="shared" si="39"/>
        <v>2</v>
      </c>
      <c r="BN20" s="289" t="str">
        <f t="shared" si="40"/>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BO20" s="67"/>
    </row>
    <row r="21" spans="1:67" ht="33" customHeight="1">
      <c r="A21" s="67"/>
      <c r="B21" s="272">
        <f t="shared" si="23"/>
        <v>8</v>
      </c>
      <c r="C21" s="273">
        <f>IF(Data!F12="","",Data!F12)</f>
        <v>0</v>
      </c>
      <c r="D21" s="274" t="str">
        <f>IF(Data!H12="","",Data!H12)</f>
        <v>Betron Imanuel Kuni</v>
      </c>
      <c r="E21" s="275" t="str">
        <f>IF(Data!I12="","",Data!I12)</f>
        <v>L</v>
      </c>
      <c r="F21" s="276">
        <v>90</v>
      </c>
      <c r="G21" s="276">
        <v>90</v>
      </c>
      <c r="H21" s="276">
        <v>90</v>
      </c>
      <c r="I21" s="276">
        <v>88</v>
      </c>
      <c r="J21" s="277"/>
      <c r="K21" s="277"/>
      <c r="L21" s="277"/>
      <c r="M21" s="280"/>
      <c r="N21" s="277"/>
      <c r="O21" s="278"/>
      <c r="P21" s="279">
        <f t="shared" si="24"/>
        <v>90</v>
      </c>
      <c r="Q21" s="1488">
        <v>88</v>
      </c>
      <c r="R21" s="1488">
        <v>76</v>
      </c>
      <c r="S21" s="281">
        <f t="shared" si="25"/>
        <v>86</v>
      </c>
      <c r="T21" s="295" t="str">
        <f t="shared" si="26"/>
        <v>B</v>
      </c>
      <c r="U21" s="1215">
        <f t="shared" si="7"/>
        <v>90.01</v>
      </c>
      <c r="V21" s="1216">
        <f t="shared" si="7"/>
        <v>90.02</v>
      </c>
      <c r="W21" s="1216">
        <f t="shared" si="7"/>
        <v>90.03</v>
      </c>
      <c r="X21" s="1216">
        <f t="shared" si="7"/>
        <v>88.04</v>
      </c>
      <c r="Y21" s="1216" t="str">
        <f t="shared" si="7"/>
        <v/>
      </c>
      <c r="Z21" s="1216" t="str">
        <f t="shared" si="7"/>
        <v/>
      </c>
      <c r="AA21" s="1216" t="str">
        <f t="shared" si="7"/>
        <v/>
      </c>
      <c r="AB21" s="1217" t="str">
        <f t="shared" si="7"/>
        <v/>
      </c>
      <c r="AC21" s="1216" t="str">
        <f t="shared" si="7"/>
        <v/>
      </c>
      <c r="AD21" s="1218" t="str">
        <f t="shared" si="7"/>
        <v/>
      </c>
      <c r="AE21" s="1219">
        <f t="shared" si="27"/>
        <v>90.03</v>
      </c>
      <c r="AF21" s="282">
        <f t="shared" si="28"/>
        <v>88.04</v>
      </c>
      <c r="AG21" s="282" t="str">
        <f t="shared" si="29"/>
        <v>baik</v>
      </c>
      <c r="AH21" s="282" t="str">
        <f t="shared" si="10"/>
        <v>baik</v>
      </c>
      <c r="AI21" s="282">
        <f t="shared" si="30"/>
        <v>3</v>
      </c>
      <c r="AJ21" s="283">
        <f t="shared" si="31"/>
        <v>4</v>
      </c>
      <c r="AK21" s="284" t="str">
        <f t="shared" si="32"/>
        <v>Memiliki kemampuan baik dalam Menganalisis perbedaan ciri-ciri dari historiografi tradisional, kolonial dan modern dan Menganalisis keterkaitan antara manusia purba Indonesia dan Dunia dengan manusia modern dalam fisik dan budaya</v>
      </c>
      <c r="AL21" s="2">
        <v>90</v>
      </c>
      <c r="AM21" s="277">
        <v>80</v>
      </c>
      <c r="AN21" s="277">
        <v>80</v>
      </c>
      <c r="AO21" s="277">
        <v>90</v>
      </c>
      <c r="AP21" s="277"/>
      <c r="AQ21" s="277"/>
      <c r="AR21" s="277"/>
      <c r="AS21" s="280"/>
      <c r="AT21" s="277"/>
      <c r="AU21" s="278"/>
      <c r="AV21" s="285">
        <f t="shared" si="33"/>
        <v>85</v>
      </c>
      <c r="AW21" s="296" t="str">
        <f t="shared" si="34"/>
        <v>B</v>
      </c>
      <c r="AX21" s="1220">
        <f t="shared" si="16"/>
        <v>90.01</v>
      </c>
      <c r="AY21" s="1221">
        <f t="shared" si="16"/>
        <v>80.02</v>
      </c>
      <c r="AZ21" s="1221">
        <f t="shared" si="16"/>
        <v>80.03</v>
      </c>
      <c r="BA21" s="1221">
        <f t="shared" si="16"/>
        <v>90.04</v>
      </c>
      <c r="BB21" s="1221" t="str">
        <f t="shared" si="16"/>
        <v/>
      </c>
      <c r="BC21" s="1221" t="str">
        <f t="shared" si="16"/>
        <v/>
      </c>
      <c r="BD21" s="1221" t="str">
        <f t="shared" si="16"/>
        <v/>
      </c>
      <c r="BE21" s="1222" t="str">
        <f t="shared" si="16"/>
        <v/>
      </c>
      <c r="BF21" s="1221" t="str">
        <f t="shared" si="16"/>
        <v/>
      </c>
      <c r="BG21" s="1223" t="str">
        <f t="shared" si="16"/>
        <v/>
      </c>
      <c r="BH21" s="286">
        <f t="shared" si="35"/>
        <v>90.04</v>
      </c>
      <c r="BI21" s="286">
        <f t="shared" si="36"/>
        <v>80.02</v>
      </c>
      <c r="BJ21" s="287" t="str">
        <f t="shared" si="37"/>
        <v>baik</v>
      </c>
      <c r="BK21" s="287" t="str">
        <f t="shared" si="37"/>
        <v>cukup</v>
      </c>
      <c r="BL21" s="286">
        <f t="shared" si="38"/>
        <v>4</v>
      </c>
      <c r="BM21" s="288">
        <f t="shared" si="39"/>
        <v>2</v>
      </c>
      <c r="BN21" s="289" t="str">
        <f t="shared" si="40"/>
        <v xml:space="preserve">Memiliki keterampilan baik dalam Menyajikan hasil analisis mengenai keterkaitan antara Manusia Purba Indonesia dan Dunia dengan manusia modern secara fisik dan budaya, dalam berbagai bentuk presentasi., cukup keterampilan dalam Melakukan  penelitian sejarah secara sederhana dan menyajikanya dalam bentuk laporan penelitian.
</v>
      </c>
      <c r="BO21" s="67"/>
    </row>
    <row r="22" spans="1:67" ht="33" customHeight="1">
      <c r="A22" s="67"/>
      <c r="B22" s="272">
        <f t="shared" si="23"/>
        <v>9</v>
      </c>
      <c r="C22" s="273">
        <f>IF(Data!F13="","",Data!F13)</f>
        <v>0</v>
      </c>
      <c r="D22" s="274" t="str">
        <f>IF(Data!H13="","",Data!H13)</f>
        <v>Demrianus Ton</v>
      </c>
      <c r="E22" s="275" t="str">
        <f>IF(Data!I13="","",Data!I13)</f>
        <v>L</v>
      </c>
      <c r="F22" s="276">
        <v>90</v>
      </c>
      <c r="G22" s="276">
        <v>80</v>
      </c>
      <c r="H22" s="276">
        <v>80</v>
      </c>
      <c r="I22" s="276">
        <v>88</v>
      </c>
      <c r="J22" s="277"/>
      <c r="K22" s="277"/>
      <c r="L22" s="277"/>
      <c r="M22" s="280"/>
      <c r="N22" s="277"/>
      <c r="O22" s="278"/>
      <c r="P22" s="279">
        <f t="shared" si="24"/>
        <v>85</v>
      </c>
      <c r="Q22" s="1488">
        <v>80</v>
      </c>
      <c r="R22" s="1488">
        <v>76</v>
      </c>
      <c r="S22" s="281">
        <f t="shared" si="25"/>
        <v>82</v>
      </c>
      <c r="T22" s="295" t="str">
        <f t="shared" si="26"/>
        <v>C</v>
      </c>
      <c r="U22" s="1215">
        <f t="shared" si="7"/>
        <v>90.01</v>
      </c>
      <c r="V22" s="1216">
        <f t="shared" si="7"/>
        <v>80.02</v>
      </c>
      <c r="W22" s="1216">
        <f t="shared" si="7"/>
        <v>80.03</v>
      </c>
      <c r="X22" s="1216">
        <f t="shared" si="7"/>
        <v>88.04</v>
      </c>
      <c r="Y22" s="1216" t="str">
        <f t="shared" si="7"/>
        <v/>
      </c>
      <c r="Z22" s="1216" t="str">
        <f t="shared" si="7"/>
        <v/>
      </c>
      <c r="AA22" s="1216" t="str">
        <f t="shared" si="7"/>
        <v/>
      </c>
      <c r="AB22" s="1217" t="str">
        <f t="shared" si="7"/>
        <v/>
      </c>
      <c r="AC22" s="1216" t="str">
        <f t="shared" si="7"/>
        <v/>
      </c>
      <c r="AD22" s="1218" t="str">
        <f t="shared" si="7"/>
        <v/>
      </c>
      <c r="AE22" s="1219">
        <f t="shared" si="27"/>
        <v>90.01</v>
      </c>
      <c r="AF22" s="282">
        <f t="shared" si="28"/>
        <v>80.02</v>
      </c>
      <c r="AG22" s="282" t="str">
        <f t="shared" si="29"/>
        <v>baik</v>
      </c>
      <c r="AH22" s="282" t="str">
        <f t="shared" si="10"/>
        <v>cukup</v>
      </c>
      <c r="AI22" s="282">
        <f t="shared" si="30"/>
        <v>1</v>
      </c>
      <c r="AJ22" s="283">
        <f t="shared" si="31"/>
        <v>2</v>
      </c>
      <c r="AK22" s="284" t="str">
        <f t="shared" si="32"/>
        <v>Memiliki kemampuan baik dalam Menganalisis berbagai bentuk/jenis sumber Sejarah, cukup kemampuan dalam Menganalisis langkah-langkah penelitian Sejarah terhadap berbagai peristiwa Sejarah</v>
      </c>
      <c r="AL22" s="2">
        <v>90</v>
      </c>
      <c r="AM22" s="277">
        <v>80</v>
      </c>
      <c r="AN22" s="277">
        <v>80</v>
      </c>
      <c r="AO22" s="277">
        <v>80</v>
      </c>
      <c r="AP22" s="277"/>
      <c r="AQ22" s="277"/>
      <c r="AR22" s="277"/>
      <c r="AS22" s="280"/>
      <c r="AT22" s="277"/>
      <c r="AU22" s="278"/>
      <c r="AV22" s="285">
        <f t="shared" si="33"/>
        <v>83</v>
      </c>
      <c r="AW22" s="296" t="str">
        <f t="shared" si="34"/>
        <v>C</v>
      </c>
      <c r="AX22" s="1220">
        <f t="shared" si="16"/>
        <v>90.01</v>
      </c>
      <c r="AY22" s="1221">
        <f t="shared" si="16"/>
        <v>80.02</v>
      </c>
      <c r="AZ22" s="1221">
        <f t="shared" si="16"/>
        <v>80.03</v>
      </c>
      <c r="BA22" s="1221">
        <f t="shared" si="16"/>
        <v>80.040000000000006</v>
      </c>
      <c r="BB22" s="1221" t="str">
        <f t="shared" si="16"/>
        <v/>
      </c>
      <c r="BC22" s="1221" t="str">
        <f t="shared" si="16"/>
        <v/>
      </c>
      <c r="BD22" s="1221" t="str">
        <f t="shared" si="16"/>
        <v/>
      </c>
      <c r="BE22" s="1222" t="str">
        <f t="shared" si="16"/>
        <v/>
      </c>
      <c r="BF22" s="1221" t="str">
        <f t="shared" si="16"/>
        <v/>
      </c>
      <c r="BG22" s="1223" t="str">
        <f t="shared" si="16"/>
        <v/>
      </c>
      <c r="BH22" s="286">
        <f t="shared" si="35"/>
        <v>90.01</v>
      </c>
      <c r="BI22" s="286">
        <f t="shared" si="36"/>
        <v>80.02</v>
      </c>
      <c r="BJ22" s="287" t="str">
        <f t="shared" si="37"/>
        <v>baik</v>
      </c>
      <c r="BK22" s="287" t="str">
        <f t="shared" si="37"/>
        <v>cukup</v>
      </c>
      <c r="BL22" s="286">
        <f t="shared" si="38"/>
        <v>1</v>
      </c>
      <c r="BM22" s="288">
        <f t="shared" si="39"/>
        <v>2</v>
      </c>
      <c r="BN22" s="289" t="str">
        <f t="shared" si="40"/>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BO22" s="67"/>
    </row>
    <row r="23" spans="1:67" ht="33" customHeight="1">
      <c r="A23" s="67"/>
      <c r="B23" s="272">
        <f t="shared" si="23"/>
        <v>10</v>
      </c>
      <c r="C23" s="273">
        <f>IF(Data!F14="","",Data!F14)</f>
        <v>0</v>
      </c>
      <c r="D23" s="274" t="str">
        <f>IF(Data!H14="","",Data!H14)</f>
        <v>Desti Manggoa</v>
      </c>
      <c r="E23" s="275" t="str">
        <f>IF(Data!I14="","",Data!I14)</f>
        <v>P</v>
      </c>
      <c r="F23" s="276">
        <v>90</v>
      </c>
      <c r="G23" s="276">
        <v>90</v>
      </c>
      <c r="H23" s="276">
        <v>80</v>
      </c>
      <c r="I23" s="276">
        <v>80</v>
      </c>
      <c r="J23" s="277"/>
      <c r="K23" s="277"/>
      <c r="L23" s="277"/>
      <c r="M23" s="280"/>
      <c r="N23" s="277"/>
      <c r="O23" s="278"/>
      <c r="P23" s="279">
        <f t="shared" si="24"/>
        <v>85</v>
      </c>
      <c r="Q23" s="1488">
        <v>80</v>
      </c>
      <c r="R23" s="1488">
        <v>76</v>
      </c>
      <c r="S23" s="281">
        <f t="shared" si="25"/>
        <v>82</v>
      </c>
      <c r="T23" s="295" t="str">
        <f t="shared" si="26"/>
        <v>C</v>
      </c>
      <c r="U23" s="1215">
        <f t="shared" si="7"/>
        <v>90.01</v>
      </c>
      <c r="V23" s="1216">
        <f t="shared" si="7"/>
        <v>90.02</v>
      </c>
      <c r="W23" s="1216">
        <f t="shared" si="7"/>
        <v>80.03</v>
      </c>
      <c r="X23" s="1216">
        <f t="shared" si="7"/>
        <v>80.040000000000006</v>
      </c>
      <c r="Y23" s="1216" t="str">
        <f t="shared" si="7"/>
        <v/>
      </c>
      <c r="Z23" s="1216" t="str">
        <f t="shared" si="7"/>
        <v/>
      </c>
      <c r="AA23" s="1216" t="str">
        <f t="shared" si="7"/>
        <v/>
      </c>
      <c r="AB23" s="1217" t="str">
        <f t="shared" si="7"/>
        <v/>
      </c>
      <c r="AC23" s="1216" t="str">
        <f t="shared" si="7"/>
        <v/>
      </c>
      <c r="AD23" s="1218" t="str">
        <f t="shared" si="7"/>
        <v/>
      </c>
      <c r="AE23" s="1219">
        <f t="shared" si="27"/>
        <v>90.02</v>
      </c>
      <c r="AF23" s="282">
        <f t="shared" si="28"/>
        <v>80.03</v>
      </c>
      <c r="AG23" s="282" t="str">
        <f t="shared" si="29"/>
        <v>baik</v>
      </c>
      <c r="AH23" s="282" t="str">
        <f t="shared" si="10"/>
        <v>cukup</v>
      </c>
      <c r="AI23" s="282">
        <f t="shared" si="30"/>
        <v>2</v>
      </c>
      <c r="AJ23" s="283">
        <f t="shared" si="31"/>
        <v>3</v>
      </c>
      <c r="AK23" s="284" t="str">
        <f t="shared" si="32"/>
        <v>Memiliki kemampuan baik dalam Menganalisis langkah-langkah penelitian Sejarah terhadap berbagai peristiwa Sejarah, cukup kemampuan dalam Menganalisis perbedaan ciri-ciri dari historiografi tradisional, kolonial dan modern</v>
      </c>
      <c r="AL23" s="2">
        <v>90</v>
      </c>
      <c r="AM23" s="277">
        <v>80</v>
      </c>
      <c r="AN23" s="277">
        <v>80</v>
      </c>
      <c r="AO23" s="277">
        <v>80</v>
      </c>
      <c r="AP23" s="277"/>
      <c r="AQ23" s="277"/>
      <c r="AR23" s="277"/>
      <c r="AS23" s="280"/>
      <c r="AT23" s="277"/>
      <c r="AU23" s="278"/>
      <c r="AV23" s="285">
        <f t="shared" si="33"/>
        <v>83</v>
      </c>
      <c r="AW23" s="296" t="str">
        <f t="shared" si="34"/>
        <v>C</v>
      </c>
      <c r="AX23" s="1220">
        <f t="shared" si="16"/>
        <v>90.01</v>
      </c>
      <c r="AY23" s="1221">
        <f t="shared" si="16"/>
        <v>80.02</v>
      </c>
      <c r="AZ23" s="1221">
        <f t="shared" si="16"/>
        <v>80.03</v>
      </c>
      <c r="BA23" s="1221">
        <f t="shared" si="16"/>
        <v>80.040000000000006</v>
      </c>
      <c r="BB23" s="1221" t="str">
        <f t="shared" si="16"/>
        <v/>
      </c>
      <c r="BC23" s="1221" t="str">
        <f t="shared" si="16"/>
        <v/>
      </c>
      <c r="BD23" s="1221" t="str">
        <f t="shared" si="16"/>
        <v/>
      </c>
      <c r="BE23" s="1222" t="str">
        <f t="shared" si="16"/>
        <v/>
      </c>
      <c r="BF23" s="1221" t="str">
        <f t="shared" si="16"/>
        <v/>
      </c>
      <c r="BG23" s="1223" t="str">
        <f t="shared" si="16"/>
        <v/>
      </c>
      <c r="BH23" s="286">
        <f t="shared" si="35"/>
        <v>90.01</v>
      </c>
      <c r="BI23" s="286">
        <f t="shared" si="36"/>
        <v>80.02</v>
      </c>
      <c r="BJ23" s="287" t="str">
        <f t="shared" si="37"/>
        <v>baik</v>
      </c>
      <c r="BK23" s="287" t="str">
        <f t="shared" si="37"/>
        <v>cukup</v>
      </c>
      <c r="BL23" s="286">
        <f t="shared" si="38"/>
        <v>1</v>
      </c>
      <c r="BM23" s="288">
        <f t="shared" si="39"/>
        <v>2</v>
      </c>
      <c r="BN23" s="289" t="str">
        <f t="shared" si="40"/>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BO23" s="67"/>
    </row>
    <row r="24" spans="1:67" ht="33" customHeight="1">
      <c r="A24" s="67"/>
      <c r="B24" s="272">
        <f t="shared" si="23"/>
        <v>11</v>
      </c>
      <c r="C24" s="273">
        <f>IF(Data!F15="","",Data!F15)</f>
        <v>0</v>
      </c>
      <c r="D24" s="274" t="str">
        <f>IF(Data!H15="","",Data!H15)</f>
        <v>Dorkas Meliana Talita Kesnay</v>
      </c>
      <c r="E24" s="275" t="str">
        <f>IF(Data!I15="","",Data!I15)</f>
        <v>P</v>
      </c>
      <c r="F24" s="276">
        <v>90</v>
      </c>
      <c r="G24" s="276">
        <v>90</v>
      </c>
      <c r="H24" s="276">
        <v>88</v>
      </c>
      <c r="I24" s="276">
        <v>80</v>
      </c>
      <c r="J24" s="277"/>
      <c r="K24" s="277"/>
      <c r="L24" s="277"/>
      <c r="M24" s="280"/>
      <c r="N24" s="277"/>
      <c r="O24" s="278"/>
      <c r="P24" s="279">
        <f t="shared" si="24"/>
        <v>87</v>
      </c>
      <c r="Q24" s="1488">
        <v>88</v>
      </c>
      <c r="R24" s="1488">
        <v>76</v>
      </c>
      <c r="S24" s="281">
        <f t="shared" si="25"/>
        <v>85</v>
      </c>
      <c r="T24" s="295" t="str">
        <f t="shared" si="26"/>
        <v>B</v>
      </c>
      <c r="U24" s="1215">
        <f t="shared" si="7"/>
        <v>90.01</v>
      </c>
      <c r="V24" s="1216">
        <f t="shared" si="7"/>
        <v>90.02</v>
      </c>
      <c r="W24" s="1216">
        <f t="shared" si="7"/>
        <v>88.03</v>
      </c>
      <c r="X24" s="1216">
        <f t="shared" si="7"/>
        <v>80.040000000000006</v>
      </c>
      <c r="Y24" s="1216" t="str">
        <f t="shared" si="7"/>
        <v/>
      </c>
      <c r="Z24" s="1216" t="str">
        <f t="shared" si="7"/>
        <v/>
      </c>
      <c r="AA24" s="1216" t="str">
        <f t="shared" si="7"/>
        <v/>
      </c>
      <c r="AB24" s="1217" t="str">
        <f t="shared" si="7"/>
        <v/>
      </c>
      <c r="AC24" s="1216" t="str">
        <f t="shared" si="7"/>
        <v/>
      </c>
      <c r="AD24" s="1218" t="str">
        <f t="shared" si="7"/>
        <v/>
      </c>
      <c r="AE24" s="1219">
        <f t="shared" si="27"/>
        <v>90.02</v>
      </c>
      <c r="AF24" s="282">
        <f t="shared" si="28"/>
        <v>80.040000000000006</v>
      </c>
      <c r="AG24" s="282" t="str">
        <f t="shared" si="29"/>
        <v>baik</v>
      </c>
      <c r="AH24" s="282" t="str">
        <f t="shared" si="10"/>
        <v>cukup</v>
      </c>
      <c r="AI24" s="282">
        <f t="shared" si="30"/>
        <v>2</v>
      </c>
      <c r="AJ24" s="283">
        <f t="shared" si="31"/>
        <v>4</v>
      </c>
      <c r="AK24" s="284" t="str">
        <f t="shared" si="32"/>
        <v>Memiliki kemampuan baik dalam Menganalisis langkah-langkah penelitian Sejarah terhadap berbagai peristiwa Sejarah, cukup kemampuan dalam Menganalisis keterkaitan antara manusia purba Indonesia dan Dunia dengan manusia modern dalam fisik dan budaya</v>
      </c>
      <c r="AL24" s="2">
        <v>80</v>
      </c>
      <c r="AM24" s="277">
        <v>90</v>
      </c>
      <c r="AN24" s="277">
        <v>80</v>
      </c>
      <c r="AO24" s="277">
        <v>90</v>
      </c>
      <c r="AP24" s="277"/>
      <c r="AQ24" s="277"/>
      <c r="AR24" s="277"/>
      <c r="AS24" s="280"/>
      <c r="AT24" s="277"/>
      <c r="AU24" s="278"/>
      <c r="AV24" s="285">
        <f t="shared" si="33"/>
        <v>85</v>
      </c>
      <c r="AW24" s="296" t="str">
        <f t="shared" si="34"/>
        <v>B</v>
      </c>
      <c r="AX24" s="1220">
        <f t="shared" si="16"/>
        <v>80.010000000000005</v>
      </c>
      <c r="AY24" s="1221">
        <f t="shared" si="16"/>
        <v>90.02</v>
      </c>
      <c r="AZ24" s="1221">
        <f t="shared" si="16"/>
        <v>80.03</v>
      </c>
      <c r="BA24" s="1221">
        <f t="shared" si="16"/>
        <v>90.04</v>
      </c>
      <c r="BB24" s="1221" t="str">
        <f t="shared" si="16"/>
        <v/>
      </c>
      <c r="BC24" s="1221" t="str">
        <f t="shared" si="16"/>
        <v/>
      </c>
      <c r="BD24" s="1221" t="str">
        <f t="shared" si="16"/>
        <v/>
      </c>
      <c r="BE24" s="1222" t="str">
        <f t="shared" si="16"/>
        <v/>
      </c>
      <c r="BF24" s="1221" t="str">
        <f t="shared" si="16"/>
        <v/>
      </c>
      <c r="BG24" s="1223" t="str">
        <f t="shared" si="16"/>
        <v/>
      </c>
      <c r="BH24" s="286">
        <f t="shared" si="35"/>
        <v>90.04</v>
      </c>
      <c r="BI24" s="286">
        <f t="shared" si="36"/>
        <v>80.010000000000005</v>
      </c>
      <c r="BJ24" s="287" t="str">
        <f t="shared" si="37"/>
        <v>baik</v>
      </c>
      <c r="BK24" s="287" t="str">
        <f t="shared" si="37"/>
        <v>cukup</v>
      </c>
      <c r="BL24" s="286">
        <f t="shared" si="38"/>
        <v>4</v>
      </c>
      <c r="BM24" s="288">
        <f t="shared" si="39"/>
        <v>1</v>
      </c>
      <c r="BN24" s="289" t="str">
        <f t="shared" si="40"/>
        <v>Memiliki keterampilan baik dalam Menyajikan hasil analisis mengenai keterkaitan antara Manusia Purba Indonesia dan Dunia dengan manusia modern secara fisik dan budaya, dalam berbagai bentuk presentasi., cukup keterampilan dalam Menyajikan hasil analisis jenis sumber, peran sumber dan keterkaitannya dengan kejadian sejarah, dalam berbagai bentuk presentasi.</v>
      </c>
      <c r="BO24" s="67"/>
    </row>
    <row r="25" spans="1:67" ht="33" customHeight="1">
      <c r="A25" s="67"/>
      <c r="B25" s="272">
        <f t="shared" si="23"/>
        <v>12</v>
      </c>
      <c r="C25" s="273">
        <f>IF(Data!F16="","",Data!F16)</f>
        <v>0</v>
      </c>
      <c r="D25" s="274" t="str">
        <f>IF(Data!H16="","",Data!H16)</f>
        <v>Erto Seprianto Leukune</v>
      </c>
      <c r="E25" s="275" t="str">
        <f>IF(Data!I16="","",Data!I16)</f>
        <v>L</v>
      </c>
      <c r="F25" s="276">
        <v>90</v>
      </c>
      <c r="G25" s="276">
        <v>80</v>
      </c>
      <c r="H25" s="276">
        <v>80</v>
      </c>
      <c r="I25" s="276">
        <v>80</v>
      </c>
      <c r="J25" s="277"/>
      <c r="K25" s="277"/>
      <c r="L25" s="277"/>
      <c r="M25" s="280"/>
      <c r="N25" s="277"/>
      <c r="O25" s="278"/>
      <c r="P25" s="279">
        <f t="shared" si="24"/>
        <v>83</v>
      </c>
      <c r="Q25" s="1488">
        <v>80</v>
      </c>
      <c r="R25" s="1488">
        <v>76</v>
      </c>
      <c r="S25" s="281">
        <f t="shared" si="25"/>
        <v>81</v>
      </c>
      <c r="T25" s="295" t="str">
        <f t="shared" si="26"/>
        <v>C</v>
      </c>
      <c r="U25" s="1215">
        <f t="shared" si="7"/>
        <v>90.01</v>
      </c>
      <c r="V25" s="1216">
        <f t="shared" si="7"/>
        <v>80.02</v>
      </c>
      <c r="W25" s="1216">
        <f t="shared" si="7"/>
        <v>80.03</v>
      </c>
      <c r="X25" s="1216">
        <f t="shared" si="7"/>
        <v>80.040000000000006</v>
      </c>
      <c r="Y25" s="1216" t="str">
        <f t="shared" si="7"/>
        <v/>
      </c>
      <c r="Z25" s="1216" t="str">
        <f t="shared" si="7"/>
        <v/>
      </c>
      <c r="AA25" s="1216" t="str">
        <f t="shared" si="7"/>
        <v/>
      </c>
      <c r="AB25" s="1217" t="str">
        <f t="shared" si="7"/>
        <v/>
      </c>
      <c r="AC25" s="1216" t="str">
        <f t="shared" si="7"/>
        <v/>
      </c>
      <c r="AD25" s="1218" t="str">
        <f t="shared" si="7"/>
        <v/>
      </c>
      <c r="AE25" s="1219">
        <f t="shared" si="27"/>
        <v>90.01</v>
      </c>
      <c r="AF25" s="282">
        <f t="shared" si="28"/>
        <v>80.02</v>
      </c>
      <c r="AG25" s="282" t="str">
        <f t="shared" si="29"/>
        <v>baik</v>
      </c>
      <c r="AH25" s="282" t="str">
        <f t="shared" si="10"/>
        <v>cukup</v>
      </c>
      <c r="AI25" s="282">
        <f t="shared" si="30"/>
        <v>1</v>
      </c>
      <c r="AJ25" s="283">
        <f t="shared" si="31"/>
        <v>2</v>
      </c>
      <c r="AK25" s="284" t="str">
        <f t="shared" si="32"/>
        <v>Memiliki kemampuan baik dalam Menganalisis berbagai bentuk/jenis sumber Sejarah, cukup kemampuan dalam Menganalisis langkah-langkah penelitian Sejarah terhadap berbagai peristiwa Sejarah</v>
      </c>
      <c r="AL25" s="2">
        <v>90</v>
      </c>
      <c r="AM25" s="277">
        <v>80</v>
      </c>
      <c r="AN25" s="277">
        <v>80</v>
      </c>
      <c r="AO25" s="277">
        <v>80</v>
      </c>
      <c r="AP25" s="277"/>
      <c r="AQ25" s="277"/>
      <c r="AR25" s="277"/>
      <c r="AS25" s="280"/>
      <c r="AT25" s="277"/>
      <c r="AU25" s="278"/>
      <c r="AV25" s="285">
        <f t="shared" si="33"/>
        <v>83</v>
      </c>
      <c r="AW25" s="296" t="str">
        <f t="shared" si="34"/>
        <v>C</v>
      </c>
      <c r="AX25" s="1220">
        <f t="shared" si="16"/>
        <v>90.01</v>
      </c>
      <c r="AY25" s="1221">
        <f t="shared" si="16"/>
        <v>80.02</v>
      </c>
      <c r="AZ25" s="1221">
        <f t="shared" si="16"/>
        <v>80.03</v>
      </c>
      <c r="BA25" s="1221">
        <f t="shared" si="16"/>
        <v>80.040000000000006</v>
      </c>
      <c r="BB25" s="1221" t="str">
        <f t="shared" si="16"/>
        <v/>
      </c>
      <c r="BC25" s="1221" t="str">
        <f t="shared" si="16"/>
        <v/>
      </c>
      <c r="BD25" s="1221" t="str">
        <f t="shared" si="16"/>
        <v/>
      </c>
      <c r="BE25" s="1222" t="str">
        <f t="shared" si="16"/>
        <v/>
      </c>
      <c r="BF25" s="1221" t="str">
        <f t="shared" si="16"/>
        <v/>
      </c>
      <c r="BG25" s="1223" t="str">
        <f t="shared" si="16"/>
        <v/>
      </c>
      <c r="BH25" s="286">
        <f t="shared" si="35"/>
        <v>90.01</v>
      </c>
      <c r="BI25" s="286">
        <f t="shared" si="36"/>
        <v>80.02</v>
      </c>
      <c r="BJ25" s="287" t="str">
        <f t="shared" si="37"/>
        <v>baik</v>
      </c>
      <c r="BK25" s="287" t="str">
        <f t="shared" si="37"/>
        <v>cukup</v>
      </c>
      <c r="BL25" s="286">
        <f t="shared" si="38"/>
        <v>1</v>
      </c>
      <c r="BM25" s="288">
        <f t="shared" si="39"/>
        <v>2</v>
      </c>
      <c r="BN25" s="289" t="str">
        <f t="shared" si="40"/>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BO25" s="67"/>
    </row>
    <row r="26" spans="1:67" ht="33" customHeight="1">
      <c r="A26" s="67"/>
      <c r="B26" s="272">
        <f t="shared" si="23"/>
        <v>13</v>
      </c>
      <c r="C26" s="273">
        <f>IF(Data!F17="","",Data!F17)</f>
        <v>0</v>
      </c>
      <c r="D26" s="274" t="str">
        <f>IF(Data!H17="","",Data!H17)</f>
        <v>Feli Tipnoni</v>
      </c>
      <c r="E26" s="275" t="str">
        <f>IF(Data!I17="","",Data!I17)</f>
        <v>P</v>
      </c>
      <c r="F26" s="276">
        <v>90</v>
      </c>
      <c r="G26" s="276">
        <v>80</v>
      </c>
      <c r="H26" s="276">
        <v>80</v>
      </c>
      <c r="I26" s="276">
        <v>88</v>
      </c>
      <c r="J26" s="277"/>
      <c r="K26" s="277"/>
      <c r="L26" s="277"/>
      <c r="M26" s="280"/>
      <c r="N26" s="277"/>
      <c r="O26" s="278"/>
      <c r="P26" s="279">
        <f t="shared" si="24"/>
        <v>85</v>
      </c>
      <c r="Q26" s="1488">
        <v>80</v>
      </c>
      <c r="R26" s="1488">
        <v>76</v>
      </c>
      <c r="S26" s="281">
        <f t="shared" si="25"/>
        <v>82</v>
      </c>
      <c r="T26" s="295" t="str">
        <f t="shared" si="26"/>
        <v>C</v>
      </c>
      <c r="U26" s="1215">
        <f t="shared" si="7"/>
        <v>90.01</v>
      </c>
      <c r="V26" s="1216">
        <f t="shared" si="7"/>
        <v>80.02</v>
      </c>
      <c r="W26" s="1216">
        <f t="shared" si="7"/>
        <v>80.03</v>
      </c>
      <c r="X26" s="1216">
        <f t="shared" si="7"/>
        <v>88.04</v>
      </c>
      <c r="Y26" s="1216" t="str">
        <f t="shared" si="7"/>
        <v/>
      </c>
      <c r="Z26" s="1216" t="str">
        <f t="shared" si="7"/>
        <v/>
      </c>
      <c r="AA26" s="1216" t="str">
        <f t="shared" si="7"/>
        <v/>
      </c>
      <c r="AB26" s="1217" t="str">
        <f t="shared" si="7"/>
        <v/>
      </c>
      <c r="AC26" s="1216" t="str">
        <f t="shared" si="7"/>
        <v/>
      </c>
      <c r="AD26" s="1218" t="str">
        <f t="shared" si="7"/>
        <v/>
      </c>
      <c r="AE26" s="1219">
        <f t="shared" si="27"/>
        <v>90.01</v>
      </c>
      <c r="AF26" s="282">
        <f t="shared" si="28"/>
        <v>80.02</v>
      </c>
      <c r="AG26" s="282" t="str">
        <f t="shared" si="29"/>
        <v>baik</v>
      </c>
      <c r="AH26" s="282" t="str">
        <f t="shared" si="10"/>
        <v>cukup</v>
      </c>
      <c r="AI26" s="282">
        <f t="shared" si="30"/>
        <v>1</v>
      </c>
      <c r="AJ26" s="283">
        <f t="shared" si="31"/>
        <v>2</v>
      </c>
      <c r="AK26" s="284" t="str">
        <f t="shared" si="32"/>
        <v>Memiliki kemampuan baik dalam Menganalisis berbagai bentuk/jenis sumber Sejarah, cukup kemampuan dalam Menganalisis langkah-langkah penelitian Sejarah terhadap berbagai peristiwa Sejarah</v>
      </c>
      <c r="AL26" s="2">
        <v>90</v>
      </c>
      <c r="AM26" s="277">
        <v>80</v>
      </c>
      <c r="AN26" s="277">
        <v>80</v>
      </c>
      <c r="AO26" s="277">
        <v>80</v>
      </c>
      <c r="AP26" s="277"/>
      <c r="AQ26" s="277"/>
      <c r="AR26" s="277"/>
      <c r="AS26" s="280"/>
      <c r="AT26" s="277"/>
      <c r="AU26" s="278"/>
      <c r="AV26" s="285">
        <f t="shared" si="33"/>
        <v>83</v>
      </c>
      <c r="AW26" s="296" t="str">
        <f t="shared" si="34"/>
        <v>C</v>
      </c>
      <c r="AX26" s="1220">
        <f t="shared" si="16"/>
        <v>90.01</v>
      </c>
      <c r="AY26" s="1221">
        <f t="shared" si="16"/>
        <v>80.02</v>
      </c>
      <c r="AZ26" s="1221">
        <f t="shared" si="16"/>
        <v>80.03</v>
      </c>
      <c r="BA26" s="1221">
        <f t="shared" si="16"/>
        <v>80.040000000000006</v>
      </c>
      <c r="BB26" s="1221" t="str">
        <f t="shared" si="16"/>
        <v/>
      </c>
      <c r="BC26" s="1221" t="str">
        <f t="shared" si="16"/>
        <v/>
      </c>
      <c r="BD26" s="1221" t="str">
        <f t="shared" si="16"/>
        <v/>
      </c>
      <c r="BE26" s="1222" t="str">
        <f t="shared" si="16"/>
        <v/>
      </c>
      <c r="BF26" s="1221" t="str">
        <f t="shared" si="16"/>
        <v/>
      </c>
      <c r="BG26" s="1223" t="str">
        <f t="shared" si="16"/>
        <v/>
      </c>
      <c r="BH26" s="286">
        <f t="shared" si="35"/>
        <v>90.01</v>
      </c>
      <c r="BI26" s="286">
        <f t="shared" si="36"/>
        <v>80.02</v>
      </c>
      <c r="BJ26" s="287" t="str">
        <f t="shared" si="37"/>
        <v>baik</v>
      </c>
      <c r="BK26" s="287" t="str">
        <f t="shared" si="37"/>
        <v>cukup</v>
      </c>
      <c r="BL26" s="286">
        <f t="shared" si="38"/>
        <v>1</v>
      </c>
      <c r="BM26" s="288">
        <f t="shared" si="39"/>
        <v>2</v>
      </c>
      <c r="BN26" s="289" t="str">
        <f t="shared" si="40"/>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BO26" s="67"/>
    </row>
    <row r="27" spans="1:67" ht="33" customHeight="1">
      <c r="A27" s="67"/>
      <c r="B27" s="272">
        <f t="shared" si="23"/>
        <v>14</v>
      </c>
      <c r="C27" s="273">
        <f>IF(Data!F18="","",Data!F18)</f>
        <v>0</v>
      </c>
      <c r="D27" s="274" t="str">
        <f>IF(Data!H18="","",Data!H18)</f>
        <v xml:space="preserve">Ferdinandes Sakbana </v>
      </c>
      <c r="E27" s="275" t="str">
        <f>IF(Data!I18="","",Data!I18)</f>
        <v>L</v>
      </c>
      <c r="F27" s="276">
        <v>90</v>
      </c>
      <c r="G27" s="276">
        <v>80</v>
      </c>
      <c r="H27" s="276">
        <v>80</v>
      </c>
      <c r="I27" s="276">
        <v>80</v>
      </c>
      <c r="J27" s="277"/>
      <c r="K27" s="277"/>
      <c r="L27" s="277"/>
      <c r="M27" s="280"/>
      <c r="N27" s="277"/>
      <c r="O27" s="278"/>
      <c r="P27" s="279">
        <f t="shared" si="24"/>
        <v>83</v>
      </c>
      <c r="Q27" s="1488">
        <v>80</v>
      </c>
      <c r="R27" s="1488">
        <v>76</v>
      </c>
      <c r="S27" s="281">
        <f t="shared" si="25"/>
        <v>81</v>
      </c>
      <c r="T27" s="295" t="str">
        <f t="shared" si="26"/>
        <v>C</v>
      </c>
      <c r="U27" s="1215">
        <f t="shared" si="7"/>
        <v>90.01</v>
      </c>
      <c r="V27" s="1216">
        <f t="shared" si="7"/>
        <v>80.02</v>
      </c>
      <c r="W27" s="1216">
        <f t="shared" si="7"/>
        <v>80.03</v>
      </c>
      <c r="X27" s="1216">
        <f t="shared" si="7"/>
        <v>80.040000000000006</v>
      </c>
      <c r="Y27" s="1216" t="str">
        <f t="shared" si="7"/>
        <v/>
      </c>
      <c r="Z27" s="1216" t="str">
        <f t="shared" si="7"/>
        <v/>
      </c>
      <c r="AA27" s="1216" t="str">
        <f t="shared" si="7"/>
        <v/>
      </c>
      <c r="AB27" s="1217" t="str">
        <f t="shared" si="7"/>
        <v/>
      </c>
      <c r="AC27" s="1216" t="str">
        <f t="shared" si="7"/>
        <v/>
      </c>
      <c r="AD27" s="1218" t="str">
        <f t="shared" si="7"/>
        <v/>
      </c>
      <c r="AE27" s="1219">
        <f t="shared" si="27"/>
        <v>90.01</v>
      </c>
      <c r="AF27" s="282">
        <f t="shared" si="28"/>
        <v>80.02</v>
      </c>
      <c r="AG27" s="282" t="str">
        <f t="shared" si="29"/>
        <v>baik</v>
      </c>
      <c r="AH27" s="282" t="str">
        <f t="shared" si="10"/>
        <v>cukup</v>
      </c>
      <c r="AI27" s="282">
        <f t="shared" si="30"/>
        <v>1</v>
      </c>
      <c r="AJ27" s="283">
        <f t="shared" si="31"/>
        <v>2</v>
      </c>
      <c r="AK27" s="284" t="str">
        <f t="shared" si="32"/>
        <v>Memiliki kemampuan baik dalam Menganalisis berbagai bentuk/jenis sumber Sejarah, cukup kemampuan dalam Menganalisis langkah-langkah penelitian Sejarah terhadap berbagai peristiwa Sejarah</v>
      </c>
      <c r="AL27" s="2">
        <v>90</v>
      </c>
      <c r="AM27" s="277">
        <v>80</v>
      </c>
      <c r="AN27" s="277">
        <v>80</v>
      </c>
      <c r="AO27" s="277">
        <v>80</v>
      </c>
      <c r="AP27" s="277"/>
      <c r="AQ27" s="277"/>
      <c r="AR27" s="277"/>
      <c r="AS27" s="280"/>
      <c r="AT27" s="277"/>
      <c r="AU27" s="278"/>
      <c r="AV27" s="285">
        <f t="shared" si="33"/>
        <v>83</v>
      </c>
      <c r="AW27" s="296" t="str">
        <f t="shared" si="34"/>
        <v>C</v>
      </c>
      <c r="AX27" s="1220">
        <f t="shared" si="16"/>
        <v>90.01</v>
      </c>
      <c r="AY27" s="1221">
        <f t="shared" si="16"/>
        <v>80.02</v>
      </c>
      <c r="AZ27" s="1221">
        <f t="shared" si="16"/>
        <v>80.03</v>
      </c>
      <c r="BA27" s="1221">
        <f t="shared" si="16"/>
        <v>80.040000000000006</v>
      </c>
      <c r="BB27" s="1221" t="str">
        <f t="shared" si="16"/>
        <v/>
      </c>
      <c r="BC27" s="1221" t="str">
        <f t="shared" si="16"/>
        <v/>
      </c>
      <c r="BD27" s="1221" t="str">
        <f t="shared" si="16"/>
        <v/>
      </c>
      <c r="BE27" s="1222" t="str">
        <f t="shared" si="16"/>
        <v/>
      </c>
      <c r="BF27" s="1221" t="str">
        <f t="shared" si="16"/>
        <v/>
      </c>
      <c r="BG27" s="1223" t="str">
        <f t="shared" si="16"/>
        <v/>
      </c>
      <c r="BH27" s="286">
        <f t="shared" si="35"/>
        <v>90.01</v>
      </c>
      <c r="BI27" s="286">
        <f t="shared" si="36"/>
        <v>80.02</v>
      </c>
      <c r="BJ27" s="287" t="str">
        <f t="shared" si="37"/>
        <v>baik</v>
      </c>
      <c r="BK27" s="287" t="str">
        <f t="shared" si="37"/>
        <v>cukup</v>
      </c>
      <c r="BL27" s="286">
        <f t="shared" si="38"/>
        <v>1</v>
      </c>
      <c r="BM27" s="288">
        <f t="shared" si="39"/>
        <v>2</v>
      </c>
      <c r="BN27" s="289" t="str">
        <f t="shared" si="40"/>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BO27" s="67"/>
    </row>
    <row r="28" spans="1:67" ht="33" customHeight="1">
      <c r="A28" s="67"/>
      <c r="B28" s="272">
        <f t="shared" si="23"/>
        <v>15</v>
      </c>
      <c r="C28" s="273">
        <f>IF(Data!F19="","",Data!F19)</f>
        <v>0</v>
      </c>
      <c r="D28" s="274" t="str">
        <f>IF(Data!H19="","",Data!H19)</f>
        <v>Fitri Novani Nitbani</v>
      </c>
      <c r="E28" s="275" t="str">
        <f>IF(Data!I19="","",Data!I19)</f>
        <v>P</v>
      </c>
      <c r="F28" s="276">
        <v>90</v>
      </c>
      <c r="G28" s="276">
        <v>80</v>
      </c>
      <c r="H28" s="276">
        <v>80</v>
      </c>
      <c r="I28" s="276">
        <v>80</v>
      </c>
      <c r="J28" s="277"/>
      <c r="K28" s="277"/>
      <c r="L28" s="277"/>
      <c r="M28" s="280"/>
      <c r="N28" s="277"/>
      <c r="O28" s="278"/>
      <c r="P28" s="279">
        <f t="shared" si="24"/>
        <v>83</v>
      </c>
      <c r="Q28" s="1488">
        <v>80</v>
      </c>
      <c r="R28" s="1488">
        <v>76</v>
      </c>
      <c r="S28" s="281">
        <f t="shared" si="25"/>
        <v>81</v>
      </c>
      <c r="T28" s="295" t="str">
        <f t="shared" si="26"/>
        <v>C</v>
      </c>
      <c r="U28" s="1215">
        <f t="shared" si="7"/>
        <v>90.01</v>
      </c>
      <c r="V28" s="1216">
        <f t="shared" si="7"/>
        <v>80.02</v>
      </c>
      <c r="W28" s="1216">
        <f t="shared" si="7"/>
        <v>80.03</v>
      </c>
      <c r="X28" s="1216">
        <f t="shared" si="7"/>
        <v>80.040000000000006</v>
      </c>
      <c r="Y28" s="1216" t="str">
        <f t="shared" si="7"/>
        <v/>
      </c>
      <c r="Z28" s="1216" t="str">
        <f t="shared" si="7"/>
        <v/>
      </c>
      <c r="AA28" s="1216" t="str">
        <f t="shared" si="7"/>
        <v/>
      </c>
      <c r="AB28" s="1217" t="str">
        <f t="shared" si="7"/>
        <v/>
      </c>
      <c r="AC28" s="1216" t="str">
        <f t="shared" si="7"/>
        <v/>
      </c>
      <c r="AD28" s="1218" t="str">
        <f t="shared" si="7"/>
        <v/>
      </c>
      <c r="AE28" s="1219">
        <f t="shared" si="27"/>
        <v>90.01</v>
      </c>
      <c r="AF28" s="282">
        <f t="shared" si="28"/>
        <v>80.02</v>
      </c>
      <c r="AG28" s="282" t="str">
        <f t="shared" si="29"/>
        <v>baik</v>
      </c>
      <c r="AH28" s="282" t="str">
        <f t="shared" si="10"/>
        <v>cukup</v>
      </c>
      <c r="AI28" s="282">
        <f t="shared" si="30"/>
        <v>1</v>
      </c>
      <c r="AJ28" s="283">
        <f t="shared" si="31"/>
        <v>2</v>
      </c>
      <c r="AK28" s="284" t="str">
        <f t="shared" si="32"/>
        <v>Memiliki kemampuan baik dalam Menganalisis berbagai bentuk/jenis sumber Sejarah, cukup kemampuan dalam Menganalisis langkah-langkah penelitian Sejarah terhadap berbagai peristiwa Sejarah</v>
      </c>
      <c r="AL28" s="2">
        <v>90</v>
      </c>
      <c r="AM28" s="277">
        <v>80</v>
      </c>
      <c r="AN28" s="277">
        <v>80</v>
      </c>
      <c r="AO28" s="277">
        <v>80</v>
      </c>
      <c r="AP28" s="277"/>
      <c r="AQ28" s="277"/>
      <c r="AR28" s="277"/>
      <c r="AS28" s="280"/>
      <c r="AT28" s="277"/>
      <c r="AU28" s="278"/>
      <c r="AV28" s="285">
        <f t="shared" si="33"/>
        <v>83</v>
      </c>
      <c r="AW28" s="296" t="str">
        <f t="shared" si="34"/>
        <v>C</v>
      </c>
      <c r="AX28" s="1220">
        <f t="shared" si="16"/>
        <v>90.01</v>
      </c>
      <c r="AY28" s="1221">
        <f t="shared" si="16"/>
        <v>80.02</v>
      </c>
      <c r="AZ28" s="1221">
        <f t="shared" si="16"/>
        <v>80.03</v>
      </c>
      <c r="BA28" s="1221">
        <f t="shared" si="16"/>
        <v>80.040000000000006</v>
      </c>
      <c r="BB28" s="1221" t="str">
        <f t="shared" si="16"/>
        <v/>
      </c>
      <c r="BC28" s="1221" t="str">
        <f t="shared" si="16"/>
        <v/>
      </c>
      <c r="BD28" s="1221" t="str">
        <f t="shared" si="16"/>
        <v/>
      </c>
      <c r="BE28" s="1222" t="str">
        <f t="shared" si="16"/>
        <v/>
      </c>
      <c r="BF28" s="1221" t="str">
        <f t="shared" si="16"/>
        <v/>
      </c>
      <c r="BG28" s="1223" t="str">
        <f t="shared" si="16"/>
        <v/>
      </c>
      <c r="BH28" s="286">
        <f t="shared" si="35"/>
        <v>90.01</v>
      </c>
      <c r="BI28" s="286">
        <f t="shared" si="36"/>
        <v>80.02</v>
      </c>
      <c r="BJ28" s="287" t="str">
        <f t="shared" si="37"/>
        <v>baik</v>
      </c>
      <c r="BK28" s="287" t="str">
        <f t="shared" si="37"/>
        <v>cukup</v>
      </c>
      <c r="BL28" s="286">
        <f t="shared" si="38"/>
        <v>1</v>
      </c>
      <c r="BM28" s="288">
        <f t="shared" si="39"/>
        <v>2</v>
      </c>
      <c r="BN28" s="289" t="str">
        <f t="shared" si="40"/>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BO28" s="67"/>
    </row>
    <row r="29" spans="1:67" ht="33" customHeight="1">
      <c r="A29" s="67"/>
      <c r="B29" s="272">
        <f t="shared" si="23"/>
        <v>16</v>
      </c>
      <c r="C29" s="273">
        <f>IF(Data!F20="","",Data!F20)</f>
        <v>0</v>
      </c>
      <c r="D29" s="274" t="str">
        <f>IF(Data!H20="","",Data!H20)</f>
        <v>Helsina Benu</v>
      </c>
      <c r="E29" s="275" t="str">
        <f>IF(Data!I20="","",Data!I20)</f>
        <v>P</v>
      </c>
      <c r="F29" s="276">
        <v>90</v>
      </c>
      <c r="G29" s="276">
        <v>90</v>
      </c>
      <c r="H29" s="276">
        <v>78</v>
      </c>
      <c r="I29" s="276">
        <v>78</v>
      </c>
      <c r="J29" s="277"/>
      <c r="K29" s="277"/>
      <c r="L29" s="277"/>
      <c r="M29" s="280"/>
      <c r="N29" s="277"/>
      <c r="O29" s="278"/>
      <c r="P29" s="279">
        <f t="shared" si="24"/>
        <v>84</v>
      </c>
      <c r="Q29" s="1488">
        <v>80</v>
      </c>
      <c r="R29" s="1488">
        <v>76</v>
      </c>
      <c r="S29" s="281">
        <f t="shared" si="25"/>
        <v>81</v>
      </c>
      <c r="T29" s="295" t="str">
        <f t="shared" si="26"/>
        <v>C</v>
      </c>
      <c r="U29" s="1215">
        <f t="shared" si="7"/>
        <v>90.01</v>
      </c>
      <c r="V29" s="1216">
        <f t="shared" si="7"/>
        <v>90.02</v>
      </c>
      <c r="W29" s="1216">
        <f t="shared" si="7"/>
        <v>78.03</v>
      </c>
      <c r="X29" s="1216">
        <f t="shared" si="7"/>
        <v>78.040000000000006</v>
      </c>
      <c r="Y29" s="1216" t="str">
        <f t="shared" si="7"/>
        <v/>
      </c>
      <c r="Z29" s="1216" t="str">
        <f t="shared" si="7"/>
        <v/>
      </c>
      <c r="AA29" s="1216" t="str">
        <f t="shared" si="7"/>
        <v/>
      </c>
      <c r="AB29" s="1217" t="str">
        <f t="shared" si="7"/>
        <v/>
      </c>
      <c r="AC29" s="1216" t="str">
        <f t="shared" si="7"/>
        <v/>
      </c>
      <c r="AD29" s="1218" t="str">
        <f t="shared" si="7"/>
        <v/>
      </c>
      <c r="AE29" s="1219">
        <f t="shared" si="27"/>
        <v>90.02</v>
      </c>
      <c r="AF29" s="282">
        <f t="shared" si="28"/>
        <v>78.03</v>
      </c>
      <c r="AG29" s="282" t="str">
        <f t="shared" si="29"/>
        <v>baik</v>
      </c>
      <c r="AH29" s="282" t="str">
        <f t="shared" si="10"/>
        <v>cukup</v>
      </c>
      <c r="AI29" s="282">
        <f t="shared" si="30"/>
        <v>2</v>
      </c>
      <c r="AJ29" s="283">
        <f t="shared" si="31"/>
        <v>3</v>
      </c>
      <c r="AK29" s="284" t="str">
        <f t="shared" si="32"/>
        <v>Memiliki kemampuan baik dalam Menganalisis langkah-langkah penelitian Sejarah terhadap berbagai peristiwa Sejarah, cukup kemampuan dalam Menganalisis perbedaan ciri-ciri dari historiografi tradisional, kolonial dan modern</v>
      </c>
      <c r="AL29" s="2">
        <v>90</v>
      </c>
      <c r="AM29" s="277">
        <v>80</v>
      </c>
      <c r="AN29" s="277">
        <v>80</v>
      </c>
      <c r="AO29" s="277">
        <v>78</v>
      </c>
      <c r="AP29" s="277"/>
      <c r="AQ29" s="277"/>
      <c r="AR29" s="277"/>
      <c r="AS29" s="280"/>
      <c r="AT29" s="277"/>
      <c r="AU29" s="278"/>
      <c r="AV29" s="285">
        <f t="shared" si="33"/>
        <v>82</v>
      </c>
      <c r="AW29" s="296" t="str">
        <f t="shared" si="34"/>
        <v>C</v>
      </c>
      <c r="AX29" s="1220">
        <f t="shared" si="16"/>
        <v>90.01</v>
      </c>
      <c r="AY29" s="1221">
        <f t="shared" si="16"/>
        <v>80.02</v>
      </c>
      <c r="AZ29" s="1221">
        <f t="shared" si="16"/>
        <v>80.03</v>
      </c>
      <c r="BA29" s="1221">
        <f t="shared" si="16"/>
        <v>78.040000000000006</v>
      </c>
      <c r="BB29" s="1221" t="str">
        <f t="shared" si="16"/>
        <v/>
      </c>
      <c r="BC29" s="1221" t="str">
        <f t="shared" si="16"/>
        <v/>
      </c>
      <c r="BD29" s="1221" t="str">
        <f t="shared" si="16"/>
        <v/>
      </c>
      <c r="BE29" s="1222" t="str">
        <f t="shared" si="16"/>
        <v/>
      </c>
      <c r="BF29" s="1221" t="str">
        <f t="shared" si="16"/>
        <v/>
      </c>
      <c r="BG29" s="1223" t="str">
        <f t="shared" si="16"/>
        <v/>
      </c>
      <c r="BH29" s="286">
        <f t="shared" si="35"/>
        <v>90.01</v>
      </c>
      <c r="BI29" s="286">
        <f t="shared" si="36"/>
        <v>78.040000000000006</v>
      </c>
      <c r="BJ29" s="287" t="str">
        <f t="shared" si="37"/>
        <v>baik</v>
      </c>
      <c r="BK29" s="287" t="str">
        <f t="shared" si="37"/>
        <v>cukup</v>
      </c>
      <c r="BL29" s="286">
        <f t="shared" si="38"/>
        <v>1</v>
      </c>
      <c r="BM29" s="288">
        <f t="shared" si="39"/>
        <v>4</v>
      </c>
      <c r="BN29"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29" s="67"/>
    </row>
    <row r="30" spans="1:67" ht="33" customHeight="1">
      <c r="A30" s="67"/>
      <c r="B30" s="272">
        <f t="shared" si="23"/>
        <v>17</v>
      </c>
      <c r="C30" s="273">
        <f>IF(Data!F21="","",Data!F21)</f>
        <v>0</v>
      </c>
      <c r="D30" s="274" t="str">
        <f>IF(Data!H21="","",Data!H21)</f>
        <v xml:space="preserve">Hezron Nubatonis </v>
      </c>
      <c r="E30" s="275" t="str">
        <f>IF(Data!I21="","",Data!I21)</f>
        <v>L</v>
      </c>
      <c r="F30" s="276">
        <v>90</v>
      </c>
      <c r="G30" s="276">
        <v>80</v>
      </c>
      <c r="H30" s="276">
        <v>80</v>
      </c>
      <c r="I30" s="276">
        <v>80</v>
      </c>
      <c r="J30" s="277"/>
      <c r="K30" s="277"/>
      <c r="L30" s="277"/>
      <c r="M30" s="280"/>
      <c r="N30" s="277"/>
      <c r="O30" s="278"/>
      <c r="P30" s="279">
        <f t="shared" si="24"/>
        <v>83</v>
      </c>
      <c r="Q30" s="1488">
        <v>80</v>
      </c>
      <c r="R30" s="1488">
        <v>76</v>
      </c>
      <c r="S30" s="281">
        <f t="shared" si="25"/>
        <v>81</v>
      </c>
      <c r="T30" s="295" t="str">
        <f t="shared" si="26"/>
        <v>C</v>
      </c>
      <c r="U30" s="1215">
        <f t="shared" ref="U30:AD55" si="41">IF(F30="","",F30+U$13)</f>
        <v>90.01</v>
      </c>
      <c r="V30" s="1216">
        <f t="shared" si="41"/>
        <v>80.02</v>
      </c>
      <c r="W30" s="1216">
        <f t="shared" si="41"/>
        <v>80.03</v>
      </c>
      <c r="X30" s="1216">
        <f t="shared" si="41"/>
        <v>80.040000000000006</v>
      </c>
      <c r="Y30" s="1216" t="str">
        <f t="shared" si="41"/>
        <v/>
      </c>
      <c r="Z30" s="1216" t="str">
        <f t="shared" si="41"/>
        <v/>
      </c>
      <c r="AA30" s="1216" t="str">
        <f t="shared" si="41"/>
        <v/>
      </c>
      <c r="AB30" s="1217" t="str">
        <f t="shared" si="41"/>
        <v/>
      </c>
      <c r="AC30" s="1216" t="str">
        <f t="shared" si="41"/>
        <v/>
      </c>
      <c r="AD30" s="1218" t="str">
        <f t="shared" si="41"/>
        <v/>
      </c>
      <c r="AE30" s="1219">
        <f t="shared" si="27"/>
        <v>90.01</v>
      </c>
      <c r="AF30" s="282">
        <f t="shared" si="28"/>
        <v>80.02</v>
      </c>
      <c r="AG30" s="282" t="str">
        <f t="shared" si="29"/>
        <v>baik</v>
      </c>
      <c r="AH30" s="282" t="str">
        <f t="shared" si="29"/>
        <v>cukup</v>
      </c>
      <c r="AI30" s="282">
        <f t="shared" si="30"/>
        <v>1</v>
      </c>
      <c r="AJ30" s="283">
        <f t="shared" si="31"/>
        <v>2</v>
      </c>
      <c r="AK30" s="284" t="str">
        <f t="shared" si="32"/>
        <v>Memiliki kemampuan baik dalam Menganalisis berbagai bentuk/jenis sumber Sejarah, cukup kemampuan dalam Menganalisis langkah-langkah penelitian Sejarah terhadap berbagai peristiwa Sejarah</v>
      </c>
      <c r="AL30" s="2">
        <v>90</v>
      </c>
      <c r="AM30" s="277">
        <v>80</v>
      </c>
      <c r="AN30" s="277">
        <v>80</v>
      </c>
      <c r="AO30" s="277">
        <v>80</v>
      </c>
      <c r="AP30" s="277"/>
      <c r="AQ30" s="277"/>
      <c r="AR30" s="277"/>
      <c r="AS30" s="280"/>
      <c r="AT30" s="277"/>
      <c r="AU30" s="278"/>
      <c r="AV30" s="285">
        <f t="shared" si="33"/>
        <v>83</v>
      </c>
      <c r="AW30" s="296" t="str">
        <f t="shared" si="34"/>
        <v>C</v>
      </c>
      <c r="AX30" s="1220">
        <f t="shared" ref="AX30:BG55" si="42">IF(AL30="","",AL30+AX$12)</f>
        <v>90.01</v>
      </c>
      <c r="AY30" s="1221">
        <f t="shared" si="42"/>
        <v>80.02</v>
      </c>
      <c r="AZ30" s="1221">
        <f t="shared" si="42"/>
        <v>80.03</v>
      </c>
      <c r="BA30" s="1221">
        <f t="shared" si="42"/>
        <v>80.040000000000006</v>
      </c>
      <c r="BB30" s="1221" t="str">
        <f t="shared" si="42"/>
        <v/>
      </c>
      <c r="BC30" s="1221" t="str">
        <f t="shared" si="42"/>
        <v/>
      </c>
      <c r="BD30" s="1221" t="str">
        <f t="shared" si="42"/>
        <v/>
      </c>
      <c r="BE30" s="1222" t="str">
        <f t="shared" si="42"/>
        <v/>
      </c>
      <c r="BF30" s="1221" t="str">
        <f t="shared" si="42"/>
        <v/>
      </c>
      <c r="BG30" s="1223" t="str">
        <f t="shared" si="42"/>
        <v/>
      </c>
      <c r="BH30" s="286">
        <f t="shared" si="35"/>
        <v>90.01</v>
      </c>
      <c r="BI30" s="286">
        <f t="shared" si="36"/>
        <v>80.02</v>
      </c>
      <c r="BJ30" s="287" t="str">
        <f t="shared" si="37"/>
        <v>baik</v>
      </c>
      <c r="BK30" s="287" t="str">
        <f t="shared" si="37"/>
        <v>cukup</v>
      </c>
      <c r="BL30" s="286">
        <f t="shared" si="38"/>
        <v>1</v>
      </c>
      <c r="BM30" s="288">
        <f t="shared" si="39"/>
        <v>2</v>
      </c>
      <c r="BN30" s="289" t="str">
        <f t="shared" si="40"/>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BO30" s="67"/>
    </row>
    <row r="31" spans="1:67" ht="33" customHeight="1">
      <c r="A31" s="67"/>
      <c r="B31" s="272">
        <f t="shared" si="23"/>
        <v>18</v>
      </c>
      <c r="C31" s="273">
        <f>IF(Data!F22="","",Data!F22)</f>
        <v>0</v>
      </c>
      <c r="D31" s="274" t="str">
        <f>IF(Data!H22="","",Data!H22)</f>
        <v>Jelita Anita Boimau</v>
      </c>
      <c r="E31" s="275" t="str">
        <f>IF(Data!I22="","",Data!I22)</f>
        <v>P</v>
      </c>
      <c r="F31" s="276">
        <v>90</v>
      </c>
      <c r="G31" s="276">
        <v>90</v>
      </c>
      <c r="H31" s="276">
        <v>80</v>
      </c>
      <c r="I31" s="276">
        <v>80</v>
      </c>
      <c r="J31" s="277"/>
      <c r="K31" s="277"/>
      <c r="L31" s="277"/>
      <c r="M31" s="280"/>
      <c r="N31" s="277"/>
      <c r="O31" s="278"/>
      <c r="P31" s="279">
        <f t="shared" si="24"/>
        <v>85</v>
      </c>
      <c r="Q31" s="1488">
        <v>80</v>
      </c>
      <c r="R31" s="1488">
        <v>76</v>
      </c>
      <c r="S31" s="281">
        <f t="shared" si="25"/>
        <v>82</v>
      </c>
      <c r="T31" s="295" t="str">
        <f t="shared" si="26"/>
        <v>C</v>
      </c>
      <c r="U31" s="1215">
        <f t="shared" si="41"/>
        <v>90.01</v>
      </c>
      <c r="V31" s="1216">
        <f t="shared" si="41"/>
        <v>90.02</v>
      </c>
      <c r="W31" s="1216">
        <f t="shared" si="41"/>
        <v>80.03</v>
      </c>
      <c r="X31" s="1216">
        <f t="shared" si="41"/>
        <v>80.040000000000006</v>
      </c>
      <c r="Y31" s="1216" t="str">
        <f t="shared" si="41"/>
        <v/>
      </c>
      <c r="Z31" s="1216" t="str">
        <f t="shared" si="41"/>
        <v/>
      </c>
      <c r="AA31" s="1216" t="str">
        <f t="shared" si="41"/>
        <v/>
      </c>
      <c r="AB31" s="1217" t="str">
        <f t="shared" si="41"/>
        <v/>
      </c>
      <c r="AC31" s="1216" t="str">
        <f t="shared" si="41"/>
        <v/>
      </c>
      <c r="AD31" s="1218" t="str">
        <f t="shared" si="41"/>
        <v/>
      </c>
      <c r="AE31" s="1219">
        <f t="shared" si="27"/>
        <v>90.02</v>
      </c>
      <c r="AF31" s="282">
        <f t="shared" si="28"/>
        <v>80.03</v>
      </c>
      <c r="AG31" s="282" t="str">
        <f t="shared" si="29"/>
        <v>baik</v>
      </c>
      <c r="AH31" s="282" t="str">
        <f t="shared" si="29"/>
        <v>cukup</v>
      </c>
      <c r="AI31" s="282">
        <f t="shared" si="30"/>
        <v>2</v>
      </c>
      <c r="AJ31" s="283">
        <f t="shared" si="31"/>
        <v>3</v>
      </c>
      <c r="AK31" s="284" t="str">
        <f t="shared" si="32"/>
        <v>Memiliki kemampuan baik dalam Menganalisis langkah-langkah penelitian Sejarah terhadap berbagai peristiwa Sejarah, cukup kemampuan dalam Menganalisis perbedaan ciri-ciri dari historiografi tradisional, kolonial dan modern</v>
      </c>
      <c r="AL31" s="2">
        <v>90</v>
      </c>
      <c r="AM31" s="277">
        <v>80</v>
      </c>
      <c r="AN31" s="277">
        <v>80</v>
      </c>
      <c r="AO31" s="277">
        <v>80</v>
      </c>
      <c r="AP31" s="277"/>
      <c r="AQ31" s="277"/>
      <c r="AR31" s="277"/>
      <c r="AS31" s="280"/>
      <c r="AT31" s="277"/>
      <c r="AU31" s="278"/>
      <c r="AV31" s="285">
        <f t="shared" si="33"/>
        <v>83</v>
      </c>
      <c r="AW31" s="296" t="str">
        <f t="shared" si="34"/>
        <v>C</v>
      </c>
      <c r="AX31" s="1220">
        <f t="shared" si="42"/>
        <v>90.01</v>
      </c>
      <c r="AY31" s="1221">
        <f t="shared" si="42"/>
        <v>80.02</v>
      </c>
      <c r="AZ31" s="1221">
        <f t="shared" si="42"/>
        <v>80.03</v>
      </c>
      <c r="BA31" s="1221">
        <f t="shared" si="42"/>
        <v>80.040000000000006</v>
      </c>
      <c r="BB31" s="1221" t="str">
        <f t="shared" si="42"/>
        <v/>
      </c>
      <c r="BC31" s="1221" t="str">
        <f t="shared" si="42"/>
        <v/>
      </c>
      <c r="BD31" s="1221" t="str">
        <f t="shared" si="42"/>
        <v/>
      </c>
      <c r="BE31" s="1222" t="str">
        <f t="shared" si="42"/>
        <v/>
      </c>
      <c r="BF31" s="1221" t="str">
        <f t="shared" si="42"/>
        <v/>
      </c>
      <c r="BG31" s="1223" t="str">
        <f t="shared" si="42"/>
        <v/>
      </c>
      <c r="BH31" s="286">
        <f t="shared" si="35"/>
        <v>90.01</v>
      </c>
      <c r="BI31" s="286">
        <f t="shared" si="36"/>
        <v>80.02</v>
      </c>
      <c r="BJ31" s="287" t="str">
        <f t="shared" si="37"/>
        <v>baik</v>
      </c>
      <c r="BK31" s="287" t="str">
        <f t="shared" si="37"/>
        <v>cukup</v>
      </c>
      <c r="BL31" s="286">
        <f t="shared" si="38"/>
        <v>1</v>
      </c>
      <c r="BM31" s="288">
        <f t="shared" si="39"/>
        <v>2</v>
      </c>
      <c r="BN31" s="289" t="str">
        <f t="shared" si="40"/>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BO31" s="67"/>
    </row>
    <row r="32" spans="1:67" ht="33" customHeight="1">
      <c r="A32" s="67"/>
      <c r="B32" s="272">
        <f t="shared" si="23"/>
        <v>19</v>
      </c>
      <c r="C32" s="273">
        <f>IF(Data!F23="","",Data!F23)</f>
        <v>0</v>
      </c>
      <c r="D32" s="274" t="str">
        <f>IF(Data!H23="","",Data!H23)</f>
        <v>Jidon Nubatonis</v>
      </c>
      <c r="E32" s="275" t="str">
        <f>IF(Data!I23="","",Data!I23)</f>
        <v>L</v>
      </c>
      <c r="F32" s="276">
        <v>90</v>
      </c>
      <c r="G32" s="276">
        <v>80</v>
      </c>
      <c r="H32" s="276">
        <v>80</v>
      </c>
      <c r="I32" s="276">
        <v>80</v>
      </c>
      <c r="J32" s="277"/>
      <c r="K32" s="277"/>
      <c r="L32" s="277"/>
      <c r="M32" s="280"/>
      <c r="N32" s="277"/>
      <c r="O32" s="278"/>
      <c r="P32" s="279">
        <f t="shared" si="24"/>
        <v>83</v>
      </c>
      <c r="Q32" s="1488">
        <v>80</v>
      </c>
      <c r="R32" s="1488">
        <v>76</v>
      </c>
      <c r="S32" s="281">
        <f t="shared" si="25"/>
        <v>81</v>
      </c>
      <c r="T32" s="295" t="str">
        <f t="shared" si="26"/>
        <v>C</v>
      </c>
      <c r="U32" s="1215">
        <f t="shared" si="41"/>
        <v>90.01</v>
      </c>
      <c r="V32" s="1216">
        <f t="shared" si="41"/>
        <v>80.02</v>
      </c>
      <c r="W32" s="1216">
        <f t="shared" si="41"/>
        <v>80.03</v>
      </c>
      <c r="X32" s="1216">
        <f t="shared" si="41"/>
        <v>80.040000000000006</v>
      </c>
      <c r="Y32" s="1216" t="str">
        <f t="shared" si="41"/>
        <v/>
      </c>
      <c r="Z32" s="1216" t="str">
        <f t="shared" si="41"/>
        <v/>
      </c>
      <c r="AA32" s="1216" t="str">
        <f t="shared" si="41"/>
        <v/>
      </c>
      <c r="AB32" s="1217" t="str">
        <f t="shared" si="41"/>
        <v/>
      </c>
      <c r="AC32" s="1216" t="str">
        <f t="shared" si="41"/>
        <v/>
      </c>
      <c r="AD32" s="1218" t="str">
        <f t="shared" si="41"/>
        <v/>
      </c>
      <c r="AE32" s="1219">
        <f t="shared" si="27"/>
        <v>90.01</v>
      </c>
      <c r="AF32" s="282">
        <f t="shared" si="28"/>
        <v>80.02</v>
      </c>
      <c r="AG32" s="282" t="str">
        <f t="shared" si="29"/>
        <v>baik</v>
      </c>
      <c r="AH32" s="282" t="str">
        <f t="shared" si="29"/>
        <v>cukup</v>
      </c>
      <c r="AI32" s="282">
        <f t="shared" si="30"/>
        <v>1</v>
      </c>
      <c r="AJ32" s="283">
        <f t="shared" si="31"/>
        <v>2</v>
      </c>
      <c r="AK32" s="284" t="str">
        <f t="shared" si="32"/>
        <v>Memiliki kemampuan baik dalam Menganalisis berbagai bentuk/jenis sumber Sejarah, cukup kemampuan dalam Menganalisis langkah-langkah penelitian Sejarah terhadap berbagai peristiwa Sejarah</v>
      </c>
      <c r="AL32" s="2">
        <v>90</v>
      </c>
      <c r="AM32" s="277">
        <v>80</v>
      </c>
      <c r="AN32" s="277">
        <v>80</v>
      </c>
      <c r="AO32" s="277">
        <v>80</v>
      </c>
      <c r="AP32" s="277"/>
      <c r="AQ32" s="277"/>
      <c r="AR32" s="277"/>
      <c r="AS32" s="280"/>
      <c r="AT32" s="277"/>
      <c r="AU32" s="278"/>
      <c r="AV32" s="285">
        <f t="shared" si="33"/>
        <v>83</v>
      </c>
      <c r="AW32" s="296" t="str">
        <f t="shared" si="34"/>
        <v>C</v>
      </c>
      <c r="AX32" s="1220">
        <f t="shared" si="42"/>
        <v>90.01</v>
      </c>
      <c r="AY32" s="1221">
        <f t="shared" si="42"/>
        <v>80.02</v>
      </c>
      <c r="AZ32" s="1221">
        <f t="shared" si="42"/>
        <v>80.03</v>
      </c>
      <c r="BA32" s="1221">
        <f t="shared" si="42"/>
        <v>80.040000000000006</v>
      </c>
      <c r="BB32" s="1221" t="str">
        <f t="shared" si="42"/>
        <v/>
      </c>
      <c r="BC32" s="1221" t="str">
        <f t="shared" si="42"/>
        <v/>
      </c>
      <c r="BD32" s="1221" t="str">
        <f t="shared" si="42"/>
        <v/>
      </c>
      <c r="BE32" s="1222" t="str">
        <f t="shared" si="42"/>
        <v/>
      </c>
      <c r="BF32" s="1221" t="str">
        <f t="shared" si="42"/>
        <v/>
      </c>
      <c r="BG32" s="1223" t="str">
        <f t="shared" si="42"/>
        <v/>
      </c>
      <c r="BH32" s="286">
        <f t="shared" si="35"/>
        <v>90.01</v>
      </c>
      <c r="BI32" s="286">
        <f t="shared" si="36"/>
        <v>80.02</v>
      </c>
      <c r="BJ32" s="287" t="str">
        <f t="shared" si="37"/>
        <v>baik</v>
      </c>
      <c r="BK32" s="287" t="str">
        <f t="shared" si="37"/>
        <v>cukup</v>
      </c>
      <c r="BL32" s="286">
        <f t="shared" si="38"/>
        <v>1</v>
      </c>
      <c r="BM32" s="288">
        <f t="shared" si="39"/>
        <v>2</v>
      </c>
      <c r="BN32" s="289" t="str">
        <f t="shared" si="40"/>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BO32" s="67"/>
    </row>
    <row r="33" spans="1:67" ht="33" customHeight="1">
      <c r="A33" s="67"/>
      <c r="B33" s="272">
        <f t="shared" si="23"/>
        <v>20</v>
      </c>
      <c r="C33" s="273">
        <f>IF(Data!F24="","",Data!F24)</f>
        <v>0</v>
      </c>
      <c r="D33" s="274" t="str">
        <f>IF(Data!H24="","",Data!H24)</f>
        <v>Jitro Andro Baran</v>
      </c>
      <c r="E33" s="275" t="str">
        <f>IF(Data!I24="","",Data!I24)</f>
        <v>L</v>
      </c>
      <c r="F33" s="276">
        <v>90</v>
      </c>
      <c r="G33" s="276">
        <v>80</v>
      </c>
      <c r="H33" s="276">
        <v>80</v>
      </c>
      <c r="I33" s="276">
        <v>80</v>
      </c>
      <c r="J33" s="277"/>
      <c r="K33" s="277"/>
      <c r="L33" s="277"/>
      <c r="M33" s="280"/>
      <c r="N33" s="277"/>
      <c r="O33" s="278"/>
      <c r="P33" s="279">
        <f t="shared" si="24"/>
        <v>83</v>
      </c>
      <c r="Q33" s="1488">
        <v>80</v>
      </c>
      <c r="R33" s="1488">
        <v>76</v>
      </c>
      <c r="S33" s="281">
        <f t="shared" si="25"/>
        <v>81</v>
      </c>
      <c r="T33" s="295" t="str">
        <f t="shared" si="26"/>
        <v>C</v>
      </c>
      <c r="U33" s="1215">
        <f t="shared" si="41"/>
        <v>90.01</v>
      </c>
      <c r="V33" s="1216">
        <f t="shared" si="41"/>
        <v>80.02</v>
      </c>
      <c r="W33" s="1216">
        <f t="shared" si="41"/>
        <v>80.03</v>
      </c>
      <c r="X33" s="1216">
        <f t="shared" si="41"/>
        <v>80.040000000000006</v>
      </c>
      <c r="Y33" s="1216" t="str">
        <f t="shared" si="41"/>
        <v/>
      </c>
      <c r="Z33" s="1216" t="str">
        <f t="shared" si="41"/>
        <v/>
      </c>
      <c r="AA33" s="1216" t="str">
        <f t="shared" si="41"/>
        <v/>
      </c>
      <c r="AB33" s="1217" t="str">
        <f t="shared" si="41"/>
        <v/>
      </c>
      <c r="AC33" s="1216" t="str">
        <f t="shared" si="41"/>
        <v/>
      </c>
      <c r="AD33" s="1218" t="str">
        <f t="shared" si="41"/>
        <v/>
      </c>
      <c r="AE33" s="1219">
        <f t="shared" si="27"/>
        <v>90.01</v>
      </c>
      <c r="AF33" s="282">
        <f t="shared" si="28"/>
        <v>80.02</v>
      </c>
      <c r="AG33" s="282" t="str">
        <f t="shared" si="29"/>
        <v>baik</v>
      </c>
      <c r="AH33" s="282" t="str">
        <f t="shared" si="29"/>
        <v>cukup</v>
      </c>
      <c r="AI33" s="282">
        <f t="shared" si="30"/>
        <v>1</v>
      </c>
      <c r="AJ33" s="283">
        <f t="shared" si="31"/>
        <v>2</v>
      </c>
      <c r="AK33" s="284" t="str">
        <f t="shared" si="32"/>
        <v>Memiliki kemampuan baik dalam Menganalisis berbagai bentuk/jenis sumber Sejarah, cukup kemampuan dalam Menganalisis langkah-langkah penelitian Sejarah terhadap berbagai peristiwa Sejarah</v>
      </c>
      <c r="AL33" s="2">
        <v>90</v>
      </c>
      <c r="AM33" s="277">
        <v>80</v>
      </c>
      <c r="AN33" s="277">
        <v>80</v>
      </c>
      <c r="AO33" s="277">
        <v>78</v>
      </c>
      <c r="AP33" s="277"/>
      <c r="AQ33" s="277"/>
      <c r="AR33" s="277"/>
      <c r="AS33" s="280"/>
      <c r="AT33" s="277"/>
      <c r="AU33" s="278"/>
      <c r="AV33" s="285">
        <f t="shared" si="33"/>
        <v>82</v>
      </c>
      <c r="AW33" s="296" t="str">
        <f t="shared" si="34"/>
        <v>C</v>
      </c>
      <c r="AX33" s="1220">
        <f t="shared" si="42"/>
        <v>90.01</v>
      </c>
      <c r="AY33" s="1221">
        <f t="shared" si="42"/>
        <v>80.02</v>
      </c>
      <c r="AZ33" s="1221">
        <f t="shared" si="42"/>
        <v>80.03</v>
      </c>
      <c r="BA33" s="1221">
        <f t="shared" si="42"/>
        <v>78.040000000000006</v>
      </c>
      <c r="BB33" s="1221" t="str">
        <f t="shared" si="42"/>
        <v/>
      </c>
      <c r="BC33" s="1221" t="str">
        <f t="shared" si="42"/>
        <v/>
      </c>
      <c r="BD33" s="1221" t="str">
        <f t="shared" si="42"/>
        <v/>
      </c>
      <c r="BE33" s="1222" t="str">
        <f t="shared" si="42"/>
        <v/>
      </c>
      <c r="BF33" s="1221" t="str">
        <f t="shared" si="42"/>
        <v/>
      </c>
      <c r="BG33" s="1223" t="str">
        <f t="shared" si="42"/>
        <v/>
      </c>
      <c r="BH33" s="286">
        <f t="shared" si="35"/>
        <v>90.01</v>
      </c>
      <c r="BI33" s="286">
        <f t="shared" si="36"/>
        <v>78.040000000000006</v>
      </c>
      <c r="BJ33" s="287" t="str">
        <f t="shared" si="37"/>
        <v>baik</v>
      </c>
      <c r="BK33" s="287" t="str">
        <f t="shared" si="37"/>
        <v>cukup</v>
      </c>
      <c r="BL33" s="286">
        <f t="shared" si="38"/>
        <v>1</v>
      </c>
      <c r="BM33" s="288">
        <f t="shared" si="39"/>
        <v>4</v>
      </c>
      <c r="BN33"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33" s="67"/>
    </row>
    <row r="34" spans="1:67" ht="33" customHeight="1">
      <c r="A34" s="67"/>
      <c r="B34" s="272">
        <f t="shared" si="23"/>
        <v>21</v>
      </c>
      <c r="C34" s="273">
        <f>IF(Data!F25="","",Data!F25)</f>
        <v>0</v>
      </c>
      <c r="D34" s="274" t="str">
        <f>IF(Data!H25="","",Data!H25)</f>
        <v>Juan Manuel Boys</v>
      </c>
      <c r="E34" s="275" t="str">
        <f>IF(Data!I25="","",Data!I25)</f>
        <v>L</v>
      </c>
      <c r="F34" s="276">
        <v>90</v>
      </c>
      <c r="G34" s="276">
        <v>80</v>
      </c>
      <c r="H34" s="276">
        <v>80</v>
      </c>
      <c r="I34" s="276">
        <v>80</v>
      </c>
      <c r="J34" s="277"/>
      <c r="K34" s="277"/>
      <c r="L34" s="277"/>
      <c r="M34" s="280"/>
      <c r="N34" s="277"/>
      <c r="O34" s="278"/>
      <c r="P34" s="279">
        <f t="shared" si="24"/>
        <v>83</v>
      </c>
      <c r="Q34" s="1488">
        <v>80</v>
      </c>
      <c r="R34" s="1488">
        <v>76</v>
      </c>
      <c r="S34" s="281">
        <f t="shared" si="25"/>
        <v>81</v>
      </c>
      <c r="T34" s="295" t="str">
        <f t="shared" si="26"/>
        <v>C</v>
      </c>
      <c r="U34" s="1215">
        <f t="shared" si="41"/>
        <v>90.01</v>
      </c>
      <c r="V34" s="1216">
        <f t="shared" si="41"/>
        <v>80.02</v>
      </c>
      <c r="W34" s="1216">
        <f t="shared" si="41"/>
        <v>80.03</v>
      </c>
      <c r="X34" s="1216">
        <f t="shared" si="41"/>
        <v>80.040000000000006</v>
      </c>
      <c r="Y34" s="1216" t="str">
        <f t="shared" si="41"/>
        <v/>
      </c>
      <c r="Z34" s="1216" t="str">
        <f t="shared" si="41"/>
        <v/>
      </c>
      <c r="AA34" s="1216" t="str">
        <f t="shared" si="41"/>
        <v/>
      </c>
      <c r="AB34" s="1217" t="str">
        <f t="shared" si="41"/>
        <v/>
      </c>
      <c r="AC34" s="1216" t="str">
        <f t="shared" si="41"/>
        <v/>
      </c>
      <c r="AD34" s="1218" t="str">
        <f t="shared" si="41"/>
        <v/>
      </c>
      <c r="AE34" s="1219">
        <f t="shared" si="27"/>
        <v>90.01</v>
      </c>
      <c r="AF34" s="282">
        <f t="shared" si="28"/>
        <v>80.02</v>
      </c>
      <c r="AG34" s="282" t="str">
        <f t="shared" si="29"/>
        <v>baik</v>
      </c>
      <c r="AH34" s="282" t="str">
        <f t="shared" si="29"/>
        <v>cukup</v>
      </c>
      <c r="AI34" s="282">
        <f t="shared" si="30"/>
        <v>1</v>
      </c>
      <c r="AJ34" s="283">
        <f t="shared" si="31"/>
        <v>2</v>
      </c>
      <c r="AK34" s="284" t="str">
        <f t="shared" si="32"/>
        <v>Memiliki kemampuan baik dalam Menganalisis berbagai bentuk/jenis sumber Sejarah, cukup kemampuan dalam Menganalisis langkah-langkah penelitian Sejarah terhadap berbagai peristiwa Sejarah</v>
      </c>
      <c r="AL34" s="2">
        <v>90</v>
      </c>
      <c r="AM34" s="277">
        <v>80</v>
      </c>
      <c r="AN34" s="277">
        <v>80</v>
      </c>
      <c r="AO34" s="277">
        <v>78</v>
      </c>
      <c r="AP34" s="277"/>
      <c r="AQ34" s="277"/>
      <c r="AR34" s="277"/>
      <c r="AS34" s="280"/>
      <c r="AT34" s="277"/>
      <c r="AU34" s="278"/>
      <c r="AV34" s="285">
        <f t="shared" si="33"/>
        <v>82</v>
      </c>
      <c r="AW34" s="296" t="str">
        <f t="shared" si="34"/>
        <v>C</v>
      </c>
      <c r="AX34" s="1220">
        <f t="shared" si="42"/>
        <v>90.01</v>
      </c>
      <c r="AY34" s="1221">
        <f t="shared" si="42"/>
        <v>80.02</v>
      </c>
      <c r="AZ34" s="1221">
        <f t="shared" si="42"/>
        <v>80.03</v>
      </c>
      <c r="BA34" s="1221">
        <f t="shared" si="42"/>
        <v>78.040000000000006</v>
      </c>
      <c r="BB34" s="1221" t="str">
        <f t="shared" si="42"/>
        <v/>
      </c>
      <c r="BC34" s="1221" t="str">
        <f t="shared" si="42"/>
        <v/>
      </c>
      <c r="BD34" s="1221" t="str">
        <f t="shared" si="42"/>
        <v/>
      </c>
      <c r="BE34" s="1222" t="str">
        <f t="shared" si="42"/>
        <v/>
      </c>
      <c r="BF34" s="1221" t="str">
        <f t="shared" si="42"/>
        <v/>
      </c>
      <c r="BG34" s="1223" t="str">
        <f t="shared" si="42"/>
        <v/>
      </c>
      <c r="BH34" s="286">
        <f t="shared" si="35"/>
        <v>90.01</v>
      </c>
      <c r="BI34" s="286">
        <f t="shared" si="36"/>
        <v>78.040000000000006</v>
      </c>
      <c r="BJ34" s="287" t="str">
        <f t="shared" si="37"/>
        <v>baik</v>
      </c>
      <c r="BK34" s="287" t="str">
        <f t="shared" si="37"/>
        <v>cukup</v>
      </c>
      <c r="BL34" s="286">
        <f t="shared" si="38"/>
        <v>1</v>
      </c>
      <c r="BM34" s="288">
        <f t="shared" si="39"/>
        <v>4</v>
      </c>
      <c r="BN34"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34" s="67"/>
    </row>
    <row r="35" spans="1:67" ht="33" customHeight="1">
      <c r="A35" s="67"/>
      <c r="B35" s="272">
        <f t="shared" si="23"/>
        <v>22</v>
      </c>
      <c r="C35" s="273">
        <f>IF(Data!F26="","",Data!F26)</f>
        <v>0</v>
      </c>
      <c r="D35" s="274" t="str">
        <f>IF(Data!H26="","",Data!H26)</f>
        <v>Krisyanti Ernela Kesnay</v>
      </c>
      <c r="E35" s="275" t="str">
        <f>IF(Data!I26="","",Data!I26)</f>
        <v>P</v>
      </c>
      <c r="F35" s="276">
        <v>90</v>
      </c>
      <c r="G35" s="276">
        <v>80</v>
      </c>
      <c r="H35" s="276">
        <v>80</v>
      </c>
      <c r="I35" s="276">
        <v>80</v>
      </c>
      <c r="J35" s="277"/>
      <c r="K35" s="277"/>
      <c r="L35" s="277"/>
      <c r="M35" s="280"/>
      <c r="N35" s="277"/>
      <c r="O35" s="278"/>
      <c r="P35" s="279">
        <f t="shared" si="24"/>
        <v>83</v>
      </c>
      <c r="Q35" s="1488">
        <v>80</v>
      </c>
      <c r="R35" s="1488">
        <v>76</v>
      </c>
      <c r="S35" s="281">
        <f t="shared" si="25"/>
        <v>81</v>
      </c>
      <c r="T35" s="295" t="str">
        <f t="shared" si="26"/>
        <v>C</v>
      </c>
      <c r="U35" s="1215">
        <f t="shared" si="41"/>
        <v>90.01</v>
      </c>
      <c r="V35" s="1216">
        <f t="shared" si="41"/>
        <v>80.02</v>
      </c>
      <c r="W35" s="1216">
        <f t="shared" si="41"/>
        <v>80.03</v>
      </c>
      <c r="X35" s="1216">
        <f t="shared" si="41"/>
        <v>80.040000000000006</v>
      </c>
      <c r="Y35" s="1216" t="str">
        <f t="shared" si="41"/>
        <v/>
      </c>
      <c r="Z35" s="1216" t="str">
        <f t="shared" si="41"/>
        <v/>
      </c>
      <c r="AA35" s="1216" t="str">
        <f t="shared" si="41"/>
        <v/>
      </c>
      <c r="AB35" s="1217" t="str">
        <f t="shared" si="41"/>
        <v/>
      </c>
      <c r="AC35" s="1216" t="str">
        <f t="shared" si="41"/>
        <v/>
      </c>
      <c r="AD35" s="1218" t="str">
        <f t="shared" si="41"/>
        <v/>
      </c>
      <c r="AE35" s="1219">
        <f t="shared" si="27"/>
        <v>90.01</v>
      </c>
      <c r="AF35" s="282">
        <f t="shared" si="28"/>
        <v>80.02</v>
      </c>
      <c r="AG35" s="282" t="str">
        <f t="shared" si="29"/>
        <v>baik</v>
      </c>
      <c r="AH35" s="282" t="str">
        <f t="shared" si="29"/>
        <v>cukup</v>
      </c>
      <c r="AI35" s="282">
        <f t="shared" si="30"/>
        <v>1</v>
      </c>
      <c r="AJ35" s="283">
        <f t="shared" si="31"/>
        <v>2</v>
      </c>
      <c r="AK35" s="284" t="str">
        <f t="shared" si="32"/>
        <v>Memiliki kemampuan baik dalam Menganalisis berbagai bentuk/jenis sumber Sejarah, cukup kemampuan dalam Menganalisis langkah-langkah penelitian Sejarah terhadap berbagai peristiwa Sejarah</v>
      </c>
      <c r="AL35" s="2">
        <v>90</v>
      </c>
      <c r="AM35" s="277">
        <v>80</v>
      </c>
      <c r="AN35" s="277">
        <v>80</v>
      </c>
      <c r="AO35" s="277">
        <v>78</v>
      </c>
      <c r="AP35" s="277"/>
      <c r="AQ35" s="277"/>
      <c r="AR35" s="277"/>
      <c r="AS35" s="280"/>
      <c r="AT35" s="277"/>
      <c r="AU35" s="278"/>
      <c r="AV35" s="285">
        <f t="shared" si="33"/>
        <v>82</v>
      </c>
      <c r="AW35" s="296" t="str">
        <f t="shared" si="34"/>
        <v>C</v>
      </c>
      <c r="AX35" s="1220">
        <f t="shared" si="42"/>
        <v>90.01</v>
      </c>
      <c r="AY35" s="1221">
        <f t="shared" si="42"/>
        <v>80.02</v>
      </c>
      <c r="AZ35" s="1221">
        <f t="shared" si="42"/>
        <v>80.03</v>
      </c>
      <c r="BA35" s="1221">
        <f t="shared" si="42"/>
        <v>78.040000000000006</v>
      </c>
      <c r="BB35" s="1221" t="str">
        <f t="shared" si="42"/>
        <v/>
      </c>
      <c r="BC35" s="1221" t="str">
        <f t="shared" si="42"/>
        <v/>
      </c>
      <c r="BD35" s="1221" t="str">
        <f t="shared" si="42"/>
        <v/>
      </c>
      <c r="BE35" s="1222" t="str">
        <f t="shared" si="42"/>
        <v/>
      </c>
      <c r="BF35" s="1221" t="str">
        <f t="shared" si="42"/>
        <v/>
      </c>
      <c r="BG35" s="1223" t="str">
        <f t="shared" si="42"/>
        <v/>
      </c>
      <c r="BH35" s="286">
        <f t="shared" si="35"/>
        <v>90.01</v>
      </c>
      <c r="BI35" s="286">
        <f t="shared" si="36"/>
        <v>78.040000000000006</v>
      </c>
      <c r="BJ35" s="287" t="str">
        <f t="shared" si="37"/>
        <v>baik</v>
      </c>
      <c r="BK35" s="287" t="str">
        <f t="shared" si="37"/>
        <v>cukup</v>
      </c>
      <c r="BL35" s="286">
        <f t="shared" si="38"/>
        <v>1</v>
      </c>
      <c r="BM35" s="288">
        <f t="shared" si="39"/>
        <v>4</v>
      </c>
      <c r="BN35"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35" s="67"/>
    </row>
    <row r="36" spans="1:67" ht="33" customHeight="1">
      <c r="A36" s="67"/>
      <c r="B36" s="272">
        <f t="shared" si="23"/>
        <v>23</v>
      </c>
      <c r="C36" s="273">
        <f>IF(Data!F27="","",Data!F27)</f>
        <v>0</v>
      </c>
      <c r="D36" s="274" t="str">
        <f>IF(Data!H27="","",Data!H27)</f>
        <v>Leni Aknesia Knoan</v>
      </c>
      <c r="E36" s="275" t="str">
        <f>IF(Data!I27="","",Data!I27)</f>
        <v>P</v>
      </c>
      <c r="F36" s="276">
        <v>90</v>
      </c>
      <c r="G36" s="276">
        <v>80</v>
      </c>
      <c r="H36" s="276">
        <v>80</v>
      </c>
      <c r="I36" s="276">
        <v>80</v>
      </c>
      <c r="J36" s="277"/>
      <c r="K36" s="277"/>
      <c r="L36" s="277"/>
      <c r="M36" s="280"/>
      <c r="N36" s="277"/>
      <c r="O36" s="278"/>
      <c r="P36" s="279">
        <f t="shared" si="24"/>
        <v>83</v>
      </c>
      <c r="Q36" s="1488">
        <v>80</v>
      </c>
      <c r="R36" s="1488">
        <v>76</v>
      </c>
      <c r="S36" s="281">
        <f t="shared" si="25"/>
        <v>81</v>
      </c>
      <c r="T36" s="295" t="str">
        <f t="shared" si="26"/>
        <v>C</v>
      </c>
      <c r="U36" s="1215">
        <f t="shared" si="41"/>
        <v>90.01</v>
      </c>
      <c r="V36" s="1216">
        <f t="shared" si="41"/>
        <v>80.02</v>
      </c>
      <c r="W36" s="1216">
        <f t="shared" si="41"/>
        <v>80.03</v>
      </c>
      <c r="X36" s="1216">
        <f t="shared" si="41"/>
        <v>80.040000000000006</v>
      </c>
      <c r="Y36" s="1216" t="str">
        <f t="shared" si="41"/>
        <v/>
      </c>
      <c r="Z36" s="1216" t="str">
        <f t="shared" si="41"/>
        <v/>
      </c>
      <c r="AA36" s="1216" t="str">
        <f t="shared" si="41"/>
        <v/>
      </c>
      <c r="AB36" s="1217" t="str">
        <f t="shared" si="41"/>
        <v/>
      </c>
      <c r="AC36" s="1216" t="str">
        <f t="shared" si="41"/>
        <v/>
      </c>
      <c r="AD36" s="1218" t="str">
        <f t="shared" si="41"/>
        <v/>
      </c>
      <c r="AE36" s="1219">
        <f t="shared" si="27"/>
        <v>90.01</v>
      </c>
      <c r="AF36" s="282">
        <f t="shared" si="28"/>
        <v>80.02</v>
      </c>
      <c r="AG36" s="282" t="str">
        <f t="shared" si="29"/>
        <v>baik</v>
      </c>
      <c r="AH36" s="282" t="str">
        <f t="shared" si="29"/>
        <v>cukup</v>
      </c>
      <c r="AI36" s="282">
        <f t="shared" si="30"/>
        <v>1</v>
      </c>
      <c r="AJ36" s="283">
        <f t="shared" si="31"/>
        <v>2</v>
      </c>
      <c r="AK36" s="284" t="str">
        <f t="shared" si="32"/>
        <v>Memiliki kemampuan baik dalam Menganalisis berbagai bentuk/jenis sumber Sejarah, cukup kemampuan dalam Menganalisis langkah-langkah penelitian Sejarah terhadap berbagai peristiwa Sejarah</v>
      </c>
      <c r="AL36" s="2">
        <v>90</v>
      </c>
      <c r="AM36" s="277">
        <v>80</v>
      </c>
      <c r="AN36" s="277">
        <v>80</v>
      </c>
      <c r="AO36" s="277">
        <v>78</v>
      </c>
      <c r="AP36" s="277"/>
      <c r="AQ36" s="277"/>
      <c r="AR36" s="277"/>
      <c r="AS36" s="280"/>
      <c r="AT36" s="277"/>
      <c r="AU36" s="278"/>
      <c r="AV36" s="285">
        <f t="shared" si="33"/>
        <v>82</v>
      </c>
      <c r="AW36" s="296" t="str">
        <f t="shared" si="34"/>
        <v>C</v>
      </c>
      <c r="AX36" s="1220">
        <f t="shared" si="42"/>
        <v>90.01</v>
      </c>
      <c r="AY36" s="1221">
        <f t="shared" si="42"/>
        <v>80.02</v>
      </c>
      <c r="AZ36" s="1221">
        <f t="shared" si="42"/>
        <v>80.03</v>
      </c>
      <c r="BA36" s="1221">
        <f t="shared" si="42"/>
        <v>78.040000000000006</v>
      </c>
      <c r="BB36" s="1221" t="str">
        <f t="shared" si="42"/>
        <v/>
      </c>
      <c r="BC36" s="1221" t="str">
        <f t="shared" si="42"/>
        <v/>
      </c>
      <c r="BD36" s="1221" t="str">
        <f t="shared" si="42"/>
        <v/>
      </c>
      <c r="BE36" s="1222" t="str">
        <f t="shared" si="42"/>
        <v/>
      </c>
      <c r="BF36" s="1221" t="str">
        <f t="shared" si="42"/>
        <v/>
      </c>
      <c r="BG36" s="1223" t="str">
        <f t="shared" si="42"/>
        <v/>
      </c>
      <c r="BH36" s="286">
        <f t="shared" si="35"/>
        <v>90.01</v>
      </c>
      <c r="BI36" s="286">
        <f t="shared" si="36"/>
        <v>78.040000000000006</v>
      </c>
      <c r="BJ36" s="287" t="str">
        <f t="shared" si="37"/>
        <v>baik</v>
      </c>
      <c r="BK36" s="287" t="str">
        <f t="shared" si="37"/>
        <v>cukup</v>
      </c>
      <c r="BL36" s="286">
        <f t="shared" si="38"/>
        <v>1</v>
      </c>
      <c r="BM36" s="288">
        <f t="shared" si="39"/>
        <v>4</v>
      </c>
      <c r="BN36"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36" s="67"/>
    </row>
    <row r="37" spans="1:67" ht="33" customHeight="1">
      <c r="A37" s="67"/>
      <c r="B37" s="272">
        <f t="shared" si="23"/>
        <v>24</v>
      </c>
      <c r="C37" s="273">
        <f>IF(Data!F28="","",Data!F28)</f>
        <v>0</v>
      </c>
      <c r="D37" s="274" t="str">
        <f>IF(Data!H28="","",Data!H28)</f>
        <v>Marlon Dioninsius Lalus</v>
      </c>
      <c r="E37" s="275" t="str">
        <f>IF(Data!I28="","",Data!I28)</f>
        <v>L</v>
      </c>
      <c r="F37" s="276">
        <v>90</v>
      </c>
      <c r="G37" s="276">
        <v>80</v>
      </c>
      <c r="H37" s="276">
        <v>80</v>
      </c>
      <c r="I37" s="276">
        <v>80</v>
      </c>
      <c r="J37" s="277"/>
      <c r="K37" s="277"/>
      <c r="L37" s="277"/>
      <c r="M37" s="280"/>
      <c r="N37" s="277"/>
      <c r="O37" s="278"/>
      <c r="P37" s="279">
        <f t="shared" si="24"/>
        <v>83</v>
      </c>
      <c r="Q37" s="1488">
        <v>80</v>
      </c>
      <c r="R37" s="1488">
        <v>76</v>
      </c>
      <c r="S37" s="281">
        <f t="shared" si="25"/>
        <v>81</v>
      </c>
      <c r="T37" s="295" t="str">
        <f t="shared" si="26"/>
        <v>C</v>
      </c>
      <c r="U37" s="1215">
        <f t="shared" si="41"/>
        <v>90.01</v>
      </c>
      <c r="V37" s="1216">
        <f t="shared" si="41"/>
        <v>80.02</v>
      </c>
      <c r="W37" s="1216">
        <f t="shared" si="41"/>
        <v>80.03</v>
      </c>
      <c r="X37" s="1216">
        <f t="shared" si="41"/>
        <v>80.040000000000006</v>
      </c>
      <c r="Y37" s="1216" t="str">
        <f t="shared" si="41"/>
        <v/>
      </c>
      <c r="Z37" s="1216" t="str">
        <f t="shared" si="41"/>
        <v/>
      </c>
      <c r="AA37" s="1216" t="str">
        <f t="shared" si="41"/>
        <v/>
      </c>
      <c r="AB37" s="1217" t="str">
        <f t="shared" si="41"/>
        <v/>
      </c>
      <c r="AC37" s="1216" t="str">
        <f t="shared" si="41"/>
        <v/>
      </c>
      <c r="AD37" s="1218" t="str">
        <f t="shared" si="41"/>
        <v/>
      </c>
      <c r="AE37" s="1219">
        <f t="shared" si="27"/>
        <v>90.01</v>
      </c>
      <c r="AF37" s="282">
        <f t="shared" si="28"/>
        <v>80.02</v>
      </c>
      <c r="AG37" s="282" t="str">
        <f t="shared" si="29"/>
        <v>baik</v>
      </c>
      <c r="AH37" s="282" t="str">
        <f t="shared" si="29"/>
        <v>cukup</v>
      </c>
      <c r="AI37" s="282">
        <f t="shared" si="30"/>
        <v>1</v>
      </c>
      <c r="AJ37" s="283">
        <f t="shared" si="31"/>
        <v>2</v>
      </c>
      <c r="AK37" s="284" t="str">
        <f t="shared" si="32"/>
        <v>Memiliki kemampuan baik dalam Menganalisis berbagai bentuk/jenis sumber Sejarah, cukup kemampuan dalam Menganalisis langkah-langkah penelitian Sejarah terhadap berbagai peristiwa Sejarah</v>
      </c>
      <c r="AL37" s="2">
        <v>90</v>
      </c>
      <c r="AM37" s="277">
        <v>80</v>
      </c>
      <c r="AN37" s="277">
        <v>80</v>
      </c>
      <c r="AO37" s="277">
        <v>76</v>
      </c>
      <c r="AP37" s="277"/>
      <c r="AQ37" s="277"/>
      <c r="AR37" s="277"/>
      <c r="AS37" s="280"/>
      <c r="AT37" s="277"/>
      <c r="AU37" s="278"/>
      <c r="AV37" s="285">
        <f t="shared" si="33"/>
        <v>82</v>
      </c>
      <c r="AW37" s="296" t="str">
        <f t="shared" si="34"/>
        <v>C</v>
      </c>
      <c r="AX37" s="1220">
        <f t="shared" si="42"/>
        <v>90.01</v>
      </c>
      <c r="AY37" s="1221">
        <f t="shared" si="42"/>
        <v>80.02</v>
      </c>
      <c r="AZ37" s="1221">
        <f t="shared" si="42"/>
        <v>80.03</v>
      </c>
      <c r="BA37" s="1221">
        <f t="shared" si="42"/>
        <v>76.040000000000006</v>
      </c>
      <c r="BB37" s="1221" t="str">
        <f t="shared" si="42"/>
        <v/>
      </c>
      <c r="BC37" s="1221" t="str">
        <f t="shared" si="42"/>
        <v/>
      </c>
      <c r="BD37" s="1221" t="str">
        <f t="shared" si="42"/>
        <v/>
      </c>
      <c r="BE37" s="1222" t="str">
        <f t="shared" si="42"/>
        <v/>
      </c>
      <c r="BF37" s="1221" t="str">
        <f t="shared" si="42"/>
        <v/>
      </c>
      <c r="BG37" s="1223" t="str">
        <f t="shared" si="42"/>
        <v/>
      </c>
      <c r="BH37" s="286">
        <f t="shared" si="35"/>
        <v>90.01</v>
      </c>
      <c r="BI37" s="286">
        <f t="shared" si="36"/>
        <v>76.040000000000006</v>
      </c>
      <c r="BJ37" s="287" t="str">
        <f t="shared" si="37"/>
        <v>baik</v>
      </c>
      <c r="BK37" s="287" t="str">
        <f t="shared" si="37"/>
        <v>cukup</v>
      </c>
      <c r="BL37" s="286">
        <f t="shared" si="38"/>
        <v>1</v>
      </c>
      <c r="BM37" s="288">
        <f t="shared" si="39"/>
        <v>4</v>
      </c>
      <c r="BN37"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37" s="67"/>
    </row>
    <row r="38" spans="1:67" ht="33" customHeight="1">
      <c r="A38" s="67"/>
      <c r="B38" s="272">
        <f t="shared" si="23"/>
        <v>25</v>
      </c>
      <c r="C38" s="273">
        <f>IF(Data!F29="","",Data!F29)</f>
        <v>0</v>
      </c>
      <c r="D38" s="274" t="str">
        <f>IF(Data!H29="","",Data!H29)</f>
        <v>Maya Trifena Niobe</v>
      </c>
      <c r="E38" s="275" t="str">
        <f>IF(Data!I29="","",Data!I29)</f>
        <v>P</v>
      </c>
      <c r="F38" s="276">
        <v>90</v>
      </c>
      <c r="G38" s="276">
        <v>80</v>
      </c>
      <c r="H38" s="276">
        <v>80</v>
      </c>
      <c r="I38" s="276">
        <v>80</v>
      </c>
      <c r="J38" s="277"/>
      <c r="K38" s="277"/>
      <c r="L38" s="277"/>
      <c r="M38" s="280"/>
      <c r="N38" s="277"/>
      <c r="O38" s="278"/>
      <c r="P38" s="279">
        <f t="shared" si="24"/>
        <v>83</v>
      </c>
      <c r="Q38" s="1489">
        <v>80</v>
      </c>
      <c r="R38" s="1488">
        <v>76</v>
      </c>
      <c r="S38" s="281">
        <f t="shared" si="25"/>
        <v>81</v>
      </c>
      <c r="T38" s="295" t="str">
        <f t="shared" si="26"/>
        <v>C</v>
      </c>
      <c r="U38" s="1215">
        <f t="shared" si="41"/>
        <v>90.01</v>
      </c>
      <c r="V38" s="1216">
        <f t="shared" si="41"/>
        <v>80.02</v>
      </c>
      <c r="W38" s="1216">
        <f t="shared" si="41"/>
        <v>80.03</v>
      </c>
      <c r="X38" s="1216">
        <f t="shared" si="41"/>
        <v>80.040000000000006</v>
      </c>
      <c r="Y38" s="1216" t="str">
        <f t="shared" si="41"/>
        <v/>
      </c>
      <c r="Z38" s="1216" t="str">
        <f t="shared" si="41"/>
        <v/>
      </c>
      <c r="AA38" s="1216" t="str">
        <f t="shared" si="41"/>
        <v/>
      </c>
      <c r="AB38" s="1217" t="str">
        <f t="shared" si="41"/>
        <v/>
      </c>
      <c r="AC38" s="1216" t="str">
        <f t="shared" si="41"/>
        <v/>
      </c>
      <c r="AD38" s="1218" t="str">
        <f t="shared" si="41"/>
        <v/>
      </c>
      <c r="AE38" s="1219">
        <f t="shared" si="27"/>
        <v>90.01</v>
      </c>
      <c r="AF38" s="282">
        <f t="shared" si="28"/>
        <v>80.02</v>
      </c>
      <c r="AG38" s="282" t="str">
        <f t="shared" si="29"/>
        <v>baik</v>
      </c>
      <c r="AH38" s="282" t="str">
        <f t="shared" si="29"/>
        <v>cukup</v>
      </c>
      <c r="AI38" s="282">
        <f t="shared" si="30"/>
        <v>1</v>
      </c>
      <c r="AJ38" s="283">
        <f t="shared" si="31"/>
        <v>2</v>
      </c>
      <c r="AK38" s="284" t="str">
        <f t="shared" si="32"/>
        <v>Memiliki kemampuan baik dalam Menganalisis berbagai bentuk/jenis sumber Sejarah, cukup kemampuan dalam Menganalisis langkah-langkah penelitian Sejarah terhadap berbagai peristiwa Sejarah</v>
      </c>
      <c r="AL38" s="2">
        <v>90</v>
      </c>
      <c r="AM38" s="277">
        <v>80</v>
      </c>
      <c r="AN38" s="277">
        <v>80</v>
      </c>
      <c r="AO38" s="277">
        <v>78</v>
      </c>
      <c r="AP38" s="277"/>
      <c r="AQ38" s="277"/>
      <c r="AR38" s="277"/>
      <c r="AS38" s="280"/>
      <c r="AT38" s="277"/>
      <c r="AU38" s="278"/>
      <c r="AV38" s="285">
        <f t="shared" si="33"/>
        <v>82</v>
      </c>
      <c r="AW38" s="296" t="str">
        <f t="shared" si="34"/>
        <v>C</v>
      </c>
      <c r="AX38" s="1220">
        <f t="shared" si="42"/>
        <v>90.01</v>
      </c>
      <c r="AY38" s="1221">
        <f t="shared" si="42"/>
        <v>80.02</v>
      </c>
      <c r="AZ38" s="1221">
        <f t="shared" si="42"/>
        <v>80.03</v>
      </c>
      <c r="BA38" s="1221">
        <f t="shared" si="42"/>
        <v>78.040000000000006</v>
      </c>
      <c r="BB38" s="1221" t="str">
        <f t="shared" si="42"/>
        <v/>
      </c>
      <c r="BC38" s="1221" t="str">
        <f t="shared" si="42"/>
        <v/>
      </c>
      <c r="BD38" s="1221" t="str">
        <f t="shared" si="42"/>
        <v/>
      </c>
      <c r="BE38" s="1222" t="str">
        <f t="shared" si="42"/>
        <v/>
      </c>
      <c r="BF38" s="1221" t="str">
        <f t="shared" si="42"/>
        <v/>
      </c>
      <c r="BG38" s="1223" t="str">
        <f t="shared" si="42"/>
        <v/>
      </c>
      <c r="BH38" s="286">
        <f t="shared" si="35"/>
        <v>90.01</v>
      </c>
      <c r="BI38" s="286">
        <f t="shared" si="36"/>
        <v>78.040000000000006</v>
      </c>
      <c r="BJ38" s="287" t="str">
        <f t="shared" si="37"/>
        <v>baik</v>
      </c>
      <c r="BK38" s="287" t="str">
        <f t="shared" si="37"/>
        <v>cukup</v>
      </c>
      <c r="BL38" s="286">
        <f t="shared" si="38"/>
        <v>1</v>
      </c>
      <c r="BM38" s="288">
        <f t="shared" si="39"/>
        <v>4</v>
      </c>
      <c r="BN38"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38" s="67"/>
    </row>
    <row r="39" spans="1:67" ht="33" customHeight="1">
      <c r="A39" s="67"/>
      <c r="B39" s="272">
        <f t="shared" si="23"/>
        <v>26</v>
      </c>
      <c r="C39" s="273">
        <f>IF(Data!F30="","",Data!F30)</f>
        <v>0</v>
      </c>
      <c r="D39" s="274" t="str">
        <f>IF(Data!H30="","",Data!H30)</f>
        <v>Misel Miranda Sora</v>
      </c>
      <c r="E39" s="275" t="str">
        <f>IF(Data!I30="","",Data!I30)</f>
        <v>P</v>
      </c>
      <c r="F39" s="276">
        <v>90</v>
      </c>
      <c r="G39" s="276">
        <v>80</v>
      </c>
      <c r="H39" s="276">
        <v>80</v>
      </c>
      <c r="I39" s="276">
        <v>80</v>
      </c>
      <c r="J39" s="277"/>
      <c r="K39" s="277"/>
      <c r="L39" s="277"/>
      <c r="M39" s="280"/>
      <c r="N39" s="277"/>
      <c r="O39" s="278"/>
      <c r="P39" s="279">
        <f t="shared" si="24"/>
        <v>83</v>
      </c>
      <c r="Q39" s="1488">
        <v>80</v>
      </c>
      <c r="R39" s="1488">
        <v>76</v>
      </c>
      <c r="S39" s="281">
        <f t="shared" si="25"/>
        <v>81</v>
      </c>
      <c r="T39" s="295" t="str">
        <f t="shared" si="26"/>
        <v>C</v>
      </c>
      <c r="U39" s="1215">
        <f t="shared" si="41"/>
        <v>90.01</v>
      </c>
      <c r="V39" s="1216">
        <f t="shared" si="41"/>
        <v>80.02</v>
      </c>
      <c r="W39" s="1216">
        <f t="shared" si="41"/>
        <v>80.03</v>
      </c>
      <c r="X39" s="1216">
        <f t="shared" si="41"/>
        <v>80.040000000000006</v>
      </c>
      <c r="Y39" s="1216" t="str">
        <f t="shared" si="41"/>
        <v/>
      </c>
      <c r="Z39" s="1216" t="str">
        <f t="shared" si="41"/>
        <v/>
      </c>
      <c r="AA39" s="1216" t="str">
        <f t="shared" si="41"/>
        <v/>
      </c>
      <c r="AB39" s="1217" t="str">
        <f t="shared" si="41"/>
        <v/>
      </c>
      <c r="AC39" s="1216" t="str">
        <f t="shared" si="41"/>
        <v/>
      </c>
      <c r="AD39" s="1218" t="str">
        <f t="shared" si="41"/>
        <v/>
      </c>
      <c r="AE39" s="1219">
        <f t="shared" si="27"/>
        <v>90.01</v>
      </c>
      <c r="AF39" s="282">
        <f t="shared" si="28"/>
        <v>80.02</v>
      </c>
      <c r="AG39" s="282" t="str">
        <f t="shared" si="29"/>
        <v>baik</v>
      </c>
      <c r="AH39" s="282" t="str">
        <f t="shared" si="29"/>
        <v>cukup</v>
      </c>
      <c r="AI39" s="282">
        <f t="shared" si="30"/>
        <v>1</v>
      </c>
      <c r="AJ39" s="283">
        <f t="shared" si="31"/>
        <v>2</v>
      </c>
      <c r="AK39" s="284" t="str">
        <f t="shared" si="32"/>
        <v>Memiliki kemampuan baik dalam Menganalisis berbagai bentuk/jenis sumber Sejarah, cukup kemampuan dalam Menganalisis langkah-langkah penelitian Sejarah terhadap berbagai peristiwa Sejarah</v>
      </c>
      <c r="AL39" s="2">
        <v>90</v>
      </c>
      <c r="AM39" s="277">
        <v>80</v>
      </c>
      <c r="AN39" s="277">
        <v>80</v>
      </c>
      <c r="AO39" s="277">
        <v>78</v>
      </c>
      <c r="AP39" s="277"/>
      <c r="AQ39" s="277"/>
      <c r="AR39" s="277"/>
      <c r="AS39" s="280"/>
      <c r="AT39" s="277"/>
      <c r="AU39" s="278"/>
      <c r="AV39" s="285">
        <f t="shared" si="33"/>
        <v>82</v>
      </c>
      <c r="AW39" s="296" t="str">
        <f t="shared" si="34"/>
        <v>C</v>
      </c>
      <c r="AX39" s="1220">
        <f t="shared" si="42"/>
        <v>90.01</v>
      </c>
      <c r="AY39" s="1221">
        <f t="shared" si="42"/>
        <v>80.02</v>
      </c>
      <c r="AZ39" s="1221">
        <f t="shared" si="42"/>
        <v>80.03</v>
      </c>
      <c r="BA39" s="1221">
        <f t="shared" si="42"/>
        <v>78.040000000000006</v>
      </c>
      <c r="BB39" s="1221" t="str">
        <f t="shared" si="42"/>
        <v/>
      </c>
      <c r="BC39" s="1221" t="str">
        <f t="shared" si="42"/>
        <v/>
      </c>
      <c r="BD39" s="1221" t="str">
        <f t="shared" si="42"/>
        <v/>
      </c>
      <c r="BE39" s="1222" t="str">
        <f t="shared" si="42"/>
        <v/>
      </c>
      <c r="BF39" s="1221" t="str">
        <f t="shared" si="42"/>
        <v/>
      </c>
      <c r="BG39" s="1223" t="str">
        <f t="shared" si="42"/>
        <v/>
      </c>
      <c r="BH39" s="286">
        <f t="shared" si="35"/>
        <v>90.01</v>
      </c>
      <c r="BI39" s="286">
        <f t="shared" si="36"/>
        <v>78.040000000000006</v>
      </c>
      <c r="BJ39" s="287" t="str">
        <f t="shared" si="37"/>
        <v>baik</v>
      </c>
      <c r="BK39" s="287" t="str">
        <f t="shared" si="37"/>
        <v>cukup</v>
      </c>
      <c r="BL39" s="286">
        <f t="shared" si="38"/>
        <v>1</v>
      </c>
      <c r="BM39" s="288">
        <f t="shared" si="39"/>
        <v>4</v>
      </c>
      <c r="BN39"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39" s="67"/>
    </row>
    <row r="40" spans="1:67" ht="33" customHeight="1">
      <c r="A40" s="67"/>
      <c r="B40" s="272">
        <f t="shared" si="23"/>
        <v>27</v>
      </c>
      <c r="C40" s="273">
        <f>IF(Data!F31="","",Data!F31)</f>
        <v>0</v>
      </c>
      <c r="D40" s="274" t="str">
        <f>IF(Data!H31="","",Data!H31)</f>
        <v>Nofianti Tainmeta</v>
      </c>
      <c r="E40" s="275" t="str">
        <f>IF(Data!I31="","",Data!I31)</f>
        <v>P</v>
      </c>
      <c r="F40" s="276">
        <v>90</v>
      </c>
      <c r="G40" s="276">
        <v>80</v>
      </c>
      <c r="H40" s="276">
        <v>80</v>
      </c>
      <c r="I40" s="276">
        <v>80</v>
      </c>
      <c r="J40" s="277"/>
      <c r="K40" s="277"/>
      <c r="L40" s="277"/>
      <c r="M40" s="280"/>
      <c r="N40" s="277"/>
      <c r="O40" s="278"/>
      <c r="P40" s="279">
        <f t="shared" si="24"/>
        <v>83</v>
      </c>
      <c r="Q40" s="1488">
        <v>80</v>
      </c>
      <c r="R40" s="1488">
        <v>76</v>
      </c>
      <c r="S40" s="281">
        <f t="shared" si="25"/>
        <v>81</v>
      </c>
      <c r="T40" s="295" t="str">
        <f t="shared" si="26"/>
        <v>C</v>
      </c>
      <c r="U40" s="1215">
        <f t="shared" si="41"/>
        <v>90.01</v>
      </c>
      <c r="V40" s="1216">
        <f t="shared" si="41"/>
        <v>80.02</v>
      </c>
      <c r="W40" s="1216">
        <f t="shared" si="41"/>
        <v>80.03</v>
      </c>
      <c r="X40" s="1216">
        <f t="shared" si="41"/>
        <v>80.040000000000006</v>
      </c>
      <c r="Y40" s="1216" t="str">
        <f t="shared" si="41"/>
        <v/>
      </c>
      <c r="Z40" s="1216" t="str">
        <f t="shared" si="41"/>
        <v/>
      </c>
      <c r="AA40" s="1216" t="str">
        <f t="shared" si="41"/>
        <v/>
      </c>
      <c r="AB40" s="1217" t="str">
        <f t="shared" si="41"/>
        <v/>
      </c>
      <c r="AC40" s="1216" t="str">
        <f t="shared" si="41"/>
        <v/>
      </c>
      <c r="AD40" s="1218" t="str">
        <f t="shared" si="41"/>
        <v/>
      </c>
      <c r="AE40" s="1219">
        <f t="shared" si="27"/>
        <v>90.01</v>
      </c>
      <c r="AF40" s="282">
        <f t="shared" si="28"/>
        <v>80.02</v>
      </c>
      <c r="AG40" s="282" t="str">
        <f t="shared" si="29"/>
        <v>baik</v>
      </c>
      <c r="AH40" s="282" t="str">
        <f t="shared" si="29"/>
        <v>cukup</v>
      </c>
      <c r="AI40" s="282">
        <f t="shared" si="30"/>
        <v>1</v>
      </c>
      <c r="AJ40" s="283">
        <f t="shared" si="31"/>
        <v>2</v>
      </c>
      <c r="AK40" s="284" t="str">
        <f t="shared" si="32"/>
        <v>Memiliki kemampuan baik dalam Menganalisis berbagai bentuk/jenis sumber Sejarah, cukup kemampuan dalam Menganalisis langkah-langkah penelitian Sejarah terhadap berbagai peristiwa Sejarah</v>
      </c>
      <c r="AL40" s="2">
        <v>90</v>
      </c>
      <c r="AM40" s="277">
        <v>80</v>
      </c>
      <c r="AN40" s="277">
        <v>80</v>
      </c>
      <c r="AO40" s="277">
        <v>78</v>
      </c>
      <c r="AP40" s="277"/>
      <c r="AQ40" s="277"/>
      <c r="AR40" s="277"/>
      <c r="AS40" s="280"/>
      <c r="AT40" s="277"/>
      <c r="AU40" s="278"/>
      <c r="AV40" s="285">
        <f t="shared" si="33"/>
        <v>82</v>
      </c>
      <c r="AW40" s="296" t="str">
        <f t="shared" si="34"/>
        <v>C</v>
      </c>
      <c r="AX40" s="1220">
        <f t="shared" si="42"/>
        <v>90.01</v>
      </c>
      <c r="AY40" s="1221">
        <f t="shared" si="42"/>
        <v>80.02</v>
      </c>
      <c r="AZ40" s="1221">
        <f t="shared" si="42"/>
        <v>80.03</v>
      </c>
      <c r="BA40" s="1221">
        <f t="shared" si="42"/>
        <v>78.040000000000006</v>
      </c>
      <c r="BB40" s="1221" t="str">
        <f t="shared" si="42"/>
        <v/>
      </c>
      <c r="BC40" s="1221" t="str">
        <f t="shared" si="42"/>
        <v/>
      </c>
      <c r="BD40" s="1221" t="str">
        <f t="shared" si="42"/>
        <v/>
      </c>
      <c r="BE40" s="1222" t="str">
        <f t="shared" si="42"/>
        <v/>
      </c>
      <c r="BF40" s="1221" t="str">
        <f t="shared" si="42"/>
        <v/>
      </c>
      <c r="BG40" s="1223" t="str">
        <f t="shared" si="42"/>
        <v/>
      </c>
      <c r="BH40" s="286">
        <f t="shared" si="35"/>
        <v>90.01</v>
      </c>
      <c r="BI40" s="286">
        <f t="shared" si="36"/>
        <v>78.040000000000006</v>
      </c>
      <c r="BJ40" s="287" t="str">
        <f t="shared" si="37"/>
        <v>baik</v>
      </c>
      <c r="BK40" s="287" t="str">
        <f t="shared" si="37"/>
        <v>cukup</v>
      </c>
      <c r="BL40" s="286">
        <f t="shared" si="38"/>
        <v>1</v>
      </c>
      <c r="BM40" s="288">
        <f t="shared" si="39"/>
        <v>4</v>
      </c>
      <c r="BN40"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40" s="67"/>
    </row>
    <row r="41" spans="1:67" ht="33" customHeight="1">
      <c r="A41" s="67"/>
      <c r="B41" s="272">
        <f t="shared" si="23"/>
        <v>28</v>
      </c>
      <c r="C41" s="273">
        <f>IF(Data!F32="","",Data!F32)</f>
        <v>0</v>
      </c>
      <c r="D41" s="274" t="str">
        <f>IF(Data!H32="","",Data!H32)</f>
        <v>Ofni Antrikus Banun</v>
      </c>
      <c r="E41" s="275" t="str">
        <f>IF(Data!I32="","",Data!I32)</f>
        <v>L</v>
      </c>
      <c r="F41" s="276">
        <v>90</v>
      </c>
      <c r="G41" s="276">
        <v>80</v>
      </c>
      <c r="H41" s="276">
        <v>80</v>
      </c>
      <c r="I41" s="276">
        <v>80</v>
      </c>
      <c r="J41" s="277"/>
      <c r="K41" s="277"/>
      <c r="L41" s="277"/>
      <c r="M41" s="280"/>
      <c r="N41" s="277"/>
      <c r="O41" s="278"/>
      <c r="P41" s="279">
        <f t="shared" si="24"/>
        <v>83</v>
      </c>
      <c r="Q41" s="1486">
        <v>80</v>
      </c>
      <c r="R41" s="1487">
        <v>76</v>
      </c>
      <c r="S41" s="281">
        <f t="shared" si="25"/>
        <v>81</v>
      </c>
      <c r="T41" s="295" t="str">
        <f t="shared" si="26"/>
        <v>C</v>
      </c>
      <c r="U41" s="1215">
        <f t="shared" si="41"/>
        <v>90.01</v>
      </c>
      <c r="V41" s="1216">
        <f t="shared" si="41"/>
        <v>80.02</v>
      </c>
      <c r="W41" s="1216">
        <f t="shared" si="41"/>
        <v>80.03</v>
      </c>
      <c r="X41" s="1216">
        <f t="shared" si="41"/>
        <v>80.040000000000006</v>
      </c>
      <c r="Y41" s="1216" t="str">
        <f t="shared" si="41"/>
        <v/>
      </c>
      <c r="Z41" s="1216" t="str">
        <f t="shared" si="41"/>
        <v/>
      </c>
      <c r="AA41" s="1216" t="str">
        <f t="shared" si="41"/>
        <v/>
      </c>
      <c r="AB41" s="1217" t="str">
        <f t="shared" si="41"/>
        <v/>
      </c>
      <c r="AC41" s="1216" t="str">
        <f t="shared" si="41"/>
        <v/>
      </c>
      <c r="AD41" s="1218" t="str">
        <f t="shared" si="41"/>
        <v/>
      </c>
      <c r="AE41" s="1219">
        <f t="shared" si="27"/>
        <v>90.01</v>
      </c>
      <c r="AF41" s="282">
        <f t="shared" si="28"/>
        <v>80.02</v>
      </c>
      <c r="AG41" s="282" t="str">
        <f t="shared" si="29"/>
        <v>baik</v>
      </c>
      <c r="AH41" s="282" t="str">
        <f t="shared" si="29"/>
        <v>cukup</v>
      </c>
      <c r="AI41" s="282">
        <f t="shared" si="30"/>
        <v>1</v>
      </c>
      <c r="AJ41" s="283">
        <f t="shared" si="31"/>
        <v>2</v>
      </c>
      <c r="AK41" s="284" t="str">
        <f t="shared" si="32"/>
        <v>Memiliki kemampuan baik dalam Menganalisis berbagai bentuk/jenis sumber Sejarah, cukup kemampuan dalam Menganalisis langkah-langkah penelitian Sejarah terhadap berbagai peristiwa Sejarah</v>
      </c>
      <c r="AL41" s="2">
        <v>90</v>
      </c>
      <c r="AM41" s="277">
        <v>80</v>
      </c>
      <c r="AN41" s="277">
        <v>80</v>
      </c>
      <c r="AO41" s="277">
        <v>78</v>
      </c>
      <c r="AP41" s="277"/>
      <c r="AQ41" s="277"/>
      <c r="AR41" s="277"/>
      <c r="AS41" s="280"/>
      <c r="AT41" s="277"/>
      <c r="AU41" s="278"/>
      <c r="AV41" s="285">
        <f t="shared" si="33"/>
        <v>82</v>
      </c>
      <c r="AW41" s="296" t="str">
        <f t="shared" si="34"/>
        <v>C</v>
      </c>
      <c r="AX41" s="1220">
        <f t="shared" si="42"/>
        <v>90.01</v>
      </c>
      <c r="AY41" s="1221">
        <f t="shared" si="42"/>
        <v>80.02</v>
      </c>
      <c r="AZ41" s="1221">
        <f t="shared" si="42"/>
        <v>80.03</v>
      </c>
      <c r="BA41" s="1221">
        <f t="shared" si="42"/>
        <v>78.040000000000006</v>
      </c>
      <c r="BB41" s="1221" t="str">
        <f t="shared" si="42"/>
        <v/>
      </c>
      <c r="BC41" s="1221" t="str">
        <f t="shared" si="42"/>
        <v/>
      </c>
      <c r="BD41" s="1221" t="str">
        <f t="shared" si="42"/>
        <v/>
      </c>
      <c r="BE41" s="1222" t="str">
        <f t="shared" si="42"/>
        <v/>
      </c>
      <c r="BF41" s="1221" t="str">
        <f t="shared" si="42"/>
        <v/>
      </c>
      <c r="BG41" s="1223" t="str">
        <f t="shared" si="42"/>
        <v/>
      </c>
      <c r="BH41" s="286">
        <f t="shared" si="35"/>
        <v>90.01</v>
      </c>
      <c r="BI41" s="286">
        <f t="shared" si="36"/>
        <v>78.040000000000006</v>
      </c>
      <c r="BJ41" s="287" t="str">
        <f t="shared" si="37"/>
        <v>baik</v>
      </c>
      <c r="BK41" s="287" t="str">
        <f t="shared" si="37"/>
        <v>cukup</v>
      </c>
      <c r="BL41" s="286">
        <f t="shared" si="38"/>
        <v>1</v>
      </c>
      <c r="BM41" s="288">
        <f t="shared" si="39"/>
        <v>4</v>
      </c>
      <c r="BN41"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41" s="67"/>
    </row>
    <row r="42" spans="1:67" ht="33" customHeight="1">
      <c r="A42" s="67"/>
      <c r="B42" s="272">
        <f t="shared" si="23"/>
        <v>29</v>
      </c>
      <c r="C42" s="273">
        <f>IF(Data!F33="","",Data!F33)</f>
        <v>0</v>
      </c>
      <c r="D42" s="274" t="str">
        <f>IF(Data!H33="","",Data!H33)</f>
        <v>Roiyandi Saebesi</v>
      </c>
      <c r="E42" s="275" t="str">
        <f>IF(Data!I33="","",Data!I33)</f>
        <v>L</v>
      </c>
      <c r="F42" s="1486">
        <v>90</v>
      </c>
      <c r="G42" s="1487">
        <v>80</v>
      </c>
      <c r="H42" s="276">
        <v>80</v>
      </c>
      <c r="I42" s="277">
        <v>80</v>
      </c>
      <c r="J42" s="277"/>
      <c r="K42" s="277"/>
      <c r="L42" s="277"/>
      <c r="M42" s="280"/>
      <c r="N42" s="277"/>
      <c r="O42" s="278"/>
      <c r="P42" s="279">
        <f t="shared" si="24"/>
        <v>83</v>
      </c>
      <c r="Q42" s="1487">
        <v>80</v>
      </c>
      <c r="R42" s="1487">
        <v>76</v>
      </c>
      <c r="S42" s="281">
        <f t="shared" si="25"/>
        <v>81</v>
      </c>
      <c r="T42" s="295" t="str">
        <f t="shared" si="26"/>
        <v>C</v>
      </c>
      <c r="U42" s="1215">
        <f t="shared" si="41"/>
        <v>90.01</v>
      </c>
      <c r="V42" s="1216">
        <f t="shared" si="41"/>
        <v>80.02</v>
      </c>
      <c r="W42" s="1216">
        <f t="shared" si="41"/>
        <v>80.03</v>
      </c>
      <c r="X42" s="1216">
        <f t="shared" si="41"/>
        <v>80.040000000000006</v>
      </c>
      <c r="Y42" s="1216" t="str">
        <f t="shared" si="41"/>
        <v/>
      </c>
      <c r="Z42" s="1216" t="str">
        <f t="shared" si="41"/>
        <v/>
      </c>
      <c r="AA42" s="1216" t="str">
        <f t="shared" si="41"/>
        <v/>
      </c>
      <c r="AB42" s="1217" t="str">
        <f t="shared" si="41"/>
        <v/>
      </c>
      <c r="AC42" s="1216" t="str">
        <f t="shared" si="41"/>
        <v/>
      </c>
      <c r="AD42" s="1218" t="str">
        <f t="shared" si="41"/>
        <v/>
      </c>
      <c r="AE42" s="1219">
        <f t="shared" si="27"/>
        <v>90.01</v>
      </c>
      <c r="AF42" s="282">
        <f t="shared" si="28"/>
        <v>80.02</v>
      </c>
      <c r="AG42" s="282" t="str">
        <f t="shared" si="29"/>
        <v>baik</v>
      </c>
      <c r="AH42" s="282" t="str">
        <f t="shared" si="29"/>
        <v>cukup</v>
      </c>
      <c r="AI42" s="282">
        <f t="shared" si="30"/>
        <v>1</v>
      </c>
      <c r="AJ42" s="283">
        <f t="shared" si="31"/>
        <v>2</v>
      </c>
      <c r="AK42" s="284" t="str">
        <f t="shared" si="32"/>
        <v>Memiliki kemampuan baik dalam Menganalisis berbagai bentuk/jenis sumber Sejarah, cukup kemampuan dalam Menganalisis langkah-langkah penelitian Sejarah terhadap berbagai peristiwa Sejarah</v>
      </c>
      <c r="AL42" s="276">
        <v>90</v>
      </c>
      <c r="AM42" s="277">
        <v>80</v>
      </c>
      <c r="AN42" s="277">
        <v>80</v>
      </c>
      <c r="AO42" s="277">
        <v>78</v>
      </c>
      <c r="AP42" s="277"/>
      <c r="AQ42" s="277"/>
      <c r="AR42" s="277"/>
      <c r="AS42" s="280"/>
      <c r="AT42" s="277"/>
      <c r="AU42" s="278"/>
      <c r="AV42" s="285">
        <f t="shared" si="33"/>
        <v>82</v>
      </c>
      <c r="AW42" s="296" t="str">
        <f t="shared" si="34"/>
        <v>C</v>
      </c>
      <c r="AX42" s="1220">
        <f t="shared" si="42"/>
        <v>90.01</v>
      </c>
      <c r="AY42" s="1221">
        <f t="shared" si="42"/>
        <v>80.02</v>
      </c>
      <c r="AZ42" s="1221">
        <f t="shared" si="42"/>
        <v>80.03</v>
      </c>
      <c r="BA42" s="1221">
        <f t="shared" si="42"/>
        <v>78.040000000000006</v>
      </c>
      <c r="BB42" s="1221" t="str">
        <f t="shared" si="42"/>
        <v/>
      </c>
      <c r="BC42" s="1221" t="str">
        <f t="shared" si="42"/>
        <v/>
      </c>
      <c r="BD42" s="1221" t="str">
        <f t="shared" si="42"/>
        <v/>
      </c>
      <c r="BE42" s="1222" t="str">
        <f t="shared" si="42"/>
        <v/>
      </c>
      <c r="BF42" s="1221" t="str">
        <f t="shared" si="42"/>
        <v/>
      </c>
      <c r="BG42" s="1223" t="str">
        <f t="shared" si="42"/>
        <v/>
      </c>
      <c r="BH42" s="286">
        <f t="shared" si="35"/>
        <v>90.01</v>
      </c>
      <c r="BI42" s="286">
        <f t="shared" si="36"/>
        <v>78.040000000000006</v>
      </c>
      <c r="BJ42" s="287" t="str">
        <f t="shared" si="37"/>
        <v>baik</v>
      </c>
      <c r="BK42" s="287" t="str">
        <f t="shared" si="37"/>
        <v>cukup</v>
      </c>
      <c r="BL42" s="286">
        <f t="shared" si="38"/>
        <v>1</v>
      </c>
      <c r="BM42" s="288">
        <f t="shared" si="39"/>
        <v>4</v>
      </c>
      <c r="BN42"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42" s="67"/>
    </row>
    <row r="43" spans="1:67" ht="33" customHeight="1">
      <c r="A43" s="67"/>
      <c r="B43" s="272">
        <f t="shared" si="23"/>
        <v>30</v>
      </c>
      <c r="C43" s="273">
        <f>IF(Data!F34="","",Data!F34)</f>
        <v>0</v>
      </c>
      <c r="D43" s="274" t="str">
        <f>IF(Data!H34="","",Data!H34)</f>
        <v>Roni Yohanis Bira</v>
      </c>
      <c r="E43" s="275" t="str">
        <f>IF(Data!I34="","",Data!I34)</f>
        <v>L</v>
      </c>
      <c r="F43" s="1487">
        <v>90</v>
      </c>
      <c r="G43" s="1487">
        <v>80</v>
      </c>
      <c r="H43" s="276">
        <v>80</v>
      </c>
      <c r="I43" s="277">
        <v>80</v>
      </c>
      <c r="J43" s="277"/>
      <c r="K43" s="277"/>
      <c r="L43" s="277"/>
      <c r="M43" s="280"/>
      <c r="N43" s="277"/>
      <c r="O43" s="278"/>
      <c r="P43" s="279">
        <f t="shared" si="24"/>
        <v>83</v>
      </c>
      <c r="Q43" s="1487">
        <v>80</v>
      </c>
      <c r="R43" s="1487">
        <v>76</v>
      </c>
      <c r="S43" s="281">
        <f t="shared" si="25"/>
        <v>81</v>
      </c>
      <c r="T43" s="295" t="str">
        <f t="shared" si="26"/>
        <v>C</v>
      </c>
      <c r="U43" s="1215">
        <f t="shared" si="41"/>
        <v>90.01</v>
      </c>
      <c r="V43" s="1216">
        <f t="shared" si="41"/>
        <v>80.02</v>
      </c>
      <c r="W43" s="1216">
        <f t="shared" si="41"/>
        <v>80.03</v>
      </c>
      <c r="X43" s="1216">
        <f t="shared" si="41"/>
        <v>80.040000000000006</v>
      </c>
      <c r="Y43" s="1216" t="str">
        <f t="shared" si="41"/>
        <v/>
      </c>
      <c r="Z43" s="1216" t="str">
        <f t="shared" si="41"/>
        <v/>
      </c>
      <c r="AA43" s="1216" t="str">
        <f t="shared" si="41"/>
        <v/>
      </c>
      <c r="AB43" s="1217" t="str">
        <f t="shared" si="41"/>
        <v/>
      </c>
      <c r="AC43" s="1216" t="str">
        <f t="shared" si="41"/>
        <v/>
      </c>
      <c r="AD43" s="1218" t="str">
        <f t="shared" si="41"/>
        <v/>
      </c>
      <c r="AE43" s="1219">
        <f t="shared" si="27"/>
        <v>90.01</v>
      </c>
      <c r="AF43" s="282">
        <f t="shared" si="28"/>
        <v>80.02</v>
      </c>
      <c r="AG43" s="282" t="str">
        <f t="shared" si="29"/>
        <v>baik</v>
      </c>
      <c r="AH43" s="282" t="str">
        <f t="shared" si="29"/>
        <v>cukup</v>
      </c>
      <c r="AI43" s="282">
        <f t="shared" si="30"/>
        <v>1</v>
      </c>
      <c r="AJ43" s="283">
        <f t="shared" si="31"/>
        <v>2</v>
      </c>
      <c r="AK43" s="284" t="str">
        <f t="shared" si="32"/>
        <v>Memiliki kemampuan baik dalam Menganalisis berbagai bentuk/jenis sumber Sejarah, cukup kemampuan dalam Menganalisis langkah-langkah penelitian Sejarah terhadap berbagai peristiwa Sejarah</v>
      </c>
      <c r="AL43" s="276">
        <v>90</v>
      </c>
      <c r="AM43" s="277">
        <v>80</v>
      </c>
      <c r="AN43" s="277">
        <v>80</v>
      </c>
      <c r="AO43" s="277">
        <v>80</v>
      </c>
      <c r="AP43" s="277"/>
      <c r="AQ43" s="277"/>
      <c r="AR43" s="277"/>
      <c r="AS43" s="280"/>
      <c r="AT43" s="277"/>
      <c r="AU43" s="278"/>
      <c r="AV43" s="285">
        <f t="shared" si="33"/>
        <v>83</v>
      </c>
      <c r="AW43" s="296" t="str">
        <f t="shared" si="34"/>
        <v>C</v>
      </c>
      <c r="AX43" s="1220">
        <f t="shared" si="42"/>
        <v>90.01</v>
      </c>
      <c r="AY43" s="1221">
        <f t="shared" si="42"/>
        <v>80.02</v>
      </c>
      <c r="AZ43" s="1221">
        <f t="shared" si="42"/>
        <v>80.03</v>
      </c>
      <c r="BA43" s="1221">
        <f t="shared" si="42"/>
        <v>80.040000000000006</v>
      </c>
      <c r="BB43" s="1221" t="str">
        <f t="shared" si="42"/>
        <v/>
      </c>
      <c r="BC43" s="1221" t="str">
        <f t="shared" si="42"/>
        <v/>
      </c>
      <c r="BD43" s="1221" t="str">
        <f t="shared" si="42"/>
        <v/>
      </c>
      <c r="BE43" s="1222" t="str">
        <f t="shared" si="42"/>
        <v/>
      </c>
      <c r="BF43" s="1221" t="str">
        <f t="shared" si="42"/>
        <v/>
      </c>
      <c r="BG43" s="1223" t="str">
        <f t="shared" si="42"/>
        <v/>
      </c>
      <c r="BH43" s="286">
        <f t="shared" si="35"/>
        <v>90.01</v>
      </c>
      <c r="BI43" s="286">
        <f t="shared" si="36"/>
        <v>80.02</v>
      </c>
      <c r="BJ43" s="287" t="str">
        <f t="shared" si="37"/>
        <v>baik</v>
      </c>
      <c r="BK43" s="287" t="str">
        <f t="shared" si="37"/>
        <v>cukup</v>
      </c>
      <c r="BL43" s="286">
        <f t="shared" si="38"/>
        <v>1</v>
      </c>
      <c r="BM43" s="288">
        <f t="shared" si="39"/>
        <v>2</v>
      </c>
      <c r="BN43" s="289" t="str">
        <f t="shared" si="40"/>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BO43" s="67"/>
    </row>
    <row r="44" spans="1:67" ht="33" customHeight="1">
      <c r="A44" s="67"/>
      <c r="B44" s="272">
        <f t="shared" si="23"/>
        <v>31</v>
      </c>
      <c r="C44" s="273">
        <f>IF(Data!F35="","",Data!F35)</f>
        <v>0</v>
      </c>
      <c r="D44" s="274" t="str">
        <f>IF(Data!H35="","",Data!H35)</f>
        <v>Sinta Norliana Funan</v>
      </c>
      <c r="E44" s="275" t="str">
        <f>IF(Data!I35="","",Data!I35)</f>
        <v>P</v>
      </c>
      <c r="F44" s="1487">
        <v>90</v>
      </c>
      <c r="G44" s="1487">
        <v>80</v>
      </c>
      <c r="H44" s="276">
        <v>80</v>
      </c>
      <c r="I44" s="277">
        <v>80</v>
      </c>
      <c r="J44" s="277"/>
      <c r="K44" s="277"/>
      <c r="L44" s="277"/>
      <c r="M44" s="280"/>
      <c r="N44" s="277"/>
      <c r="O44" s="278"/>
      <c r="P44" s="279">
        <f t="shared" si="24"/>
        <v>83</v>
      </c>
      <c r="Q44" s="1487">
        <v>80</v>
      </c>
      <c r="R44" s="1487">
        <v>76</v>
      </c>
      <c r="S44" s="281">
        <f t="shared" si="25"/>
        <v>81</v>
      </c>
      <c r="T44" s="295" t="str">
        <f t="shared" si="26"/>
        <v>C</v>
      </c>
      <c r="U44" s="1215">
        <f t="shared" si="41"/>
        <v>90.01</v>
      </c>
      <c r="V44" s="1216">
        <f t="shared" si="41"/>
        <v>80.02</v>
      </c>
      <c r="W44" s="1216">
        <f t="shared" si="41"/>
        <v>80.03</v>
      </c>
      <c r="X44" s="1216">
        <f t="shared" si="41"/>
        <v>80.040000000000006</v>
      </c>
      <c r="Y44" s="1216" t="str">
        <f t="shared" si="41"/>
        <v/>
      </c>
      <c r="Z44" s="1216" t="str">
        <f t="shared" si="41"/>
        <v/>
      </c>
      <c r="AA44" s="1216" t="str">
        <f t="shared" si="41"/>
        <v/>
      </c>
      <c r="AB44" s="1217" t="str">
        <f t="shared" si="41"/>
        <v/>
      </c>
      <c r="AC44" s="1216" t="str">
        <f t="shared" si="41"/>
        <v/>
      </c>
      <c r="AD44" s="1218" t="str">
        <f t="shared" si="41"/>
        <v/>
      </c>
      <c r="AE44" s="1219">
        <f t="shared" si="27"/>
        <v>90.01</v>
      </c>
      <c r="AF44" s="282">
        <f t="shared" si="28"/>
        <v>80.02</v>
      </c>
      <c r="AG44" s="282" t="str">
        <f t="shared" si="29"/>
        <v>baik</v>
      </c>
      <c r="AH44" s="282" t="str">
        <f t="shared" si="29"/>
        <v>cukup</v>
      </c>
      <c r="AI44" s="282">
        <f t="shared" si="30"/>
        <v>1</v>
      </c>
      <c r="AJ44" s="283">
        <f t="shared" si="31"/>
        <v>2</v>
      </c>
      <c r="AK44" s="284" t="str">
        <f t="shared" si="32"/>
        <v>Memiliki kemampuan baik dalam Menganalisis berbagai bentuk/jenis sumber Sejarah, cukup kemampuan dalam Menganalisis langkah-langkah penelitian Sejarah terhadap berbagai peristiwa Sejarah</v>
      </c>
      <c r="AL44" s="276">
        <v>90</v>
      </c>
      <c r="AM44" s="277">
        <v>80</v>
      </c>
      <c r="AN44" s="277">
        <v>80</v>
      </c>
      <c r="AO44" s="277">
        <v>80</v>
      </c>
      <c r="AP44" s="277"/>
      <c r="AQ44" s="277"/>
      <c r="AR44" s="277"/>
      <c r="AS44" s="280"/>
      <c r="AT44" s="277"/>
      <c r="AU44" s="278"/>
      <c r="AV44" s="285">
        <f t="shared" si="33"/>
        <v>83</v>
      </c>
      <c r="AW44" s="296" t="str">
        <f t="shared" si="34"/>
        <v>C</v>
      </c>
      <c r="AX44" s="1220">
        <f t="shared" si="42"/>
        <v>90.01</v>
      </c>
      <c r="AY44" s="1221">
        <f t="shared" si="42"/>
        <v>80.02</v>
      </c>
      <c r="AZ44" s="1221">
        <f t="shared" si="42"/>
        <v>80.03</v>
      </c>
      <c r="BA44" s="1221">
        <f t="shared" si="42"/>
        <v>80.040000000000006</v>
      </c>
      <c r="BB44" s="1221" t="str">
        <f t="shared" si="42"/>
        <v/>
      </c>
      <c r="BC44" s="1221" t="str">
        <f t="shared" si="42"/>
        <v/>
      </c>
      <c r="BD44" s="1221" t="str">
        <f t="shared" si="42"/>
        <v/>
      </c>
      <c r="BE44" s="1222" t="str">
        <f t="shared" si="42"/>
        <v/>
      </c>
      <c r="BF44" s="1221" t="str">
        <f t="shared" si="42"/>
        <v/>
      </c>
      <c r="BG44" s="1223" t="str">
        <f t="shared" si="42"/>
        <v/>
      </c>
      <c r="BH44" s="286">
        <f t="shared" si="35"/>
        <v>90.01</v>
      </c>
      <c r="BI44" s="286">
        <f t="shared" si="36"/>
        <v>80.02</v>
      </c>
      <c r="BJ44" s="287" t="str">
        <f t="shared" si="37"/>
        <v>baik</v>
      </c>
      <c r="BK44" s="287" t="str">
        <f t="shared" si="37"/>
        <v>cukup</v>
      </c>
      <c r="BL44" s="286">
        <f t="shared" si="38"/>
        <v>1</v>
      </c>
      <c r="BM44" s="288">
        <f t="shared" si="39"/>
        <v>2</v>
      </c>
      <c r="BN44" s="289" t="str">
        <f t="shared" si="40"/>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BO44" s="67"/>
    </row>
    <row r="45" spans="1:67" ht="33" customHeight="1">
      <c r="A45" s="67"/>
      <c r="B45" s="272">
        <f t="shared" si="23"/>
        <v>32</v>
      </c>
      <c r="C45" s="273">
        <f>IF(Data!F36="","",Data!F36)</f>
        <v>0</v>
      </c>
      <c r="D45" s="274" t="str">
        <f>IF(Data!H36="","",Data!H36)</f>
        <v>Stevi Otnial Loemnanu</v>
      </c>
      <c r="E45" s="275" t="str">
        <f>IF(Data!I36="","",Data!I36)</f>
        <v>L</v>
      </c>
      <c r="F45" s="1487">
        <v>90</v>
      </c>
      <c r="G45" s="1487">
        <v>80</v>
      </c>
      <c r="H45" s="276">
        <v>80</v>
      </c>
      <c r="I45" s="277">
        <v>80</v>
      </c>
      <c r="J45" s="277"/>
      <c r="K45" s="277"/>
      <c r="L45" s="277"/>
      <c r="M45" s="280"/>
      <c r="N45" s="277"/>
      <c r="O45" s="278"/>
      <c r="P45" s="279">
        <f t="shared" si="24"/>
        <v>83</v>
      </c>
      <c r="Q45" s="1487">
        <v>80</v>
      </c>
      <c r="R45" s="1487">
        <v>76</v>
      </c>
      <c r="S45" s="281">
        <f t="shared" si="25"/>
        <v>81</v>
      </c>
      <c r="T45" s="295" t="str">
        <f t="shared" si="26"/>
        <v>C</v>
      </c>
      <c r="U45" s="1215">
        <f t="shared" si="41"/>
        <v>90.01</v>
      </c>
      <c r="V45" s="1216">
        <f t="shared" si="41"/>
        <v>80.02</v>
      </c>
      <c r="W45" s="1216">
        <f t="shared" si="41"/>
        <v>80.03</v>
      </c>
      <c r="X45" s="1216">
        <f t="shared" si="41"/>
        <v>80.040000000000006</v>
      </c>
      <c r="Y45" s="1216" t="str">
        <f t="shared" si="41"/>
        <v/>
      </c>
      <c r="Z45" s="1216" t="str">
        <f t="shared" si="41"/>
        <v/>
      </c>
      <c r="AA45" s="1216" t="str">
        <f t="shared" si="41"/>
        <v/>
      </c>
      <c r="AB45" s="1217" t="str">
        <f t="shared" si="41"/>
        <v/>
      </c>
      <c r="AC45" s="1216" t="str">
        <f t="shared" si="41"/>
        <v/>
      </c>
      <c r="AD45" s="1218" t="str">
        <f t="shared" si="41"/>
        <v/>
      </c>
      <c r="AE45" s="1219">
        <f t="shared" si="27"/>
        <v>90.01</v>
      </c>
      <c r="AF45" s="282">
        <f t="shared" si="28"/>
        <v>80.02</v>
      </c>
      <c r="AG45" s="282" t="str">
        <f t="shared" si="29"/>
        <v>baik</v>
      </c>
      <c r="AH45" s="282" t="str">
        <f t="shared" si="29"/>
        <v>cukup</v>
      </c>
      <c r="AI45" s="282">
        <f t="shared" si="30"/>
        <v>1</v>
      </c>
      <c r="AJ45" s="283">
        <f t="shared" si="31"/>
        <v>2</v>
      </c>
      <c r="AK45" s="284" t="str">
        <f t="shared" si="32"/>
        <v>Memiliki kemampuan baik dalam Menganalisis berbagai bentuk/jenis sumber Sejarah, cukup kemampuan dalam Menganalisis langkah-langkah penelitian Sejarah terhadap berbagai peristiwa Sejarah</v>
      </c>
      <c r="AL45" s="276">
        <v>90</v>
      </c>
      <c r="AM45" s="277">
        <v>80</v>
      </c>
      <c r="AN45" s="277">
        <v>80</v>
      </c>
      <c r="AO45" s="277">
        <v>78</v>
      </c>
      <c r="AP45" s="277"/>
      <c r="AQ45" s="277"/>
      <c r="AR45" s="277"/>
      <c r="AS45" s="280"/>
      <c r="AT45" s="277"/>
      <c r="AU45" s="278"/>
      <c r="AV45" s="285">
        <f t="shared" si="33"/>
        <v>82</v>
      </c>
      <c r="AW45" s="296" t="str">
        <f t="shared" si="34"/>
        <v>C</v>
      </c>
      <c r="AX45" s="1220">
        <f t="shared" si="42"/>
        <v>90.01</v>
      </c>
      <c r="AY45" s="1221">
        <f t="shared" si="42"/>
        <v>80.02</v>
      </c>
      <c r="AZ45" s="1221">
        <f t="shared" si="42"/>
        <v>80.03</v>
      </c>
      <c r="BA45" s="1221">
        <f t="shared" si="42"/>
        <v>78.040000000000006</v>
      </c>
      <c r="BB45" s="1221" t="str">
        <f t="shared" si="42"/>
        <v/>
      </c>
      <c r="BC45" s="1221" t="str">
        <f t="shared" si="42"/>
        <v/>
      </c>
      <c r="BD45" s="1221" t="str">
        <f t="shared" si="42"/>
        <v/>
      </c>
      <c r="BE45" s="1222" t="str">
        <f t="shared" si="42"/>
        <v/>
      </c>
      <c r="BF45" s="1221" t="str">
        <f t="shared" si="42"/>
        <v/>
      </c>
      <c r="BG45" s="1223" t="str">
        <f t="shared" si="42"/>
        <v/>
      </c>
      <c r="BH45" s="286">
        <f t="shared" si="35"/>
        <v>90.01</v>
      </c>
      <c r="BI45" s="286">
        <f t="shared" si="36"/>
        <v>78.040000000000006</v>
      </c>
      <c r="BJ45" s="287" t="str">
        <f t="shared" si="37"/>
        <v>baik</v>
      </c>
      <c r="BK45" s="287" t="str">
        <f t="shared" si="37"/>
        <v>cukup</v>
      </c>
      <c r="BL45" s="286">
        <f t="shared" si="38"/>
        <v>1</v>
      </c>
      <c r="BM45" s="288">
        <f t="shared" si="39"/>
        <v>4</v>
      </c>
      <c r="BN45"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45" s="67"/>
    </row>
    <row r="46" spans="1:67" ht="33" customHeight="1">
      <c r="A46" s="67"/>
      <c r="B46" s="272">
        <f t="shared" si="23"/>
        <v>33</v>
      </c>
      <c r="C46" s="273">
        <f>IF(Data!F37="","",Data!F37)</f>
        <v>0</v>
      </c>
      <c r="D46" s="274" t="str">
        <f>IF(Data!H37="","",Data!H37)</f>
        <v>Venciani Sefrianti Sufnera</v>
      </c>
      <c r="E46" s="275" t="str">
        <f>IF(Data!I37="","",Data!I37)</f>
        <v>P</v>
      </c>
      <c r="F46" s="1487">
        <v>90</v>
      </c>
      <c r="G46" s="1487">
        <v>80</v>
      </c>
      <c r="H46" s="276">
        <v>80</v>
      </c>
      <c r="I46" s="277">
        <v>80</v>
      </c>
      <c r="J46" s="277"/>
      <c r="K46" s="277"/>
      <c r="L46" s="277"/>
      <c r="M46" s="280"/>
      <c r="N46" s="277"/>
      <c r="O46" s="278"/>
      <c r="P46" s="279">
        <f t="shared" si="24"/>
        <v>83</v>
      </c>
      <c r="Q46" s="1487">
        <v>80</v>
      </c>
      <c r="R46" s="1487">
        <v>76</v>
      </c>
      <c r="S46" s="281">
        <f t="shared" si="25"/>
        <v>81</v>
      </c>
      <c r="T46" s="295" t="str">
        <f t="shared" si="26"/>
        <v>C</v>
      </c>
      <c r="U46" s="1215">
        <f t="shared" si="41"/>
        <v>90.01</v>
      </c>
      <c r="V46" s="1216">
        <f t="shared" si="41"/>
        <v>80.02</v>
      </c>
      <c r="W46" s="1216">
        <f t="shared" si="41"/>
        <v>80.03</v>
      </c>
      <c r="X46" s="1216">
        <f t="shared" si="41"/>
        <v>80.040000000000006</v>
      </c>
      <c r="Y46" s="1216" t="str">
        <f t="shared" si="41"/>
        <v/>
      </c>
      <c r="Z46" s="1216" t="str">
        <f t="shared" si="41"/>
        <v/>
      </c>
      <c r="AA46" s="1216" t="str">
        <f t="shared" si="41"/>
        <v/>
      </c>
      <c r="AB46" s="1217" t="str">
        <f t="shared" si="41"/>
        <v/>
      </c>
      <c r="AC46" s="1216" t="str">
        <f t="shared" si="41"/>
        <v/>
      </c>
      <c r="AD46" s="1218" t="str">
        <f t="shared" si="41"/>
        <v/>
      </c>
      <c r="AE46" s="1219">
        <f t="shared" si="27"/>
        <v>90.01</v>
      </c>
      <c r="AF46" s="282">
        <f t="shared" si="28"/>
        <v>80.02</v>
      </c>
      <c r="AG46" s="282" t="str">
        <f t="shared" si="29"/>
        <v>baik</v>
      </c>
      <c r="AH46" s="282" t="str">
        <f t="shared" si="29"/>
        <v>cukup</v>
      </c>
      <c r="AI46" s="282">
        <f t="shared" si="30"/>
        <v>1</v>
      </c>
      <c r="AJ46" s="283">
        <f t="shared" si="31"/>
        <v>2</v>
      </c>
      <c r="AK46" s="284" t="str">
        <f t="shared" si="32"/>
        <v>Memiliki kemampuan baik dalam Menganalisis berbagai bentuk/jenis sumber Sejarah, cukup kemampuan dalam Menganalisis langkah-langkah penelitian Sejarah terhadap berbagai peristiwa Sejarah</v>
      </c>
      <c r="AL46" s="276">
        <v>90</v>
      </c>
      <c r="AM46" s="277">
        <v>80</v>
      </c>
      <c r="AN46" s="277">
        <v>80</v>
      </c>
      <c r="AO46" s="277">
        <v>78</v>
      </c>
      <c r="AP46" s="277"/>
      <c r="AQ46" s="277"/>
      <c r="AR46" s="277"/>
      <c r="AS46" s="280"/>
      <c r="AT46" s="277"/>
      <c r="AU46" s="278"/>
      <c r="AV46" s="285">
        <f t="shared" si="33"/>
        <v>82</v>
      </c>
      <c r="AW46" s="296" t="str">
        <f t="shared" si="34"/>
        <v>C</v>
      </c>
      <c r="AX46" s="1220">
        <f t="shared" si="42"/>
        <v>90.01</v>
      </c>
      <c r="AY46" s="1221">
        <f t="shared" si="42"/>
        <v>80.02</v>
      </c>
      <c r="AZ46" s="1221">
        <f t="shared" si="42"/>
        <v>80.03</v>
      </c>
      <c r="BA46" s="1221">
        <f t="shared" si="42"/>
        <v>78.040000000000006</v>
      </c>
      <c r="BB46" s="1221" t="str">
        <f t="shared" si="42"/>
        <v/>
      </c>
      <c r="BC46" s="1221" t="str">
        <f t="shared" si="42"/>
        <v/>
      </c>
      <c r="BD46" s="1221" t="str">
        <f t="shared" si="42"/>
        <v/>
      </c>
      <c r="BE46" s="1222" t="str">
        <f t="shared" si="42"/>
        <v/>
      </c>
      <c r="BF46" s="1221" t="str">
        <f t="shared" si="42"/>
        <v/>
      </c>
      <c r="BG46" s="1223" t="str">
        <f t="shared" si="42"/>
        <v/>
      </c>
      <c r="BH46" s="286">
        <f t="shared" si="35"/>
        <v>90.01</v>
      </c>
      <c r="BI46" s="286">
        <f t="shared" si="36"/>
        <v>78.040000000000006</v>
      </c>
      <c r="BJ46" s="287" t="str">
        <f t="shared" si="37"/>
        <v>baik</v>
      </c>
      <c r="BK46" s="287" t="str">
        <f t="shared" si="37"/>
        <v>cukup</v>
      </c>
      <c r="BL46" s="286">
        <f t="shared" si="38"/>
        <v>1</v>
      </c>
      <c r="BM46" s="288">
        <f t="shared" si="39"/>
        <v>4</v>
      </c>
      <c r="BN46"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46" s="67"/>
    </row>
    <row r="47" spans="1:67" ht="33" customHeight="1">
      <c r="A47" s="67"/>
      <c r="B47" s="272">
        <f t="shared" si="23"/>
        <v>34</v>
      </c>
      <c r="C47" s="273">
        <f>IF(Data!F38="","",Data!F38)</f>
        <v>0</v>
      </c>
      <c r="D47" s="274" t="str">
        <f>IF(Data!H38="","",Data!H38)</f>
        <v>Yangres Nitti</v>
      </c>
      <c r="E47" s="275" t="str">
        <f>IF(Data!I38="","",Data!I38)</f>
        <v>L</v>
      </c>
      <c r="F47" s="1487">
        <v>90</v>
      </c>
      <c r="G47" s="1487">
        <v>80</v>
      </c>
      <c r="H47" s="276">
        <v>80</v>
      </c>
      <c r="I47" s="277">
        <v>80</v>
      </c>
      <c r="J47" s="277"/>
      <c r="K47" s="277"/>
      <c r="L47" s="277"/>
      <c r="M47" s="280"/>
      <c r="N47" s="277"/>
      <c r="O47" s="278"/>
      <c r="P47" s="279">
        <f t="shared" si="24"/>
        <v>83</v>
      </c>
      <c r="Q47" s="1487">
        <v>80</v>
      </c>
      <c r="R47" s="1487">
        <v>76</v>
      </c>
      <c r="S47" s="281">
        <f t="shared" si="25"/>
        <v>81</v>
      </c>
      <c r="T47" s="295" t="str">
        <f t="shared" si="26"/>
        <v>C</v>
      </c>
      <c r="U47" s="1215">
        <f t="shared" si="41"/>
        <v>90.01</v>
      </c>
      <c r="V47" s="1216">
        <f t="shared" si="41"/>
        <v>80.02</v>
      </c>
      <c r="W47" s="1216">
        <f t="shared" si="41"/>
        <v>80.03</v>
      </c>
      <c r="X47" s="1216">
        <f t="shared" si="41"/>
        <v>80.040000000000006</v>
      </c>
      <c r="Y47" s="1216" t="str">
        <f t="shared" si="41"/>
        <v/>
      </c>
      <c r="Z47" s="1216" t="str">
        <f t="shared" si="41"/>
        <v/>
      </c>
      <c r="AA47" s="1216" t="str">
        <f t="shared" si="41"/>
        <v/>
      </c>
      <c r="AB47" s="1217" t="str">
        <f t="shared" si="41"/>
        <v/>
      </c>
      <c r="AC47" s="1216" t="str">
        <f t="shared" si="41"/>
        <v/>
      </c>
      <c r="AD47" s="1218" t="str">
        <f t="shared" si="41"/>
        <v/>
      </c>
      <c r="AE47" s="1219">
        <f t="shared" si="27"/>
        <v>90.01</v>
      </c>
      <c r="AF47" s="282">
        <f t="shared" si="28"/>
        <v>80.02</v>
      </c>
      <c r="AG47" s="282" t="str">
        <f t="shared" si="29"/>
        <v>baik</v>
      </c>
      <c r="AH47" s="282" t="str">
        <f t="shared" si="29"/>
        <v>cukup</v>
      </c>
      <c r="AI47" s="282">
        <f t="shared" si="30"/>
        <v>1</v>
      </c>
      <c r="AJ47" s="283">
        <f t="shared" si="31"/>
        <v>2</v>
      </c>
      <c r="AK47" s="284" t="str">
        <f t="shared" si="32"/>
        <v>Memiliki kemampuan baik dalam Menganalisis berbagai bentuk/jenis sumber Sejarah, cukup kemampuan dalam Menganalisis langkah-langkah penelitian Sejarah terhadap berbagai peristiwa Sejarah</v>
      </c>
      <c r="AL47" s="276">
        <v>90</v>
      </c>
      <c r="AM47" s="277">
        <v>80</v>
      </c>
      <c r="AN47" s="277">
        <v>80</v>
      </c>
      <c r="AO47" s="277">
        <v>78</v>
      </c>
      <c r="AP47" s="277"/>
      <c r="AQ47" s="277"/>
      <c r="AR47" s="277"/>
      <c r="AS47" s="280"/>
      <c r="AT47" s="277"/>
      <c r="AU47" s="278"/>
      <c r="AV47" s="285">
        <f t="shared" si="33"/>
        <v>82</v>
      </c>
      <c r="AW47" s="296" t="str">
        <f t="shared" si="34"/>
        <v>C</v>
      </c>
      <c r="AX47" s="1220">
        <f t="shared" si="42"/>
        <v>90.01</v>
      </c>
      <c r="AY47" s="1221">
        <f t="shared" si="42"/>
        <v>80.02</v>
      </c>
      <c r="AZ47" s="1221">
        <f t="shared" si="42"/>
        <v>80.03</v>
      </c>
      <c r="BA47" s="1221">
        <f t="shared" si="42"/>
        <v>78.040000000000006</v>
      </c>
      <c r="BB47" s="1221" t="str">
        <f t="shared" si="42"/>
        <v/>
      </c>
      <c r="BC47" s="1221" t="str">
        <f t="shared" si="42"/>
        <v/>
      </c>
      <c r="BD47" s="1221" t="str">
        <f t="shared" si="42"/>
        <v/>
      </c>
      <c r="BE47" s="1222" t="str">
        <f t="shared" si="42"/>
        <v/>
      </c>
      <c r="BF47" s="1221" t="str">
        <f t="shared" si="42"/>
        <v/>
      </c>
      <c r="BG47" s="1223" t="str">
        <f t="shared" si="42"/>
        <v/>
      </c>
      <c r="BH47" s="286">
        <f t="shared" si="35"/>
        <v>90.01</v>
      </c>
      <c r="BI47" s="286">
        <f t="shared" si="36"/>
        <v>78.040000000000006</v>
      </c>
      <c r="BJ47" s="287" t="str">
        <f t="shared" si="37"/>
        <v>baik</v>
      </c>
      <c r="BK47" s="287" t="str">
        <f t="shared" si="37"/>
        <v>cukup</v>
      </c>
      <c r="BL47" s="286">
        <f t="shared" si="38"/>
        <v>1</v>
      </c>
      <c r="BM47" s="288">
        <f t="shared" si="39"/>
        <v>4</v>
      </c>
      <c r="BN47"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47" s="67"/>
    </row>
    <row r="48" spans="1:67" ht="33" customHeight="1">
      <c r="A48" s="67"/>
      <c r="B48" s="272">
        <f t="shared" si="23"/>
        <v>35</v>
      </c>
      <c r="C48" s="273">
        <f>IF(Data!F39="","",Data!F39)</f>
        <v>0</v>
      </c>
      <c r="D48" s="274" t="str">
        <f>IF(Data!H39="","",Data!H39)</f>
        <v>Yefta Trianus Mau</v>
      </c>
      <c r="E48" s="275" t="str">
        <f>IF(Data!I39="","",Data!I39)</f>
        <v>L</v>
      </c>
      <c r="F48" s="1487">
        <v>98</v>
      </c>
      <c r="G48" s="1487">
        <v>80</v>
      </c>
      <c r="H48" s="276">
        <v>80</v>
      </c>
      <c r="I48" s="277">
        <v>80</v>
      </c>
      <c r="J48" s="277"/>
      <c r="K48" s="277"/>
      <c r="L48" s="277"/>
      <c r="M48" s="280"/>
      <c r="N48" s="277"/>
      <c r="O48" s="278"/>
      <c r="P48" s="279">
        <f t="shared" si="24"/>
        <v>85</v>
      </c>
      <c r="Q48" s="1487">
        <v>80</v>
      </c>
      <c r="R48" s="1487">
        <v>76</v>
      </c>
      <c r="S48" s="281">
        <f t="shared" si="25"/>
        <v>82</v>
      </c>
      <c r="T48" s="295" t="str">
        <f t="shared" si="26"/>
        <v>C</v>
      </c>
      <c r="U48" s="1215">
        <f t="shared" si="41"/>
        <v>98.01</v>
      </c>
      <c r="V48" s="1216">
        <f t="shared" si="41"/>
        <v>80.02</v>
      </c>
      <c r="W48" s="1216">
        <f t="shared" si="41"/>
        <v>80.03</v>
      </c>
      <c r="X48" s="1216">
        <f t="shared" si="41"/>
        <v>80.040000000000006</v>
      </c>
      <c r="Y48" s="1216" t="str">
        <f t="shared" si="41"/>
        <v/>
      </c>
      <c r="Z48" s="1216" t="str">
        <f t="shared" si="41"/>
        <v/>
      </c>
      <c r="AA48" s="1216" t="str">
        <f t="shared" si="41"/>
        <v/>
      </c>
      <c r="AB48" s="1217" t="str">
        <f t="shared" si="41"/>
        <v/>
      </c>
      <c r="AC48" s="1216" t="str">
        <f t="shared" si="41"/>
        <v/>
      </c>
      <c r="AD48" s="1218" t="str">
        <f t="shared" si="41"/>
        <v/>
      </c>
      <c r="AE48" s="1219">
        <f t="shared" si="27"/>
        <v>98.01</v>
      </c>
      <c r="AF48" s="282">
        <f t="shared" si="28"/>
        <v>80.02</v>
      </c>
      <c r="AG48" s="282" t="str">
        <f t="shared" si="29"/>
        <v>sangat baik</v>
      </c>
      <c r="AH48" s="282" t="str">
        <f t="shared" si="29"/>
        <v>cukup</v>
      </c>
      <c r="AI48" s="282">
        <f t="shared" si="30"/>
        <v>1</v>
      </c>
      <c r="AJ48" s="283">
        <f t="shared" si="31"/>
        <v>2</v>
      </c>
      <c r="AK48" s="284" t="str">
        <f t="shared" si="32"/>
        <v>Memiliki kemampuan sangat baik dalam Menganalisis berbagai bentuk/jenis sumber Sejarah, cukup kemampuan dalam Menganalisis langkah-langkah penelitian Sejarah terhadap berbagai peristiwa Sejarah</v>
      </c>
      <c r="AL48" s="276">
        <v>90</v>
      </c>
      <c r="AM48" s="277">
        <v>80</v>
      </c>
      <c r="AN48" s="277">
        <v>80</v>
      </c>
      <c r="AO48" s="277">
        <v>78</v>
      </c>
      <c r="AP48" s="277"/>
      <c r="AQ48" s="277"/>
      <c r="AR48" s="277"/>
      <c r="AS48" s="280"/>
      <c r="AT48" s="277"/>
      <c r="AU48" s="278"/>
      <c r="AV48" s="285">
        <f t="shared" si="33"/>
        <v>82</v>
      </c>
      <c r="AW48" s="296" t="str">
        <f t="shared" si="34"/>
        <v>C</v>
      </c>
      <c r="AX48" s="1220">
        <f t="shared" si="42"/>
        <v>90.01</v>
      </c>
      <c r="AY48" s="1221">
        <f t="shared" si="42"/>
        <v>80.02</v>
      </c>
      <c r="AZ48" s="1221">
        <f t="shared" si="42"/>
        <v>80.03</v>
      </c>
      <c r="BA48" s="1221">
        <f t="shared" si="42"/>
        <v>78.040000000000006</v>
      </c>
      <c r="BB48" s="1221" t="str">
        <f t="shared" si="42"/>
        <v/>
      </c>
      <c r="BC48" s="1221" t="str">
        <f t="shared" si="42"/>
        <v/>
      </c>
      <c r="BD48" s="1221" t="str">
        <f t="shared" si="42"/>
        <v/>
      </c>
      <c r="BE48" s="1222" t="str">
        <f t="shared" si="42"/>
        <v/>
      </c>
      <c r="BF48" s="1221" t="str">
        <f t="shared" si="42"/>
        <v/>
      </c>
      <c r="BG48" s="1223" t="str">
        <f t="shared" si="42"/>
        <v/>
      </c>
      <c r="BH48" s="286">
        <f t="shared" si="35"/>
        <v>90.01</v>
      </c>
      <c r="BI48" s="286">
        <f t="shared" si="36"/>
        <v>78.040000000000006</v>
      </c>
      <c r="BJ48" s="287" t="str">
        <f t="shared" si="37"/>
        <v>baik</v>
      </c>
      <c r="BK48" s="287" t="str">
        <f t="shared" si="37"/>
        <v>cukup</v>
      </c>
      <c r="BL48" s="286">
        <f t="shared" si="38"/>
        <v>1</v>
      </c>
      <c r="BM48" s="288">
        <f t="shared" si="39"/>
        <v>4</v>
      </c>
      <c r="BN48"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48" s="67"/>
    </row>
    <row r="49" spans="1:67" ht="33" customHeight="1">
      <c r="A49" s="67"/>
      <c r="B49" s="272">
        <f t="shared" si="23"/>
        <v>36</v>
      </c>
      <c r="C49" s="273">
        <f>IF(Data!F40="","",Data!F40)</f>
        <v>0</v>
      </c>
      <c r="D49" s="274" t="str">
        <f>IF(Data!H40="","",Data!H40)</f>
        <v>Yuliana Febriyanti Nggeon</v>
      </c>
      <c r="E49" s="275" t="str">
        <f>IF(Data!I40="","",Data!I40)</f>
        <v>P</v>
      </c>
      <c r="F49" s="1487">
        <v>90</v>
      </c>
      <c r="G49" s="1487">
        <v>90</v>
      </c>
      <c r="H49" s="276">
        <v>80</v>
      </c>
      <c r="I49" s="277">
        <v>90</v>
      </c>
      <c r="J49" s="277"/>
      <c r="K49" s="277"/>
      <c r="L49" s="277"/>
      <c r="M49" s="280"/>
      <c r="N49" s="277"/>
      <c r="O49" s="278"/>
      <c r="P49" s="279">
        <f t="shared" si="24"/>
        <v>88</v>
      </c>
      <c r="Q49" s="1487">
        <v>88</v>
      </c>
      <c r="R49" s="1487">
        <v>76</v>
      </c>
      <c r="S49" s="281">
        <f t="shared" si="25"/>
        <v>85</v>
      </c>
      <c r="T49" s="295" t="str">
        <f t="shared" si="26"/>
        <v>B</v>
      </c>
      <c r="U49" s="1215">
        <f t="shared" si="41"/>
        <v>90.01</v>
      </c>
      <c r="V49" s="1216">
        <f t="shared" si="41"/>
        <v>90.02</v>
      </c>
      <c r="W49" s="1216">
        <f t="shared" si="41"/>
        <v>80.03</v>
      </c>
      <c r="X49" s="1216">
        <f t="shared" si="41"/>
        <v>90.04</v>
      </c>
      <c r="Y49" s="1216" t="str">
        <f t="shared" si="41"/>
        <v/>
      </c>
      <c r="Z49" s="1216" t="str">
        <f t="shared" si="41"/>
        <v/>
      </c>
      <c r="AA49" s="1216" t="str">
        <f t="shared" si="41"/>
        <v/>
      </c>
      <c r="AB49" s="1217" t="str">
        <f t="shared" si="41"/>
        <v/>
      </c>
      <c r="AC49" s="1216" t="str">
        <f t="shared" si="41"/>
        <v/>
      </c>
      <c r="AD49" s="1218" t="str">
        <f t="shared" si="41"/>
        <v/>
      </c>
      <c r="AE49" s="1219">
        <f t="shared" si="27"/>
        <v>90.04</v>
      </c>
      <c r="AF49" s="282">
        <f t="shared" si="28"/>
        <v>80.03</v>
      </c>
      <c r="AG49" s="282" t="str">
        <f t="shared" si="29"/>
        <v>baik</v>
      </c>
      <c r="AH49" s="282" t="str">
        <f t="shared" si="29"/>
        <v>cukup</v>
      </c>
      <c r="AI49" s="282">
        <f t="shared" si="30"/>
        <v>4</v>
      </c>
      <c r="AJ49" s="283">
        <f t="shared" si="31"/>
        <v>3</v>
      </c>
      <c r="AK49" s="284" t="str">
        <f t="shared" si="32"/>
        <v>Memiliki kemampuan baik dalam Menganalisis keterkaitan antara manusia purba Indonesia dan Dunia dengan manusia modern dalam fisik dan budaya, cukup kemampuan dalam Menganalisis perbedaan ciri-ciri dari historiografi tradisional, kolonial dan modern</v>
      </c>
      <c r="AL49" s="276">
        <v>90</v>
      </c>
      <c r="AM49" s="277">
        <v>80</v>
      </c>
      <c r="AN49" s="277">
        <v>80</v>
      </c>
      <c r="AO49" s="277">
        <v>80</v>
      </c>
      <c r="AP49" s="277"/>
      <c r="AQ49" s="277"/>
      <c r="AR49" s="277"/>
      <c r="AS49" s="280"/>
      <c r="AT49" s="277"/>
      <c r="AU49" s="278"/>
      <c r="AV49" s="285">
        <f t="shared" si="33"/>
        <v>83</v>
      </c>
      <c r="AW49" s="296" t="str">
        <f t="shared" si="34"/>
        <v>C</v>
      </c>
      <c r="AX49" s="1220">
        <f t="shared" si="42"/>
        <v>90.01</v>
      </c>
      <c r="AY49" s="1221">
        <f t="shared" si="42"/>
        <v>80.02</v>
      </c>
      <c r="AZ49" s="1221">
        <f t="shared" si="42"/>
        <v>80.03</v>
      </c>
      <c r="BA49" s="1221">
        <f t="shared" si="42"/>
        <v>80.040000000000006</v>
      </c>
      <c r="BB49" s="1221" t="str">
        <f t="shared" si="42"/>
        <v/>
      </c>
      <c r="BC49" s="1221" t="str">
        <f t="shared" si="42"/>
        <v/>
      </c>
      <c r="BD49" s="1221" t="str">
        <f t="shared" si="42"/>
        <v/>
      </c>
      <c r="BE49" s="1222" t="str">
        <f t="shared" si="42"/>
        <v/>
      </c>
      <c r="BF49" s="1221" t="str">
        <f t="shared" si="42"/>
        <v/>
      </c>
      <c r="BG49" s="1223" t="str">
        <f t="shared" si="42"/>
        <v/>
      </c>
      <c r="BH49" s="286">
        <f t="shared" si="35"/>
        <v>90.01</v>
      </c>
      <c r="BI49" s="286">
        <f t="shared" si="36"/>
        <v>80.02</v>
      </c>
      <c r="BJ49" s="287" t="str">
        <f t="shared" si="37"/>
        <v>baik</v>
      </c>
      <c r="BK49" s="287" t="str">
        <f t="shared" si="37"/>
        <v>cukup</v>
      </c>
      <c r="BL49" s="286">
        <f t="shared" si="38"/>
        <v>1</v>
      </c>
      <c r="BM49" s="288">
        <f t="shared" si="39"/>
        <v>2</v>
      </c>
      <c r="BN49" s="289" t="str">
        <f t="shared" si="40"/>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BO49" s="67"/>
    </row>
    <row r="50" spans="1:67" ht="33" customHeight="1">
      <c r="A50" s="67"/>
      <c r="B50" s="272">
        <f t="shared" si="23"/>
        <v>37</v>
      </c>
      <c r="C50" s="273">
        <f>IF(Data!F41="","",Data!F41)</f>
        <v>0</v>
      </c>
      <c r="D50" s="274" t="str">
        <f>IF(Data!H41="","",Data!H41)</f>
        <v>Yuninda Pono</v>
      </c>
      <c r="E50" s="275" t="str">
        <f>IF(Data!I41="","",Data!I41)</f>
        <v>P</v>
      </c>
      <c r="F50" s="1487">
        <v>90</v>
      </c>
      <c r="G50" s="1487">
        <v>80</v>
      </c>
      <c r="H50" s="276">
        <v>80</v>
      </c>
      <c r="I50" s="277">
        <v>80</v>
      </c>
      <c r="J50" s="277"/>
      <c r="K50" s="277"/>
      <c r="L50" s="277"/>
      <c r="M50" s="280"/>
      <c r="N50" s="277"/>
      <c r="O50" s="278"/>
      <c r="P50" s="279">
        <f t="shared" si="24"/>
        <v>83</v>
      </c>
      <c r="Q50" s="1487">
        <v>80</v>
      </c>
      <c r="R50" s="1487">
        <v>76</v>
      </c>
      <c r="S50" s="281">
        <f t="shared" si="25"/>
        <v>81</v>
      </c>
      <c r="T50" s="295" t="str">
        <f t="shared" si="26"/>
        <v>C</v>
      </c>
      <c r="U50" s="1215">
        <f t="shared" si="41"/>
        <v>90.01</v>
      </c>
      <c r="V50" s="1216">
        <f t="shared" si="41"/>
        <v>80.02</v>
      </c>
      <c r="W50" s="1216">
        <f t="shared" si="41"/>
        <v>80.03</v>
      </c>
      <c r="X50" s="1216">
        <f t="shared" si="41"/>
        <v>80.040000000000006</v>
      </c>
      <c r="Y50" s="1216" t="str">
        <f t="shared" si="41"/>
        <v/>
      </c>
      <c r="Z50" s="1216" t="str">
        <f t="shared" si="41"/>
        <v/>
      </c>
      <c r="AA50" s="1216" t="str">
        <f t="shared" si="41"/>
        <v/>
      </c>
      <c r="AB50" s="1217" t="str">
        <f t="shared" si="41"/>
        <v/>
      </c>
      <c r="AC50" s="1216" t="str">
        <f t="shared" si="41"/>
        <v/>
      </c>
      <c r="AD50" s="1218" t="str">
        <f t="shared" si="41"/>
        <v/>
      </c>
      <c r="AE50" s="1219">
        <f t="shared" si="27"/>
        <v>90.01</v>
      </c>
      <c r="AF50" s="282">
        <f t="shared" si="28"/>
        <v>80.02</v>
      </c>
      <c r="AG50" s="282" t="str">
        <f t="shared" si="29"/>
        <v>baik</v>
      </c>
      <c r="AH50" s="282" t="str">
        <f t="shared" si="29"/>
        <v>cukup</v>
      </c>
      <c r="AI50" s="282">
        <f t="shared" si="30"/>
        <v>1</v>
      </c>
      <c r="AJ50" s="283">
        <f t="shared" si="31"/>
        <v>2</v>
      </c>
      <c r="AK50" s="284" t="str">
        <f t="shared" si="32"/>
        <v>Memiliki kemampuan baik dalam Menganalisis berbagai bentuk/jenis sumber Sejarah, cukup kemampuan dalam Menganalisis langkah-langkah penelitian Sejarah terhadap berbagai peristiwa Sejarah</v>
      </c>
      <c r="AL50" s="276">
        <v>90</v>
      </c>
      <c r="AM50" s="277">
        <v>80</v>
      </c>
      <c r="AN50" s="277">
        <v>80</v>
      </c>
      <c r="AO50" s="277">
        <v>78</v>
      </c>
      <c r="AP50" s="277"/>
      <c r="AQ50" s="277"/>
      <c r="AR50" s="277"/>
      <c r="AS50" s="280"/>
      <c r="AT50" s="277"/>
      <c r="AU50" s="278"/>
      <c r="AV50" s="285">
        <f t="shared" si="33"/>
        <v>82</v>
      </c>
      <c r="AW50" s="296" t="str">
        <f t="shared" si="34"/>
        <v>C</v>
      </c>
      <c r="AX50" s="1220">
        <f t="shared" si="42"/>
        <v>90.01</v>
      </c>
      <c r="AY50" s="1221">
        <f t="shared" si="42"/>
        <v>80.02</v>
      </c>
      <c r="AZ50" s="1221">
        <f t="shared" si="42"/>
        <v>80.03</v>
      </c>
      <c r="BA50" s="1221">
        <f t="shared" si="42"/>
        <v>78.040000000000006</v>
      </c>
      <c r="BB50" s="1221" t="str">
        <f t="shared" si="42"/>
        <v/>
      </c>
      <c r="BC50" s="1221" t="str">
        <f t="shared" si="42"/>
        <v/>
      </c>
      <c r="BD50" s="1221" t="str">
        <f t="shared" si="42"/>
        <v/>
      </c>
      <c r="BE50" s="1222" t="str">
        <f t="shared" si="42"/>
        <v/>
      </c>
      <c r="BF50" s="1221" t="str">
        <f t="shared" si="42"/>
        <v/>
      </c>
      <c r="BG50" s="1223" t="str">
        <f t="shared" si="42"/>
        <v/>
      </c>
      <c r="BH50" s="286">
        <f t="shared" si="35"/>
        <v>90.01</v>
      </c>
      <c r="BI50" s="286">
        <f t="shared" si="36"/>
        <v>78.040000000000006</v>
      </c>
      <c r="BJ50" s="287" t="str">
        <f t="shared" si="37"/>
        <v>baik</v>
      </c>
      <c r="BK50" s="287" t="str">
        <f t="shared" si="37"/>
        <v>cukup</v>
      </c>
      <c r="BL50" s="286">
        <f t="shared" si="38"/>
        <v>1</v>
      </c>
      <c r="BM50" s="288">
        <f t="shared" si="39"/>
        <v>4</v>
      </c>
      <c r="BN50" s="289" t="str">
        <f t="shared" si="40"/>
        <v>Memiliki keterampilan baik dalam Menyajikan hasil analisis jenis sumber, peran sumber dan keterkaitannya dengan kejadian sejarah, dalam berbagai bentuk presentasi., cukup keterampilan dalam Menyajikan hasil analisis mengenai keterkaitan antara Manusia Purba Indonesia dan Dunia dengan manusia modern secara fisik dan budaya, dalam berbagai bentuk presentasi.</v>
      </c>
      <c r="BO50" s="67"/>
    </row>
    <row r="51" spans="1:67" ht="33" customHeight="1">
      <c r="A51" s="67"/>
      <c r="B51" s="272" t="str">
        <f t="shared" si="23"/>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23"/>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23"/>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23"/>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23"/>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3">IF(K55="","",K55+Z$13)</f>
        <v/>
      </c>
      <c r="AA55" s="1216" t="str">
        <f t="shared" si="43"/>
        <v/>
      </c>
      <c r="AB55" s="1217" t="str">
        <f t="shared" si="43"/>
        <v/>
      </c>
      <c r="AC55" s="1216" t="str">
        <f t="shared" si="43"/>
        <v/>
      </c>
      <c r="AD55" s="1218" t="str">
        <f t="shared" si="43"/>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4">IF(AQ55="","",AQ55+BC$12)</f>
        <v/>
      </c>
      <c r="BD55" s="1221" t="str">
        <f t="shared" si="44"/>
        <v/>
      </c>
      <c r="BE55" s="1222" t="str">
        <f t="shared" si="44"/>
        <v/>
      </c>
      <c r="BF55" s="1221" t="str">
        <f t="shared" si="44"/>
        <v/>
      </c>
      <c r="BG55" s="1223" t="str">
        <f t="shared" si="44"/>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23"/>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5">IF(F56="","",F56+U$13)</f>
        <v/>
      </c>
      <c r="V56" s="1216" t="str">
        <f t="shared" si="45"/>
        <v/>
      </c>
      <c r="W56" s="1216" t="str">
        <f t="shared" si="45"/>
        <v/>
      </c>
      <c r="X56" s="1216" t="str">
        <f t="shared" si="45"/>
        <v/>
      </c>
      <c r="Y56" s="1216" t="str">
        <f t="shared" si="45"/>
        <v/>
      </c>
      <c r="Z56" s="1216" t="str">
        <f t="shared" si="43"/>
        <v/>
      </c>
      <c r="AA56" s="1216" t="str">
        <f t="shared" si="43"/>
        <v/>
      </c>
      <c r="AB56" s="1217" t="str">
        <f t="shared" si="43"/>
        <v/>
      </c>
      <c r="AC56" s="1216" t="str">
        <f t="shared" si="43"/>
        <v/>
      </c>
      <c r="AD56" s="1218" t="str">
        <f t="shared" si="43"/>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6">IF(AL56="","",AL56+AX$12)</f>
        <v/>
      </c>
      <c r="AY56" s="1221" t="str">
        <f t="shared" si="46"/>
        <v/>
      </c>
      <c r="AZ56" s="1221" t="str">
        <f t="shared" si="46"/>
        <v/>
      </c>
      <c r="BA56" s="1221" t="str">
        <f t="shared" si="46"/>
        <v/>
      </c>
      <c r="BB56" s="1221" t="str">
        <f t="shared" si="46"/>
        <v/>
      </c>
      <c r="BC56" s="1221" t="str">
        <f t="shared" si="44"/>
        <v/>
      </c>
      <c r="BD56" s="1221" t="str">
        <f t="shared" si="44"/>
        <v/>
      </c>
      <c r="BE56" s="1222" t="str">
        <f t="shared" si="44"/>
        <v/>
      </c>
      <c r="BF56" s="1221" t="str">
        <f t="shared" si="44"/>
        <v/>
      </c>
      <c r="BG56" s="1223" t="str">
        <f t="shared" si="44"/>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23"/>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5"/>
        <v/>
      </c>
      <c r="V57" s="1216" t="str">
        <f t="shared" si="45"/>
        <v/>
      </c>
      <c r="W57" s="1216" t="str">
        <f t="shared" si="45"/>
        <v/>
      </c>
      <c r="X57" s="1216" t="str">
        <f t="shared" si="45"/>
        <v/>
      </c>
      <c r="Y57" s="1216" t="str">
        <f t="shared" si="45"/>
        <v/>
      </c>
      <c r="Z57" s="1216" t="str">
        <f t="shared" si="43"/>
        <v/>
      </c>
      <c r="AA57" s="1216" t="str">
        <f t="shared" si="43"/>
        <v/>
      </c>
      <c r="AB57" s="1217" t="str">
        <f t="shared" si="43"/>
        <v/>
      </c>
      <c r="AC57" s="1216" t="str">
        <f t="shared" si="43"/>
        <v/>
      </c>
      <c r="AD57" s="1218" t="str">
        <f t="shared" si="43"/>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6"/>
        <v/>
      </c>
      <c r="AY57" s="1221" t="str">
        <f t="shared" si="46"/>
        <v/>
      </c>
      <c r="AZ57" s="1221" t="str">
        <f t="shared" si="46"/>
        <v/>
      </c>
      <c r="BA57" s="1221" t="str">
        <f t="shared" si="46"/>
        <v/>
      </c>
      <c r="BB57" s="1221" t="str">
        <f t="shared" si="46"/>
        <v/>
      </c>
      <c r="BC57" s="1221" t="str">
        <f t="shared" si="44"/>
        <v/>
      </c>
      <c r="BD57" s="1221" t="str">
        <f t="shared" si="44"/>
        <v/>
      </c>
      <c r="BE57" s="1222" t="str">
        <f t="shared" si="44"/>
        <v/>
      </c>
      <c r="BF57" s="1221" t="str">
        <f t="shared" si="44"/>
        <v/>
      </c>
      <c r="BG57" s="1223" t="str">
        <f t="shared" si="44"/>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23"/>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5"/>
        <v/>
      </c>
      <c r="V58" s="1216" t="str">
        <f t="shared" si="45"/>
        <v/>
      </c>
      <c r="W58" s="1216" t="str">
        <f t="shared" si="45"/>
        <v/>
      </c>
      <c r="X58" s="1216" t="str">
        <f t="shared" si="45"/>
        <v/>
      </c>
      <c r="Y58" s="1216" t="str">
        <f t="shared" si="45"/>
        <v/>
      </c>
      <c r="Z58" s="1216" t="str">
        <f t="shared" si="43"/>
        <v/>
      </c>
      <c r="AA58" s="1216" t="str">
        <f t="shared" si="43"/>
        <v/>
      </c>
      <c r="AB58" s="1217" t="str">
        <f t="shared" si="43"/>
        <v/>
      </c>
      <c r="AC58" s="1216" t="str">
        <f t="shared" si="43"/>
        <v/>
      </c>
      <c r="AD58" s="1218" t="str">
        <f t="shared" si="43"/>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6"/>
        <v/>
      </c>
      <c r="AY58" s="1221" t="str">
        <f t="shared" si="46"/>
        <v/>
      </c>
      <c r="AZ58" s="1221" t="str">
        <f t="shared" si="46"/>
        <v/>
      </c>
      <c r="BA58" s="1221" t="str">
        <f t="shared" si="46"/>
        <v/>
      </c>
      <c r="BB58" s="1221" t="str">
        <f t="shared" si="46"/>
        <v/>
      </c>
      <c r="BC58" s="1221" t="str">
        <f t="shared" si="44"/>
        <v/>
      </c>
      <c r="BD58" s="1221" t="str">
        <f t="shared" si="44"/>
        <v/>
      </c>
      <c r="BE58" s="1222" t="str">
        <f t="shared" si="44"/>
        <v/>
      </c>
      <c r="BF58" s="1221" t="str">
        <f t="shared" si="44"/>
        <v/>
      </c>
      <c r="BG58" s="1223" t="str">
        <f t="shared" si="44"/>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23"/>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5"/>
        <v/>
      </c>
      <c r="V59" s="1216" t="str">
        <f t="shared" si="45"/>
        <v/>
      </c>
      <c r="W59" s="1216" t="str">
        <f t="shared" si="45"/>
        <v/>
      </c>
      <c r="X59" s="1216" t="str">
        <f t="shared" si="45"/>
        <v/>
      </c>
      <c r="Y59" s="1216" t="str">
        <f t="shared" si="45"/>
        <v/>
      </c>
      <c r="Z59" s="1216" t="str">
        <f t="shared" si="43"/>
        <v/>
      </c>
      <c r="AA59" s="1216" t="str">
        <f t="shared" si="43"/>
        <v/>
      </c>
      <c r="AB59" s="1217" t="str">
        <f t="shared" si="43"/>
        <v/>
      </c>
      <c r="AC59" s="1216" t="str">
        <f t="shared" si="43"/>
        <v/>
      </c>
      <c r="AD59" s="1218" t="str">
        <f t="shared" si="43"/>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6"/>
        <v/>
      </c>
      <c r="AY59" s="1221" t="str">
        <f t="shared" si="46"/>
        <v/>
      </c>
      <c r="AZ59" s="1221" t="str">
        <f t="shared" si="46"/>
        <v/>
      </c>
      <c r="BA59" s="1221" t="str">
        <f t="shared" si="46"/>
        <v/>
      </c>
      <c r="BB59" s="1221" t="str">
        <f t="shared" si="46"/>
        <v/>
      </c>
      <c r="BC59" s="1221" t="str">
        <f t="shared" si="44"/>
        <v/>
      </c>
      <c r="BD59" s="1221" t="str">
        <f t="shared" si="44"/>
        <v/>
      </c>
      <c r="BE59" s="1222" t="str">
        <f t="shared" si="44"/>
        <v/>
      </c>
      <c r="BF59" s="1221" t="str">
        <f t="shared" si="44"/>
        <v/>
      </c>
      <c r="BG59" s="1223" t="str">
        <f t="shared" si="44"/>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23"/>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5"/>
        <v/>
      </c>
      <c r="V60" s="1216" t="str">
        <f t="shared" si="45"/>
        <v/>
      </c>
      <c r="W60" s="1216" t="str">
        <f t="shared" si="45"/>
        <v/>
      </c>
      <c r="X60" s="1216" t="str">
        <f t="shared" si="45"/>
        <v/>
      </c>
      <c r="Y60" s="1216" t="str">
        <f t="shared" si="45"/>
        <v/>
      </c>
      <c r="Z60" s="1216" t="str">
        <f t="shared" si="43"/>
        <v/>
      </c>
      <c r="AA60" s="1216" t="str">
        <f t="shared" si="43"/>
        <v/>
      </c>
      <c r="AB60" s="1217" t="str">
        <f t="shared" si="43"/>
        <v/>
      </c>
      <c r="AC60" s="1216" t="str">
        <f t="shared" si="43"/>
        <v/>
      </c>
      <c r="AD60" s="1218" t="str">
        <f t="shared" si="43"/>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6"/>
        <v/>
      </c>
      <c r="AY60" s="1221" t="str">
        <f t="shared" si="46"/>
        <v/>
      </c>
      <c r="AZ60" s="1221" t="str">
        <f t="shared" si="46"/>
        <v/>
      </c>
      <c r="BA60" s="1221" t="str">
        <f t="shared" si="46"/>
        <v/>
      </c>
      <c r="BB60" s="1221" t="str">
        <f t="shared" si="46"/>
        <v/>
      </c>
      <c r="BC60" s="1221" t="str">
        <f t="shared" si="44"/>
        <v/>
      </c>
      <c r="BD60" s="1221" t="str">
        <f t="shared" si="44"/>
        <v/>
      </c>
      <c r="BE60" s="1222" t="str">
        <f t="shared" si="44"/>
        <v/>
      </c>
      <c r="BF60" s="1221" t="str">
        <f t="shared" si="44"/>
        <v/>
      </c>
      <c r="BG60" s="1223" t="str">
        <f t="shared" si="44"/>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23"/>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5"/>
        <v/>
      </c>
      <c r="V61" s="1216" t="str">
        <f t="shared" si="45"/>
        <v/>
      </c>
      <c r="W61" s="1216" t="str">
        <f t="shared" si="45"/>
        <v/>
      </c>
      <c r="X61" s="1216" t="str">
        <f t="shared" si="45"/>
        <v/>
      </c>
      <c r="Y61" s="1216" t="str">
        <f t="shared" si="45"/>
        <v/>
      </c>
      <c r="Z61" s="1216" t="str">
        <f t="shared" si="43"/>
        <v/>
      </c>
      <c r="AA61" s="1216" t="str">
        <f t="shared" si="43"/>
        <v/>
      </c>
      <c r="AB61" s="1217" t="str">
        <f t="shared" si="43"/>
        <v/>
      </c>
      <c r="AC61" s="1216" t="str">
        <f t="shared" si="43"/>
        <v/>
      </c>
      <c r="AD61" s="1218" t="str">
        <f t="shared" si="43"/>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6"/>
        <v/>
      </c>
      <c r="AY61" s="1221" t="str">
        <f t="shared" si="46"/>
        <v/>
      </c>
      <c r="AZ61" s="1221" t="str">
        <f t="shared" si="46"/>
        <v/>
      </c>
      <c r="BA61" s="1221" t="str">
        <f t="shared" si="46"/>
        <v/>
      </c>
      <c r="BB61" s="1221" t="str">
        <f t="shared" si="46"/>
        <v/>
      </c>
      <c r="BC61" s="1221" t="str">
        <f t="shared" si="44"/>
        <v/>
      </c>
      <c r="BD61" s="1221" t="str">
        <f t="shared" si="44"/>
        <v/>
      </c>
      <c r="BE61" s="1222" t="str">
        <f t="shared" si="44"/>
        <v/>
      </c>
      <c r="BF61" s="1221" t="str">
        <f t="shared" si="44"/>
        <v/>
      </c>
      <c r="BG61" s="1223" t="str">
        <f t="shared" si="44"/>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23"/>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5"/>
        <v/>
      </c>
      <c r="V62" s="1216" t="str">
        <f t="shared" si="45"/>
        <v/>
      </c>
      <c r="W62" s="1216" t="str">
        <f t="shared" si="45"/>
        <v/>
      </c>
      <c r="X62" s="1216" t="str">
        <f t="shared" si="45"/>
        <v/>
      </c>
      <c r="Y62" s="1216" t="str">
        <f t="shared" si="45"/>
        <v/>
      </c>
      <c r="Z62" s="1216" t="str">
        <f t="shared" si="43"/>
        <v/>
      </c>
      <c r="AA62" s="1216" t="str">
        <f t="shared" si="43"/>
        <v/>
      </c>
      <c r="AB62" s="1217" t="str">
        <f t="shared" si="43"/>
        <v/>
      </c>
      <c r="AC62" s="1216" t="str">
        <f t="shared" si="43"/>
        <v/>
      </c>
      <c r="AD62" s="1218" t="str">
        <f t="shared" si="43"/>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6"/>
        <v/>
      </c>
      <c r="AY62" s="1221" t="str">
        <f t="shared" si="46"/>
        <v/>
      </c>
      <c r="AZ62" s="1221" t="str">
        <f t="shared" si="46"/>
        <v/>
      </c>
      <c r="BA62" s="1221" t="str">
        <f t="shared" si="46"/>
        <v/>
      </c>
      <c r="BB62" s="1221" t="str">
        <f t="shared" si="46"/>
        <v/>
      </c>
      <c r="BC62" s="1221" t="str">
        <f t="shared" si="44"/>
        <v/>
      </c>
      <c r="BD62" s="1221" t="str">
        <f t="shared" si="44"/>
        <v/>
      </c>
      <c r="BE62" s="1222" t="str">
        <f t="shared" si="44"/>
        <v/>
      </c>
      <c r="BF62" s="1221" t="str">
        <f t="shared" si="44"/>
        <v/>
      </c>
      <c r="BG62" s="1223" t="str">
        <f t="shared" si="44"/>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23"/>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5"/>
        <v/>
      </c>
      <c r="V63" s="1216" t="str">
        <f t="shared" si="45"/>
        <v/>
      </c>
      <c r="W63" s="1216" t="str">
        <f t="shared" si="45"/>
        <v/>
      </c>
      <c r="X63" s="1216" t="str">
        <f t="shared" si="45"/>
        <v/>
      </c>
      <c r="Y63" s="1216" t="str">
        <f t="shared" si="45"/>
        <v/>
      </c>
      <c r="Z63" s="1216" t="str">
        <f t="shared" si="43"/>
        <v/>
      </c>
      <c r="AA63" s="1216" t="str">
        <f t="shared" si="43"/>
        <v/>
      </c>
      <c r="AB63" s="1217" t="str">
        <f t="shared" si="43"/>
        <v/>
      </c>
      <c r="AC63" s="1216" t="str">
        <f t="shared" si="43"/>
        <v/>
      </c>
      <c r="AD63" s="1218" t="str">
        <f t="shared" si="43"/>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6"/>
        <v/>
      </c>
      <c r="AY63" s="1221" t="str">
        <f t="shared" si="46"/>
        <v/>
      </c>
      <c r="AZ63" s="1221" t="str">
        <f t="shared" si="46"/>
        <v/>
      </c>
      <c r="BA63" s="1221" t="str">
        <f t="shared" si="46"/>
        <v/>
      </c>
      <c r="BB63" s="1221" t="str">
        <f t="shared" si="46"/>
        <v/>
      </c>
      <c r="BC63" s="1221" t="str">
        <f t="shared" si="44"/>
        <v/>
      </c>
      <c r="BD63" s="1221" t="str">
        <f t="shared" si="44"/>
        <v/>
      </c>
      <c r="BE63" s="1222" t="str">
        <f t="shared" si="44"/>
        <v/>
      </c>
      <c r="BF63" s="1221" t="str">
        <f t="shared" si="44"/>
        <v/>
      </c>
      <c r="BG63" s="1223" t="str">
        <f t="shared" si="44"/>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7">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7"/>
        <v>85</v>
      </c>
      <c r="AM69" s="349" t="s">
        <v>5</v>
      </c>
      <c r="AN69" s="347">
        <f t="shared" ref="AN69" si="48">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Data2!G18</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49">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0">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1">F76</f>
        <v>85</v>
      </c>
      <c r="AM76" s="7" t="s">
        <v>5</v>
      </c>
      <c r="AN76" s="9">
        <f t="shared" si="51"/>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1"/>
        <v>76</v>
      </c>
      <c r="AM77" s="7" t="s">
        <v>5</v>
      </c>
      <c r="AN77" s="9">
        <f t="shared" si="51"/>
        <v>84.5</v>
      </c>
      <c r="AO77" s="1357" t="str">
        <f t="shared" ref="AO77:AO78" si="52">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1"/>
        <v>0</v>
      </c>
      <c r="AM78" s="7" t="s">
        <v>5</v>
      </c>
      <c r="AN78" s="9">
        <f t="shared" si="51"/>
        <v>75.5</v>
      </c>
      <c r="AO78" s="1357" t="str">
        <f t="shared" si="52"/>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75" hidden="1" customHeight="1">
      <c r="C84" s="2"/>
      <c r="AL84" s="10"/>
      <c r="AM84" s="8"/>
      <c r="AN84" s="10"/>
      <c r="AO84" s="512"/>
      <c r="AP84" s="512"/>
      <c r="AQ84" s="512"/>
      <c r="AR84" s="1159"/>
      <c r="AS84" s="1159"/>
      <c r="AT84" s="512"/>
      <c r="AU84" s="512"/>
      <c r="AV84" s="512"/>
    </row>
    <row r="85" spans="3:48" ht="12.75" hidden="1" customHeight="1">
      <c r="C85" s="2"/>
      <c r="AL85" s="10"/>
      <c r="AM85" s="8"/>
      <c r="AN85" s="10"/>
      <c r="AO85" s="512"/>
      <c r="AP85" s="512"/>
      <c r="AQ85" s="512"/>
      <c r="AR85" s="1159"/>
      <c r="AS85" s="1159"/>
      <c r="AT85" s="512"/>
      <c r="AU85" s="512"/>
      <c r="AV85" s="512"/>
    </row>
    <row r="86" spans="3:48" ht="12" hidden="1" customHeight="1"/>
    <row r="87" spans="3:48" ht="12" hidden="1" customHeight="1"/>
    <row r="88" spans="3:48" ht="12" hidden="1" customHeight="1"/>
    <row r="89" spans="3:48" ht="12" hidden="1" customHeight="1"/>
    <row r="90" spans="3:48" ht="12" hidden="1" customHeight="1"/>
    <row r="91" spans="3:48" ht="12" hidden="1" customHeight="1">
      <c r="C91" s="2"/>
      <c r="F91" s="2"/>
      <c r="G91" s="2"/>
      <c r="H91" s="2"/>
      <c r="I91" s="2"/>
      <c r="J91" s="2"/>
      <c r="K91" s="2"/>
      <c r="L91" s="2"/>
      <c r="M91" s="2"/>
      <c r="S91" s="2"/>
      <c r="AL91" s="2"/>
      <c r="AM91" s="2"/>
      <c r="AN91" s="2"/>
      <c r="AO91" s="2"/>
      <c r="AP91" s="2"/>
      <c r="AQ91" s="2"/>
      <c r="AR91" s="2"/>
      <c r="AS91" s="2"/>
    </row>
    <row r="92" spans="3:48" ht="12" hidden="1" customHeight="1">
      <c r="C92" s="2"/>
      <c r="F92" s="2"/>
      <c r="G92" s="2"/>
      <c r="H92" s="2"/>
      <c r="I92" s="2"/>
      <c r="J92" s="2"/>
      <c r="K92" s="2"/>
      <c r="L92" s="2"/>
      <c r="M92" s="2"/>
      <c r="S92" s="2"/>
      <c r="AL92" s="2"/>
      <c r="AM92" s="2"/>
      <c r="AN92" s="2"/>
      <c r="AO92" s="2"/>
      <c r="AP92" s="2"/>
      <c r="AQ92" s="2"/>
      <c r="AR92" s="2"/>
      <c r="AS92" s="2"/>
    </row>
    <row r="93" spans="3:48" hidden="1"/>
    <row r="94" spans="3:48" hidden="1"/>
    <row r="95" spans="3:48" hidden="1"/>
    <row r="96" spans="3:48" hidden="1"/>
    <row r="97" hidden="1"/>
    <row r="98" hidden="1"/>
    <row r="99" hidden="1"/>
    <row r="100" hidden="1"/>
    <row r="101" hidden="1"/>
    <row r="102" hidden="1"/>
    <row r="103" hidden="1"/>
  </sheetData>
  <mergeCells count="70">
    <mergeCell ref="D1:E2"/>
    <mergeCell ref="B3:C4"/>
    <mergeCell ref="D3:E6"/>
    <mergeCell ref="B6:C6"/>
    <mergeCell ref="B7:C7"/>
    <mergeCell ref="D7:E9"/>
    <mergeCell ref="B8:C8"/>
    <mergeCell ref="B9:C9"/>
    <mergeCell ref="B1:C2"/>
    <mergeCell ref="F3:F6"/>
    <mergeCell ref="G3:R6"/>
    <mergeCell ref="AL4:AL5"/>
    <mergeCell ref="AM4:AU5"/>
    <mergeCell ref="AL6:AL7"/>
    <mergeCell ref="AM6:AU7"/>
    <mergeCell ref="F7:F10"/>
    <mergeCell ref="G7:R10"/>
    <mergeCell ref="AL8:AL11"/>
    <mergeCell ref="AM8:AU11"/>
    <mergeCell ref="G11:R11"/>
    <mergeCell ref="G1:R1"/>
    <mergeCell ref="AM1:AU1"/>
    <mergeCell ref="G2:R2"/>
    <mergeCell ref="AL2:AL3"/>
    <mergeCell ref="AM2:AU3"/>
    <mergeCell ref="I78:P78"/>
    <mergeCell ref="AO82:AV82"/>
    <mergeCell ref="AO83:AV83"/>
    <mergeCell ref="I75:P75"/>
    <mergeCell ref="I76:P76"/>
    <mergeCell ref="I77:P77"/>
    <mergeCell ref="I71:Q71"/>
    <mergeCell ref="AO71:AV71"/>
    <mergeCell ref="F73:Q73"/>
    <mergeCell ref="AL73:AV73"/>
    <mergeCell ref="F74:H74"/>
    <mergeCell ref="I74:Q74"/>
    <mergeCell ref="AL74:AN74"/>
    <mergeCell ref="AO74:AV74"/>
    <mergeCell ref="I68:Q68"/>
    <mergeCell ref="AO68:AV68"/>
    <mergeCell ref="I69:Q69"/>
    <mergeCell ref="AO69:AV69"/>
    <mergeCell ref="I70:Q70"/>
    <mergeCell ref="AO70:AV70"/>
    <mergeCell ref="F65:Q65"/>
    <mergeCell ref="AL65:AV65"/>
    <mergeCell ref="F66:Q66"/>
    <mergeCell ref="AL66:AV66"/>
    <mergeCell ref="F67:H67"/>
    <mergeCell ref="I67:Q67"/>
    <mergeCell ref="AL67:AN67"/>
    <mergeCell ref="AO67:AV67"/>
    <mergeCell ref="BN12:BN13"/>
    <mergeCell ref="AG13:AH13"/>
    <mergeCell ref="AI13:AJ13"/>
    <mergeCell ref="BJ13:BK13"/>
    <mergeCell ref="BL13:BM13"/>
    <mergeCell ref="AV12:AV13"/>
    <mergeCell ref="AW12:AW13"/>
    <mergeCell ref="B10:C11"/>
    <mergeCell ref="D10:E11"/>
    <mergeCell ref="S12:S13"/>
    <mergeCell ref="T12:T13"/>
    <mergeCell ref="AK12:AK13"/>
    <mergeCell ref="B12:B13"/>
    <mergeCell ref="C12:C13"/>
    <mergeCell ref="D12:D13"/>
    <mergeCell ref="E12:E13"/>
    <mergeCell ref="F12:O12"/>
  </mergeCells>
  <conditionalFormatting sqref="B14:E63">
    <cfRule type="expression" dxfId="2637" priority="264">
      <formula>AND($B14&lt;&gt;"",$B15="")</formula>
    </cfRule>
    <cfRule type="expression" dxfId="2636" priority="265">
      <formula>$B14=""</formula>
    </cfRule>
  </conditionalFormatting>
  <conditionalFormatting sqref="B56:E56">
    <cfRule type="expression" dxfId="2635" priority="266">
      <formula>AND($B56&lt;&gt;"",$B63="")</formula>
    </cfRule>
    <cfRule type="expression" dxfId="2634" priority="267">
      <formula>$B56=""</formula>
    </cfRule>
  </conditionalFormatting>
  <conditionalFormatting sqref="B50:E50">
    <cfRule type="expression" dxfId="2633" priority="268">
      <formula>AND($B50&lt;&gt;"",$B63="")</formula>
    </cfRule>
    <cfRule type="expression" dxfId="2632" priority="269">
      <formula>$B50=""</formula>
    </cfRule>
  </conditionalFormatting>
  <conditionalFormatting sqref="B43:E44">
    <cfRule type="expression" dxfId="2631" priority="270">
      <formula>AND($B43&lt;&gt;"",$B62="")</formula>
    </cfRule>
    <cfRule type="expression" dxfId="2630" priority="271">
      <formula>$B43=""</formula>
    </cfRule>
  </conditionalFormatting>
  <conditionalFormatting sqref="B63:E63">
    <cfRule type="expression" dxfId="2629" priority="272">
      <formula>AND($B63&lt;&gt;"",#REF!="")</formula>
    </cfRule>
    <cfRule type="expression" dxfId="2628" priority="273">
      <formula>$B63=""</formula>
    </cfRule>
  </conditionalFormatting>
  <conditionalFormatting sqref="B61:E61">
    <cfRule type="expression" dxfId="2627" priority="274">
      <formula>AND($B61&lt;&gt;"",$B64="")</formula>
    </cfRule>
    <cfRule type="expression" dxfId="2626" priority="275">
      <formula>$B61=""</formula>
    </cfRule>
  </conditionalFormatting>
  <conditionalFormatting sqref="B57:E60">
    <cfRule type="expression" dxfId="2625" priority="276">
      <formula>AND($B57&lt;&gt;"",#REF!="")</formula>
    </cfRule>
    <cfRule type="expression" dxfId="2624" priority="277">
      <formula>$B57=""</formula>
    </cfRule>
  </conditionalFormatting>
  <conditionalFormatting sqref="B55:E55">
    <cfRule type="expression" dxfId="2623" priority="278">
      <formula>AND($B55&lt;&gt;"",$B64="")</formula>
    </cfRule>
    <cfRule type="expression" dxfId="2622" priority="279">
      <formula>$B55=""</formula>
    </cfRule>
  </conditionalFormatting>
  <conditionalFormatting sqref="B51:E54">
    <cfRule type="expression" dxfId="2621" priority="280">
      <formula>AND($B51&lt;&gt;"",#REF!="")</formula>
    </cfRule>
    <cfRule type="expression" dxfId="2620" priority="281">
      <formula>$B51=""</formula>
    </cfRule>
  </conditionalFormatting>
  <conditionalFormatting sqref="B49:E49">
    <cfRule type="expression" dxfId="2619" priority="282">
      <formula>AND($B49&lt;&gt;"",$B64="")</formula>
    </cfRule>
    <cfRule type="expression" dxfId="2618" priority="283">
      <formula>$B49=""</formula>
    </cfRule>
  </conditionalFormatting>
  <conditionalFormatting sqref="B45:E63">
    <cfRule type="expression" dxfId="2617" priority="284">
      <formula>AND($B45&lt;&gt;"",#REF!="")</formula>
    </cfRule>
    <cfRule type="expression" dxfId="2616" priority="285">
      <formula>$B45=""</formula>
    </cfRule>
  </conditionalFormatting>
  <conditionalFormatting sqref="R70 F66:Q71">
    <cfRule type="expression" dxfId="2615" priority="286">
      <formula>$F$65="SAMA DENGAN DATA"</formula>
    </cfRule>
  </conditionalFormatting>
  <conditionalFormatting sqref="F66:Q71">
    <cfRule type="expression" dxfId="2614" priority="287">
      <formula>$F$65="kkm tunggal"</formula>
    </cfRule>
  </conditionalFormatting>
  <conditionalFormatting sqref="AW70:BG70 AL66:AV71">
    <cfRule type="expression" dxfId="2613" priority="288">
      <formula>$AL$65="SAMA DENGAN DATA"</formula>
    </cfRule>
  </conditionalFormatting>
  <conditionalFormatting sqref="AL66:AV71">
    <cfRule type="expression" dxfId="2612" priority="289">
      <formula>$AL$65="KKM TUNGGAL"</formula>
    </cfRule>
  </conditionalFormatting>
  <conditionalFormatting sqref="B61:E63">
    <cfRule type="expression" dxfId="2611" priority="2699">
      <formula>AND($B61&lt;&gt;"",$B65="")</formula>
    </cfRule>
    <cfRule type="expression" dxfId="2610" priority="2700">
      <formula>$B61=""</formula>
    </cfRule>
  </conditionalFormatting>
  <conditionalFormatting sqref="B50:E60">
    <cfRule type="expression" dxfId="2609" priority="2701">
      <formula>AND($B50&lt;&gt;"",#REF!="")</formula>
    </cfRule>
    <cfRule type="expression" dxfId="2608" priority="2702">
      <formula>$B50=""</formula>
    </cfRule>
  </conditionalFormatting>
  <conditionalFormatting sqref="U14:AB63 P51:S63 AV14:BE63 AE14:AK63 BH14:BN63 P14:P50 S14:S50">
    <cfRule type="expression" dxfId="2607" priority="177">
      <formula>AND($B14&lt;&gt;"",$B15="")</formula>
    </cfRule>
    <cfRule type="expression" dxfId="2606" priority="178">
      <formula>$B14=""</formula>
    </cfRule>
  </conditionalFormatting>
  <conditionalFormatting sqref="T14:T63">
    <cfRule type="expression" dxfId="2605" priority="175">
      <formula>AND($B14&lt;&gt;"",$B15="")</formula>
    </cfRule>
    <cfRule type="expression" dxfId="2604" priority="176">
      <formula>$B14=""</formula>
    </cfRule>
  </conditionalFormatting>
  <conditionalFormatting sqref="AV14">
    <cfRule type="expression" dxfId="2603" priority="173">
      <formula>AND($B14&lt;&gt;"",$B15="")</formula>
    </cfRule>
    <cfRule type="expression" dxfId="2602" priority="174">
      <formula>$B14=""</formula>
    </cfRule>
  </conditionalFormatting>
  <conditionalFormatting sqref="P56:S56 U56:AB56 BH56:BN56 AE56:AK56 AV56:BE56">
    <cfRule type="expression" dxfId="2601" priority="179">
      <formula>AND($B56&lt;&gt;"",$B63="")</formula>
    </cfRule>
    <cfRule type="expression" dxfId="2600" priority="180">
      <formula>$B56=""</formula>
    </cfRule>
  </conditionalFormatting>
  <conditionalFormatting sqref="P50 U50:AB50 BH50:BN50 AE50:AK50 AV50:BE50 S50">
    <cfRule type="expression" dxfId="2599" priority="181">
      <formula>AND($B50&lt;&gt;"",$B63="")</formula>
    </cfRule>
    <cfRule type="expression" dxfId="2598" priority="182">
      <formula>$B50=""</formula>
    </cfRule>
  </conditionalFormatting>
  <conditionalFormatting sqref="P43:P44 U43:AB44 BH43:BN44 AE43:AK44 AV43:BE44 S43:S44">
    <cfRule type="expression" dxfId="2597" priority="183">
      <formula>AND($B43&lt;&gt;"",$B62="")</formula>
    </cfRule>
    <cfRule type="expression" dxfId="2596" priority="184">
      <formula>$B43=""</formula>
    </cfRule>
  </conditionalFormatting>
  <conditionalFormatting sqref="P63:S63 U63:AB63 BH63:BN63 AE63:AK63 AV63:BE63">
    <cfRule type="expression" dxfId="2595" priority="185">
      <formula>AND($B63&lt;&gt;"",#REF!="")</formula>
    </cfRule>
    <cfRule type="expression" dxfId="2594" priority="186">
      <formula>$B63=""</formula>
    </cfRule>
  </conditionalFormatting>
  <conditionalFormatting sqref="P61:S61 U61:AB61 BH61:BN61 AE61:AK61 AV61:BE61">
    <cfRule type="expression" dxfId="2593" priority="187">
      <formula>AND($B61&lt;&gt;"",$B64="")</formula>
    </cfRule>
    <cfRule type="expression" dxfId="2592" priority="188">
      <formula>$B61=""</formula>
    </cfRule>
  </conditionalFormatting>
  <conditionalFormatting sqref="P57:S60 U57:AB60 BH57:BN60 AE57:AK60 AV57:BE60">
    <cfRule type="expression" dxfId="2591" priority="189">
      <formula>AND($B57&lt;&gt;"",#REF!="")</formula>
    </cfRule>
    <cfRule type="expression" dxfId="2590" priority="190">
      <formula>$B57=""</formula>
    </cfRule>
  </conditionalFormatting>
  <conditionalFormatting sqref="P55:S55 U55:AB55 BH55:BN55 AE55:AK55 AV55:BE55">
    <cfRule type="expression" dxfId="2589" priority="191">
      <formula>AND($B55&lt;&gt;"",$B64="")</formula>
    </cfRule>
    <cfRule type="expression" dxfId="2588" priority="192">
      <formula>$B55=""</formula>
    </cfRule>
  </conditionalFormatting>
  <conditionalFormatting sqref="P51:S54 U51:AB54 BH51:BN54 AE51:AK54 AV51:BE54">
    <cfRule type="expression" dxfId="2587" priority="193">
      <formula>AND($B51&lt;&gt;"",#REF!="")</formula>
    </cfRule>
    <cfRule type="expression" dxfId="2586" priority="194">
      <formula>$B51=""</formula>
    </cfRule>
  </conditionalFormatting>
  <conditionalFormatting sqref="J49:P49 U49:AK49 S49 AP49:BN49">
    <cfRule type="expression" dxfId="2585" priority="195">
      <formula>AND($B49&lt;&gt;"",$B64="")</formula>
    </cfRule>
    <cfRule type="expression" dxfId="2584" priority="196">
      <formula>$B49=""</formula>
    </cfRule>
  </conditionalFormatting>
  <conditionalFormatting sqref="P51:S63 U45:AB63 BH45:BN63 AE45:AK63 AV45:BE63 P45:P50 S45:S50">
    <cfRule type="expression" dxfId="2583" priority="197">
      <formula>AND($B45&lt;&gt;"",#REF!="")</formula>
    </cfRule>
    <cfRule type="expression" dxfId="2582" priority="198">
      <formula>$B45=""</formula>
    </cfRule>
  </conditionalFormatting>
  <conditionalFormatting sqref="T16:T63">
    <cfRule type="expression" dxfId="2581" priority="171">
      <formula>AND($B16&lt;&gt;"",$B17="")</formula>
    </cfRule>
    <cfRule type="expression" dxfId="2580" priority="172">
      <formula>$B16=""</formula>
    </cfRule>
  </conditionalFormatting>
  <conditionalFormatting sqref="U13:AB13 AX12:BG12">
    <cfRule type="expression" dxfId="2579" priority="170">
      <formula>COUNTA(U$14:U$63)&gt;0</formula>
    </cfRule>
  </conditionalFormatting>
  <conditionalFormatting sqref="F51:M63 J14:M50">
    <cfRule type="expression" dxfId="2578" priority="149">
      <formula>AND($B14&lt;&gt;"",$B15="")</formula>
    </cfRule>
    <cfRule type="expression" dxfId="2577" priority="150">
      <formula>$B14=""</formula>
    </cfRule>
  </conditionalFormatting>
  <conditionalFormatting sqref="F56:M56">
    <cfRule type="expression" dxfId="2576" priority="151">
      <formula>AND($B56&lt;&gt;"",$B63="")</formula>
    </cfRule>
    <cfRule type="expression" dxfId="2575" priority="152">
      <formula>$B56=""</formula>
    </cfRule>
  </conditionalFormatting>
  <conditionalFormatting sqref="J50:M50">
    <cfRule type="expression" dxfId="2574" priority="153">
      <formula>AND($B50&lt;&gt;"",$B63="")</formula>
    </cfRule>
    <cfRule type="expression" dxfId="2573" priority="154">
      <formula>$B50=""</formula>
    </cfRule>
  </conditionalFormatting>
  <conditionalFormatting sqref="J43:M44">
    <cfRule type="expression" dxfId="2572" priority="155">
      <formula>AND($B43&lt;&gt;"",$B62="")</formula>
    </cfRule>
    <cfRule type="expression" dxfId="2571" priority="156">
      <formula>$B43=""</formula>
    </cfRule>
  </conditionalFormatting>
  <conditionalFormatting sqref="F63:M63">
    <cfRule type="expression" dxfId="2570" priority="157">
      <formula>AND($B63&lt;&gt;"",#REF!="")</formula>
    </cfRule>
    <cfRule type="expression" dxfId="2569" priority="158">
      <formula>$B63=""</formula>
    </cfRule>
  </conditionalFormatting>
  <conditionalFormatting sqref="F61:M61">
    <cfRule type="expression" dxfId="2568" priority="159">
      <formula>AND($B61&lt;&gt;"",$B64="")</formula>
    </cfRule>
    <cfRule type="expression" dxfId="2567" priority="160">
      <formula>$B61=""</formula>
    </cfRule>
  </conditionalFormatting>
  <conditionalFormatting sqref="F57:M60">
    <cfRule type="expression" dxfId="2566" priority="161">
      <formula>AND($B57&lt;&gt;"",#REF!="")</formula>
    </cfRule>
    <cfRule type="expression" dxfId="2565" priority="162">
      <formula>$B57=""</formula>
    </cfRule>
  </conditionalFormatting>
  <conditionalFormatting sqref="F55:M55">
    <cfRule type="expression" dxfId="2564" priority="163">
      <formula>AND($B55&lt;&gt;"",$B64="")</formula>
    </cfRule>
    <cfRule type="expression" dxfId="2563" priority="164">
      <formula>$B55=""</formula>
    </cfRule>
  </conditionalFormatting>
  <conditionalFormatting sqref="F51:M54">
    <cfRule type="expression" dxfId="2562" priority="165">
      <formula>AND($B51&lt;&gt;"",#REF!="")</formula>
    </cfRule>
    <cfRule type="expression" dxfId="2561" priority="166">
      <formula>$B51=""</formula>
    </cfRule>
  </conditionalFormatting>
  <conditionalFormatting sqref="F51:M63 J45:M50">
    <cfRule type="expression" dxfId="2560" priority="167">
      <formula>AND($B45&lt;&gt;"",#REF!="")</formula>
    </cfRule>
    <cfRule type="expression" dxfId="2559" priority="168">
      <formula>$B45=""</formula>
    </cfRule>
  </conditionalFormatting>
  <conditionalFormatting sqref="F13:M13">
    <cfRule type="expression" dxfId="2558" priority="148">
      <formula>COUNTA(F$14:F$63)&gt;0</formula>
    </cfRule>
  </conditionalFormatting>
  <conditionalFormatting sqref="F51:M63 J14:M50">
    <cfRule type="expression" dxfId="2557" priority="169">
      <formula>COUNTIF($U14:$AB14,F14)&gt;1</formula>
    </cfRule>
  </conditionalFormatting>
  <conditionalFormatting sqref="AC14:AD63">
    <cfRule type="expression" dxfId="2556" priority="128">
      <formula>AND($B14&lt;&gt;"",$B15="")</formula>
    </cfRule>
    <cfRule type="expression" dxfId="2555" priority="129">
      <formula>$B14=""</formula>
    </cfRule>
  </conditionalFormatting>
  <conditionalFormatting sqref="AC56:AD56">
    <cfRule type="expression" dxfId="2554" priority="130">
      <formula>AND($B56&lt;&gt;"",$B63="")</formula>
    </cfRule>
    <cfRule type="expression" dxfId="2553" priority="131">
      <formula>$B56=""</formula>
    </cfRule>
  </conditionalFormatting>
  <conditionalFormatting sqref="AC50:AD50">
    <cfRule type="expression" dxfId="2552" priority="132">
      <formula>AND($B50&lt;&gt;"",$B63="")</formula>
    </cfRule>
    <cfRule type="expression" dxfId="2551" priority="133">
      <formula>$B50=""</formula>
    </cfRule>
  </conditionalFormatting>
  <conditionalFormatting sqref="AC43:AD44">
    <cfRule type="expression" dxfId="2550" priority="134">
      <formula>AND($B43&lt;&gt;"",$B62="")</formula>
    </cfRule>
    <cfRule type="expression" dxfId="2549" priority="135">
      <formula>$B43=""</formula>
    </cfRule>
  </conditionalFormatting>
  <conditionalFormatting sqref="AC63:AD63">
    <cfRule type="expression" dxfId="2548" priority="136">
      <formula>AND($B63&lt;&gt;"",#REF!="")</formula>
    </cfRule>
    <cfRule type="expression" dxfId="2547" priority="137">
      <formula>$B63=""</formula>
    </cfRule>
  </conditionalFormatting>
  <conditionalFormatting sqref="AC61:AD61">
    <cfRule type="expression" dxfId="2546" priority="138">
      <formula>AND($B61&lt;&gt;"",$B64="")</formula>
    </cfRule>
    <cfRule type="expression" dxfId="2545" priority="139">
      <formula>$B61=""</formula>
    </cfRule>
  </conditionalFormatting>
  <conditionalFormatting sqref="AC57:AD60">
    <cfRule type="expression" dxfId="2544" priority="140">
      <formula>AND($B57&lt;&gt;"",#REF!="")</formula>
    </cfRule>
    <cfRule type="expression" dxfId="2543" priority="141">
      <formula>$B57=""</formula>
    </cfRule>
  </conditionalFormatting>
  <conditionalFormatting sqref="AC55:AD55">
    <cfRule type="expression" dxfId="2542" priority="142">
      <formula>AND($B55&lt;&gt;"",$B64="")</formula>
    </cfRule>
    <cfRule type="expression" dxfId="2541" priority="143">
      <formula>$B55=""</formula>
    </cfRule>
  </conditionalFormatting>
  <conditionalFormatting sqref="AC51:AD54">
    <cfRule type="expression" dxfId="2540" priority="144">
      <formula>AND($B51&lt;&gt;"",#REF!="")</formula>
    </cfRule>
    <cfRule type="expression" dxfId="2539" priority="145">
      <formula>$B51=""</formula>
    </cfRule>
  </conditionalFormatting>
  <conditionalFormatting sqref="AC45:AD63">
    <cfRule type="expression" dxfId="2538" priority="146">
      <formula>AND($B45&lt;&gt;"",#REF!="")</formula>
    </cfRule>
    <cfRule type="expression" dxfId="2537" priority="147">
      <formula>$B45=""</formula>
    </cfRule>
  </conditionalFormatting>
  <conditionalFormatting sqref="AC13:AD13">
    <cfRule type="expression" dxfId="2536" priority="127">
      <formula>COUNTA(AC$14:AC$63)&gt;0</formula>
    </cfRule>
  </conditionalFormatting>
  <conditionalFormatting sqref="N14:O63">
    <cfRule type="expression" dxfId="2535" priority="106">
      <formula>AND($B14&lt;&gt;"",$B15="")</formula>
    </cfRule>
    <cfRule type="expression" dxfId="2534" priority="107">
      <formula>$B14=""</formula>
    </cfRule>
  </conditionalFormatting>
  <conditionalFormatting sqref="N56:O56">
    <cfRule type="expression" dxfId="2533" priority="108">
      <formula>AND($B56&lt;&gt;"",$B63="")</formula>
    </cfRule>
    <cfRule type="expression" dxfId="2532" priority="109">
      <formula>$B56=""</formula>
    </cfRule>
  </conditionalFormatting>
  <conditionalFormatting sqref="N50:O50">
    <cfRule type="expression" dxfId="2531" priority="110">
      <formula>AND($B50&lt;&gt;"",$B63="")</formula>
    </cfRule>
    <cfRule type="expression" dxfId="2530" priority="111">
      <formula>$B50=""</formula>
    </cfRule>
  </conditionalFormatting>
  <conditionalFormatting sqref="N43:O44">
    <cfRule type="expression" dxfId="2529" priority="112">
      <formula>AND($B43&lt;&gt;"",$B62="")</formula>
    </cfRule>
    <cfRule type="expression" dxfId="2528" priority="113">
      <formula>$B43=""</formula>
    </cfRule>
  </conditionalFormatting>
  <conditionalFormatting sqref="N63:O63">
    <cfRule type="expression" dxfId="2527" priority="114">
      <formula>AND($B63&lt;&gt;"",#REF!="")</formula>
    </cfRule>
    <cfRule type="expression" dxfId="2526" priority="115">
      <formula>$B63=""</formula>
    </cfRule>
  </conditionalFormatting>
  <conditionalFormatting sqref="N61:O61">
    <cfRule type="expression" dxfId="2525" priority="116">
      <formula>AND($B61&lt;&gt;"",$B64="")</formula>
    </cfRule>
    <cfRule type="expression" dxfId="2524" priority="117">
      <formula>$B61=""</formula>
    </cfRule>
  </conditionalFormatting>
  <conditionalFormatting sqref="N57:O60">
    <cfRule type="expression" dxfId="2523" priority="118">
      <formula>AND($B57&lt;&gt;"",#REF!="")</formula>
    </cfRule>
    <cfRule type="expression" dxfId="2522" priority="119">
      <formula>$B57=""</formula>
    </cfRule>
  </conditionalFormatting>
  <conditionalFormatting sqref="N55:O55">
    <cfRule type="expression" dxfId="2521" priority="120">
      <formula>AND($B55&lt;&gt;"",$B64="")</formula>
    </cfRule>
    <cfRule type="expression" dxfId="2520" priority="121">
      <formula>$B55=""</formula>
    </cfRule>
  </conditionalFormatting>
  <conditionalFormatting sqref="N51:O54">
    <cfRule type="expression" dxfId="2519" priority="122">
      <formula>AND($B51&lt;&gt;"",#REF!="")</formula>
    </cfRule>
    <cfRule type="expression" dxfId="2518" priority="123">
      <formula>$B51=""</formula>
    </cfRule>
  </conditionalFormatting>
  <conditionalFormatting sqref="N45:O63">
    <cfRule type="expression" dxfId="2517" priority="124">
      <formula>AND($B45&lt;&gt;"",#REF!="")</formula>
    </cfRule>
    <cfRule type="expression" dxfId="2516" priority="125">
      <formula>$B45=""</formula>
    </cfRule>
  </conditionalFormatting>
  <conditionalFormatting sqref="N13:O13">
    <cfRule type="expression" dxfId="2515" priority="105">
      <formula>COUNTA(N$14:N$63)&gt;0</formula>
    </cfRule>
  </conditionalFormatting>
  <conditionalFormatting sqref="N14:O63">
    <cfRule type="expression" dxfId="2514" priority="126">
      <formula>COUNTIF($U14:$AB14,N14)&gt;1</formula>
    </cfRule>
  </conditionalFormatting>
  <conditionalFormatting sqref="BF14:BG63">
    <cfRule type="expression" dxfId="2513" priority="85">
      <formula>AND($B14&lt;&gt;"",$B15="")</formula>
    </cfRule>
    <cfRule type="expression" dxfId="2512" priority="86">
      <formula>$B14=""</formula>
    </cfRule>
  </conditionalFormatting>
  <conditionalFormatting sqref="BF56:BG56">
    <cfRule type="expression" dxfId="2511" priority="87">
      <formula>AND($B56&lt;&gt;"",$B63="")</formula>
    </cfRule>
    <cfRule type="expression" dxfId="2510" priority="88">
      <formula>$B56=""</formula>
    </cfRule>
  </conditionalFormatting>
  <conditionalFormatting sqref="BF50:BG50">
    <cfRule type="expression" dxfId="2509" priority="89">
      <formula>AND($B50&lt;&gt;"",$B63="")</formula>
    </cfRule>
    <cfRule type="expression" dxfId="2508" priority="90">
      <formula>$B50=""</formula>
    </cfRule>
  </conditionalFormatting>
  <conditionalFormatting sqref="BF43:BG44">
    <cfRule type="expression" dxfId="2507" priority="91">
      <formula>AND($B43&lt;&gt;"",$B62="")</formula>
    </cfRule>
    <cfRule type="expression" dxfId="2506" priority="92">
      <formula>$B43=""</formula>
    </cfRule>
  </conditionalFormatting>
  <conditionalFormatting sqref="BF63:BG63">
    <cfRule type="expression" dxfId="2505" priority="93">
      <formula>AND($B63&lt;&gt;"",#REF!="")</formula>
    </cfRule>
    <cfRule type="expression" dxfId="2504" priority="94">
      <formula>$B63=""</formula>
    </cfRule>
  </conditionalFormatting>
  <conditionalFormatting sqref="BF61:BG61">
    <cfRule type="expression" dxfId="2503" priority="95">
      <formula>AND($B61&lt;&gt;"",$B64="")</formula>
    </cfRule>
    <cfRule type="expression" dxfId="2502" priority="96">
      <formula>$B61=""</formula>
    </cfRule>
  </conditionalFormatting>
  <conditionalFormatting sqref="BF57:BG60">
    <cfRule type="expression" dxfId="2501" priority="97">
      <formula>AND($B57&lt;&gt;"",#REF!="")</formula>
    </cfRule>
    <cfRule type="expression" dxfId="2500" priority="98">
      <formula>$B57=""</formula>
    </cfRule>
  </conditionalFormatting>
  <conditionalFormatting sqref="BF55:BG55">
    <cfRule type="expression" dxfId="2499" priority="99">
      <formula>AND($B55&lt;&gt;"",$B64="")</formula>
    </cfRule>
    <cfRule type="expression" dxfId="2498" priority="100">
      <formula>$B55=""</formula>
    </cfRule>
  </conditionalFormatting>
  <conditionalFormatting sqref="BF51:BG54">
    <cfRule type="expression" dxfId="2497" priority="101">
      <formula>AND($B51&lt;&gt;"",#REF!="")</formula>
    </cfRule>
    <cfRule type="expression" dxfId="2496" priority="102">
      <formula>$B51=""</formula>
    </cfRule>
  </conditionalFormatting>
  <conditionalFormatting sqref="BF45:BG63">
    <cfRule type="expression" dxfId="2495" priority="103">
      <formula>AND($B45&lt;&gt;"",#REF!="")</formula>
    </cfRule>
    <cfRule type="expression" dxfId="2494" priority="104">
      <formula>$B45=""</formula>
    </cfRule>
  </conditionalFormatting>
  <conditionalFormatting sqref="AL51:AS63 AP14:AS50">
    <cfRule type="expression" dxfId="2493" priority="64">
      <formula>AND($B14&lt;&gt;"",$B15="")</formula>
    </cfRule>
    <cfRule type="expression" dxfId="2492" priority="65">
      <formula>$B14=""</formula>
    </cfRule>
  </conditionalFormatting>
  <conditionalFormatting sqref="AL56:AS56">
    <cfRule type="expression" dxfId="2491" priority="66">
      <formula>AND($B56&lt;&gt;"",$B63="")</formula>
    </cfRule>
    <cfRule type="expression" dxfId="2490" priority="67">
      <formula>$B56=""</formula>
    </cfRule>
  </conditionalFormatting>
  <conditionalFormatting sqref="AP50:AS50">
    <cfRule type="expression" dxfId="2489" priority="68">
      <formula>AND($B50&lt;&gt;"",$B63="")</formula>
    </cfRule>
    <cfRule type="expression" dxfId="2488" priority="69">
      <formula>$B50=""</formula>
    </cfRule>
  </conditionalFormatting>
  <conditionalFormatting sqref="AP43:AS44">
    <cfRule type="expression" dxfId="2487" priority="70">
      <formula>AND($B43&lt;&gt;"",$B62="")</formula>
    </cfRule>
    <cfRule type="expression" dxfId="2486" priority="71">
      <formula>$B43=""</formula>
    </cfRule>
  </conditionalFormatting>
  <conditionalFormatting sqref="AL63:AS63">
    <cfRule type="expression" dxfId="2485" priority="72">
      <formula>AND($B63&lt;&gt;"",#REF!="")</formula>
    </cfRule>
    <cfRule type="expression" dxfId="2484" priority="73">
      <formula>$B63=""</formula>
    </cfRule>
  </conditionalFormatting>
  <conditionalFormatting sqref="AL61:AS61">
    <cfRule type="expression" dxfId="2483" priority="74">
      <formula>AND($B61&lt;&gt;"",$B64="")</formula>
    </cfRule>
    <cfRule type="expression" dxfId="2482" priority="75">
      <formula>$B61=""</formula>
    </cfRule>
  </conditionalFormatting>
  <conditionalFormatting sqref="AL57:AS60">
    <cfRule type="expression" dxfId="2481" priority="76">
      <formula>AND($B57&lt;&gt;"",#REF!="")</formula>
    </cfRule>
    <cfRule type="expression" dxfId="2480" priority="77">
      <formula>$B57=""</formula>
    </cfRule>
  </conditionalFormatting>
  <conditionalFormatting sqref="AL55:AS55">
    <cfRule type="expression" dxfId="2479" priority="78">
      <formula>AND($B55&lt;&gt;"",$B64="")</formula>
    </cfRule>
    <cfRule type="expression" dxfId="2478" priority="79">
      <formula>$B55=""</formula>
    </cfRule>
  </conditionalFormatting>
  <conditionalFormatting sqref="AL51:AS54">
    <cfRule type="expression" dxfId="2477" priority="80">
      <formula>AND($B51&lt;&gt;"",#REF!="")</formula>
    </cfRule>
    <cfRule type="expression" dxfId="2476" priority="81">
      <formula>$B51=""</formula>
    </cfRule>
  </conditionalFormatting>
  <conditionalFormatting sqref="AL51:AS63 AP45:AS50">
    <cfRule type="expression" dxfId="2475" priority="82">
      <formula>AND($B45&lt;&gt;"",#REF!="")</formula>
    </cfRule>
    <cfRule type="expression" dxfId="2474" priority="83">
      <formula>$B45=""</formula>
    </cfRule>
  </conditionalFormatting>
  <conditionalFormatting sqref="AL12:AU12">
    <cfRule type="expression" dxfId="2473" priority="63">
      <formula>COUNTA(AL$14:AL$63)&gt;0</formula>
    </cfRule>
  </conditionalFormatting>
  <conditionalFormatting sqref="AT14:AU63">
    <cfRule type="expression" dxfId="2472" priority="43">
      <formula>AND($B14&lt;&gt;"",$B15="")</formula>
    </cfRule>
    <cfRule type="expression" dxfId="2471" priority="44">
      <formula>$B14=""</formula>
    </cfRule>
  </conditionalFormatting>
  <conditionalFormatting sqref="AT56:AU56">
    <cfRule type="expression" dxfId="2470" priority="45">
      <formula>AND($B56&lt;&gt;"",$B63="")</formula>
    </cfRule>
    <cfRule type="expression" dxfId="2469" priority="46">
      <formula>$B56=""</formula>
    </cfRule>
  </conditionalFormatting>
  <conditionalFormatting sqref="AT50:AU50">
    <cfRule type="expression" dxfId="2468" priority="47">
      <formula>AND($B50&lt;&gt;"",$B63="")</formula>
    </cfRule>
    <cfRule type="expression" dxfId="2467" priority="48">
      <formula>$B50=""</formula>
    </cfRule>
  </conditionalFormatting>
  <conditionalFormatting sqref="AT43:AU44">
    <cfRule type="expression" dxfId="2466" priority="49">
      <formula>AND($B43&lt;&gt;"",$B62="")</formula>
    </cfRule>
    <cfRule type="expression" dxfId="2465" priority="50">
      <formula>$B43=""</formula>
    </cfRule>
  </conditionalFormatting>
  <conditionalFormatting sqref="AT63:AU63">
    <cfRule type="expression" dxfId="2464" priority="51">
      <formula>AND($B63&lt;&gt;"",#REF!="")</formula>
    </cfRule>
    <cfRule type="expression" dxfId="2463" priority="52">
      <formula>$B63=""</formula>
    </cfRule>
  </conditionalFormatting>
  <conditionalFormatting sqref="AT61:AU61">
    <cfRule type="expression" dxfId="2462" priority="53">
      <formula>AND($B61&lt;&gt;"",$B64="")</formula>
    </cfRule>
    <cfRule type="expression" dxfId="2461" priority="54">
      <formula>$B61=""</formula>
    </cfRule>
  </conditionalFormatting>
  <conditionalFormatting sqref="AT57:AU60">
    <cfRule type="expression" dxfId="2460" priority="55">
      <formula>AND($B57&lt;&gt;"",#REF!="")</formula>
    </cfRule>
    <cfRule type="expression" dxfId="2459" priority="56">
      <formula>$B57=""</formula>
    </cfRule>
  </conditionalFormatting>
  <conditionalFormatting sqref="AT55:AU55">
    <cfRule type="expression" dxfId="2458" priority="57">
      <formula>AND($B55&lt;&gt;"",$B64="")</formula>
    </cfRule>
    <cfRule type="expression" dxfId="2457" priority="58">
      <formula>$B55=""</formula>
    </cfRule>
  </conditionalFormatting>
  <conditionalFormatting sqref="AT51:AU54">
    <cfRule type="expression" dxfId="2456" priority="59">
      <formula>AND($B51&lt;&gt;"",#REF!="")</formula>
    </cfRule>
    <cfRule type="expression" dxfId="2455" priority="60">
      <formula>$B51=""</formula>
    </cfRule>
  </conditionalFormatting>
  <conditionalFormatting sqref="AT45:AU63">
    <cfRule type="expression" dxfId="2454" priority="61">
      <formula>AND($B45&lt;&gt;"",#REF!="")</formula>
    </cfRule>
    <cfRule type="expression" dxfId="2453" priority="62">
      <formula>$B45=""</formula>
    </cfRule>
  </conditionalFormatting>
  <conditionalFormatting sqref="AL51:AU63 AP14:AU50">
    <cfRule type="expression" dxfId="2452" priority="84">
      <formula>COUNTIF($AX14:$BE14,AL14)&gt;1</formula>
    </cfRule>
  </conditionalFormatting>
  <conditionalFormatting sqref="F61:S63 U61:BN63">
    <cfRule type="expression" dxfId="2451" priority="199">
      <formula>AND($B61&lt;&gt;"",$B65="")</formula>
    </cfRule>
    <cfRule type="expression" dxfId="2450" priority="200">
      <formula>$B61=""</formula>
    </cfRule>
  </conditionalFormatting>
  <conditionalFormatting sqref="F51:S60 U51:BN60 J50:P50 S50 U50:AK50 AP50:BN50">
    <cfRule type="expression" dxfId="2449" priority="201">
      <formula>AND($B50&lt;&gt;"",#REF!="")</formula>
    </cfRule>
    <cfRule type="expression" dxfId="2448" priority="202">
      <formula>$B50=""</formula>
    </cfRule>
  </conditionalFormatting>
  <conditionalFormatting sqref="T2">
    <cfRule type="expression" dxfId="2447" priority="42">
      <formula>COUNTA(F$14:F$63)&gt;0</formula>
    </cfRule>
  </conditionalFormatting>
  <conditionalFormatting sqref="T3">
    <cfRule type="expression" dxfId="2446" priority="203">
      <formula>COUNTA(G$14:G$63)&gt;0</formula>
    </cfRule>
  </conditionalFormatting>
  <conditionalFormatting sqref="T4">
    <cfRule type="expression" dxfId="2445" priority="204">
      <formula>COUNTA(H$14:H$63)&gt;0</formula>
    </cfRule>
  </conditionalFormatting>
  <conditionalFormatting sqref="T5">
    <cfRule type="expression" dxfId="2444" priority="205">
      <formula>COUNTA(I$14:I$63)&gt;0</formula>
    </cfRule>
  </conditionalFormatting>
  <conditionalFormatting sqref="T7">
    <cfRule type="expression" dxfId="2443" priority="41">
      <formula>COUNTA(K$14:K$63)&gt;0</formula>
    </cfRule>
  </conditionalFormatting>
  <conditionalFormatting sqref="T11">
    <cfRule type="expression" dxfId="2442" priority="206">
      <formula>COUNTA(O$14:O$63)&gt;0</formula>
    </cfRule>
  </conditionalFormatting>
  <conditionalFormatting sqref="T10">
    <cfRule type="expression" dxfId="2441" priority="207">
      <formula>COUNTA(N$14:N$63)&gt;0</formula>
    </cfRule>
  </conditionalFormatting>
  <conditionalFormatting sqref="T9">
    <cfRule type="expression" dxfId="2440" priority="208">
      <formula>COUNTA(M$14:M$63)&gt;0</formula>
    </cfRule>
  </conditionalFormatting>
  <conditionalFormatting sqref="T8">
    <cfRule type="expression" dxfId="2439" priority="209">
      <formula>COUNTA(L$14:L$63)&gt;0</formula>
    </cfRule>
  </conditionalFormatting>
  <conditionalFormatting sqref="T6">
    <cfRule type="expression" dxfId="2438" priority="40">
      <formula>COUNTA(J$14:J$63)&gt;0</formula>
    </cfRule>
  </conditionalFormatting>
  <conditionalFormatting sqref="AW2">
    <cfRule type="expression" dxfId="2437" priority="39">
      <formula>COUNTA(AL$14:AL$63)&gt;0</formula>
    </cfRule>
  </conditionalFormatting>
  <conditionalFormatting sqref="AW3">
    <cfRule type="expression" dxfId="2436" priority="38">
      <formula>COUNTA(AM$14:AM$63)&gt;0</formula>
    </cfRule>
  </conditionalFormatting>
  <conditionalFormatting sqref="AW4">
    <cfRule type="expression" dxfId="2435" priority="37">
      <formula>COUNTA(AN$14:AN$63)&gt;0</formula>
    </cfRule>
  </conditionalFormatting>
  <conditionalFormatting sqref="AW5">
    <cfRule type="expression" dxfId="2434" priority="36">
      <formula>COUNTA(AO$14:AO$63)&gt;0</formula>
    </cfRule>
  </conditionalFormatting>
  <conditionalFormatting sqref="AW6">
    <cfRule type="expression" dxfId="2433" priority="35">
      <formula>COUNTA(AP$14:AP$63)&gt;0</formula>
    </cfRule>
  </conditionalFormatting>
  <conditionalFormatting sqref="AW7">
    <cfRule type="expression" dxfId="2432" priority="34">
      <formula>COUNTA(AQ$14:AQ$63)&gt;0</formula>
    </cfRule>
  </conditionalFormatting>
  <conditionalFormatting sqref="AW8">
    <cfRule type="expression" dxfId="2431" priority="33">
      <formula>COUNTA(AR$14:AR$63)&gt;0</formula>
    </cfRule>
  </conditionalFormatting>
  <conditionalFormatting sqref="AW9">
    <cfRule type="expression" dxfId="2430" priority="32">
      <formula>COUNTA(AS$14:AS$63)&gt;0</formula>
    </cfRule>
  </conditionalFormatting>
  <conditionalFormatting sqref="AW10">
    <cfRule type="expression" dxfId="2429" priority="31">
      <formula>COUNTA(AT$14:AT$63)&gt;0</formula>
    </cfRule>
  </conditionalFormatting>
  <conditionalFormatting sqref="AW11">
    <cfRule type="expression" dxfId="2428" priority="30">
      <formula>COUNTA(AU$14:AU$63)&gt;0</formula>
    </cfRule>
  </conditionalFormatting>
  <conditionalFormatting sqref="F14:I44">
    <cfRule type="expression" dxfId="2427" priority="22">
      <formula>AND($B14&lt;&gt;"",$B15="")</formula>
    </cfRule>
    <cfRule type="expression" dxfId="2426" priority="23">
      <formula>$B14=""</formula>
    </cfRule>
  </conditionalFormatting>
  <conditionalFormatting sqref="F45:I50">
    <cfRule type="expression" dxfId="2425" priority="24">
      <formula>AND($B45&lt;&gt;"",#REF!="")</formula>
    </cfRule>
    <cfRule type="expression" dxfId="2424" priority="25">
      <formula>$B45=""</formula>
    </cfRule>
  </conditionalFormatting>
  <conditionalFormatting sqref="H15:H50">
    <cfRule type="expression" dxfId="2423" priority="21">
      <formula>COUNTIF($AX15:$BE15,H15)&gt;1</formula>
    </cfRule>
  </conditionalFormatting>
  <conditionalFormatting sqref="F14:I41 F42:G50 I42:I50">
    <cfRule type="expression" dxfId="2422" priority="20">
      <formula>COUNTIF($U14:$AB14,F14)&gt;1</formula>
    </cfRule>
  </conditionalFormatting>
  <conditionalFormatting sqref="F43:G44 I43:I44">
    <cfRule type="expression" dxfId="2421" priority="26">
      <formula>AND($B43&lt;&gt;"",#REF!="")</formula>
    </cfRule>
    <cfRule type="expression" dxfId="2420" priority="27">
      <formula>$B43=""</formula>
    </cfRule>
  </conditionalFormatting>
  <conditionalFormatting sqref="H43:H44">
    <cfRule type="expression" dxfId="2419" priority="18">
      <formula>AND($B43&lt;&gt;"",#REF!="")</formula>
    </cfRule>
    <cfRule type="expression" dxfId="2418" priority="19">
      <formula>$B43=""</formula>
    </cfRule>
  </conditionalFormatting>
  <conditionalFormatting sqref="F45:I50">
    <cfRule type="expression" dxfId="2417" priority="28">
      <formula>AND($B45&lt;&gt;"",$B53="")</formula>
    </cfRule>
    <cfRule type="expression" dxfId="2416" priority="29">
      <formula>$B45=""</formula>
    </cfRule>
  </conditionalFormatting>
  <conditionalFormatting sqref="Q14:R44">
    <cfRule type="expression" dxfId="2415" priority="10">
      <formula>AND($B14&lt;&gt;"",$B15="")</formula>
    </cfRule>
    <cfRule type="expression" dxfId="2414" priority="11">
      <formula>$B14=""</formula>
    </cfRule>
  </conditionalFormatting>
  <conditionalFormatting sqref="Q45:R50">
    <cfRule type="expression" dxfId="2413" priority="12">
      <formula>AND($B45&lt;&gt;"",#REF!="")</formula>
    </cfRule>
    <cfRule type="expression" dxfId="2412" priority="13">
      <formula>$B45=""</formula>
    </cfRule>
  </conditionalFormatting>
  <conditionalFormatting sqref="Q43:R44">
    <cfRule type="expression" dxfId="2411" priority="14">
      <formula>AND($B43&lt;&gt;"",#REF!="")</formula>
    </cfRule>
    <cfRule type="expression" dxfId="2410" priority="15">
      <formula>$B43=""</formula>
    </cfRule>
  </conditionalFormatting>
  <conditionalFormatting sqref="Q45:R50">
    <cfRule type="expression" dxfId="2409" priority="16">
      <formula>AND($B45&lt;&gt;"",$B53="")</formula>
    </cfRule>
    <cfRule type="expression" dxfId="2408" priority="17">
      <formula>$B45=""</formula>
    </cfRule>
  </conditionalFormatting>
  <conditionalFormatting sqref="AL42:AL44 AM14:AO44">
    <cfRule type="expression" dxfId="2407" priority="2">
      <formula>AND($B14&lt;&gt;"",$B15="")</formula>
    </cfRule>
    <cfRule type="expression" dxfId="2406" priority="3">
      <formula>$B14=""</formula>
    </cfRule>
  </conditionalFormatting>
  <conditionalFormatting sqref="AL45:AO50">
    <cfRule type="expression" dxfId="2405" priority="4">
      <formula>AND($B45&lt;&gt;"",#REF!="")</formula>
    </cfRule>
    <cfRule type="expression" dxfId="2404" priority="5">
      <formula>$B45=""</formula>
    </cfRule>
  </conditionalFormatting>
  <conditionalFormatting sqref="AL42:AL50 AM14:AO50">
    <cfRule type="expression" dxfId="2403" priority="1">
      <formula>COUNTIF($AX14:$BE14,AL14)&gt;1</formula>
    </cfRule>
  </conditionalFormatting>
  <conditionalFormatting sqref="AL43:AO44">
    <cfRule type="expression" dxfId="2402" priority="6">
      <formula>AND($B43&lt;&gt;"",#REF!="")</formula>
    </cfRule>
    <cfRule type="expression" dxfId="2401" priority="7">
      <formula>$B43=""</formula>
    </cfRule>
  </conditionalFormatting>
  <conditionalFormatting sqref="AL45:AO50">
    <cfRule type="expression" dxfId="2400" priority="8">
      <formula>AND($B45&lt;&gt;"",$B53="")</formula>
    </cfRule>
    <cfRule type="expression" dxfId="2399" priority="9">
      <formula>$B45=""</formula>
    </cfRule>
  </conditionalFormatting>
  <dataValidations count="6">
    <dataValidation allowBlank="1" showInputMessage="1" showErrorMessage="1" prompt="KKM" sqref="H69:H70"/>
    <dataValidation type="whole" allowBlank="1" showInputMessage="1" showErrorMessage="1" errorTitle="Petunjuk" error="Nilai 0-100" sqref="F14:O63 Q14:R63 AP14:AU63 AL51:AO63 AL42:AL50 AM14:AO50">
      <formula1>0</formula1>
      <formula2>100</formula2>
    </dataValidation>
    <dataValidation allowBlank="1" showInputMessage="1" showErrorMessage="1" prompt="Rata-rata Harian" sqref="P12 AV12"/>
    <dataValidation allowBlank="1" showInputMessage="1" showErrorMessage="1" promptTitle="Tulis Bobot Nilai" prompt="Berupa Nilai Praktik, Portofolio atau Proyek._x000a_Bobot Praktik disarankan lebih tinggi" sqref="AL13:AU13 AX13:BG13"/>
    <dataValidation allowBlank="1" showInputMessage="1" showErrorMessage="1" prompt="Bobot Nilai" sqref="P13:R13 BH11 AE12:AF12"/>
    <dataValidation type="textLength" operator="lessThanOrEqual" allowBlank="1" showInputMessage="1" showErrorMessage="1" errorTitle="Petunjuk" error="Tulis ringkasan KD maksimal 65 huruf" sqref="AK6:AK11 BN6:BN11">
      <formula1>65</formula1>
    </dataValidation>
  </dataValidations>
  <hyperlinks>
    <hyperlink ref="B1:C2" location="Data2!A1" display="klik-HOM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0000FF"/>
  </sheetPr>
  <dimension ref="A1:DG103"/>
  <sheetViews>
    <sheetView showGridLines="0" showRowColHeaders="0" workbookViewId="0">
      <pane xSplit="5" ySplit="13" topLeftCell="F14" activePane="bottomRight" state="frozen"/>
      <selection activeCell="AW5" sqref="AW5:BN7"/>
      <selection pane="topRight" activeCell="AW5" sqref="AW5:BN7"/>
      <selection pane="bottomLeft" activeCell="AW5" sqref="AW5:BN7"/>
      <selection pane="bottomRight" activeCell="AW5" sqref="AW5:BN7"/>
    </sheetView>
  </sheetViews>
  <sheetFormatPr defaultColWidth="0" defaultRowHeight="12"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f>Data2!C19</f>
        <v>0</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82" t="s">
        <v>1086</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86" t="s">
        <v>1214</v>
      </c>
      <c r="BO2" s="67"/>
    </row>
    <row r="3" spans="1:67" ht="12" customHeight="1">
      <c r="A3" s="67"/>
      <c r="B3" s="1734" t="str">
        <f>Data2!L16&amp;" - "&amp;F77</f>
        <v>MULTI KKM - 0</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1087</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1215</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1088</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1216</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t="s">
        <v>1089</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1217</v>
      </c>
      <c r="BO5" s="67"/>
    </row>
    <row r="6" spans="1:67" ht="12" customHeight="1">
      <c r="A6" s="67"/>
      <c r="B6" s="1742" t="str">
        <f>F75&amp;" - "&amp;H75&amp;"--"&amp;Q75</f>
        <v>68 - 100--A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1090</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1218</v>
      </c>
      <c r="BO6" s="67"/>
    </row>
    <row r="7" spans="1:67" ht="12" customHeight="1">
      <c r="A7" s="67"/>
      <c r="B7" s="1742" t="str">
        <f>F76&amp;" - "&amp;ROUNDDOWN(H76,0)&amp;"---"&amp;Q76</f>
        <v>34 - 67---B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1091</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1219</v>
      </c>
      <c r="BO7" s="67"/>
    </row>
    <row r="8" spans="1:67" s="101" customFormat="1" ht="12" customHeight="1">
      <c r="A8" s="100"/>
      <c r="B8" s="1742" t="str">
        <f t="shared" ref="B8" si="0">F77&amp;" - "&amp;ROUNDDOWN(H77,0)&amp;"---"&amp;Q77</f>
        <v>0 - 33---C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1092</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1220</v>
      </c>
      <c r="BO8" s="100"/>
    </row>
    <row r="9" spans="1:67" ht="12" customHeight="1" thickBot="1">
      <c r="A9" s="67"/>
      <c r="B9" s="1742" t="str">
        <f>F78&amp;"  -  "&amp;ROUNDDOWN(H78,0)&amp;"---"&amp;Q78</f>
        <v>0  -  0---D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1093</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1221</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1094</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1222</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1095</v>
      </c>
      <c r="AL11" s="1800"/>
      <c r="AM11" s="1803"/>
      <c r="AN11" s="1803"/>
      <c r="AO11" s="1803"/>
      <c r="AP11" s="1803"/>
      <c r="AQ11" s="1803"/>
      <c r="AR11" s="1803"/>
      <c r="AS11" s="1803"/>
      <c r="AT11" s="1803"/>
      <c r="AU11" s="1804"/>
      <c r="AV11" s="1196">
        <v>10</v>
      </c>
      <c r="AW11" s="1197" t="s">
        <v>929</v>
      </c>
      <c r="AX11" s="1198" t="str">
        <f t="shared" ref="AX11:BG11" si="1">IF(COUNT(AX14:AX63)&gt;0,AX13,"")</f>
        <v/>
      </c>
      <c r="AY11" s="1198" t="str">
        <f t="shared" si="1"/>
        <v/>
      </c>
      <c r="AZ11" s="1198" t="str">
        <f t="shared" si="1"/>
        <v/>
      </c>
      <c r="BA11" s="1198" t="str">
        <f t="shared" si="1"/>
        <v/>
      </c>
      <c r="BB11" s="1198" t="str">
        <f t="shared" si="1"/>
        <v/>
      </c>
      <c r="BC11" s="1198" t="str">
        <f t="shared" si="1"/>
        <v/>
      </c>
      <c r="BD11" s="1198" t="str">
        <f t="shared" si="1"/>
        <v/>
      </c>
      <c r="BE11" s="1198" t="str">
        <f t="shared" si="1"/>
        <v/>
      </c>
      <c r="BF11" s="1198" t="str">
        <f t="shared" si="1"/>
        <v/>
      </c>
      <c r="BG11" s="1198" t="str">
        <f t="shared" si="1"/>
        <v/>
      </c>
      <c r="BH11" s="1198">
        <f>SUM(AX11:BG11)</f>
        <v>0</v>
      </c>
      <c r="BI11" s="1199"/>
      <c r="BJ11" s="1199"/>
      <c r="BK11" s="1199"/>
      <c r="BL11" s="1199"/>
      <c r="BM11" s="1199"/>
      <c r="BN11" s="1186" t="s">
        <v>1223</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t="str">
        <f t="shared" ref="U12:AD12" si="2">IF(COUNT(U14:U63)&gt;0,1,"")</f>
        <v/>
      </c>
      <c r="V12" s="1201" t="str">
        <f t="shared" si="2"/>
        <v/>
      </c>
      <c r="W12" s="1201" t="str">
        <f t="shared" si="2"/>
        <v/>
      </c>
      <c r="X12" s="1201" t="str">
        <f t="shared" si="2"/>
        <v/>
      </c>
      <c r="Y12" s="1201" t="str">
        <f t="shared" si="2"/>
        <v/>
      </c>
      <c r="Z12" s="1201" t="str">
        <f t="shared" si="2"/>
        <v/>
      </c>
      <c r="AA12" s="1201" t="str">
        <f t="shared" si="2"/>
        <v/>
      </c>
      <c r="AB12" s="1201" t="str">
        <f t="shared" si="2"/>
        <v/>
      </c>
      <c r="AC12" s="1201" t="str">
        <f t="shared" si="2"/>
        <v/>
      </c>
      <c r="AD12" s="1201" t="str">
        <f t="shared" si="2"/>
        <v/>
      </c>
      <c r="AE12" s="1202">
        <f>SUM(U12:AD12)</f>
        <v>0</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c r="G14" s="277"/>
      <c r="H14" s="277"/>
      <c r="I14" s="277"/>
      <c r="J14" s="277"/>
      <c r="K14" s="277"/>
      <c r="L14" s="277"/>
      <c r="M14" s="280"/>
      <c r="N14" s="277"/>
      <c r="O14" s="278"/>
      <c r="P14" s="279" t="str">
        <f t="shared" ref="P14" si="4">IF(COUNT(U14:AD14)&lt;2,"",ROUND(SUM(U14:AD14)/$AE$12,0))</f>
        <v/>
      </c>
      <c r="Q14" s="277"/>
      <c r="R14" s="280"/>
      <c r="S14" s="281" t="str">
        <f t="shared" ref="S14" si="5">IFERROR(ROUND(((P14*$P$13)+(Q14*$Q$13)+(R14*$R$13))/$AF$12,0),"")</f>
        <v/>
      </c>
      <c r="T14" s="295" t="str">
        <f t="shared" ref="T14" si="6">IF(S14="","",IF(S14&gt;$H$76,$Q$75,IF(S14&gt;$H$77,$Q$76,IF(S14&gt;$H$78,$Q$77,$Q$78))))</f>
        <v/>
      </c>
      <c r="U14" s="1215" t="str">
        <f t="shared" ref="U14:AD29" si="7">IF(F14="","",F14+U$13)</f>
        <v/>
      </c>
      <c r="V14" s="1216" t="str">
        <f t="shared" si="7"/>
        <v/>
      </c>
      <c r="W14" s="1216" t="str">
        <f t="shared" si="7"/>
        <v/>
      </c>
      <c r="X14" s="1216" t="str">
        <f t="shared" si="7"/>
        <v/>
      </c>
      <c r="Y14" s="1216" t="str">
        <f t="shared" si="7"/>
        <v/>
      </c>
      <c r="Z14" s="1216" t="str">
        <f t="shared" si="7"/>
        <v/>
      </c>
      <c r="AA14" s="1216" t="str">
        <f t="shared" si="7"/>
        <v/>
      </c>
      <c r="AB14" s="1217" t="str">
        <f t="shared" si="7"/>
        <v/>
      </c>
      <c r="AC14" s="1216" t="str">
        <f t="shared" si="7"/>
        <v/>
      </c>
      <c r="AD14" s="1218" t="str">
        <f t="shared" si="7"/>
        <v/>
      </c>
      <c r="AE14" s="1219">
        <f t="shared" ref="AE14" si="8">MAX(U14:AD14)</f>
        <v>0</v>
      </c>
      <c r="AF14" s="282">
        <f t="shared" ref="AF14" si="9">MIN(U14:AD14)</f>
        <v>0</v>
      </c>
      <c r="AG14" s="282" t="str">
        <f t="shared" ref="AG14:AH29" si="10">IF(AE14&gt;$H$76,$I$75,IF(AE14&gt;$H$77,$I$76,IF(AE14&gt;$H$78,$I$77,$I$78)))</f>
        <v>cukup</v>
      </c>
      <c r="AH14" s="282" t="str">
        <f t="shared" si="10"/>
        <v>cukup</v>
      </c>
      <c r="AI14" s="282" t="str">
        <f t="shared" ref="AI14" si="11">IFERROR(MATCH(AE14,U14:AD14,0),"")</f>
        <v/>
      </c>
      <c r="AJ14" s="283" t="str">
        <f t="shared" ref="AJ14" si="12">IFERROR(MATCH(AF14,U14:AD14,0),"")</f>
        <v/>
      </c>
      <c r="AK14" s="284" t="str">
        <f t="shared" ref="AK14" si="13">IF(S14="","",IFERROR("Memiliki kemampuan "&amp;IF(AG14=AH14,AG14&amp;" dalam "&amp;VLOOKUP(AI14,$S$2:$AK$11,19)&amp;" dan "&amp;VLOOKUP(AJ14,$S$2:$AK$11,19),AG14&amp;" dalam "&amp;VLOOKUP(AI14,$S$2:$AK$11,19)&amp;", "&amp;AH14&amp;" kemampuan dalam "&amp;VLOOKUP(AJ14,$S$2:$AK$11,19)),""))</f>
        <v/>
      </c>
      <c r="AL14" s="276"/>
      <c r="AM14" s="277"/>
      <c r="AN14" s="277"/>
      <c r="AO14" s="277"/>
      <c r="AP14" s="277"/>
      <c r="AQ14" s="277"/>
      <c r="AR14" s="277"/>
      <c r="AS14" s="280"/>
      <c r="AT14" s="277"/>
      <c r="AU14" s="278"/>
      <c r="AV14" s="285" t="str">
        <f t="shared" ref="AV14" si="14">IF(COUNT(AL14:AU14)&lt;2,"",ROUND(((AL14*$AX$13)+(AM14*$AY$13)+(AN14*$AZ$13)+(AO14*$BA$13)+(AP14*$BB$13)+(AQ14*$BC$13)+(AR14*$BD$13)+(AS14*$BE$13)+(AT14*$BF$13)+(AU14*$BG$13))/$BH$11,0))</f>
        <v/>
      </c>
      <c r="AW14" s="296" t="str">
        <f t="shared" ref="AW14" si="15">IF(AV14="","",IF(AV14&gt;$AN$76,$AV$75,IF(AV14&gt;$AN$77,$AV$76,IF(AV14&gt;$AN$78,$AV$77,$AV$78))))</f>
        <v/>
      </c>
      <c r="AX14" s="1220" t="str">
        <f t="shared" ref="AX14:BG29" si="16">IF(AL14="","",AL14+AX$12)</f>
        <v/>
      </c>
      <c r="AY14" s="1221" t="str">
        <f t="shared" si="16"/>
        <v/>
      </c>
      <c r="AZ14" s="1221" t="str">
        <f t="shared" si="16"/>
        <v/>
      </c>
      <c r="BA14" s="1221" t="str">
        <f t="shared" si="16"/>
        <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0</v>
      </c>
      <c r="BI14" s="286">
        <f t="shared" ref="BI14" si="18">MIN(AX14:BG14)</f>
        <v>0</v>
      </c>
      <c r="BJ14" s="287" t="str">
        <f t="shared" ref="BJ14:BK14" si="19">IF(BH14&gt;$H$76,$AO$75,IF(BH14&gt;$H$77,$AO$76,IF(BH14&gt;$H$78,$AO$77,$AO$78)))</f>
        <v>cukup</v>
      </c>
      <c r="BK14" s="287" t="str">
        <f t="shared" si="19"/>
        <v>cukup</v>
      </c>
      <c r="BL14" s="286" t="e">
        <f t="shared" ref="BL14" si="20">MATCH(BH14,AX14:BG14,0)</f>
        <v>#N/A</v>
      </c>
      <c r="BM14" s="288" t="e">
        <f t="shared" ref="BM14" si="21">MATCH(BI14,AX14:BG14,0)</f>
        <v>#N/A</v>
      </c>
      <c r="BN14" s="289" t="str">
        <f t="shared" ref="BN14" si="22">IF(AV14="","",IFERROR("Memiliki keterampilan "&amp;IF(BJ14=BK14,BJ14&amp;" dalam "&amp;VLOOKUP(BL14,$AV$2:$BN$11,19)&amp;" dan "&amp;VLOOKUP(BM14,$AV$2:$BN$11,19),BJ14&amp;" dalam "&amp;VLOOKUP(BL14,$AV$2:$BN$11,19)&amp;", "&amp;BK14&amp;" keterampilan dalam "&amp;VLOOKUP(BM14,$AV$2:$BN$11,19)),""))</f>
        <v/>
      </c>
      <c r="BO14" s="67"/>
    </row>
    <row r="15" spans="1:67" ht="33" customHeight="1">
      <c r="A15" s="67"/>
      <c r="B15" s="272">
        <f>IF(D15="","",B14+1)</f>
        <v>2</v>
      </c>
      <c r="C15" s="273">
        <f>IF(Data!F6="","",Data!F6)</f>
        <v>0</v>
      </c>
      <c r="D15" s="274" t="str">
        <f>IF(Data!H6="","",Data!H6)</f>
        <v>Aprianus Bira</v>
      </c>
      <c r="E15" s="275" t="str">
        <f>IF(Data!I6="","",Data!I6)</f>
        <v>L</v>
      </c>
      <c r="F15" s="276"/>
      <c r="G15" s="277"/>
      <c r="H15" s="277"/>
      <c r="I15" s="277"/>
      <c r="J15" s="277"/>
      <c r="K15" s="277"/>
      <c r="L15" s="277"/>
      <c r="M15" s="280"/>
      <c r="N15" s="277"/>
      <c r="O15" s="278"/>
      <c r="P15" s="279" t="str">
        <f>IF(COUNT(U15:AD15)&lt;2,"",ROUND(SUM(U15:AD15)/$AE$12,0))</f>
        <v/>
      </c>
      <c r="Q15" s="277"/>
      <c r="R15" s="280"/>
      <c r="S15" s="281" t="str">
        <f>IFERROR(ROUND(((P15*$P$13)+(Q15*$Q$13)+(R15*$R$13))/$AF$12,0),"")</f>
        <v/>
      </c>
      <c r="T15" s="295" t="str">
        <f>IF(S15="","",IF(S15&gt;$H$76,$Q$75,IF(S15&gt;$H$77,$Q$76,IF(S15&gt;$H$78,$Q$77,$Q$78))))</f>
        <v/>
      </c>
      <c r="U15" s="1215" t="str">
        <f t="shared" si="7"/>
        <v/>
      </c>
      <c r="V15" s="1216" t="str">
        <f t="shared" si="7"/>
        <v/>
      </c>
      <c r="W15" s="1216" t="str">
        <f t="shared" si="7"/>
        <v/>
      </c>
      <c r="X15" s="1216" t="str">
        <f t="shared" si="7"/>
        <v/>
      </c>
      <c r="Y15" s="1216" t="str">
        <f t="shared" si="7"/>
        <v/>
      </c>
      <c r="Z15" s="1216" t="str">
        <f t="shared" si="7"/>
        <v/>
      </c>
      <c r="AA15" s="1216" t="str">
        <f t="shared" si="7"/>
        <v/>
      </c>
      <c r="AB15" s="1217" t="str">
        <f t="shared" si="7"/>
        <v/>
      </c>
      <c r="AC15" s="1216" t="str">
        <f t="shared" si="7"/>
        <v/>
      </c>
      <c r="AD15" s="1218" t="str">
        <f t="shared" si="7"/>
        <v/>
      </c>
      <c r="AE15" s="1219">
        <f>MAX(U15:AD15)</f>
        <v>0</v>
      </c>
      <c r="AF15" s="282">
        <f>MIN(U15:AD15)</f>
        <v>0</v>
      </c>
      <c r="AG15" s="282" t="str">
        <f>IF(AE15&gt;$H$76,$I$75,IF(AE15&gt;$H$77,$I$76,IF(AE15&gt;$H$78,$I$77,$I$78)))</f>
        <v>cukup</v>
      </c>
      <c r="AH15" s="282" t="str">
        <f t="shared" si="10"/>
        <v>cukup</v>
      </c>
      <c r="AI15" s="282" t="str">
        <f>IFERROR(MATCH(AE15,U15:AD15,0),"")</f>
        <v/>
      </c>
      <c r="AJ15" s="283" t="str">
        <f>IFERROR(MATCH(AF15,U15:AD15,0),"")</f>
        <v/>
      </c>
      <c r="AK15" s="284" t="str">
        <f>IF(S15="","",IFERROR("Memiliki kemampuan "&amp;IF(AG15=AH15,AG15&amp;" dalam "&amp;VLOOKUP(AI15,$S$2:$AK$11,19)&amp;" dan "&amp;VLOOKUP(AJ15,$S$2:$AK$11,19),AG15&amp;" dalam "&amp;VLOOKUP(AI15,$S$2:$AK$11,19)&amp;", "&amp;AH15&amp;" kemampuan dalam "&amp;VLOOKUP(AJ15,$S$2:$AK$11,19)),""))</f>
        <v/>
      </c>
      <c r="AL15" s="276"/>
      <c r="AM15" s="277"/>
      <c r="AN15" s="277"/>
      <c r="AO15" s="277"/>
      <c r="AP15" s="277"/>
      <c r="AQ15" s="277"/>
      <c r="AR15" s="277"/>
      <c r="AS15" s="280"/>
      <c r="AT15" s="277"/>
      <c r="AU15" s="278"/>
      <c r="AV15" s="285" t="str">
        <f>IF(COUNT(AL15:AU15)&lt;2,"",ROUND(((AL15*$AX$13)+(AM15*$AY$13)+(AN15*$AZ$13)+(AO15*$BA$13)+(AP15*$BB$13)+(AQ15*$BC$13)+(AR15*$BD$13)+(AS15*$BE$13)+(AT15*$BF$13)+(AU15*$BG$13))/$BH$11,0))</f>
        <v/>
      </c>
      <c r="AW15" s="296" t="str">
        <f>IF(AV15="","",IF(AV15&gt;$AN$76,$AV$75,IF(AV15&gt;$AN$77,$AV$76,IF(AV15&gt;$AN$78,$AV$77,$AV$78))))</f>
        <v/>
      </c>
      <c r="AX15" s="1220" t="str">
        <f t="shared" si="16"/>
        <v/>
      </c>
      <c r="AY15" s="1221" t="str">
        <f t="shared" si="16"/>
        <v/>
      </c>
      <c r="AZ15" s="1221" t="str">
        <f>IF(AN15="","",AN15+AZ$12)</f>
        <v/>
      </c>
      <c r="BA15" s="1221" t="str">
        <f t="shared" si="16"/>
        <v/>
      </c>
      <c r="BB15" s="1221" t="str">
        <f t="shared" si="16"/>
        <v/>
      </c>
      <c r="BC15" s="1221" t="str">
        <f t="shared" si="16"/>
        <v/>
      </c>
      <c r="BD15" s="1221" t="str">
        <f t="shared" si="16"/>
        <v/>
      </c>
      <c r="BE15" s="1222" t="str">
        <f t="shared" si="16"/>
        <v/>
      </c>
      <c r="BF15" s="1221" t="str">
        <f t="shared" si="16"/>
        <v/>
      </c>
      <c r="BG15" s="1223" t="str">
        <f t="shared" si="16"/>
        <v/>
      </c>
      <c r="BH15" s="286">
        <f>MAX(AX15:BG15)</f>
        <v>0</v>
      </c>
      <c r="BI15" s="286">
        <f>MIN(AX15:BG15)</f>
        <v>0</v>
      </c>
      <c r="BJ15" s="287" t="str">
        <f>IF(BH15&gt;$H$76,$AO$75,IF(BH15&gt;$H$77,$AO$76,IF(BH15&gt;$H$78,$AO$77,$AO$78)))</f>
        <v>cukup</v>
      </c>
      <c r="BK15" s="287" t="str">
        <f>IF(BI15&gt;$H$76,$AO$75,IF(BI15&gt;$H$77,$AO$76,IF(BI15&gt;$H$78,$AO$77,$AO$78)))</f>
        <v>cukup</v>
      </c>
      <c r="BL15" s="286" t="e">
        <f>MATCH(BH15,AX15:BG15,0)</f>
        <v>#N/A</v>
      </c>
      <c r="BM15" s="288" t="e">
        <f>MATCH(BI15,AX15:BG15,0)</f>
        <v>#N/A</v>
      </c>
      <c r="BN15" s="289" t="str">
        <f>IF(AV15="","",IFERROR("Memiliki keterampilan "&amp;IF(BJ15=BK15,BJ15&amp;" dalam "&amp;VLOOKUP(BL15,$AV$2:$BN$11,19)&amp;" dan "&amp;VLOOKUP(BM15,$AV$2:$BN$11,19),BJ15&amp;" dalam "&amp;VLOOKUP(BL15,$AV$2:$BN$11,19)&amp;", "&amp;BK15&amp;" keterampilan dalam "&amp;VLOOKUP(BM15,$AV$2:$BN$11,19)),""))</f>
        <v/>
      </c>
      <c r="BO15" s="67"/>
    </row>
    <row r="16" spans="1:67" ht="33" customHeight="1">
      <c r="A16" s="67"/>
      <c r="B16" s="272">
        <f t="shared" ref="B16:B63" si="23">IF(D16="","",B15+1)</f>
        <v>3</v>
      </c>
      <c r="C16" s="273">
        <f>IF(Data!F7="","",Data!F7)</f>
        <v>0</v>
      </c>
      <c r="D16" s="274" t="str">
        <f>IF(Data!H7="","",Data!H7)</f>
        <v>Asri Aldina Baksuni</v>
      </c>
      <c r="E16" s="275" t="str">
        <f>IF(Data!I7="","",Data!I7)</f>
        <v>P</v>
      </c>
      <c r="F16" s="276"/>
      <c r="G16" s="277"/>
      <c r="H16" s="277"/>
      <c r="I16" s="277"/>
      <c r="J16" s="277"/>
      <c r="K16" s="277"/>
      <c r="L16" s="277"/>
      <c r="M16" s="280"/>
      <c r="N16" s="277"/>
      <c r="O16" s="278"/>
      <c r="P16" s="279" t="str">
        <f t="shared" ref="P16:P63" si="24">IF(COUNT(U16:AD16)&lt;2,"",ROUND(SUM(U16:AD16)/$AE$12,0))</f>
        <v/>
      </c>
      <c r="Q16" s="277"/>
      <c r="R16" s="280"/>
      <c r="S16" s="281" t="str">
        <f t="shared" ref="S16:S63" si="25">IFERROR(ROUND(((P16*$P$13)+(Q16*$Q$13)+(R16*$R$13))/$AF$12,0),"")</f>
        <v/>
      </c>
      <c r="T16" s="295" t="str">
        <f t="shared" ref="T16:T63" si="26">IF(S16="","",IF(S16&gt;$H$76,$Q$75,IF(S16&gt;$H$77,$Q$76,IF(S16&gt;$H$78,$Q$77,$Q$78))))</f>
        <v/>
      </c>
      <c r="U16" s="1215" t="str">
        <f t="shared" si="7"/>
        <v/>
      </c>
      <c r="V16" s="1216" t="str">
        <f t="shared" si="7"/>
        <v/>
      </c>
      <c r="W16" s="1216" t="str">
        <f t="shared" si="7"/>
        <v/>
      </c>
      <c r="X16" s="1216" t="str">
        <f t="shared" si="7"/>
        <v/>
      </c>
      <c r="Y16" s="1216" t="str">
        <f t="shared" si="7"/>
        <v/>
      </c>
      <c r="Z16" s="1216" t="str">
        <f t="shared" si="7"/>
        <v/>
      </c>
      <c r="AA16" s="1216" t="str">
        <f t="shared" si="7"/>
        <v/>
      </c>
      <c r="AB16" s="1217" t="str">
        <f t="shared" si="7"/>
        <v/>
      </c>
      <c r="AC16" s="1216" t="str">
        <f t="shared" si="7"/>
        <v/>
      </c>
      <c r="AD16" s="1218" t="str">
        <f t="shared" si="7"/>
        <v/>
      </c>
      <c r="AE16" s="1219">
        <f t="shared" ref="AE16:AE63" si="27">MAX(U16:AD16)</f>
        <v>0</v>
      </c>
      <c r="AF16" s="282">
        <f t="shared" ref="AF16:AF63" si="28">MIN(U16:AD16)</f>
        <v>0</v>
      </c>
      <c r="AG16" s="282" t="str">
        <f t="shared" ref="AG16:AH63" si="29">IF(AE16&gt;$H$76,$I$75,IF(AE16&gt;$H$77,$I$76,IF(AE16&gt;$H$78,$I$77,$I$78)))</f>
        <v>cukup</v>
      </c>
      <c r="AH16" s="282" t="str">
        <f t="shared" si="10"/>
        <v>cukup</v>
      </c>
      <c r="AI16" s="282" t="str">
        <f t="shared" ref="AI16:AI63" si="30">IFERROR(MATCH(AE16,U16:AD16,0),"")</f>
        <v/>
      </c>
      <c r="AJ16" s="283" t="str">
        <f t="shared" ref="AJ16:AJ63" si="31">IFERROR(MATCH(AF16,U16:AD16,0),"")</f>
        <v/>
      </c>
      <c r="AK16" s="284" t="str">
        <f t="shared" ref="AK16:AK63" si="32">IF(S16="","",IFERROR("Memiliki kemampuan "&amp;IF(AG16=AH16,AG16&amp;" dalam "&amp;VLOOKUP(AI16,$S$2:$AK$11,19)&amp;" dan "&amp;VLOOKUP(AJ16,$S$2:$AK$11,19),AG16&amp;" dalam "&amp;VLOOKUP(AI16,$S$2:$AK$11,19)&amp;", "&amp;AH16&amp;" kemampuan dalam "&amp;VLOOKUP(AJ16,$S$2:$AK$11,19)),""))</f>
        <v/>
      </c>
      <c r="AL16" s="276"/>
      <c r="AM16" s="277"/>
      <c r="AN16" s="277"/>
      <c r="AO16" s="277"/>
      <c r="AP16" s="277"/>
      <c r="AQ16" s="277"/>
      <c r="AR16" s="277"/>
      <c r="AS16" s="280"/>
      <c r="AT16" s="277"/>
      <c r="AU16" s="278"/>
      <c r="AV16" s="285" t="str">
        <f t="shared" ref="AV16:AV63" si="33">IF(COUNT(AL16:AU16)&lt;2,"",ROUND(((AL16*$AX$13)+(AM16*$AY$13)+(AN16*$AZ$13)+(AO16*$BA$13)+(AP16*$BB$13)+(AQ16*$BC$13)+(AR16*$BD$13)+(AS16*$BE$13)+(AT16*$BF$13)+(AU16*$BG$13))/$BH$11,0))</f>
        <v/>
      </c>
      <c r="AW16" s="296" t="str">
        <f t="shared" ref="AW16:AW63" si="34">IF(AV16="","",IF(AV16&gt;$AN$76,$AV$75,IF(AV16&gt;$AN$77,$AV$76,IF(AV16&gt;$AN$78,$AV$77,$AV$78))))</f>
        <v/>
      </c>
      <c r="AX16" s="1220" t="str">
        <f t="shared" si="16"/>
        <v/>
      </c>
      <c r="AY16" s="1221" t="str">
        <f t="shared" si="16"/>
        <v/>
      </c>
      <c r="AZ16" s="1221" t="str">
        <f t="shared" si="16"/>
        <v/>
      </c>
      <c r="BA16" s="1221" t="str">
        <f t="shared" si="16"/>
        <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0</v>
      </c>
      <c r="BI16" s="286">
        <f t="shared" ref="BI16:BI63" si="36">MIN(AX16:BG16)</f>
        <v>0</v>
      </c>
      <c r="BJ16" s="287" t="str">
        <f t="shared" ref="BJ16:BK63" si="37">IF(BH16&gt;$H$76,$AO$75,IF(BH16&gt;$H$77,$AO$76,IF(BH16&gt;$H$78,$AO$77,$AO$78)))</f>
        <v>cukup</v>
      </c>
      <c r="BK16" s="287" t="str">
        <f t="shared" si="37"/>
        <v>cukup</v>
      </c>
      <c r="BL16" s="286" t="e">
        <f t="shared" ref="BL16:BL63" si="38">MATCH(BH16,AX16:BG16,0)</f>
        <v>#N/A</v>
      </c>
      <c r="BM16" s="288" t="e">
        <f t="shared" ref="BM16:BM63" si="39">MATCH(BI16,AX16:BG16,0)</f>
        <v>#N/A</v>
      </c>
      <c r="BN16" s="289" t="str">
        <f t="shared" ref="BN16:BN63" si="40">IF(AV16="","",IFERROR("Memiliki keterampilan "&amp;IF(BJ16=BK16,BJ16&amp;" dalam "&amp;VLOOKUP(BL16,$AV$2:$BN$11,19)&amp;" dan "&amp;VLOOKUP(BM16,$AV$2:$BN$11,19),BJ16&amp;" dalam "&amp;VLOOKUP(BL16,$AV$2:$BN$11,19)&amp;", "&amp;BK16&amp;" keterampilan dalam "&amp;VLOOKUP(BM16,$AV$2:$BN$11,19)),""))</f>
        <v/>
      </c>
      <c r="BO16" s="67"/>
    </row>
    <row r="17" spans="1:67" ht="33" customHeight="1">
      <c r="A17" s="67"/>
      <c r="B17" s="272">
        <f t="shared" si="23"/>
        <v>4</v>
      </c>
      <c r="C17" s="273">
        <f>IF(Data!F8="","",Data!F8)</f>
        <v>0</v>
      </c>
      <c r="D17" s="274" t="str">
        <f>IF(Data!H8="","",Data!H8)</f>
        <v>Asti Welmince Welkis</v>
      </c>
      <c r="E17" s="275" t="str">
        <f>IF(Data!I8="","",Data!I8)</f>
        <v>P</v>
      </c>
      <c r="F17" s="276"/>
      <c r="G17" s="277"/>
      <c r="H17" s="277"/>
      <c r="I17" s="277"/>
      <c r="J17" s="277"/>
      <c r="K17" s="277"/>
      <c r="L17" s="277"/>
      <c r="M17" s="280"/>
      <c r="N17" s="277"/>
      <c r="O17" s="278"/>
      <c r="P17" s="279" t="str">
        <f t="shared" si="24"/>
        <v/>
      </c>
      <c r="Q17" s="277"/>
      <c r="R17" s="280"/>
      <c r="S17" s="281" t="str">
        <f t="shared" si="25"/>
        <v/>
      </c>
      <c r="T17" s="295" t="str">
        <f t="shared" si="26"/>
        <v/>
      </c>
      <c r="U17" s="1215" t="str">
        <f t="shared" si="7"/>
        <v/>
      </c>
      <c r="V17" s="1216" t="str">
        <f t="shared" si="7"/>
        <v/>
      </c>
      <c r="W17" s="1216" t="str">
        <f t="shared" si="7"/>
        <v/>
      </c>
      <c r="X17" s="1216" t="str">
        <f t="shared" si="7"/>
        <v/>
      </c>
      <c r="Y17" s="1216" t="str">
        <f t="shared" si="7"/>
        <v/>
      </c>
      <c r="Z17" s="1216" t="str">
        <f t="shared" si="7"/>
        <v/>
      </c>
      <c r="AA17" s="1216" t="str">
        <f t="shared" si="7"/>
        <v/>
      </c>
      <c r="AB17" s="1217" t="str">
        <f t="shared" si="7"/>
        <v/>
      </c>
      <c r="AC17" s="1216" t="str">
        <f t="shared" si="7"/>
        <v/>
      </c>
      <c r="AD17" s="1218" t="str">
        <f t="shared" si="7"/>
        <v/>
      </c>
      <c r="AE17" s="1219">
        <f t="shared" si="27"/>
        <v>0</v>
      </c>
      <c r="AF17" s="282">
        <f t="shared" si="28"/>
        <v>0</v>
      </c>
      <c r="AG17" s="282" t="str">
        <f t="shared" si="29"/>
        <v>cukup</v>
      </c>
      <c r="AH17" s="282" t="str">
        <f t="shared" si="10"/>
        <v>cukup</v>
      </c>
      <c r="AI17" s="282" t="str">
        <f t="shared" si="30"/>
        <v/>
      </c>
      <c r="AJ17" s="283" t="str">
        <f t="shared" si="31"/>
        <v/>
      </c>
      <c r="AK17" s="284" t="str">
        <f t="shared" si="32"/>
        <v/>
      </c>
      <c r="AL17" s="276"/>
      <c r="AM17" s="277"/>
      <c r="AN17" s="277"/>
      <c r="AO17" s="277"/>
      <c r="AP17" s="277"/>
      <c r="AQ17" s="277"/>
      <c r="AR17" s="277"/>
      <c r="AS17" s="280"/>
      <c r="AT17" s="277"/>
      <c r="AU17" s="278"/>
      <c r="AV17" s="285" t="str">
        <f t="shared" si="33"/>
        <v/>
      </c>
      <c r="AW17" s="296" t="str">
        <f t="shared" si="34"/>
        <v/>
      </c>
      <c r="AX17" s="1220" t="str">
        <f t="shared" si="16"/>
        <v/>
      </c>
      <c r="AY17" s="1221" t="str">
        <f t="shared" si="16"/>
        <v/>
      </c>
      <c r="AZ17" s="1221" t="str">
        <f t="shared" si="16"/>
        <v/>
      </c>
      <c r="BA17" s="1221" t="str">
        <f t="shared" si="16"/>
        <v/>
      </c>
      <c r="BB17" s="1221" t="str">
        <f t="shared" si="16"/>
        <v/>
      </c>
      <c r="BC17" s="1221" t="str">
        <f t="shared" si="16"/>
        <v/>
      </c>
      <c r="BD17" s="1221" t="str">
        <f t="shared" si="16"/>
        <v/>
      </c>
      <c r="BE17" s="1222" t="str">
        <f t="shared" si="16"/>
        <v/>
      </c>
      <c r="BF17" s="1221" t="str">
        <f t="shared" si="16"/>
        <v/>
      </c>
      <c r="BG17" s="1223" t="str">
        <f t="shared" si="16"/>
        <v/>
      </c>
      <c r="BH17" s="286">
        <f t="shared" si="35"/>
        <v>0</v>
      </c>
      <c r="BI17" s="286">
        <f t="shared" si="36"/>
        <v>0</v>
      </c>
      <c r="BJ17" s="287" t="str">
        <f t="shared" si="37"/>
        <v>cukup</v>
      </c>
      <c r="BK17" s="287" t="str">
        <f t="shared" si="37"/>
        <v>cukup</v>
      </c>
      <c r="BL17" s="286" t="e">
        <f t="shared" si="38"/>
        <v>#N/A</v>
      </c>
      <c r="BM17" s="288" t="e">
        <f t="shared" si="39"/>
        <v>#N/A</v>
      </c>
      <c r="BN17" s="289" t="str">
        <f t="shared" si="40"/>
        <v/>
      </c>
      <c r="BO17" s="67"/>
    </row>
    <row r="18" spans="1:67" ht="33" customHeight="1">
      <c r="A18" s="67"/>
      <c r="B18" s="272">
        <f t="shared" si="23"/>
        <v>5</v>
      </c>
      <c r="C18" s="273">
        <f>IF(Data!F9="","",Data!F9)</f>
        <v>0</v>
      </c>
      <c r="D18" s="274" t="str">
        <f>IF(Data!H9="","",Data!H9)</f>
        <v>Aulya Noviyanti Mbura</v>
      </c>
      <c r="E18" s="275" t="str">
        <f>IF(Data!I9="","",Data!I9)</f>
        <v>P</v>
      </c>
      <c r="F18" s="276"/>
      <c r="G18" s="277"/>
      <c r="H18" s="277"/>
      <c r="I18" s="277"/>
      <c r="J18" s="277"/>
      <c r="K18" s="277"/>
      <c r="L18" s="277"/>
      <c r="M18" s="280"/>
      <c r="N18" s="277"/>
      <c r="O18" s="278"/>
      <c r="P18" s="279" t="str">
        <f t="shared" si="24"/>
        <v/>
      </c>
      <c r="Q18" s="277"/>
      <c r="R18" s="280"/>
      <c r="S18" s="281" t="str">
        <f t="shared" si="25"/>
        <v/>
      </c>
      <c r="T18" s="295" t="str">
        <f t="shared" si="26"/>
        <v/>
      </c>
      <c r="U18" s="1215" t="str">
        <f t="shared" si="7"/>
        <v/>
      </c>
      <c r="V18" s="1216" t="str">
        <f t="shared" si="7"/>
        <v/>
      </c>
      <c r="W18" s="1216" t="str">
        <f t="shared" si="7"/>
        <v/>
      </c>
      <c r="X18" s="1216" t="str">
        <f t="shared" si="7"/>
        <v/>
      </c>
      <c r="Y18" s="1216" t="str">
        <f t="shared" si="7"/>
        <v/>
      </c>
      <c r="Z18" s="1216" t="str">
        <f t="shared" si="7"/>
        <v/>
      </c>
      <c r="AA18" s="1216" t="str">
        <f t="shared" si="7"/>
        <v/>
      </c>
      <c r="AB18" s="1217" t="str">
        <f t="shared" si="7"/>
        <v/>
      </c>
      <c r="AC18" s="1216" t="str">
        <f t="shared" si="7"/>
        <v/>
      </c>
      <c r="AD18" s="1218" t="str">
        <f t="shared" si="7"/>
        <v/>
      </c>
      <c r="AE18" s="1219">
        <f t="shared" si="27"/>
        <v>0</v>
      </c>
      <c r="AF18" s="282">
        <f t="shared" si="28"/>
        <v>0</v>
      </c>
      <c r="AG18" s="282" t="str">
        <f t="shared" si="29"/>
        <v>cukup</v>
      </c>
      <c r="AH18" s="282" t="str">
        <f t="shared" si="10"/>
        <v>cukup</v>
      </c>
      <c r="AI18" s="282" t="str">
        <f t="shared" si="30"/>
        <v/>
      </c>
      <c r="AJ18" s="283" t="str">
        <f t="shared" si="31"/>
        <v/>
      </c>
      <c r="AK18" s="284" t="str">
        <f t="shared" si="32"/>
        <v/>
      </c>
      <c r="AL18" s="276"/>
      <c r="AM18" s="277"/>
      <c r="AN18" s="277"/>
      <c r="AO18" s="277"/>
      <c r="AP18" s="277"/>
      <c r="AQ18" s="277"/>
      <c r="AR18" s="277"/>
      <c r="AS18" s="280"/>
      <c r="AT18" s="277"/>
      <c r="AU18" s="278"/>
      <c r="AV18" s="285" t="str">
        <f t="shared" si="33"/>
        <v/>
      </c>
      <c r="AW18" s="296" t="str">
        <f t="shared" si="34"/>
        <v/>
      </c>
      <c r="AX18" s="1220" t="str">
        <f t="shared" si="16"/>
        <v/>
      </c>
      <c r="AY18" s="1221" t="str">
        <f t="shared" si="16"/>
        <v/>
      </c>
      <c r="AZ18" s="1221" t="str">
        <f t="shared" si="16"/>
        <v/>
      </c>
      <c r="BA18" s="1221" t="str">
        <f t="shared" si="16"/>
        <v/>
      </c>
      <c r="BB18" s="1221" t="str">
        <f t="shared" si="16"/>
        <v/>
      </c>
      <c r="BC18" s="1221" t="str">
        <f t="shared" si="16"/>
        <v/>
      </c>
      <c r="BD18" s="1221" t="str">
        <f t="shared" si="16"/>
        <v/>
      </c>
      <c r="BE18" s="1222" t="str">
        <f t="shared" si="16"/>
        <v/>
      </c>
      <c r="BF18" s="1221" t="str">
        <f t="shared" si="16"/>
        <v/>
      </c>
      <c r="BG18" s="1223" t="str">
        <f t="shared" si="16"/>
        <v/>
      </c>
      <c r="BH18" s="286">
        <f t="shared" si="35"/>
        <v>0</v>
      </c>
      <c r="BI18" s="286">
        <f t="shared" si="36"/>
        <v>0</v>
      </c>
      <c r="BJ18" s="287" t="str">
        <f t="shared" si="37"/>
        <v>cukup</v>
      </c>
      <c r="BK18" s="287" t="str">
        <f t="shared" si="37"/>
        <v>cukup</v>
      </c>
      <c r="BL18" s="286" t="e">
        <f t="shared" si="38"/>
        <v>#N/A</v>
      </c>
      <c r="BM18" s="288" t="e">
        <f t="shared" si="39"/>
        <v>#N/A</v>
      </c>
      <c r="BN18" s="289" t="str">
        <f t="shared" si="40"/>
        <v/>
      </c>
      <c r="BO18" s="67"/>
    </row>
    <row r="19" spans="1:67" ht="33" customHeight="1">
      <c r="A19" s="67"/>
      <c r="B19" s="272">
        <f t="shared" si="23"/>
        <v>6</v>
      </c>
      <c r="C19" s="273">
        <f>IF(Data!F10="","",Data!F10)</f>
        <v>0</v>
      </c>
      <c r="D19" s="274" t="str">
        <f>IF(Data!H10="","",Data!H10)</f>
        <v>Ayu Oliberta Ranboki</v>
      </c>
      <c r="E19" s="275" t="str">
        <f>IF(Data!I10="","",Data!I10)</f>
        <v>P</v>
      </c>
      <c r="F19" s="276"/>
      <c r="G19" s="277"/>
      <c r="H19" s="277"/>
      <c r="I19" s="277"/>
      <c r="J19" s="277"/>
      <c r="K19" s="277"/>
      <c r="L19" s="277"/>
      <c r="M19" s="280"/>
      <c r="N19" s="277"/>
      <c r="O19" s="278"/>
      <c r="P19" s="279" t="str">
        <f t="shared" si="24"/>
        <v/>
      </c>
      <c r="Q19" s="277"/>
      <c r="R19" s="280"/>
      <c r="S19" s="281" t="str">
        <f t="shared" si="25"/>
        <v/>
      </c>
      <c r="T19" s="295" t="str">
        <f t="shared" si="26"/>
        <v/>
      </c>
      <c r="U19" s="1215" t="str">
        <f t="shared" si="7"/>
        <v/>
      </c>
      <c r="V19" s="1216" t="str">
        <f t="shared" si="7"/>
        <v/>
      </c>
      <c r="W19" s="1216" t="str">
        <f t="shared" si="7"/>
        <v/>
      </c>
      <c r="X19" s="1216" t="str">
        <f t="shared" si="7"/>
        <v/>
      </c>
      <c r="Y19" s="1216" t="str">
        <f t="shared" si="7"/>
        <v/>
      </c>
      <c r="Z19" s="1216" t="str">
        <f t="shared" si="7"/>
        <v/>
      </c>
      <c r="AA19" s="1216" t="str">
        <f t="shared" si="7"/>
        <v/>
      </c>
      <c r="AB19" s="1217" t="str">
        <f t="shared" si="7"/>
        <v/>
      </c>
      <c r="AC19" s="1216" t="str">
        <f t="shared" si="7"/>
        <v/>
      </c>
      <c r="AD19" s="1218" t="str">
        <f t="shared" si="7"/>
        <v/>
      </c>
      <c r="AE19" s="1219">
        <f t="shared" si="27"/>
        <v>0</v>
      </c>
      <c r="AF19" s="282">
        <f t="shared" si="28"/>
        <v>0</v>
      </c>
      <c r="AG19" s="282" t="str">
        <f t="shared" si="29"/>
        <v>cukup</v>
      </c>
      <c r="AH19" s="282" t="str">
        <f t="shared" si="10"/>
        <v>cukup</v>
      </c>
      <c r="AI19" s="282" t="str">
        <f t="shared" si="30"/>
        <v/>
      </c>
      <c r="AJ19" s="283" t="str">
        <f t="shared" si="31"/>
        <v/>
      </c>
      <c r="AK19" s="284" t="str">
        <f t="shared" si="32"/>
        <v/>
      </c>
      <c r="AL19" s="276"/>
      <c r="AM19" s="277"/>
      <c r="AN19" s="277"/>
      <c r="AO19" s="277"/>
      <c r="AP19" s="277"/>
      <c r="AQ19" s="277"/>
      <c r="AR19" s="277"/>
      <c r="AS19" s="280"/>
      <c r="AT19" s="277"/>
      <c r="AU19" s="278"/>
      <c r="AV19" s="285" t="str">
        <f t="shared" si="33"/>
        <v/>
      </c>
      <c r="AW19" s="296" t="str">
        <f t="shared" si="34"/>
        <v/>
      </c>
      <c r="AX19" s="1220" t="str">
        <f t="shared" si="16"/>
        <v/>
      </c>
      <c r="AY19" s="1221" t="str">
        <f t="shared" si="16"/>
        <v/>
      </c>
      <c r="AZ19" s="1221" t="str">
        <f t="shared" si="16"/>
        <v/>
      </c>
      <c r="BA19" s="1221" t="str">
        <f t="shared" si="16"/>
        <v/>
      </c>
      <c r="BB19" s="1221" t="str">
        <f t="shared" si="16"/>
        <v/>
      </c>
      <c r="BC19" s="1221" t="str">
        <f t="shared" si="16"/>
        <v/>
      </c>
      <c r="BD19" s="1221" t="str">
        <f t="shared" si="16"/>
        <v/>
      </c>
      <c r="BE19" s="1222" t="str">
        <f t="shared" si="16"/>
        <v/>
      </c>
      <c r="BF19" s="1221" t="str">
        <f t="shared" si="16"/>
        <v/>
      </c>
      <c r="BG19" s="1223" t="str">
        <f t="shared" si="16"/>
        <v/>
      </c>
      <c r="BH19" s="286">
        <f t="shared" si="35"/>
        <v>0</v>
      </c>
      <c r="BI19" s="286">
        <f t="shared" si="36"/>
        <v>0</v>
      </c>
      <c r="BJ19" s="287" t="str">
        <f t="shared" si="37"/>
        <v>cukup</v>
      </c>
      <c r="BK19" s="287" t="str">
        <f t="shared" si="37"/>
        <v>cukup</v>
      </c>
      <c r="BL19" s="286" t="e">
        <f t="shared" si="38"/>
        <v>#N/A</v>
      </c>
      <c r="BM19" s="288" t="e">
        <f t="shared" si="39"/>
        <v>#N/A</v>
      </c>
      <c r="BN19" s="289" t="str">
        <f t="shared" si="40"/>
        <v/>
      </c>
      <c r="BO19" s="67"/>
    </row>
    <row r="20" spans="1:67" ht="33" customHeight="1">
      <c r="A20" s="67"/>
      <c r="B20" s="272">
        <f t="shared" si="23"/>
        <v>7</v>
      </c>
      <c r="C20" s="273">
        <f>IF(Data!F11="","",Data!F11)</f>
        <v>0</v>
      </c>
      <c r="D20" s="274" t="str">
        <f>IF(Data!H11="","",Data!H11)</f>
        <v>Benediktus Faot</v>
      </c>
      <c r="E20" s="275" t="str">
        <f>IF(Data!I11="","",Data!I11)</f>
        <v>L</v>
      </c>
      <c r="F20" s="276"/>
      <c r="G20" s="277"/>
      <c r="H20" s="277"/>
      <c r="I20" s="277"/>
      <c r="J20" s="277"/>
      <c r="K20" s="277"/>
      <c r="L20" s="277"/>
      <c r="M20" s="280"/>
      <c r="N20" s="277"/>
      <c r="O20" s="278"/>
      <c r="P20" s="279" t="str">
        <f t="shared" si="24"/>
        <v/>
      </c>
      <c r="Q20" s="277"/>
      <c r="R20" s="280"/>
      <c r="S20" s="281" t="str">
        <f t="shared" si="25"/>
        <v/>
      </c>
      <c r="T20" s="295" t="str">
        <f t="shared" si="26"/>
        <v/>
      </c>
      <c r="U20" s="1215" t="str">
        <f t="shared" si="7"/>
        <v/>
      </c>
      <c r="V20" s="1216" t="str">
        <f t="shared" si="7"/>
        <v/>
      </c>
      <c r="W20" s="1216" t="str">
        <f t="shared" si="7"/>
        <v/>
      </c>
      <c r="X20" s="1216" t="str">
        <f t="shared" si="7"/>
        <v/>
      </c>
      <c r="Y20" s="1216" t="str">
        <f t="shared" si="7"/>
        <v/>
      </c>
      <c r="Z20" s="1216" t="str">
        <f t="shared" si="7"/>
        <v/>
      </c>
      <c r="AA20" s="1216" t="str">
        <f t="shared" si="7"/>
        <v/>
      </c>
      <c r="AB20" s="1217" t="str">
        <f t="shared" si="7"/>
        <v/>
      </c>
      <c r="AC20" s="1216" t="str">
        <f t="shared" si="7"/>
        <v/>
      </c>
      <c r="AD20" s="1218" t="str">
        <f t="shared" si="7"/>
        <v/>
      </c>
      <c r="AE20" s="1219">
        <f t="shared" si="27"/>
        <v>0</v>
      </c>
      <c r="AF20" s="282">
        <f t="shared" si="28"/>
        <v>0</v>
      </c>
      <c r="AG20" s="282" t="str">
        <f t="shared" si="29"/>
        <v>cukup</v>
      </c>
      <c r="AH20" s="282" t="str">
        <f t="shared" si="10"/>
        <v>cukup</v>
      </c>
      <c r="AI20" s="282" t="str">
        <f t="shared" si="30"/>
        <v/>
      </c>
      <c r="AJ20" s="283" t="str">
        <f t="shared" si="31"/>
        <v/>
      </c>
      <c r="AK20" s="284" t="str">
        <f t="shared" si="32"/>
        <v/>
      </c>
      <c r="AL20" s="276"/>
      <c r="AM20" s="277"/>
      <c r="AN20" s="277"/>
      <c r="AO20" s="277"/>
      <c r="AP20" s="277"/>
      <c r="AQ20" s="277"/>
      <c r="AR20" s="277"/>
      <c r="AS20" s="280"/>
      <c r="AT20" s="277"/>
      <c r="AU20" s="278"/>
      <c r="AV20" s="285" t="str">
        <f t="shared" si="33"/>
        <v/>
      </c>
      <c r="AW20" s="296" t="str">
        <f t="shared" si="34"/>
        <v/>
      </c>
      <c r="AX20" s="1220" t="str">
        <f t="shared" si="16"/>
        <v/>
      </c>
      <c r="AY20" s="1221" t="str">
        <f t="shared" si="16"/>
        <v/>
      </c>
      <c r="AZ20" s="1221" t="str">
        <f t="shared" si="16"/>
        <v/>
      </c>
      <c r="BA20" s="1221" t="str">
        <f t="shared" si="16"/>
        <v/>
      </c>
      <c r="BB20" s="1221" t="str">
        <f t="shared" si="16"/>
        <v/>
      </c>
      <c r="BC20" s="1221" t="str">
        <f t="shared" si="16"/>
        <v/>
      </c>
      <c r="BD20" s="1221" t="str">
        <f t="shared" si="16"/>
        <v/>
      </c>
      <c r="BE20" s="1222" t="str">
        <f t="shared" si="16"/>
        <v/>
      </c>
      <c r="BF20" s="1221" t="str">
        <f t="shared" si="16"/>
        <v/>
      </c>
      <c r="BG20" s="1223" t="str">
        <f t="shared" si="16"/>
        <v/>
      </c>
      <c r="BH20" s="286">
        <f t="shared" si="35"/>
        <v>0</v>
      </c>
      <c r="BI20" s="286">
        <f t="shared" si="36"/>
        <v>0</v>
      </c>
      <c r="BJ20" s="287" t="str">
        <f t="shared" si="37"/>
        <v>cukup</v>
      </c>
      <c r="BK20" s="287" t="str">
        <f t="shared" si="37"/>
        <v>cukup</v>
      </c>
      <c r="BL20" s="286" t="e">
        <f t="shared" si="38"/>
        <v>#N/A</v>
      </c>
      <c r="BM20" s="288" t="e">
        <f t="shared" si="39"/>
        <v>#N/A</v>
      </c>
      <c r="BN20" s="289" t="str">
        <f t="shared" si="40"/>
        <v/>
      </c>
      <c r="BO20" s="67"/>
    </row>
    <row r="21" spans="1:67" ht="33" customHeight="1">
      <c r="A21" s="67"/>
      <c r="B21" s="272">
        <f t="shared" si="23"/>
        <v>8</v>
      </c>
      <c r="C21" s="273">
        <f>IF(Data!F12="","",Data!F12)</f>
        <v>0</v>
      </c>
      <c r="D21" s="274" t="str">
        <f>IF(Data!H12="","",Data!H12)</f>
        <v>Betron Imanuel Kuni</v>
      </c>
      <c r="E21" s="275" t="str">
        <f>IF(Data!I12="","",Data!I12)</f>
        <v>L</v>
      </c>
      <c r="F21" s="276"/>
      <c r="G21" s="277"/>
      <c r="H21" s="277"/>
      <c r="I21" s="277"/>
      <c r="J21" s="277"/>
      <c r="K21" s="277"/>
      <c r="L21" s="277"/>
      <c r="M21" s="280"/>
      <c r="N21" s="277"/>
      <c r="O21" s="278"/>
      <c r="P21" s="279" t="str">
        <f t="shared" si="24"/>
        <v/>
      </c>
      <c r="Q21" s="277"/>
      <c r="R21" s="280"/>
      <c r="S21" s="281" t="str">
        <f t="shared" si="25"/>
        <v/>
      </c>
      <c r="T21" s="295" t="str">
        <f t="shared" si="26"/>
        <v/>
      </c>
      <c r="U21" s="1215" t="str">
        <f t="shared" si="7"/>
        <v/>
      </c>
      <c r="V21" s="1216" t="str">
        <f t="shared" si="7"/>
        <v/>
      </c>
      <c r="W21" s="1216" t="str">
        <f t="shared" si="7"/>
        <v/>
      </c>
      <c r="X21" s="1216" t="str">
        <f t="shared" si="7"/>
        <v/>
      </c>
      <c r="Y21" s="1216" t="str">
        <f t="shared" si="7"/>
        <v/>
      </c>
      <c r="Z21" s="1216" t="str">
        <f t="shared" si="7"/>
        <v/>
      </c>
      <c r="AA21" s="1216" t="str">
        <f t="shared" si="7"/>
        <v/>
      </c>
      <c r="AB21" s="1217" t="str">
        <f t="shared" si="7"/>
        <v/>
      </c>
      <c r="AC21" s="1216" t="str">
        <f t="shared" si="7"/>
        <v/>
      </c>
      <c r="AD21" s="1218" t="str">
        <f t="shared" si="7"/>
        <v/>
      </c>
      <c r="AE21" s="1219">
        <f t="shared" si="27"/>
        <v>0</v>
      </c>
      <c r="AF21" s="282">
        <f t="shared" si="28"/>
        <v>0</v>
      </c>
      <c r="AG21" s="282" t="str">
        <f t="shared" si="29"/>
        <v>cukup</v>
      </c>
      <c r="AH21" s="282" t="str">
        <f t="shared" si="10"/>
        <v>cukup</v>
      </c>
      <c r="AI21" s="282" t="str">
        <f t="shared" si="30"/>
        <v/>
      </c>
      <c r="AJ21" s="283" t="str">
        <f t="shared" si="31"/>
        <v/>
      </c>
      <c r="AK21" s="284" t="str">
        <f t="shared" si="32"/>
        <v/>
      </c>
      <c r="AL21" s="276"/>
      <c r="AM21" s="277"/>
      <c r="AN21" s="277"/>
      <c r="AO21" s="277"/>
      <c r="AP21" s="277"/>
      <c r="AQ21" s="277"/>
      <c r="AR21" s="277"/>
      <c r="AS21" s="280"/>
      <c r="AT21" s="277"/>
      <c r="AU21" s="278"/>
      <c r="AV21" s="285" t="str">
        <f t="shared" si="33"/>
        <v/>
      </c>
      <c r="AW21" s="296" t="str">
        <f t="shared" si="34"/>
        <v/>
      </c>
      <c r="AX21" s="1220" t="str">
        <f t="shared" si="16"/>
        <v/>
      </c>
      <c r="AY21" s="1221" t="str">
        <f t="shared" si="16"/>
        <v/>
      </c>
      <c r="AZ21" s="1221" t="str">
        <f t="shared" si="16"/>
        <v/>
      </c>
      <c r="BA21" s="1221" t="str">
        <f t="shared" si="16"/>
        <v/>
      </c>
      <c r="BB21" s="1221" t="str">
        <f t="shared" si="16"/>
        <v/>
      </c>
      <c r="BC21" s="1221" t="str">
        <f t="shared" si="16"/>
        <v/>
      </c>
      <c r="BD21" s="1221" t="str">
        <f t="shared" si="16"/>
        <v/>
      </c>
      <c r="BE21" s="1222" t="str">
        <f t="shared" si="16"/>
        <v/>
      </c>
      <c r="BF21" s="1221" t="str">
        <f t="shared" si="16"/>
        <v/>
      </c>
      <c r="BG21" s="1223" t="str">
        <f t="shared" si="16"/>
        <v/>
      </c>
      <c r="BH21" s="286">
        <f t="shared" si="35"/>
        <v>0</v>
      </c>
      <c r="BI21" s="286">
        <f t="shared" si="36"/>
        <v>0</v>
      </c>
      <c r="BJ21" s="287" t="str">
        <f t="shared" si="37"/>
        <v>cukup</v>
      </c>
      <c r="BK21" s="287" t="str">
        <f t="shared" si="37"/>
        <v>cukup</v>
      </c>
      <c r="BL21" s="286" t="e">
        <f t="shared" si="38"/>
        <v>#N/A</v>
      </c>
      <c r="BM21" s="288" t="e">
        <f t="shared" si="39"/>
        <v>#N/A</v>
      </c>
      <c r="BN21" s="289" t="str">
        <f t="shared" si="40"/>
        <v/>
      </c>
      <c r="BO21" s="67"/>
    </row>
    <row r="22" spans="1:67" ht="33" customHeight="1">
      <c r="A22" s="67"/>
      <c r="B22" s="272">
        <f t="shared" si="23"/>
        <v>9</v>
      </c>
      <c r="C22" s="273">
        <f>IF(Data!F13="","",Data!F13)</f>
        <v>0</v>
      </c>
      <c r="D22" s="274" t="str">
        <f>IF(Data!H13="","",Data!H13)</f>
        <v>Demrianus Ton</v>
      </c>
      <c r="E22" s="275" t="str">
        <f>IF(Data!I13="","",Data!I13)</f>
        <v>L</v>
      </c>
      <c r="F22" s="276"/>
      <c r="G22" s="277"/>
      <c r="H22" s="277"/>
      <c r="I22" s="277"/>
      <c r="J22" s="277"/>
      <c r="K22" s="277"/>
      <c r="L22" s="277"/>
      <c r="M22" s="280"/>
      <c r="N22" s="277"/>
      <c r="O22" s="278"/>
      <c r="P22" s="279" t="str">
        <f t="shared" si="24"/>
        <v/>
      </c>
      <c r="Q22" s="277"/>
      <c r="R22" s="280"/>
      <c r="S22" s="281" t="str">
        <f t="shared" si="25"/>
        <v/>
      </c>
      <c r="T22" s="295" t="str">
        <f t="shared" si="26"/>
        <v/>
      </c>
      <c r="U22" s="1215" t="str">
        <f t="shared" si="7"/>
        <v/>
      </c>
      <c r="V22" s="1216" t="str">
        <f t="shared" si="7"/>
        <v/>
      </c>
      <c r="W22" s="1216" t="str">
        <f t="shared" si="7"/>
        <v/>
      </c>
      <c r="X22" s="1216" t="str">
        <f t="shared" si="7"/>
        <v/>
      </c>
      <c r="Y22" s="1216" t="str">
        <f t="shared" si="7"/>
        <v/>
      </c>
      <c r="Z22" s="1216" t="str">
        <f t="shared" si="7"/>
        <v/>
      </c>
      <c r="AA22" s="1216" t="str">
        <f t="shared" si="7"/>
        <v/>
      </c>
      <c r="AB22" s="1217" t="str">
        <f t="shared" si="7"/>
        <v/>
      </c>
      <c r="AC22" s="1216" t="str">
        <f t="shared" si="7"/>
        <v/>
      </c>
      <c r="AD22" s="1218" t="str">
        <f t="shared" si="7"/>
        <v/>
      </c>
      <c r="AE22" s="1219">
        <f t="shared" si="27"/>
        <v>0</v>
      </c>
      <c r="AF22" s="282">
        <f t="shared" si="28"/>
        <v>0</v>
      </c>
      <c r="AG22" s="282" t="str">
        <f t="shared" si="29"/>
        <v>cukup</v>
      </c>
      <c r="AH22" s="282" t="str">
        <f t="shared" si="10"/>
        <v>cukup</v>
      </c>
      <c r="AI22" s="282" t="str">
        <f t="shared" si="30"/>
        <v/>
      </c>
      <c r="AJ22" s="283" t="str">
        <f t="shared" si="31"/>
        <v/>
      </c>
      <c r="AK22" s="284" t="str">
        <f t="shared" si="32"/>
        <v/>
      </c>
      <c r="AL22" s="276"/>
      <c r="AM22" s="277"/>
      <c r="AN22" s="277"/>
      <c r="AO22" s="277"/>
      <c r="AP22" s="277"/>
      <c r="AQ22" s="277"/>
      <c r="AR22" s="277"/>
      <c r="AS22" s="280"/>
      <c r="AT22" s="277"/>
      <c r="AU22" s="278"/>
      <c r="AV22" s="285" t="str">
        <f t="shared" si="33"/>
        <v/>
      </c>
      <c r="AW22" s="296" t="str">
        <f t="shared" si="34"/>
        <v/>
      </c>
      <c r="AX22" s="1220" t="str">
        <f t="shared" si="16"/>
        <v/>
      </c>
      <c r="AY22" s="1221" t="str">
        <f t="shared" si="16"/>
        <v/>
      </c>
      <c r="AZ22" s="1221" t="str">
        <f t="shared" si="16"/>
        <v/>
      </c>
      <c r="BA22" s="1221" t="str">
        <f t="shared" si="16"/>
        <v/>
      </c>
      <c r="BB22" s="1221" t="str">
        <f t="shared" si="16"/>
        <v/>
      </c>
      <c r="BC22" s="1221" t="str">
        <f t="shared" si="16"/>
        <v/>
      </c>
      <c r="BD22" s="1221" t="str">
        <f t="shared" si="16"/>
        <v/>
      </c>
      <c r="BE22" s="1222" t="str">
        <f t="shared" si="16"/>
        <v/>
      </c>
      <c r="BF22" s="1221" t="str">
        <f t="shared" si="16"/>
        <v/>
      </c>
      <c r="BG22" s="1223" t="str">
        <f t="shared" si="16"/>
        <v/>
      </c>
      <c r="BH22" s="286">
        <f t="shared" si="35"/>
        <v>0</v>
      </c>
      <c r="BI22" s="286">
        <f t="shared" si="36"/>
        <v>0</v>
      </c>
      <c r="BJ22" s="287" t="str">
        <f t="shared" si="37"/>
        <v>cukup</v>
      </c>
      <c r="BK22" s="287" t="str">
        <f t="shared" si="37"/>
        <v>cukup</v>
      </c>
      <c r="BL22" s="286" t="e">
        <f t="shared" si="38"/>
        <v>#N/A</v>
      </c>
      <c r="BM22" s="288" t="e">
        <f t="shared" si="39"/>
        <v>#N/A</v>
      </c>
      <c r="BN22" s="289" t="str">
        <f t="shared" si="40"/>
        <v/>
      </c>
      <c r="BO22" s="67"/>
    </row>
    <row r="23" spans="1:67" ht="33" customHeight="1">
      <c r="A23" s="67"/>
      <c r="B23" s="272">
        <f t="shared" si="23"/>
        <v>10</v>
      </c>
      <c r="C23" s="273">
        <f>IF(Data!F14="","",Data!F14)</f>
        <v>0</v>
      </c>
      <c r="D23" s="274" t="str">
        <f>IF(Data!H14="","",Data!H14)</f>
        <v>Desti Manggoa</v>
      </c>
      <c r="E23" s="275" t="str">
        <f>IF(Data!I14="","",Data!I14)</f>
        <v>P</v>
      </c>
      <c r="F23" s="276"/>
      <c r="G23" s="277"/>
      <c r="H23" s="277"/>
      <c r="I23" s="277"/>
      <c r="J23" s="277"/>
      <c r="K23" s="277"/>
      <c r="L23" s="277"/>
      <c r="M23" s="280"/>
      <c r="N23" s="277"/>
      <c r="O23" s="278"/>
      <c r="P23" s="279" t="str">
        <f t="shared" si="24"/>
        <v/>
      </c>
      <c r="Q23" s="277"/>
      <c r="R23" s="280"/>
      <c r="S23" s="281" t="str">
        <f t="shared" si="25"/>
        <v/>
      </c>
      <c r="T23" s="295" t="str">
        <f t="shared" si="26"/>
        <v/>
      </c>
      <c r="U23" s="1215" t="str">
        <f t="shared" si="7"/>
        <v/>
      </c>
      <c r="V23" s="1216" t="str">
        <f t="shared" si="7"/>
        <v/>
      </c>
      <c r="W23" s="1216" t="str">
        <f t="shared" si="7"/>
        <v/>
      </c>
      <c r="X23" s="1216" t="str">
        <f t="shared" si="7"/>
        <v/>
      </c>
      <c r="Y23" s="1216" t="str">
        <f t="shared" si="7"/>
        <v/>
      </c>
      <c r="Z23" s="1216" t="str">
        <f t="shared" si="7"/>
        <v/>
      </c>
      <c r="AA23" s="1216" t="str">
        <f t="shared" si="7"/>
        <v/>
      </c>
      <c r="AB23" s="1217" t="str">
        <f t="shared" si="7"/>
        <v/>
      </c>
      <c r="AC23" s="1216" t="str">
        <f t="shared" si="7"/>
        <v/>
      </c>
      <c r="AD23" s="1218" t="str">
        <f t="shared" si="7"/>
        <v/>
      </c>
      <c r="AE23" s="1219">
        <f t="shared" si="27"/>
        <v>0</v>
      </c>
      <c r="AF23" s="282">
        <f t="shared" si="28"/>
        <v>0</v>
      </c>
      <c r="AG23" s="282" t="str">
        <f t="shared" si="29"/>
        <v>cukup</v>
      </c>
      <c r="AH23" s="282" t="str">
        <f t="shared" si="10"/>
        <v>cukup</v>
      </c>
      <c r="AI23" s="282" t="str">
        <f t="shared" si="30"/>
        <v/>
      </c>
      <c r="AJ23" s="283" t="str">
        <f t="shared" si="31"/>
        <v/>
      </c>
      <c r="AK23" s="284" t="str">
        <f t="shared" si="32"/>
        <v/>
      </c>
      <c r="AL23" s="276"/>
      <c r="AM23" s="277"/>
      <c r="AN23" s="277"/>
      <c r="AO23" s="277"/>
      <c r="AP23" s="277"/>
      <c r="AQ23" s="277"/>
      <c r="AR23" s="277"/>
      <c r="AS23" s="280"/>
      <c r="AT23" s="277"/>
      <c r="AU23" s="278"/>
      <c r="AV23" s="285" t="str">
        <f t="shared" si="33"/>
        <v/>
      </c>
      <c r="AW23" s="296" t="str">
        <f t="shared" si="34"/>
        <v/>
      </c>
      <c r="AX23" s="1220" t="str">
        <f t="shared" si="16"/>
        <v/>
      </c>
      <c r="AY23" s="1221" t="str">
        <f t="shared" si="16"/>
        <v/>
      </c>
      <c r="AZ23" s="1221" t="str">
        <f t="shared" si="16"/>
        <v/>
      </c>
      <c r="BA23" s="1221" t="str">
        <f t="shared" si="16"/>
        <v/>
      </c>
      <c r="BB23" s="1221" t="str">
        <f t="shared" si="16"/>
        <v/>
      </c>
      <c r="BC23" s="1221" t="str">
        <f t="shared" si="16"/>
        <v/>
      </c>
      <c r="BD23" s="1221" t="str">
        <f t="shared" si="16"/>
        <v/>
      </c>
      <c r="BE23" s="1222" t="str">
        <f t="shared" si="16"/>
        <v/>
      </c>
      <c r="BF23" s="1221" t="str">
        <f t="shared" si="16"/>
        <v/>
      </c>
      <c r="BG23" s="1223" t="str">
        <f t="shared" si="16"/>
        <v/>
      </c>
      <c r="BH23" s="286">
        <f t="shared" si="35"/>
        <v>0</v>
      </c>
      <c r="BI23" s="286">
        <f t="shared" si="36"/>
        <v>0</v>
      </c>
      <c r="BJ23" s="287" t="str">
        <f t="shared" si="37"/>
        <v>cukup</v>
      </c>
      <c r="BK23" s="287" t="str">
        <f t="shared" si="37"/>
        <v>cukup</v>
      </c>
      <c r="BL23" s="286" t="e">
        <f t="shared" si="38"/>
        <v>#N/A</v>
      </c>
      <c r="BM23" s="288" t="e">
        <f t="shared" si="39"/>
        <v>#N/A</v>
      </c>
      <c r="BN23" s="289" t="str">
        <f t="shared" si="40"/>
        <v/>
      </c>
      <c r="BO23" s="67"/>
    </row>
    <row r="24" spans="1:67" ht="33" customHeight="1">
      <c r="A24" s="67"/>
      <c r="B24" s="272">
        <f t="shared" si="23"/>
        <v>11</v>
      </c>
      <c r="C24" s="273">
        <f>IF(Data!F15="","",Data!F15)</f>
        <v>0</v>
      </c>
      <c r="D24" s="274" t="str">
        <f>IF(Data!H15="","",Data!H15)</f>
        <v>Dorkas Meliana Talita Kesnay</v>
      </c>
      <c r="E24" s="275" t="str">
        <f>IF(Data!I15="","",Data!I15)</f>
        <v>P</v>
      </c>
      <c r="F24" s="276"/>
      <c r="G24" s="277"/>
      <c r="H24" s="277"/>
      <c r="I24" s="277"/>
      <c r="J24" s="277"/>
      <c r="K24" s="277"/>
      <c r="L24" s="277"/>
      <c r="M24" s="280"/>
      <c r="N24" s="277"/>
      <c r="O24" s="278"/>
      <c r="P24" s="279" t="str">
        <f t="shared" si="24"/>
        <v/>
      </c>
      <c r="Q24" s="277"/>
      <c r="R24" s="280"/>
      <c r="S24" s="281" t="str">
        <f t="shared" si="25"/>
        <v/>
      </c>
      <c r="T24" s="295" t="str">
        <f t="shared" si="26"/>
        <v/>
      </c>
      <c r="U24" s="1215" t="str">
        <f t="shared" si="7"/>
        <v/>
      </c>
      <c r="V24" s="1216" t="str">
        <f t="shared" si="7"/>
        <v/>
      </c>
      <c r="W24" s="1216" t="str">
        <f t="shared" si="7"/>
        <v/>
      </c>
      <c r="X24" s="1216" t="str">
        <f t="shared" si="7"/>
        <v/>
      </c>
      <c r="Y24" s="1216" t="str">
        <f t="shared" si="7"/>
        <v/>
      </c>
      <c r="Z24" s="1216" t="str">
        <f t="shared" si="7"/>
        <v/>
      </c>
      <c r="AA24" s="1216" t="str">
        <f t="shared" si="7"/>
        <v/>
      </c>
      <c r="AB24" s="1217" t="str">
        <f t="shared" si="7"/>
        <v/>
      </c>
      <c r="AC24" s="1216" t="str">
        <f t="shared" si="7"/>
        <v/>
      </c>
      <c r="AD24" s="1218" t="str">
        <f t="shared" si="7"/>
        <v/>
      </c>
      <c r="AE24" s="1219">
        <f t="shared" si="27"/>
        <v>0</v>
      </c>
      <c r="AF24" s="282">
        <f t="shared" si="28"/>
        <v>0</v>
      </c>
      <c r="AG24" s="282" t="str">
        <f t="shared" si="29"/>
        <v>cukup</v>
      </c>
      <c r="AH24" s="282" t="str">
        <f t="shared" si="10"/>
        <v>cukup</v>
      </c>
      <c r="AI24" s="282" t="str">
        <f t="shared" si="30"/>
        <v/>
      </c>
      <c r="AJ24" s="283" t="str">
        <f t="shared" si="31"/>
        <v/>
      </c>
      <c r="AK24" s="284" t="str">
        <f t="shared" si="32"/>
        <v/>
      </c>
      <c r="AL24" s="276"/>
      <c r="AM24" s="277"/>
      <c r="AN24" s="277"/>
      <c r="AO24" s="277"/>
      <c r="AP24" s="277"/>
      <c r="AQ24" s="277"/>
      <c r="AR24" s="277"/>
      <c r="AS24" s="280"/>
      <c r="AT24" s="277"/>
      <c r="AU24" s="278"/>
      <c r="AV24" s="285" t="str">
        <f t="shared" si="33"/>
        <v/>
      </c>
      <c r="AW24" s="296" t="str">
        <f t="shared" si="34"/>
        <v/>
      </c>
      <c r="AX24" s="1220" t="str">
        <f t="shared" si="16"/>
        <v/>
      </c>
      <c r="AY24" s="1221" t="str">
        <f t="shared" si="16"/>
        <v/>
      </c>
      <c r="AZ24" s="1221" t="str">
        <f t="shared" si="16"/>
        <v/>
      </c>
      <c r="BA24" s="1221" t="str">
        <f t="shared" si="16"/>
        <v/>
      </c>
      <c r="BB24" s="1221" t="str">
        <f t="shared" si="16"/>
        <v/>
      </c>
      <c r="BC24" s="1221" t="str">
        <f t="shared" si="16"/>
        <v/>
      </c>
      <c r="BD24" s="1221" t="str">
        <f t="shared" si="16"/>
        <v/>
      </c>
      <c r="BE24" s="1222" t="str">
        <f t="shared" si="16"/>
        <v/>
      </c>
      <c r="BF24" s="1221" t="str">
        <f t="shared" si="16"/>
        <v/>
      </c>
      <c r="BG24" s="1223" t="str">
        <f t="shared" si="16"/>
        <v/>
      </c>
      <c r="BH24" s="286">
        <f t="shared" si="35"/>
        <v>0</v>
      </c>
      <c r="BI24" s="286">
        <f t="shared" si="36"/>
        <v>0</v>
      </c>
      <c r="BJ24" s="287" t="str">
        <f t="shared" si="37"/>
        <v>cukup</v>
      </c>
      <c r="BK24" s="287" t="str">
        <f t="shared" si="37"/>
        <v>cukup</v>
      </c>
      <c r="BL24" s="286" t="e">
        <f t="shared" si="38"/>
        <v>#N/A</v>
      </c>
      <c r="BM24" s="288" t="e">
        <f t="shared" si="39"/>
        <v>#N/A</v>
      </c>
      <c r="BN24" s="289" t="str">
        <f t="shared" si="40"/>
        <v/>
      </c>
      <c r="BO24" s="67"/>
    </row>
    <row r="25" spans="1:67" ht="33" customHeight="1">
      <c r="A25" s="67"/>
      <c r="B25" s="272">
        <f t="shared" si="23"/>
        <v>12</v>
      </c>
      <c r="C25" s="273">
        <f>IF(Data!F16="","",Data!F16)</f>
        <v>0</v>
      </c>
      <c r="D25" s="274" t="str">
        <f>IF(Data!H16="","",Data!H16)</f>
        <v>Erto Seprianto Leukune</v>
      </c>
      <c r="E25" s="275" t="str">
        <f>IF(Data!I16="","",Data!I16)</f>
        <v>L</v>
      </c>
      <c r="F25" s="276"/>
      <c r="G25" s="277"/>
      <c r="H25" s="277"/>
      <c r="I25" s="277"/>
      <c r="J25" s="277"/>
      <c r="K25" s="277"/>
      <c r="L25" s="277"/>
      <c r="M25" s="280"/>
      <c r="N25" s="277"/>
      <c r="O25" s="278"/>
      <c r="P25" s="279" t="str">
        <f t="shared" si="24"/>
        <v/>
      </c>
      <c r="Q25" s="277"/>
      <c r="R25" s="280"/>
      <c r="S25" s="281" t="str">
        <f t="shared" si="25"/>
        <v/>
      </c>
      <c r="T25" s="295" t="str">
        <f t="shared" si="26"/>
        <v/>
      </c>
      <c r="U25" s="1215" t="str">
        <f t="shared" si="7"/>
        <v/>
      </c>
      <c r="V25" s="1216" t="str">
        <f t="shared" si="7"/>
        <v/>
      </c>
      <c r="W25" s="1216" t="str">
        <f t="shared" si="7"/>
        <v/>
      </c>
      <c r="X25" s="1216" t="str">
        <f t="shared" si="7"/>
        <v/>
      </c>
      <c r="Y25" s="1216" t="str">
        <f t="shared" si="7"/>
        <v/>
      </c>
      <c r="Z25" s="1216" t="str">
        <f t="shared" si="7"/>
        <v/>
      </c>
      <c r="AA25" s="1216" t="str">
        <f t="shared" si="7"/>
        <v/>
      </c>
      <c r="AB25" s="1217" t="str">
        <f t="shared" si="7"/>
        <v/>
      </c>
      <c r="AC25" s="1216" t="str">
        <f t="shared" si="7"/>
        <v/>
      </c>
      <c r="AD25" s="1218" t="str">
        <f t="shared" si="7"/>
        <v/>
      </c>
      <c r="AE25" s="1219">
        <f t="shared" si="27"/>
        <v>0</v>
      </c>
      <c r="AF25" s="282">
        <f t="shared" si="28"/>
        <v>0</v>
      </c>
      <c r="AG25" s="282" t="str">
        <f t="shared" si="29"/>
        <v>cukup</v>
      </c>
      <c r="AH25" s="282" t="str">
        <f t="shared" si="10"/>
        <v>cukup</v>
      </c>
      <c r="AI25" s="282" t="str">
        <f t="shared" si="30"/>
        <v/>
      </c>
      <c r="AJ25" s="283" t="str">
        <f t="shared" si="31"/>
        <v/>
      </c>
      <c r="AK25" s="284" t="str">
        <f t="shared" si="32"/>
        <v/>
      </c>
      <c r="AL25" s="276"/>
      <c r="AM25" s="277"/>
      <c r="AN25" s="277"/>
      <c r="AO25" s="277"/>
      <c r="AP25" s="277"/>
      <c r="AQ25" s="277"/>
      <c r="AR25" s="277"/>
      <c r="AS25" s="280"/>
      <c r="AT25" s="277"/>
      <c r="AU25" s="278"/>
      <c r="AV25" s="285" t="str">
        <f t="shared" si="33"/>
        <v/>
      </c>
      <c r="AW25" s="296" t="str">
        <f t="shared" si="34"/>
        <v/>
      </c>
      <c r="AX25" s="1220" t="str">
        <f t="shared" si="16"/>
        <v/>
      </c>
      <c r="AY25" s="1221" t="str">
        <f t="shared" si="16"/>
        <v/>
      </c>
      <c r="AZ25" s="1221" t="str">
        <f t="shared" si="16"/>
        <v/>
      </c>
      <c r="BA25" s="1221" t="str">
        <f t="shared" si="16"/>
        <v/>
      </c>
      <c r="BB25" s="1221" t="str">
        <f t="shared" si="16"/>
        <v/>
      </c>
      <c r="BC25" s="1221" t="str">
        <f t="shared" si="16"/>
        <v/>
      </c>
      <c r="BD25" s="1221" t="str">
        <f t="shared" si="16"/>
        <v/>
      </c>
      <c r="BE25" s="1222" t="str">
        <f t="shared" si="16"/>
        <v/>
      </c>
      <c r="BF25" s="1221" t="str">
        <f t="shared" si="16"/>
        <v/>
      </c>
      <c r="BG25" s="1223" t="str">
        <f t="shared" si="16"/>
        <v/>
      </c>
      <c r="BH25" s="286">
        <f t="shared" si="35"/>
        <v>0</v>
      </c>
      <c r="BI25" s="286">
        <f t="shared" si="36"/>
        <v>0</v>
      </c>
      <c r="BJ25" s="287" t="str">
        <f t="shared" si="37"/>
        <v>cukup</v>
      </c>
      <c r="BK25" s="287" t="str">
        <f t="shared" si="37"/>
        <v>cukup</v>
      </c>
      <c r="BL25" s="286" t="e">
        <f t="shared" si="38"/>
        <v>#N/A</v>
      </c>
      <c r="BM25" s="288" t="e">
        <f t="shared" si="39"/>
        <v>#N/A</v>
      </c>
      <c r="BN25" s="289" t="str">
        <f t="shared" si="40"/>
        <v/>
      </c>
      <c r="BO25" s="67"/>
    </row>
    <row r="26" spans="1:67" ht="33" customHeight="1">
      <c r="A26" s="67"/>
      <c r="B26" s="272">
        <f t="shared" si="23"/>
        <v>13</v>
      </c>
      <c r="C26" s="273">
        <f>IF(Data!F17="","",Data!F17)</f>
        <v>0</v>
      </c>
      <c r="D26" s="274" t="str">
        <f>IF(Data!H17="","",Data!H17)</f>
        <v>Feli Tipnoni</v>
      </c>
      <c r="E26" s="275" t="str">
        <f>IF(Data!I17="","",Data!I17)</f>
        <v>P</v>
      </c>
      <c r="F26" s="276"/>
      <c r="G26" s="277"/>
      <c r="H26" s="277"/>
      <c r="I26" s="277"/>
      <c r="J26" s="277"/>
      <c r="K26" s="277"/>
      <c r="L26" s="277"/>
      <c r="M26" s="280"/>
      <c r="N26" s="277"/>
      <c r="O26" s="278"/>
      <c r="P26" s="279" t="str">
        <f t="shared" si="24"/>
        <v/>
      </c>
      <c r="Q26" s="277"/>
      <c r="R26" s="280"/>
      <c r="S26" s="281" t="str">
        <f t="shared" si="25"/>
        <v/>
      </c>
      <c r="T26" s="295" t="str">
        <f t="shared" si="26"/>
        <v/>
      </c>
      <c r="U26" s="1215" t="str">
        <f t="shared" si="7"/>
        <v/>
      </c>
      <c r="V26" s="1216" t="str">
        <f t="shared" si="7"/>
        <v/>
      </c>
      <c r="W26" s="1216" t="str">
        <f t="shared" si="7"/>
        <v/>
      </c>
      <c r="X26" s="1216" t="str">
        <f t="shared" si="7"/>
        <v/>
      </c>
      <c r="Y26" s="1216" t="str">
        <f t="shared" si="7"/>
        <v/>
      </c>
      <c r="Z26" s="1216" t="str">
        <f t="shared" si="7"/>
        <v/>
      </c>
      <c r="AA26" s="1216" t="str">
        <f t="shared" si="7"/>
        <v/>
      </c>
      <c r="AB26" s="1217" t="str">
        <f t="shared" si="7"/>
        <v/>
      </c>
      <c r="AC26" s="1216" t="str">
        <f t="shared" si="7"/>
        <v/>
      </c>
      <c r="AD26" s="1218" t="str">
        <f t="shared" si="7"/>
        <v/>
      </c>
      <c r="AE26" s="1219">
        <f t="shared" si="27"/>
        <v>0</v>
      </c>
      <c r="AF26" s="282">
        <f t="shared" si="28"/>
        <v>0</v>
      </c>
      <c r="AG26" s="282" t="str">
        <f t="shared" si="29"/>
        <v>cukup</v>
      </c>
      <c r="AH26" s="282" t="str">
        <f t="shared" si="10"/>
        <v>cukup</v>
      </c>
      <c r="AI26" s="282" t="str">
        <f t="shared" si="30"/>
        <v/>
      </c>
      <c r="AJ26" s="283" t="str">
        <f t="shared" si="31"/>
        <v/>
      </c>
      <c r="AK26" s="284" t="str">
        <f t="shared" si="32"/>
        <v/>
      </c>
      <c r="AL26" s="276"/>
      <c r="AM26" s="277"/>
      <c r="AN26" s="277"/>
      <c r="AO26" s="277"/>
      <c r="AP26" s="277"/>
      <c r="AQ26" s="277"/>
      <c r="AR26" s="277"/>
      <c r="AS26" s="280"/>
      <c r="AT26" s="277"/>
      <c r="AU26" s="278"/>
      <c r="AV26" s="285" t="str">
        <f t="shared" si="33"/>
        <v/>
      </c>
      <c r="AW26" s="296" t="str">
        <f t="shared" si="34"/>
        <v/>
      </c>
      <c r="AX26" s="1220" t="str">
        <f t="shared" si="16"/>
        <v/>
      </c>
      <c r="AY26" s="1221" t="str">
        <f t="shared" si="16"/>
        <v/>
      </c>
      <c r="AZ26" s="1221" t="str">
        <f t="shared" si="16"/>
        <v/>
      </c>
      <c r="BA26" s="1221" t="str">
        <f t="shared" si="16"/>
        <v/>
      </c>
      <c r="BB26" s="1221" t="str">
        <f t="shared" si="16"/>
        <v/>
      </c>
      <c r="BC26" s="1221" t="str">
        <f t="shared" si="16"/>
        <v/>
      </c>
      <c r="BD26" s="1221" t="str">
        <f t="shared" si="16"/>
        <v/>
      </c>
      <c r="BE26" s="1222" t="str">
        <f t="shared" si="16"/>
        <v/>
      </c>
      <c r="BF26" s="1221" t="str">
        <f t="shared" si="16"/>
        <v/>
      </c>
      <c r="BG26" s="1223" t="str">
        <f t="shared" si="16"/>
        <v/>
      </c>
      <c r="BH26" s="286">
        <f t="shared" si="35"/>
        <v>0</v>
      </c>
      <c r="BI26" s="286">
        <f t="shared" si="36"/>
        <v>0</v>
      </c>
      <c r="BJ26" s="287" t="str">
        <f t="shared" si="37"/>
        <v>cukup</v>
      </c>
      <c r="BK26" s="287" t="str">
        <f t="shared" si="37"/>
        <v>cukup</v>
      </c>
      <c r="BL26" s="286" t="e">
        <f t="shared" si="38"/>
        <v>#N/A</v>
      </c>
      <c r="BM26" s="288" t="e">
        <f t="shared" si="39"/>
        <v>#N/A</v>
      </c>
      <c r="BN26" s="289" t="str">
        <f t="shared" si="40"/>
        <v/>
      </c>
      <c r="BO26" s="67"/>
    </row>
    <row r="27" spans="1:67" ht="33" customHeight="1">
      <c r="A27" s="67"/>
      <c r="B27" s="272">
        <f t="shared" si="23"/>
        <v>14</v>
      </c>
      <c r="C27" s="273">
        <f>IF(Data!F18="","",Data!F18)</f>
        <v>0</v>
      </c>
      <c r="D27" s="274" t="str">
        <f>IF(Data!H18="","",Data!H18)</f>
        <v xml:space="preserve">Ferdinandes Sakbana </v>
      </c>
      <c r="E27" s="275" t="str">
        <f>IF(Data!I18="","",Data!I18)</f>
        <v>L</v>
      </c>
      <c r="F27" s="276"/>
      <c r="G27" s="277"/>
      <c r="H27" s="277"/>
      <c r="I27" s="277"/>
      <c r="J27" s="277"/>
      <c r="K27" s="277"/>
      <c r="L27" s="277"/>
      <c r="M27" s="280"/>
      <c r="N27" s="277"/>
      <c r="O27" s="278"/>
      <c r="P27" s="279" t="str">
        <f t="shared" si="24"/>
        <v/>
      </c>
      <c r="Q27" s="277"/>
      <c r="R27" s="280"/>
      <c r="S27" s="281" t="str">
        <f t="shared" si="25"/>
        <v/>
      </c>
      <c r="T27" s="295" t="str">
        <f t="shared" si="26"/>
        <v/>
      </c>
      <c r="U27" s="1215" t="str">
        <f t="shared" si="7"/>
        <v/>
      </c>
      <c r="V27" s="1216" t="str">
        <f t="shared" si="7"/>
        <v/>
      </c>
      <c r="W27" s="1216" t="str">
        <f t="shared" si="7"/>
        <v/>
      </c>
      <c r="X27" s="1216" t="str">
        <f t="shared" si="7"/>
        <v/>
      </c>
      <c r="Y27" s="1216" t="str">
        <f t="shared" si="7"/>
        <v/>
      </c>
      <c r="Z27" s="1216" t="str">
        <f t="shared" si="7"/>
        <v/>
      </c>
      <c r="AA27" s="1216" t="str">
        <f t="shared" si="7"/>
        <v/>
      </c>
      <c r="AB27" s="1217" t="str">
        <f t="shared" si="7"/>
        <v/>
      </c>
      <c r="AC27" s="1216" t="str">
        <f t="shared" si="7"/>
        <v/>
      </c>
      <c r="AD27" s="1218" t="str">
        <f t="shared" si="7"/>
        <v/>
      </c>
      <c r="AE27" s="1219">
        <f t="shared" si="27"/>
        <v>0</v>
      </c>
      <c r="AF27" s="282">
        <f t="shared" si="28"/>
        <v>0</v>
      </c>
      <c r="AG27" s="282" t="str">
        <f t="shared" si="29"/>
        <v>cukup</v>
      </c>
      <c r="AH27" s="282" t="str">
        <f t="shared" si="10"/>
        <v>cukup</v>
      </c>
      <c r="AI27" s="282" t="str">
        <f t="shared" si="30"/>
        <v/>
      </c>
      <c r="AJ27" s="283" t="str">
        <f t="shared" si="31"/>
        <v/>
      </c>
      <c r="AK27" s="284" t="str">
        <f t="shared" si="32"/>
        <v/>
      </c>
      <c r="AL27" s="276"/>
      <c r="AM27" s="277"/>
      <c r="AN27" s="277"/>
      <c r="AO27" s="277"/>
      <c r="AP27" s="277"/>
      <c r="AQ27" s="277"/>
      <c r="AR27" s="277"/>
      <c r="AS27" s="280"/>
      <c r="AT27" s="277"/>
      <c r="AU27" s="278"/>
      <c r="AV27" s="285" t="str">
        <f t="shared" si="33"/>
        <v/>
      </c>
      <c r="AW27" s="296" t="str">
        <f t="shared" si="34"/>
        <v/>
      </c>
      <c r="AX27" s="1220" t="str">
        <f t="shared" si="16"/>
        <v/>
      </c>
      <c r="AY27" s="1221" t="str">
        <f t="shared" si="16"/>
        <v/>
      </c>
      <c r="AZ27" s="1221" t="str">
        <f t="shared" si="16"/>
        <v/>
      </c>
      <c r="BA27" s="1221" t="str">
        <f t="shared" si="16"/>
        <v/>
      </c>
      <c r="BB27" s="1221" t="str">
        <f t="shared" si="16"/>
        <v/>
      </c>
      <c r="BC27" s="1221" t="str">
        <f t="shared" si="16"/>
        <v/>
      </c>
      <c r="BD27" s="1221" t="str">
        <f t="shared" si="16"/>
        <v/>
      </c>
      <c r="BE27" s="1222" t="str">
        <f t="shared" si="16"/>
        <v/>
      </c>
      <c r="BF27" s="1221" t="str">
        <f t="shared" si="16"/>
        <v/>
      </c>
      <c r="BG27" s="1223" t="str">
        <f t="shared" si="16"/>
        <v/>
      </c>
      <c r="BH27" s="286">
        <f t="shared" si="35"/>
        <v>0</v>
      </c>
      <c r="BI27" s="286">
        <f t="shared" si="36"/>
        <v>0</v>
      </c>
      <c r="BJ27" s="287" t="str">
        <f t="shared" si="37"/>
        <v>cukup</v>
      </c>
      <c r="BK27" s="287" t="str">
        <f t="shared" si="37"/>
        <v>cukup</v>
      </c>
      <c r="BL27" s="286" t="e">
        <f t="shared" si="38"/>
        <v>#N/A</v>
      </c>
      <c r="BM27" s="288" t="e">
        <f t="shared" si="39"/>
        <v>#N/A</v>
      </c>
      <c r="BN27" s="289" t="str">
        <f t="shared" si="40"/>
        <v/>
      </c>
      <c r="BO27" s="67"/>
    </row>
    <row r="28" spans="1:67" ht="33" customHeight="1">
      <c r="A28" s="67"/>
      <c r="B28" s="272">
        <f t="shared" si="23"/>
        <v>15</v>
      </c>
      <c r="C28" s="273">
        <f>IF(Data!F19="","",Data!F19)</f>
        <v>0</v>
      </c>
      <c r="D28" s="274" t="str">
        <f>IF(Data!H19="","",Data!H19)</f>
        <v>Fitri Novani Nitbani</v>
      </c>
      <c r="E28" s="275" t="str">
        <f>IF(Data!I19="","",Data!I19)</f>
        <v>P</v>
      </c>
      <c r="F28" s="276"/>
      <c r="G28" s="277"/>
      <c r="H28" s="277"/>
      <c r="I28" s="277"/>
      <c r="J28" s="277"/>
      <c r="K28" s="277"/>
      <c r="L28" s="277"/>
      <c r="M28" s="280"/>
      <c r="N28" s="277"/>
      <c r="O28" s="278"/>
      <c r="P28" s="279" t="str">
        <f t="shared" si="24"/>
        <v/>
      </c>
      <c r="Q28" s="277"/>
      <c r="R28" s="280"/>
      <c r="S28" s="281" t="str">
        <f t="shared" si="25"/>
        <v/>
      </c>
      <c r="T28" s="295" t="str">
        <f t="shared" si="26"/>
        <v/>
      </c>
      <c r="U28" s="1215" t="str">
        <f t="shared" si="7"/>
        <v/>
      </c>
      <c r="V28" s="1216" t="str">
        <f t="shared" si="7"/>
        <v/>
      </c>
      <c r="W28" s="1216" t="str">
        <f t="shared" si="7"/>
        <v/>
      </c>
      <c r="X28" s="1216" t="str">
        <f t="shared" si="7"/>
        <v/>
      </c>
      <c r="Y28" s="1216" t="str">
        <f t="shared" si="7"/>
        <v/>
      </c>
      <c r="Z28" s="1216" t="str">
        <f t="shared" si="7"/>
        <v/>
      </c>
      <c r="AA28" s="1216" t="str">
        <f t="shared" si="7"/>
        <v/>
      </c>
      <c r="AB28" s="1217" t="str">
        <f t="shared" si="7"/>
        <v/>
      </c>
      <c r="AC28" s="1216" t="str">
        <f t="shared" si="7"/>
        <v/>
      </c>
      <c r="AD28" s="1218" t="str">
        <f t="shared" si="7"/>
        <v/>
      </c>
      <c r="AE28" s="1219">
        <f t="shared" si="27"/>
        <v>0</v>
      </c>
      <c r="AF28" s="282">
        <f t="shared" si="28"/>
        <v>0</v>
      </c>
      <c r="AG28" s="282" t="str">
        <f t="shared" si="29"/>
        <v>cukup</v>
      </c>
      <c r="AH28" s="282" t="str">
        <f t="shared" si="10"/>
        <v>cukup</v>
      </c>
      <c r="AI28" s="282" t="str">
        <f t="shared" si="30"/>
        <v/>
      </c>
      <c r="AJ28" s="283" t="str">
        <f t="shared" si="31"/>
        <v/>
      </c>
      <c r="AK28" s="284" t="str">
        <f t="shared" si="32"/>
        <v/>
      </c>
      <c r="AL28" s="276"/>
      <c r="AM28" s="277"/>
      <c r="AN28" s="277"/>
      <c r="AO28" s="277"/>
      <c r="AP28" s="277"/>
      <c r="AQ28" s="277"/>
      <c r="AR28" s="277"/>
      <c r="AS28" s="280"/>
      <c r="AT28" s="277"/>
      <c r="AU28" s="278"/>
      <c r="AV28" s="285" t="str">
        <f t="shared" si="33"/>
        <v/>
      </c>
      <c r="AW28" s="296" t="str">
        <f t="shared" si="34"/>
        <v/>
      </c>
      <c r="AX28" s="1220" t="str">
        <f t="shared" si="16"/>
        <v/>
      </c>
      <c r="AY28" s="1221" t="str">
        <f t="shared" si="16"/>
        <v/>
      </c>
      <c r="AZ28" s="1221" t="str">
        <f t="shared" si="16"/>
        <v/>
      </c>
      <c r="BA28" s="1221" t="str">
        <f t="shared" si="16"/>
        <v/>
      </c>
      <c r="BB28" s="1221" t="str">
        <f t="shared" si="16"/>
        <v/>
      </c>
      <c r="BC28" s="1221" t="str">
        <f t="shared" si="16"/>
        <v/>
      </c>
      <c r="BD28" s="1221" t="str">
        <f t="shared" si="16"/>
        <v/>
      </c>
      <c r="BE28" s="1222" t="str">
        <f t="shared" si="16"/>
        <v/>
      </c>
      <c r="BF28" s="1221" t="str">
        <f t="shared" si="16"/>
        <v/>
      </c>
      <c r="BG28" s="1223" t="str">
        <f t="shared" si="16"/>
        <v/>
      </c>
      <c r="BH28" s="286">
        <f t="shared" si="35"/>
        <v>0</v>
      </c>
      <c r="BI28" s="286">
        <f t="shared" si="36"/>
        <v>0</v>
      </c>
      <c r="BJ28" s="287" t="str">
        <f t="shared" si="37"/>
        <v>cukup</v>
      </c>
      <c r="BK28" s="287" t="str">
        <f t="shared" si="37"/>
        <v>cukup</v>
      </c>
      <c r="BL28" s="286" t="e">
        <f t="shared" si="38"/>
        <v>#N/A</v>
      </c>
      <c r="BM28" s="288" t="e">
        <f t="shared" si="39"/>
        <v>#N/A</v>
      </c>
      <c r="BN28" s="289" t="str">
        <f t="shared" si="40"/>
        <v/>
      </c>
      <c r="BO28" s="67"/>
    </row>
    <row r="29" spans="1:67" ht="33" customHeight="1">
      <c r="A29" s="67"/>
      <c r="B29" s="272">
        <f t="shared" si="23"/>
        <v>16</v>
      </c>
      <c r="C29" s="273">
        <f>IF(Data!F20="","",Data!F20)</f>
        <v>0</v>
      </c>
      <c r="D29" s="274" t="str">
        <f>IF(Data!H20="","",Data!H20)</f>
        <v>Helsina Benu</v>
      </c>
      <c r="E29" s="275" t="str">
        <f>IF(Data!I20="","",Data!I20)</f>
        <v>P</v>
      </c>
      <c r="F29" s="276"/>
      <c r="G29" s="277"/>
      <c r="H29" s="277"/>
      <c r="I29" s="277"/>
      <c r="J29" s="277"/>
      <c r="K29" s="277"/>
      <c r="L29" s="277"/>
      <c r="M29" s="280"/>
      <c r="N29" s="277"/>
      <c r="O29" s="278"/>
      <c r="P29" s="279" t="str">
        <f t="shared" si="24"/>
        <v/>
      </c>
      <c r="Q29" s="277"/>
      <c r="R29" s="280"/>
      <c r="S29" s="281" t="str">
        <f t="shared" si="25"/>
        <v/>
      </c>
      <c r="T29" s="295" t="str">
        <f t="shared" si="26"/>
        <v/>
      </c>
      <c r="U29" s="1215" t="str">
        <f t="shared" si="7"/>
        <v/>
      </c>
      <c r="V29" s="1216" t="str">
        <f t="shared" si="7"/>
        <v/>
      </c>
      <c r="W29" s="1216" t="str">
        <f t="shared" si="7"/>
        <v/>
      </c>
      <c r="X29" s="1216" t="str">
        <f t="shared" si="7"/>
        <v/>
      </c>
      <c r="Y29" s="1216" t="str">
        <f t="shared" si="7"/>
        <v/>
      </c>
      <c r="Z29" s="1216" t="str">
        <f t="shared" si="7"/>
        <v/>
      </c>
      <c r="AA29" s="1216" t="str">
        <f t="shared" si="7"/>
        <v/>
      </c>
      <c r="AB29" s="1217" t="str">
        <f t="shared" si="7"/>
        <v/>
      </c>
      <c r="AC29" s="1216" t="str">
        <f t="shared" si="7"/>
        <v/>
      </c>
      <c r="AD29" s="1218" t="str">
        <f t="shared" si="7"/>
        <v/>
      </c>
      <c r="AE29" s="1219">
        <f t="shared" si="27"/>
        <v>0</v>
      </c>
      <c r="AF29" s="282">
        <f t="shared" si="28"/>
        <v>0</v>
      </c>
      <c r="AG29" s="282" t="str">
        <f t="shared" si="29"/>
        <v>cukup</v>
      </c>
      <c r="AH29" s="282" t="str">
        <f t="shared" si="10"/>
        <v>cukup</v>
      </c>
      <c r="AI29" s="282" t="str">
        <f t="shared" si="30"/>
        <v/>
      </c>
      <c r="AJ29" s="283" t="str">
        <f t="shared" si="31"/>
        <v/>
      </c>
      <c r="AK29" s="284" t="str">
        <f t="shared" si="32"/>
        <v/>
      </c>
      <c r="AL29" s="276"/>
      <c r="AM29" s="277"/>
      <c r="AN29" s="277"/>
      <c r="AO29" s="277"/>
      <c r="AP29" s="277"/>
      <c r="AQ29" s="277"/>
      <c r="AR29" s="277"/>
      <c r="AS29" s="280"/>
      <c r="AT29" s="277"/>
      <c r="AU29" s="278"/>
      <c r="AV29" s="285" t="str">
        <f t="shared" si="33"/>
        <v/>
      </c>
      <c r="AW29" s="296" t="str">
        <f t="shared" si="34"/>
        <v/>
      </c>
      <c r="AX29" s="1220" t="str">
        <f t="shared" si="16"/>
        <v/>
      </c>
      <c r="AY29" s="1221" t="str">
        <f t="shared" si="16"/>
        <v/>
      </c>
      <c r="AZ29" s="1221" t="str">
        <f t="shared" si="16"/>
        <v/>
      </c>
      <c r="BA29" s="1221" t="str">
        <f t="shared" si="16"/>
        <v/>
      </c>
      <c r="BB29" s="1221" t="str">
        <f t="shared" si="16"/>
        <v/>
      </c>
      <c r="BC29" s="1221" t="str">
        <f t="shared" si="16"/>
        <v/>
      </c>
      <c r="BD29" s="1221" t="str">
        <f t="shared" si="16"/>
        <v/>
      </c>
      <c r="BE29" s="1222" t="str">
        <f t="shared" si="16"/>
        <v/>
      </c>
      <c r="BF29" s="1221" t="str">
        <f t="shared" si="16"/>
        <v/>
      </c>
      <c r="BG29" s="1223" t="str">
        <f t="shared" si="16"/>
        <v/>
      </c>
      <c r="BH29" s="286">
        <f t="shared" si="35"/>
        <v>0</v>
      </c>
      <c r="BI29" s="286">
        <f t="shared" si="36"/>
        <v>0</v>
      </c>
      <c r="BJ29" s="287" t="str">
        <f t="shared" si="37"/>
        <v>cukup</v>
      </c>
      <c r="BK29" s="287" t="str">
        <f t="shared" si="37"/>
        <v>cukup</v>
      </c>
      <c r="BL29" s="286" t="e">
        <f t="shared" si="38"/>
        <v>#N/A</v>
      </c>
      <c r="BM29" s="288" t="e">
        <f t="shared" si="39"/>
        <v>#N/A</v>
      </c>
      <c r="BN29" s="289" t="str">
        <f t="shared" si="40"/>
        <v/>
      </c>
      <c r="BO29" s="67"/>
    </row>
    <row r="30" spans="1:67" ht="33" customHeight="1">
      <c r="A30" s="67"/>
      <c r="B30" s="272">
        <f t="shared" si="23"/>
        <v>17</v>
      </c>
      <c r="C30" s="273">
        <f>IF(Data!F21="","",Data!F21)</f>
        <v>0</v>
      </c>
      <c r="D30" s="274" t="str">
        <f>IF(Data!H21="","",Data!H21)</f>
        <v xml:space="preserve">Hezron Nubatonis </v>
      </c>
      <c r="E30" s="275" t="str">
        <f>IF(Data!I21="","",Data!I21)</f>
        <v>L</v>
      </c>
      <c r="F30" s="276"/>
      <c r="G30" s="277"/>
      <c r="H30" s="277"/>
      <c r="I30" s="277"/>
      <c r="J30" s="277"/>
      <c r="K30" s="277"/>
      <c r="L30" s="277"/>
      <c r="M30" s="280"/>
      <c r="N30" s="277"/>
      <c r="O30" s="278"/>
      <c r="P30" s="279" t="str">
        <f t="shared" si="24"/>
        <v/>
      </c>
      <c r="Q30" s="277"/>
      <c r="R30" s="280"/>
      <c r="S30" s="281" t="str">
        <f t="shared" si="25"/>
        <v/>
      </c>
      <c r="T30" s="295" t="str">
        <f t="shared" si="26"/>
        <v/>
      </c>
      <c r="U30" s="1215" t="str">
        <f t="shared" ref="U30:AD55" si="41">IF(F30="","",F30+U$13)</f>
        <v/>
      </c>
      <c r="V30" s="1216" t="str">
        <f t="shared" si="41"/>
        <v/>
      </c>
      <c r="W30" s="1216" t="str">
        <f t="shared" si="41"/>
        <v/>
      </c>
      <c r="X30" s="1216" t="str">
        <f t="shared" si="41"/>
        <v/>
      </c>
      <c r="Y30" s="1216" t="str">
        <f t="shared" si="41"/>
        <v/>
      </c>
      <c r="Z30" s="1216" t="str">
        <f t="shared" si="41"/>
        <v/>
      </c>
      <c r="AA30" s="1216" t="str">
        <f t="shared" si="41"/>
        <v/>
      </c>
      <c r="AB30" s="1217" t="str">
        <f t="shared" si="41"/>
        <v/>
      </c>
      <c r="AC30" s="1216" t="str">
        <f t="shared" si="41"/>
        <v/>
      </c>
      <c r="AD30" s="1218" t="str">
        <f t="shared" si="41"/>
        <v/>
      </c>
      <c r="AE30" s="1219">
        <f t="shared" si="27"/>
        <v>0</v>
      </c>
      <c r="AF30" s="282">
        <f t="shared" si="28"/>
        <v>0</v>
      </c>
      <c r="AG30" s="282" t="str">
        <f t="shared" si="29"/>
        <v>cukup</v>
      </c>
      <c r="AH30" s="282" t="str">
        <f t="shared" si="29"/>
        <v>cukup</v>
      </c>
      <c r="AI30" s="282" t="str">
        <f t="shared" si="30"/>
        <v/>
      </c>
      <c r="AJ30" s="283" t="str">
        <f t="shared" si="31"/>
        <v/>
      </c>
      <c r="AK30" s="284" t="str">
        <f t="shared" si="32"/>
        <v/>
      </c>
      <c r="AL30" s="276"/>
      <c r="AM30" s="277"/>
      <c r="AN30" s="277"/>
      <c r="AO30" s="277"/>
      <c r="AP30" s="277"/>
      <c r="AQ30" s="277"/>
      <c r="AR30" s="277"/>
      <c r="AS30" s="280"/>
      <c r="AT30" s="277"/>
      <c r="AU30" s="278"/>
      <c r="AV30" s="285" t="str">
        <f t="shared" si="33"/>
        <v/>
      </c>
      <c r="AW30" s="296" t="str">
        <f t="shared" si="34"/>
        <v/>
      </c>
      <c r="AX30" s="1220" t="str">
        <f t="shared" ref="AX30:BG55" si="42">IF(AL30="","",AL30+AX$12)</f>
        <v/>
      </c>
      <c r="AY30" s="1221" t="str">
        <f t="shared" si="42"/>
        <v/>
      </c>
      <c r="AZ30" s="1221" t="str">
        <f t="shared" si="42"/>
        <v/>
      </c>
      <c r="BA30" s="1221" t="str">
        <f t="shared" si="42"/>
        <v/>
      </c>
      <c r="BB30" s="1221" t="str">
        <f t="shared" si="42"/>
        <v/>
      </c>
      <c r="BC30" s="1221" t="str">
        <f t="shared" si="42"/>
        <v/>
      </c>
      <c r="BD30" s="1221" t="str">
        <f t="shared" si="42"/>
        <v/>
      </c>
      <c r="BE30" s="1222" t="str">
        <f t="shared" si="42"/>
        <v/>
      </c>
      <c r="BF30" s="1221" t="str">
        <f t="shared" si="42"/>
        <v/>
      </c>
      <c r="BG30" s="1223" t="str">
        <f t="shared" si="42"/>
        <v/>
      </c>
      <c r="BH30" s="286">
        <f t="shared" si="35"/>
        <v>0</v>
      </c>
      <c r="BI30" s="286">
        <f t="shared" si="36"/>
        <v>0</v>
      </c>
      <c r="BJ30" s="287" t="str">
        <f t="shared" si="37"/>
        <v>cukup</v>
      </c>
      <c r="BK30" s="287" t="str">
        <f t="shared" si="37"/>
        <v>cukup</v>
      </c>
      <c r="BL30" s="286" t="e">
        <f t="shared" si="38"/>
        <v>#N/A</v>
      </c>
      <c r="BM30" s="288" t="e">
        <f t="shared" si="39"/>
        <v>#N/A</v>
      </c>
      <c r="BN30" s="289" t="str">
        <f t="shared" si="40"/>
        <v/>
      </c>
      <c r="BO30" s="67"/>
    </row>
    <row r="31" spans="1:67" ht="33" customHeight="1">
      <c r="A31" s="67"/>
      <c r="B31" s="272">
        <f t="shared" si="23"/>
        <v>18</v>
      </c>
      <c r="C31" s="273">
        <f>IF(Data!F22="","",Data!F22)</f>
        <v>0</v>
      </c>
      <c r="D31" s="274" t="str">
        <f>IF(Data!H22="","",Data!H22)</f>
        <v>Jelita Anita Boimau</v>
      </c>
      <c r="E31" s="275" t="str">
        <f>IF(Data!I22="","",Data!I22)</f>
        <v>P</v>
      </c>
      <c r="F31" s="276"/>
      <c r="G31" s="277"/>
      <c r="H31" s="277"/>
      <c r="I31" s="277"/>
      <c r="J31" s="277"/>
      <c r="K31" s="277"/>
      <c r="L31" s="277"/>
      <c r="M31" s="280"/>
      <c r="N31" s="277"/>
      <c r="O31" s="278"/>
      <c r="P31" s="279" t="str">
        <f t="shared" si="24"/>
        <v/>
      </c>
      <c r="Q31" s="277"/>
      <c r="R31" s="280"/>
      <c r="S31" s="281" t="str">
        <f t="shared" si="25"/>
        <v/>
      </c>
      <c r="T31" s="295" t="str">
        <f t="shared" si="26"/>
        <v/>
      </c>
      <c r="U31" s="1215" t="str">
        <f t="shared" si="41"/>
        <v/>
      </c>
      <c r="V31" s="1216" t="str">
        <f t="shared" si="41"/>
        <v/>
      </c>
      <c r="W31" s="1216" t="str">
        <f t="shared" si="41"/>
        <v/>
      </c>
      <c r="X31" s="1216" t="str">
        <f t="shared" si="41"/>
        <v/>
      </c>
      <c r="Y31" s="1216" t="str">
        <f t="shared" si="41"/>
        <v/>
      </c>
      <c r="Z31" s="1216" t="str">
        <f t="shared" si="41"/>
        <v/>
      </c>
      <c r="AA31" s="1216" t="str">
        <f t="shared" si="41"/>
        <v/>
      </c>
      <c r="AB31" s="1217" t="str">
        <f t="shared" si="41"/>
        <v/>
      </c>
      <c r="AC31" s="1216" t="str">
        <f t="shared" si="41"/>
        <v/>
      </c>
      <c r="AD31" s="1218" t="str">
        <f t="shared" si="41"/>
        <v/>
      </c>
      <c r="AE31" s="1219">
        <f t="shared" si="27"/>
        <v>0</v>
      </c>
      <c r="AF31" s="282">
        <f t="shared" si="28"/>
        <v>0</v>
      </c>
      <c r="AG31" s="282" t="str">
        <f t="shared" si="29"/>
        <v>cukup</v>
      </c>
      <c r="AH31" s="282" t="str">
        <f t="shared" si="29"/>
        <v>cukup</v>
      </c>
      <c r="AI31" s="282" t="str">
        <f t="shared" si="30"/>
        <v/>
      </c>
      <c r="AJ31" s="283" t="str">
        <f t="shared" si="31"/>
        <v/>
      </c>
      <c r="AK31" s="284" t="str">
        <f t="shared" si="32"/>
        <v/>
      </c>
      <c r="AL31" s="276"/>
      <c r="AM31" s="277"/>
      <c r="AN31" s="277"/>
      <c r="AO31" s="277"/>
      <c r="AP31" s="277"/>
      <c r="AQ31" s="277"/>
      <c r="AR31" s="277"/>
      <c r="AS31" s="280"/>
      <c r="AT31" s="277"/>
      <c r="AU31" s="278"/>
      <c r="AV31" s="285" t="str">
        <f t="shared" si="33"/>
        <v/>
      </c>
      <c r="AW31" s="296" t="str">
        <f t="shared" si="34"/>
        <v/>
      </c>
      <c r="AX31" s="1220" t="str">
        <f t="shared" si="42"/>
        <v/>
      </c>
      <c r="AY31" s="1221" t="str">
        <f t="shared" si="42"/>
        <v/>
      </c>
      <c r="AZ31" s="1221" t="str">
        <f t="shared" si="42"/>
        <v/>
      </c>
      <c r="BA31" s="1221" t="str">
        <f t="shared" si="42"/>
        <v/>
      </c>
      <c r="BB31" s="1221" t="str">
        <f t="shared" si="42"/>
        <v/>
      </c>
      <c r="BC31" s="1221" t="str">
        <f t="shared" si="42"/>
        <v/>
      </c>
      <c r="BD31" s="1221" t="str">
        <f t="shared" si="42"/>
        <v/>
      </c>
      <c r="BE31" s="1222" t="str">
        <f t="shared" si="42"/>
        <v/>
      </c>
      <c r="BF31" s="1221" t="str">
        <f t="shared" si="42"/>
        <v/>
      </c>
      <c r="BG31" s="1223" t="str">
        <f t="shared" si="42"/>
        <v/>
      </c>
      <c r="BH31" s="286">
        <f t="shared" si="35"/>
        <v>0</v>
      </c>
      <c r="BI31" s="286">
        <f t="shared" si="36"/>
        <v>0</v>
      </c>
      <c r="BJ31" s="287" t="str">
        <f t="shared" si="37"/>
        <v>cukup</v>
      </c>
      <c r="BK31" s="287" t="str">
        <f t="shared" si="37"/>
        <v>cukup</v>
      </c>
      <c r="BL31" s="286" t="e">
        <f t="shared" si="38"/>
        <v>#N/A</v>
      </c>
      <c r="BM31" s="288" t="e">
        <f t="shared" si="39"/>
        <v>#N/A</v>
      </c>
      <c r="BN31" s="289" t="str">
        <f t="shared" si="40"/>
        <v/>
      </c>
      <c r="BO31" s="67"/>
    </row>
    <row r="32" spans="1:67" ht="33" customHeight="1">
      <c r="A32" s="67"/>
      <c r="B32" s="272">
        <f t="shared" si="23"/>
        <v>19</v>
      </c>
      <c r="C32" s="273">
        <f>IF(Data!F23="","",Data!F23)</f>
        <v>0</v>
      </c>
      <c r="D32" s="274" t="str">
        <f>IF(Data!H23="","",Data!H23)</f>
        <v>Jidon Nubatonis</v>
      </c>
      <c r="E32" s="275" t="str">
        <f>IF(Data!I23="","",Data!I23)</f>
        <v>L</v>
      </c>
      <c r="F32" s="276"/>
      <c r="G32" s="277"/>
      <c r="H32" s="277"/>
      <c r="I32" s="277"/>
      <c r="J32" s="277"/>
      <c r="K32" s="277"/>
      <c r="L32" s="277"/>
      <c r="M32" s="280"/>
      <c r="N32" s="277"/>
      <c r="O32" s="278"/>
      <c r="P32" s="279" t="str">
        <f t="shared" si="24"/>
        <v/>
      </c>
      <c r="Q32" s="277"/>
      <c r="R32" s="280"/>
      <c r="S32" s="281" t="str">
        <f t="shared" si="25"/>
        <v/>
      </c>
      <c r="T32" s="295" t="str">
        <f t="shared" si="26"/>
        <v/>
      </c>
      <c r="U32" s="1215" t="str">
        <f t="shared" si="41"/>
        <v/>
      </c>
      <c r="V32" s="1216" t="str">
        <f t="shared" si="41"/>
        <v/>
      </c>
      <c r="W32" s="1216" t="str">
        <f t="shared" si="41"/>
        <v/>
      </c>
      <c r="X32" s="1216" t="str">
        <f t="shared" si="41"/>
        <v/>
      </c>
      <c r="Y32" s="1216" t="str">
        <f t="shared" si="41"/>
        <v/>
      </c>
      <c r="Z32" s="1216" t="str">
        <f t="shared" si="41"/>
        <v/>
      </c>
      <c r="AA32" s="1216" t="str">
        <f t="shared" si="41"/>
        <v/>
      </c>
      <c r="AB32" s="1217" t="str">
        <f t="shared" si="41"/>
        <v/>
      </c>
      <c r="AC32" s="1216" t="str">
        <f t="shared" si="41"/>
        <v/>
      </c>
      <c r="AD32" s="1218" t="str">
        <f t="shared" si="41"/>
        <v/>
      </c>
      <c r="AE32" s="1219">
        <f t="shared" si="27"/>
        <v>0</v>
      </c>
      <c r="AF32" s="282">
        <f t="shared" si="28"/>
        <v>0</v>
      </c>
      <c r="AG32" s="282" t="str">
        <f t="shared" si="29"/>
        <v>cukup</v>
      </c>
      <c r="AH32" s="282" t="str">
        <f t="shared" si="29"/>
        <v>cukup</v>
      </c>
      <c r="AI32" s="282" t="str">
        <f t="shared" si="30"/>
        <v/>
      </c>
      <c r="AJ32" s="283" t="str">
        <f t="shared" si="31"/>
        <v/>
      </c>
      <c r="AK32" s="284" t="str">
        <f t="shared" si="32"/>
        <v/>
      </c>
      <c r="AL32" s="276"/>
      <c r="AM32" s="277"/>
      <c r="AN32" s="277"/>
      <c r="AO32" s="277"/>
      <c r="AP32" s="277"/>
      <c r="AQ32" s="277"/>
      <c r="AR32" s="277"/>
      <c r="AS32" s="280"/>
      <c r="AT32" s="277"/>
      <c r="AU32" s="278"/>
      <c r="AV32" s="285" t="str">
        <f t="shared" si="33"/>
        <v/>
      </c>
      <c r="AW32" s="296" t="str">
        <f t="shared" si="34"/>
        <v/>
      </c>
      <c r="AX32" s="1220" t="str">
        <f t="shared" si="42"/>
        <v/>
      </c>
      <c r="AY32" s="1221" t="str">
        <f t="shared" si="42"/>
        <v/>
      </c>
      <c r="AZ32" s="1221" t="str">
        <f t="shared" si="42"/>
        <v/>
      </c>
      <c r="BA32" s="1221" t="str">
        <f t="shared" si="42"/>
        <v/>
      </c>
      <c r="BB32" s="1221" t="str">
        <f t="shared" si="42"/>
        <v/>
      </c>
      <c r="BC32" s="1221" t="str">
        <f t="shared" si="42"/>
        <v/>
      </c>
      <c r="BD32" s="1221" t="str">
        <f t="shared" si="42"/>
        <v/>
      </c>
      <c r="BE32" s="1222" t="str">
        <f t="shared" si="42"/>
        <v/>
      </c>
      <c r="BF32" s="1221" t="str">
        <f t="shared" si="42"/>
        <v/>
      </c>
      <c r="BG32" s="1223" t="str">
        <f t="shared" si="42"/>
        <v/>
      </c>
      <c r="BH32" s="286">
        <f t="shared" si="35"/>
        <v>0</v>
      </c>
      <c r="BI32" s="286">
        <f t="shared" si="36"/>
        <v>0</v>
      </c>
      <c r="BJ32" s="287" t="str">
        <f t="shared" si="37"/>
        <v>cukup</v>
      </c>
      <c r="BK32" s="287" t="str">
        <f t="shared" si="37"/>
        <v>cukup</v>
      </c>
      <c r="BL32" s="286" t="e">
        <f t="shared" si="38"/>
        <v>#N/A</v>
      </c>
      <c r="BM32" s="288" t="e">
        <f t="shared" si="39"/>
        <v>#N/A</v>
      </c>
      <c r="BN32" s="289" t="str">
        <f t="shared" si="40"/>
        <v/>
      </c>
      <c r="BO32" s="67"/>
    </row>
    <row r="33" spans="1:67" ht="33" customHeight="1">
      <c r="A33" s="67"/>
      <c r="B33" s="272">
        <f t="shared" si="23"/>
        <v>20</v>
      </c>
      <c r="C33" s="273">
        <f>IF(Data!F24="","",Data!F24)</f>
        <v>0</v>
      </c>
      <c r="D33" s="274" t="str">
        <f>IF(Data!H24="","",Data!H24)</f>
        <v>Jitro Andro Baran</v>
      </c>
      <c r="E33" s="275" t="str">
        <f>IF(Data!I24="","",Data!I24)</f>
        <v>L</v>
      </c>
      <c r="F33" s="276"/>
      <c r="G33" s="277"/>
      <c r="H33" s="277"/>
      <c r="I33" s="277"/>
      <c r="J33" s="277"/>
      <c r="K33" s="277"/>
      <c r="L33" s="277"/>
      <c r="M33" s="280"/>
      <c r="N33" s="277"/>
      <c r="O33" s="278"/>
      <c r="P33" s="279" t="str">
        <f t="shared" si="24"/>
        <v/>
      </c>
      <c r="Q33" s="277"/>
      <c r="R33" s="280"/>
      <c r="S33" s="281" t="str">
        <f t="shared" si="25"/>
        <v/>
      </c>
      <c r="T33" s="295" t="str">
        <f t="shared" si="26"/>
        <v/>
      </c>
      <c r="U33" s="1215" t="str">
        <f t="shared" si="41"/>
        <v/>
      </c>
      <c r="V33" s="1216" t="str">
        <f t="shared" si="41"/>
        <v/>
      </c>
      <c r="W33" s="1216" t="str">
        <f t="shared" si="41"/>
        <v/>
      </c>
      <c r="X33" s="1216" t="str">
        <f t="shared" si="41"/>
        <v/>
      </c>
      <c r="Y33" s="1216" t="str">
        <f t="shared" si="41"/>
        <v/>
      </c>
      <c r="Z33" s="1216" t="str">
        <f t="shared" si="41"/>
        <v/>
      </c>
      <c r="AA33" s="1216" t="str">
        <f t="shared" si="41"/>
        <v/>
      </c>
      <c r="AB33" s="1217" t="str">
        <f t="shared" si="41"/>
        <v/>
      </c>
      <c r="AC33" s="1216" t="str">
        <f t="shared" si="41"/>
        <v/>
      </c>
      <c r="AD33" s="1218" t="str">
        <f t="shared" si="41"/>
        <v/>
      </c>
      <c r="AE33" s="1219">
        <f t="shared" si="27"/>
        <v>0</v>
      </c>
      <c r="AF33" s="282">
        <f t="shared" si="28"/>
        <v>0</v>
      </c>
      <c r="AG33" s="282" t="str">
        <f t="shared" si="29"/>
        <v>cukup</v>
      </c>
      <c r="AH33" s="282" t="str">
        <f t="shared" si="29"/>
        <v>cukup</v>
      </c>
      <c r="AI33" s="282" t="str">
        <f t="shared" si="30"/>
        <v/>
      </c>
      <c r="AJ33" s="283" t="str">
        <f t="shared" si="31"/>
        <v/>
      </c>
      <c r="AK33" s="284" t="str">
        <f t="shared" si="32"/>
        <v/>
      </c>
      <c r="AL33" s="276"/>
      <c r="AM33" s="277"/>
      <c r="AN33" s="277"/>
      <c r="AO33" s="277"/>
      <c r="AP33" s="277"/>
      <c r="AQ33" s="277"/>
      <c r="AR33" s="277"/>
      <c r="AS33" s="280"/>
      <c r="AT33" s="277"/>
      <c r="AU33" s="278"/>
      <c r="AV33" s="285" t="str">
        <f t="shared" si="33"/>
        <v/>
      </c>
      <c r="AW33" s="296" t="str">
        <f t="shared" si="34"/>
        <v/>
      </c>
      <c r="AX33" s="1220" t="str">
        <f t="shared" si="42"/>
        <v/>
      </c>
      <c r="AY33" s="1221" t="str">
        <f t="shared" si="42"/>
        <v/>
      </c>
      <c r="AZ33" s="1221" t="str">
        <f t="shared" si="42"/>
        <v/>
      </c>
      <c r="BA33" s="1221" t="str">
        <f t="shared" si="42"/>
        <v/>
      </c>
      <c r="BB33" s="1221" t="str">
        <f t="shared" si="42"/>
        <v/>
      </c>
      <c r="BC33" s="1221" t="str">
        <f t="shared" si="42"/>
        <v/>
      </c>
      <c r="BD33" s="1221" t="str">
        <f t="shared" si="42"/>
        <v/>
      </c>
      <c r="BE33" s="1222" t="str">
        <f t="shared" si="42"/>
        <v/>
      </c>
      <c r="BF33" s="1221" t="str">
        <f t="shared" si="42"/>
        <v/>
      </c>
      <c r="BG33" s="1223" t="str">
        <f t="shared" si="42"/>
        <v/>
      </c>
      <c r="BH33" s="286">
        <f t="shared" si="35"/>
        <v>0</v>
      </c>
      <c r="BI33" s="286">
        <f t="shared" si="36"/>
        <v>0</v>
      </c>
      <c r="BJ33" s="287" t="str">
        <f t="shared" si="37"/>
        <v>cukup</v>
      </c>
      <c r="BK33" s="287" t="str">
        <f t="shared" si="37"/>
        <v>cukup</v>
      </c>
      <c r="BL33" s="286" t="e">
        <f t="shared" si="38"/>
        <v>#N/A</v>
      </c>
      <c r="BM33" s="288" t="e">
        <f t="shared" si="39"/>
        <v>#N/A</v>
      </c>
      <c r="BN33" s="289" t="str">
        <f t="shared" si="40"/>
        <v/>
      </c>
      <c r="BO33" s="67"/>
    </row>
    <row r="34" spans="1:67" ht="33" customHeight="1">
      <c r="A34" s="67"/>
      <c r="B34" s="272">
        <f t="shared" si="23"/>
        <v>21</v>
      </c>
      <c r="C34" s="273">
        <f>IF(Data!F25="","",Data!F25)</f>
        <v>0</v>
      </c>
      <c r="D34" s="274" t="str">
        <f>IF(Data!H25="","",Data!H25)</f>
        <v>Juan Manuel Boys</v>
      </c>
      <c r="E34" s="275" t="str">
        <f>IF(Data!I25="","",Data!I25)</f>
        <v>L</v>
      </c>
      <c r="F34" s="276"/>
      <c r="G34" s="277"/>
      <c r="H34" s="277"/>
      <c r="I34" s="277"/>
      <c r="J34" s="277"/>
      <c r="K34" s="277"/>
      <c r="L34" s="277"/>
      <c r="M34" s="280"/>
      <c r="N34" s="277"/>
      <c r="O34" s="278"/>
      <c r="P34" s="279" t="str">
        <f t="shared" si="24"/>
        <v/>
      </c>
      <c r="Q34" s="277"/>
      <c r="R34" s="280"/>
      <c r="S34" s="281" t="str">
        <f t="shared" si="25"/>
        <v/>
      </c>
      <c r="T34" s="295" t="str">
        <f t="shared" si="26"/>
        <v/>
      </c>
      <c r="U34" s="1215" t="str">
        <f t="shared" si="41"/>
        <v/>
      </c>
      <c r="V34" s="1216" t="str">
        <f t="shared" si="41"/>
        <v/>
      </c>
      <c r="W34" s="1216" t="str">
        <f t="shared" si="41"/>
        <v/>
      </c>
      <c r="X34" s="1216" t="str">
        <f t="shared" si="41"/>
        <v/>
      </c>
      <c r="Y34" s="1216" t="str">
        <f t="shared" si="41"/>
        <v/>
      </c>
      <c r="Z34" s="1216" t="str">
        <f t="shared" si="41"/>
        <v/>
      </c>
      <c r="AA34" s="1216" t="str">
        <f t="shared" si="41"/>
        <v/>
      </c>
      <c r="AB34" s="1217" t="str">
        <f t="shared" si="41"/>
        <v/>
      </c>
      <c r="AC34" s="1216" t="str">
        <f t="shared" si="41"/>
        <v/>
      </c>
      <c r="AD34" s="1218" t="str">
        <f t="shared" si="41"/>
        <v/>
      </c>
      <c r="AE34" s="1219">
        <f t="shared" si="27"/>
        <v>0</v>
      </c>
      <c r="AF34" s="282">
        <f t="shared" si="28"/>
        <v>0</v>
      </c>
      <c r="AG34" s="282" t="str">
        <f t="shared" si="29"/>
        <v>cukup</v>
      </c>
      <c r="AH34" s="282" t="str">
        <f t="shared" si="29"/>
        <v>cukup</v>
      </c>
      <c r="AI34" s="282" t="str">
        <f t="shared" si="30"/>
        <v/>
      </c>
      <c r="AJ34" s="283" t="str">
        <f t="shared" si="31"/>
        <v/>
      </c>
      <c r="AK34" s="284" t="str">
        <f t="shared" si="32"/>
        <v/>
      </c>
      <c r="AL34" s="276"/>
      <c r="AM34" s="277"/>
      <c r="AN34" s="277"/>
      <c r="AO34" s="277"/>
      <c r="AP34" s="277"/>
      <c r="AQ34" s="277"/>
      <c r="AR34" s="277"/>
      <c r="AS34" s="280"/>
      <c r="AT34" s="277"/>
      <c r="AU34" s="278"/>
      <c r="AV34" s="285" t="str">
        <f t="shared" si="33"/>
        <v/>
      </c>
      <c r="AW34" s="296" t="str">
        <f t="shared" si="34"/>
        <v/>
      </c>
      <c r="AX34" s="1220" t="str">
        <f t="shared" si="42"/>
        <v/>
      </c>
      <c r="AY34" s="1221" t="str">
        <f t="shared" si="42"/>
        <v/>
      </c>
      <c r="AZ34" s="1221" t="str">
        <f t="shared" si="42"/>
        <v/>
      </c>
      <c r="BA34" s="1221" t="str">
        <f t="shared" si="42"/>
        <v/>
      </c>
      <c r="BB34" s="1221" t="str">
        <f t="shared" si="42"/>
        <v/>
      </c>
      <c r="BC34" s="1221" t="str">
        <f t="shared" si="42"/>
        <v/>
      </c>
      <c r="BD34" s="1221" t="str">
        <f t="shared" si="42"/>
        <v/>
      </c>
      <c r="BE34" s="1222" t="str">
        <f t="shared" si="42"/>
        <v/>
      </c>
      <c r="BF34" s="1221" t="str">
        <f t="shared" si="42"/>
        <v/>
      </c>
      <c r="BG34" s="1223" t="str">
        <f t="shared" si="42"/>
        <v/>
      </c>
      <c r="BH34" s="286">
        <f t="shared" si="35"/>
        <v>0</v>
      </c>
      <c r="BI34" s="286">
        <f t="shared" si="36"/>
        <v>0</v>
      </c>
      <c r="BJ34" s="287" t="str">
        <f t="shared" si="37"/>
        <v>cukup</v>
      </c>
      <c r="BK34" s="287" t="str">
        <f t="shared" si="37"/>
        <v>cukup</v>
      </c>
      <c r="BL34" s="286" t="e">
        <f t="shared" si="38"/>
        <v>#N/A</v>
      </c>
      <c r="BM34" s="288" t="e">
        <f t="shared" si="39"/>
        <v>#N/A</v>
      </c>
      <c r="BN34" s="289" t="str">
        <f t="shared" si="40"/>
        <v/>
      </c>
      <c r="BO34" s="67"/>
    </row>
    <row r="35" spans="1:67" ht="33" customHeight="1">
      <c r="A35" s="67"/>
      <c r="B35" s="272">
        <f t="shared" si="23"/>
        <v>22</v>
      </c>
      <c r="C35" s="273">
        <f>IF(Data!F26="","",Data!F26)</f>
        <v>0</v>
      </c>
      <c r="D35" s="274" t="str">
        <f>IF(Data!H26="","",Data!H26)</f>
        <v>Krisyanti Ernela Kesnay</v>
      </c>
      <c r="E35" s="275" t="str">
        <f>IF(Data!I26="","",Data!I26)</f>
        <v>P</v>
      </c>
      <c r="F35" s="276"/>
      <c r="G35" s="277"/>
      <c r="H35" s="277"/>
      <c r="I35" s="277"/>
      <c r="J35" s="277"/>
      <c r="K35" s="277"/>
      <c r="L35" s="277"/>
      <c r="M35" s="280"/>
      <c r="N35" s="277"/>
      <c r="O35" s="278"/>
      <c r="P35" s="279" t="str">
        <f t="shared" si="24"/>
        <v/>
      </c>
      <c r="Q35" s="277"/>
      <c r="R35" s="280"/>
      <c r="S35" s="281" t="str">
        <f t="shared" si="25"/>
        <v/>
      </c>
      <c r="T35" s="295" t="str">
        <f t="shared" si="26"/>
        <v/>
      </c>
      <c r="U35" s="1215" t="str">
        <f t="shared" si="41"/>
        <v/>
      </c>
      <c r="V35" s="1216" t="str">
        <f t="shared" si="41"/>
        <v/>
      </c>
      <c r="W35" s="1216" t="str">
        <f t="shared" si="41"/>
        <v/>
      </c>
      <c r="X35" s="1216" t="str">
        <f t="shared" si="41"/>
        <v/>
      </c>
      <c r="Y35" s="1216" t="str">
        <f t="shared" si="41"/>
        <v/>
      </c>
      <c r="Z35" s="1216" t="str">
        <f t="shared" si="41"/>
        <v/>
      </c>
      <c r="AA35" s="1216" t="str">
        <f t="shared" si="41"/>
        <v/>
      </c>
      <c r="AB35" s="1217" t="str">
        <f t="shared" si="41"/>
        <v/>
      </c>
      <c r="AC35" s="1216" t="str">
        <f t="shared" si="41"/>
        <v/>
      </c>
      <c r="AD35" s="1218" t="str">
        <f t="shared" si="41"/>
        <v/>
      </c>
      <c r="AE35" s="1219">
        <f t="shared" si="27"/>
        <v>0</v>
      </c>
      <c r="AF35" s="282">
        <f t="shared" si="28"/>
        <v>0</v>
      </c>
      <c r="AG35" s="282" t="str">
        <f t="shared" si="29"/>
        <v>cukup</v>
      </c>
      <c r="AH35" s="282" t="str">
        <f t="shared" si="29"/>
        <v>cukup</v>
      </c>
      <c r="AI35" s="282" t="str">
        <f t="shared" si="30"/>
        <v/>
      </c>
      <c r="AJ35" s="283" t="str">
        <f t="shared" si="31"/>
        <v/>
      </c>
      <c r="AK35" s="284" t="str">
        <f t="shared" si="32"/>
        <v/>
      </c>
      <c r="AL35" s="276"/>
      <c r="AM35" s="277"/>
      <c r="AN35" s="277"/>
      <c r="AO35" s="277"/>
      <c r="AP35" s="277"/>
      <c r="AQ35" s="277"/>
      <c r="AR35" s="277"/>
      <c r="AS35" s="280"/>
      <c r="AT35" s="277"/>
      <c r="AU35" s="278"/>
      <c r="AV35" s="285" t="str">
        <f t="shared" si="33"/>
        <v/>
      </c>
      <c r="AW35" s="296" t="str">
        <f t="shared" si="34"/>
        <v/>
      </c>
      <c r="AX35" s="1220" t="str">
        <f t="shared" si="42"/>
        <v/>
      </c>
      <c r="AY35" s="1221" t="str">
        <f t="shared" si="42"/>
        <v/>
      </c>
      <c r="AZ35" s="1221" t="str">
        <f t="shared" si="42"/>
        <v/>
      </c>
      <c r="BA35" s="1221" t="str">
        <f t="shared" si="42"/>
        <v/>
      </c>
      <c r="BB35" s="1221" t="str">
        <f t="shared" si="42"/>
        <v/>
      </c>
      <c r="BC35" s="1221" t="str">
        <f t="shared" si="42"/>
        <v/>
      </c>
      <c r="BD35" s="1221" t="str">
        <f t="shared" si="42"/>
        <v/>
      </c>
      <c r="BE35" s="1222" t="str">
        <f t="shared" si="42"/>
        <v/>
      </c>
      <c r="BF35" s="1221" t="str">
        <f t="shared" si="42"/>
        <v/>
      </c>
      <c r="BG35" s="1223" t="str">
        <f t="shared" si="42"/>
        <v/>
      </c>
      <c r="BH35" s="286">
        <f t="shared" si="35"/>
        <v>0</v>
      </c>
      <c r="BI35" s="286">
        <f t="shared" si="36"/>
        <v>0</v>
      </c>
      <c r="BJ35" s="287" t="str">
        <f t="shared" si="37"/>
        <v>cukup</v>
      </c>
      <c r="BK35" s="287" t="str">
        <f t="shared" si="37"/>
        <v>cukup</v>
      </c>
      <c r="BL35" s="286" t="e">
        <f t="shared" si="38"/>
        <v>#N/A</v>
      </c>
      <c r="BM35" s="288" t="e">
        <f t="shared" si="39"/>
        <v>#N/A</v>
      </c>
      <c r="BN35" s="289" t="str">
        <f t="shared" si="40"/>
        <v/>
      </c>
      <c r="BO35" s="67"/>
    </row>
    <row r="36" spans="1:67" ht="33" customHeight="1">
      <c r="A36" s="67"/>
      <c r="B36" s="272">
        <f t="shared" si="23"/>
        <v>23</v>
      </c>
      <c r="C36" s="273">
        <f>IF(Data!F27="","",Data!F27)</f>
        <v>0</v>
      </c>
      <c r="D36" s="274" t="str">
        <f>IF(Data!H27="","",Data!H27)</f>
        <v>Leni Aknesia Knoan</v>
      </c>
      <c r="E36" s="275" t="str">
        <f>IF(Data!I27="","",Data!I27)</f>
        <v>P</v>
      </c>
      <c r="F36" s="276"/>
      <c r="G36" s="277"/>
      <c r="H36" s="277"/>
      <c r="I36" s="277"/>
      <c r="J36" s="277"/>
      <c r="K36" s="277"/>
      <c r="L36" s="277"/>
      <c r="M36" s="280"/>
      <c r="N36" s="277"/>
      <c r="O36" s="278"/>
      <c r="P36" s="279" t="str">
        <f t="shared" si="24"/>
        <v/>
      </c>
      <c r="Q36" s="277"/>
      <c r="R36" s="280"/>
      <c r="S36" s="281" t="str">
        <f t="shared" si="25"/>
        <v/>
      </c>
      <c r="T36" s="295" t="str">
        <f t="shared" si="26"/>
        <v/>
      </c>
      <c r="U36" s="1215" t="str">
        <f t="shared" si="41"/>
        <v/>
      </c>
      <c r="V36" s="1216" t="str">
        <f t="shared" si="41"/>
        <v/>
      </c>
      <c r="W36" s="1216" t="str">
        <f t="shared" si="41"/>
        <v/>
      </c>
      <c r="X36" s="1216" t="str">
        <f t="shared" si="41"/>
        <v/>
      </c>
      <c r="Y36" s="1216" t="str">
        <f t="shared" si="41"/>
        <v/>
      </c>
      <c r="Z36" s="1216" t="str">
        <f t="shared" si="41"/>
        <v/>
      </c>
      <c r="AA36" s="1216" t="str">
        <f t="shared" si="41"/>
        <v/>
      </c>
      <c r="AB36" s="1217" t="str">
        <f t="shared" si="41"/>
        <v/>
      </c>
      <c r="AC36" s="1216" t="str">
        <f t="shared" si="41"/>
        <v/>
      </c>
      <c r="AD36" s="1218" t="str">
        <f t="shared" si="41"/>
        <v/>
      </c>
      <c r="AE36" s="1219">
        <f t="shared" si="27"/>
        <v>0</v>
      </c>
      <c r="AF36" s="282">
        <f t="shared" si="28"/>
        <v>0</v>
      </c>
      <c r="AG36" s="282" t="str">
        <f t="shared" si="29"/>
        <v>cukup</v>
      </c>
      <c r="AH36" s="282" t="str">
        <f t="shared" si="29"/>
        <v>cukup</v>
      </c>
      <c r="AI36" s="282" t="str">
        <f t="shared" si="30"/>
        <v/>
      </c>
      <c r="AJ36" s="283" t="str">
        <f t="shared" si="31"/>
        <v/>
      </c>
      <c r="AK36" s="284" t="str">
        <f t="shared" si="32"/>
        <v/>
      </c>
      <c r="AL36" s="276"/>
      <c r="AM36" s="277"/>
      <c r="AN36" s="277"/>
      <c r="AO36" s="277"/>
      <c r="AP36" s="277"/>
      <c r="AQ36" s="277"/>
      <c r="AR36" s="277"/>
      <c r="AS36" s="280"/>
      <c r="AT36" s="277"/>
      <c r="AU36" s="278"/>
      <c r="AV36" s="285" t="str">
        <f t="shared" si="33"/>
        <v/>
      </c>
      <c r="AW36" s="296" t="str">
        <f t="shared" si="34"/>
        <v/>
      </c>
      <c r="AX36" s="1220" t="str">
        <f t="shared" si="42"/>
        <v/>
      </c>
      <c r="AY36" s="1221" t="str">
        <f t="shared" si="42"/>
        <v/>
      </c>
      <c r="AZ36" s="1221" t="str">
        <f t="shared" si="42"/>
        <v/>
      </c>
      <c r="BA36" s="1221" t="str">
        <f t="shared" si="42"/>
        <v/>
      </c>
      <c r="BB36" s="1221" t="str">
        <f t="shared" si="42"/>
        <v/>
      </c>
      <c r="BC36" s="1221" t="str">
        <f t="shared" si="42"/>
        <v/>
      </c>
      <c r="BD36" s="1221" t="str">
        <f t="shared" si="42"/>
        <v/>
      </c>
      <c r="BE36" s="1222" t="str">
        <f t="shared" si="42"/>
        <v/>
      </c>
      <c r="BF36" s="1221" t="str">
        <f t="shared" si="42"/>
        <v/>
      </c>
      <c r="BG36" s="1223" t="str">
        <f t="shared" si="42"/>
        <v/>
      </c>
      <c r="BH36" s="286">
        <f t="shared" si="35"/>
        <v>0</v>
      </c>
      <c r="BI36" s="286">
        <f t="shared" si="36"/>
        <v>0</v>
      </c>
      <c r="BJ36" s="287" t="str">
        <f t="shared" si="37"/>
        <v>cukup</v>
      </c>
      <c r="BK36" s="287" t="str">
        <f t="shared" si="37"/>
        <v>cukup</v>
      </c>
      <c r="BL36" s="286" t="e">
        <f t="shared" si="38"/>
        <v>#N/A</v>
      </c>
      <c r="BM36" s="288" t="e">
        <f t="shared" si="39"/>
        <v>#N/A</v>
      </c>
      <c r="BN36" s="289" t="str">
        <f t="shared" si="40"/>
        <v/>
      </c>
      <c r="BO36" s="67"/>
    </row>
    <row r="37" spans="1:67" ht="33" customHeight="1">
      <c r="A37" s="67"/>
      <c r="B37" s="272">
        <f t="shared" si="23"/>
        <v>24</v>
      </c>
      <c r="C37" s="273">
        <f>IF(Data!F28="","",Data!F28)</f>
        <v>0</v>
      </c>
      <c r="D37" s="274" t="str">
        <f>IF(Data!H28="","",Data!H28)</f>
        <v>Marlon Dioninsius Lalus</v>
      </c>
      <c r="E37" s="275" t="str">
        <f>IF(Data!I28="","",Data!I28)</f>
        <v>L</v>
      </c>
      <c r="F37" s="276"/>
      <c r="G37" s="277"/>
      <c r="H37" s="277"/>
      <c r="I37" s="277"/>
      <c r="J37" s="277"/>
      <c r="K37" s="277"/>
      <c r="L37" s="277"/>
      <c r="M37" s="280"/>
      <c r="N37" s="277"/>
      <c r="O37" s="278"/>
      <c r="P37" s="279" t="str">
        <f t="shared" si="24"/>
        <v/>
      </c>
      <c r="Q37" s="277"/>
      <c r="R37" s="280"/>
      <c r="S37" s="281" t="str">
        <f t="shared" si="25"/>
        <v/>
      </c>
      <c r="T37" s="295" t="str">
        <f t="shared" si="26"/>
        <v/>
      </c>
      <c r="U37" s="1215" t="str">
        <f t="shared" si="41"/>
        <v/>
      </c>
      <c r="V37" s="1216" t="str">
        <f t="shared" si="41"/>
        <v/>
      </c>
      <c r="W37" s="1216" t="str">
        <f t="shared" si="41"/>
        <v/>
      </c>
      <c r="X37" s="1216" t="str">
        <f t="shared" si="41"/>
        <v/>
      </c>
      <c r="Y37" s="1216" t="str">
        <f t="shared" si="41"/>
        <v/>
      </c>
      <c r="Z37" s="1216" t="str">
        <f t="shared" si="41"/>
        <v/>
      </c>
      <c r="AA37" s="1216" t="str">
        <f t="shared" si="41"/>
        <v/>
      </c>
      <c r="AB37" s="1217" t="str">
        <f t="shared" si="41"/>
        <v/>
      </c>
      <c r="AC37" s="1216" t="str">
        <f t="shared" si="41"/>
        <v/>
      </c>
      <c r="AD37" s="1218" t="str">
        <f t="shared" si="41"/>
        <v/>
      </c>
      <c r="AE37" s="1219">
        <f t="shared" si="27"/>
        <v>0</v>
      </c>
      <c r="AF37" s="282">
        <f t="shared" si="28"/>
        <v>0</v>
      </c>
      <c r="AG37" s="282" t="str">
        <f t="shared" si="29"/>
        <v>cukup</v>
      </c>
      <c r="AH37" s="282" t="str">
        <f t="shared" si="29"/>
        <v>cukup</v>
      </c>
      <c r="AI37" s="282" t="str">
        <f t="shared" si="30"/>
        <v/>
      </c>
      <c r="AJ37" s="283" t="str">
        <f t="shared" si="31"/>
        <v/>
      </c>
      <c r="AK37" s="284" t="str">
        <f t="shared" si="32"/>
        <v/>
      </c>
      <c r="AL37" s="276"/>
      <c r="AM37" s="277"/>
      <c r="AN37" s="277"/>
      <c r="AO37" s="277"/>
      <c r="AP37" s="277"/>
      <c r="AQ37" s="277"/>
      <c r="AR37" s="277"/>
      <c r="AS37" s="280"/>
      <c r="AT37" s="277"/>
      <c r="AU37" s="278"/>
      <c r="AV37" s="285" t="str">
        <f t="shared" si="33"/>
        <v/>
      </c>
      <c r="AW37" s="296" t="str">
        <f t="shared" si="34"/>
        <v/>
      </c>
      <c r="AX37" s="1220" t="str">
        <f t="shared" si="42"/>
        <v/>
      </c>
      <c r="AY37" s="1221" t="str">
        <f t="shared" si="42"/>
        <v/>
      </c>
      <c r="AZ37" s="1221" t="str">
        <f t="shared" si="42"/>
        <v/>
      </c>
      <c r="BA37" s="1221" t="str">
        <f t="shared" si="42"/>
        <v/>
      </c>
      <c r="BB37" s="1221" t="str">
        <f t="shared" si="42"/>
        <v/>
      </c>
      <c r="BC37" s="1221" t="str">
        <f t="shared" si="42"/>
        <v/>
      </c>
      <c r="BD37" s="1221" t="str">
        <f t="shared" si="42"/>
        <v/>
      </c>
      <c r="BE37" s="1222" t="str">
        <f t="shared" si="42"/>
        <v/>
      </c>
      <c r="BF37" s="1221" t="str">
        <f t="shared" si="42"/>
        <v/>
      </c>
      <c r="BG37" s="1223" t="str">
        <f t="shared" si="42"/>
        <v/>
      </c>
      <c r="BH37" s="286">
        <f t="shared" si="35"/>
        <v>0</v>
      </c>
      <c r="BI37" s="286">
        <f t="shared" si="36"/>
        <v>0</v>
      </c>
      <c r="BJ37" s="287" t="str">
        <f t="shared" si="37"/>
        <v>cukup</v>
      </c>
      <c r="BK37" s="287" t="str">
        <f t="shared" si="37"/>
        <v>cukup</v>
      </c>
      <c r="BL37" s="286" t="e">
        <f t="shared" si="38"/>
        <v>#N/A</v>
      </c>
      <c r="BM37" s="288" t="e">
        <f t="shared" si="39"/>
        <v>#N/A</v>
      </c>
      <c r="BN37" s="289" t="str">
        <f t="shared" si="40"/>
        <v/>
      </c>
      <c r="BO37" s="67"/>
    </row>
    <row r="38" spans="1:67" ht="33" customHeight="1">
      <c r="A38" s="67"/>
      <c r="B38" s="272">
        <f t="shared" si="23"/>
        <v>25</v>
      </c>
      <c r="C38" s="273">
        <f>IF(Data!F29="","",Data!F29)</f>
        <v>0</v>
      </c>
      <c r="D38" s="274" t="str">
        <f>IF(Data!H29="","",Data!H29)</f>
        <v>Maya Trifena Niobe</v>
      </c>
      <c r="E38" s="275" t="str">
        <f>IF(Data!I29="","",Data!I29)</f>
        <v>P</v>
      </c>
      <c r="F38" s="276"/>
      <c r="G38" s="277"/>
      <c r="H38" s="277"/>
      <c r="I38" s="277"/>
      <c r="J38" s="277"/>
      <c r="K38" s="277"/>
      <c r="L38" s="277"/>
      <c r="M38" s="280"/>
      <c r="N38" s="277"/>
      <c r="O38" s="278"/>
      <c r="P38" s="279" t="str">
        <f t="shared" si="24"/>
        <v/>
      </c>
      <c r="Q38" s="277"/>
      <c r="R38" s="280"/>
      <c r="S38" s="281" t="str">
        <f t="shared" si="25"/>
        <v/>
      </c>
      <c r="T38" s="295" t="str">
        <f t="shared" si="26"/>
        <v/>
      </c>
      <c r="U38" s="1215" t="str">
        <f t="shared" si="41"/>
        <v/>
      </c>
      <c r="V38" s="1216" t="str">
        <f t="shared" si="41"/>
        <v/>
      </c>
      <c r="W38" s="1216" t="str">
        <f t="shared" si="41"/>
        <v/>
      </c>
      <c r="X38" s="1216" t="str">
        <f t="shared" si="41"/>
        <v/>
      </c>
      <c r="Y38" s="1216" t="str">
        <f t="shared" si="41"/>
        <v/>
      </c>
      <c r="Z38" s="1216" t="str">
        <f t="shared" si="41"/>
        <v/>
      </c>
      <c r="AA38" s="1216" t="str">
        <f t="shared" si="41"/>
        <v/>
      </c>
      <c r="AB38" s="1217" t="str">
        <f t="shared" si="41"/>
        <v/>
      </c>
      <c r="AC38" s="1216" t="str">
        <f t="shared" si="41"/>
        <v/>
      </c>
      <c r="AD38" s="1218" t="str">
        <f t="shared" si="41"/>
        <v/>
      </c>
      <c r="AE38" s="1219">
        <f t="shared" si="27"/>
        <v>0</v>
      </c>
      <c r="AF38" s="282">
        <f t="shared" si="28"/>
        <v>0</v>
      </c>
      <c r="AG38" s="282" t="str">
        <f t="shared" si="29"/>
        <v>cukup</v>
      </c>
      <c r="AH38" s="282" t="str">
        <f t="shared" si="29"/>
        <v>cukup</v>
      </c>
      <c r="AI38" s="282" t="str">
        <f t="shared" si="30"/>
        <v/>
      </c>
      <c r="AJ38" s="283" t="str">
        <f t="shared" si="31"/>
        <v/>
      </c>
      <c r="AK38" s="284" t="str">
        <f t="shared" si="32"/>
        <v/>
      </c>
      <c r="AL38" s="276"/>
      <c r="AM38" s="277"/>
      <c r="AN38" s="277"/>
      <c r="AO38" s="277"/>
      <c r="AP38" s="277"/>
      <c r="AQ38" s="277"/>
      <c r="AR38" s="277"/>
      <c r="AS38" s="280"/>
      <c r="AT38" s="277"/>
      <c r="AU38" s="278"/>
      <c r="AV38" s="285" t="str">
        <f t="shared" si="33"/>
        <v/>
      </c>
      <c r="AW38" s="296" t="str">
        <f t="shared" si="34"/>
        <v/>
      </c>
      <c r="AX38" s="1220" t="str">
        <f t="shared" si="42"/>
        <v/>
      </c>
      <c r="AY38" s="1221" t="str">
        <f t="shared" si="42"/>
        <v/>
      </c>
      <c r="AZ38" s="1221" t="str">
        <f t="shared" si="42"/>
        <v/>
      </c>
      <c r="BA38" s="1221" t="str">
        <f t="shared" si="42"/>
        <v/>
      </c>
      <c r="BB38" s="1221" t="str">
        <f t="shared" si="42"/>
        <v/>
      </c>
      <c r="BC38" s="1221" t="str">
        <f t="shared" si="42"/>
        <v/>
      </c>
      <c r="BD38" s="1221" t="str">
        <f t="shared" si="42"/>
        <v/>
      </c>
      <c r="BE38" s="1222" t="str">
        <f t="shared" si="42"/>
        <v/>
      </c>
      <c r="BF38" s="1221" t="str">
        <f t="shared" si="42"/>
        <v/>
      </c>
      <c r="BG38" s="1223" t="str">
        <f t="shared" si="42"/>
        <v/>
      </c>
      <c r="BH38" s="286">
        <f t="shared" si="35"/>
        <v>0</v>
      </c>
      <c r="BI38" s="286">
        <f t="shared" si="36"/>
        <v>0</v>
      </c>
      <c r="BJ38" s="287" t="str">
        <f t="shared" si="37"/>
        <v>cukup</v>
      </c>
      <c r="BK38" s="287" t="str">
        <f t="shared" si="37"/>
        <v>cukup</v>
      </c>
      <c r="BL38" s="286" t="e">
        <f t="shared" si="38"/>
        <v>#N/A</v>
      </c>
      <c r="BM38" s="288" t="e">
        <f t="shared" si="39"/>
        <v>#N/A</v>
      </c>
      <c r="BN38" s="289" t="str">
        <f t="shared" si="40"/>
        <v/>
      </c>
      <c r="BO38" s="67"/>
    </row>
    <row r="39" spans="1:67" ht="33" customHeight="1">
      <c r="A39" s="67"/>
      <c r="B39" s="272">
        <f t="shared" si="23"/>
        <v>26</v>
      </c>
      <c r="C39" s="273">
        <f>IF(Data!F30="","",Data!F30)</f>
        <v>0</v>
      </c>
      <c r="D39" s="274" t="str">
        <f>IF(Data!H30="","",Data!H30)</f>
        <v>Misel Miranda Sora</v>
      </c>
      <c r="E39" s="275" t="str">
        <f>IF(Data!I30="","",Data!I30)</f>
        <v>P</v>
      </c>
      <c r="F39" s="276"/>
      <c r="G39" s="277"/>
      <c r="H39" s="277"/>
      <c r="I39" s="277"/>
      <c r="J39" s="277"/>
      <c r="K39" s="277"/>
      <c r="L39" s="277"/>
      <c r="M39" s="280"/>
      <c r="N39" s="277"/>
      <c r="O39" s="278"/>
      <c r="P39" s="279" t="str">
        <f t="shared" si="24"/>
        <v/>
      </c>
      <c r="Q39" s="277"/>
      <c r="R39" s="280"/>
      <c r="S39" s="281" t="str">
        <f t="shared" si="25"/>
        <v/>
      </c>
      <c r="T39" s="295" t="str">
        <f t="shared" si="26"/>
        <v/>
      </c>
      <c r="U39" s="1215" t="str">
        <f t="shared" si="41"/>
        <v/>
      </c>
      <c r="V39" s="1216" t="str">
        <f t="shared" si="41"/>
        <v/>
      </c>
      <c r="W39" s="1216" t="str">
        <f t="shared" si="41"/>
        <v/>
      </c>
      <c r="X39" s="1216" t="str">
        <f t="shared" si="41"/>
        <v/>
      </c>
      <c r="Y39" s="1216" t="str">
        <f t="shared" si="41"/>
        <v/>
      </c>
      <c r="Z39" s="1216" t="str">
        <f t="shared" si="41"/>
        <v/>
      </c>
      <c r="AA39" s="1216" t="str">
        <f t="shared" si="41"/>
        <v/>
      </c>
      <c r="AB39" s="1217" t="str">
        <f t="shared" si="41"/>
        <v/>
      </c>
      <c r="AC39" s="1216" t="str">
        <f t="shared" si="41"/>
        <v/>
      </c>
      <c r="AD39" s="1218" t="str">
        <f t="shared" si="41"/>
        <v/>
      </c>
      <c r="AE39" s="1219">
        <f t="shared" si="27"/>
        <v>0</v>
      </c>
      <c r="AF39" s="282">
        <f t="shared" si="28"/>
        <v>0</v>
      </c>
      <c r="AG39" s="282" t="str">
        <f t="shared" si="29"/>
        <v>cukup</v>
      </c>
      <c r="AH39" s="282" t="str">
        <f t="shared" si="29"/>
        <v>cukup</v>
      </c>
      <c r="AI39" s="282" t="str">
        <f t="shared" si="30"/>
        <v/>
      </c>
      <c r="AJ39" s="283" t="str">
        <f t="shared" si="31"/>
        <v/>
      </c>
      <c r="AK39" s="284" t="str">
        <f t="shared" si="32"/>
        <v/>
      </c>
      <c r="AL39" s="276"/>
      <c r="AM39" s="277"/>
      <c r="AN39" s="277"/>
      <c r="AO39" s="277"/>
      <c r="AP39" s="277"/>
      <c r="AQ39" s="277"/>
      <c r="AR39" s="277"/>
      <c r="AS39" s="280"/>
      <c r="AT39" s="277"/>
      <c r="AU39" s="278"/>
      <c r="AV39" s="285" t="str">
        <f t="shared" si="33"/>
        <v/>
      </c>
      <c r="AW39" s="296" t="str">
        <f t="shared" si="34"/>
        <v/>
      </c>
      <c r="AX39" s="1220" t="str">
        <f t="shared" si="42"/>
        <v/>
      </c>
      <c r="AY39" s="1221" t="str">
        <f t="shared" si="42"/>
        <v/>
      </c>
      <c r="AZ39" s="1221" t="str">
        <f t="shared" si="42"/>
        <v/>
      </c>
      <c r="BA39" s="1221" t="str">
        <f t="shared" si="42"/>
        <v/>
      </c>
      <c r="BB39" s="1221" t="str">
        <f t="shared" si="42"/>
        <v/>
      </c>
      <c r="BC39" s="1221" t="str">
        <f t="shared" si="42"/>
        <v/>
      </c>
      <c r="BD39" s="1221" t="str">
        <f t="shared" si="42"/>
        <v/>
      </c>
      <c r="BE39" s="1222" t="str">
        <f t="shared" si="42"/>
        <v/>
      </c>
      <c r="BF39" s="1221" t="str">
        <f t="shared" si="42"/>
        <v/>
      </c>
      <c r="BG39" s="1223" t="str">
        <f t="shared" si="42"/>
        <v/>
      </c>
      <c r="BH39" s="286">
        <f t="shared" si="35"/>
        <v>0</v>
      </c>
      <c r="BI39" s="286">
        <f t="shared" si="36"/>
        <v>0</v>
      </c>
      <c r="BJ39" s="287" t="str">
        <f t="shared" si="37"/>
        <v>cukup</v>
      </c>
      <c r="BK39" s="287" t="str">
        <f t="shared" si="37"/>
        <v>cukup</v>
      </c>
      <c r="BL39" s="286" t="e">
        <f t="shared" si="38"/>
        <v>#N/A</v>
      </c>
      <c r="BM39" s="288" t="e">
        <f t="shared" si="39"/>
        <v>#N/A</v>
      </c>
      <c r="BN39" s="289" t="str">
        <f t="shared" si="40"/>
        <v/>
      </c>
      <c r="BO39" s="67"/>
    </row>
    <row r="40" spans="1:67" ht="33" customHeight="1">
      <c r="A40" s="67"/>
      <c r="B40" s="272">
        <f t="shared" si="23"/>
        <v>27</v>
      </c>
      <c r="C40" s="273">
        <f>IF(Data!F31="","",Data!F31)</f>
        <v>0</v>
      </c>
      <c r="D40" s="274" t="str">
        <f>IF(Data!H31="","",Data!H31)</f>
        <v>Nofianti Tainmeta</v>
      </c>
      <c r="E40" s="275" t="str">
        <f>IF(Data!I31="","",Data!I31)</f>
        <v>P</v>
      </c>
      <c r="F40" s="276"/>
      <c r="G40" s="277"/>
      <c r="H40" s="277"/>
      <c r="I40" s="277"/>
      <c r="J40" s="277"/>
      <c r="K40" s="277"/>
      <c r="L40" s="277"/>
      <c r="M40" s="280"/>
      <c r="N40" s="277"/>
      <c r="O40" s="278"/>
      <c r="P40" s="279" t="str">
        <f t="shared" si="24"/>
        <v/>
      </c>
      <c r="Q40" s="277"/>
      <c r="R40" s="280"/>
      <c r="S40" s="281" t="str">
        <f t="shared" si="25"/>
        <v/>
      </c>
      <c r="T40" s="295" t="str">
        <f t="shared" si="26"/>
        <v/>
      </c>
      <c r="U40" s="1215" t="str">
        <f t="shared" si="41"/>
        <v/>
      </c>
      <c r="V40" s="1216" t="str">
        <f t="shared" si="41"/>
        <v/>
      </c>
      <c r="W40" s="1216" t="str">
        <f t="shared" si="41"/>
        <v/>
      </c>
      <c r="X40" s="1216" t="str">
        <f t="shared" si="41"/>
        <v/>
      </c>
      <c r="Y40" s="1216" t="str">
        <f t="shared" si="41"/>
        <v/>
      </c>
      <c r="Z40" s="1216" t="str">
        <f t="shared" si="41"/>
        <v/>
      </c>
      <c r="AA40" s="1216" t="str">
        <f t="shared" si="41"/>
        <v/>
      </c>
      <c r="AB40" s="1217" t="str">
        <f t="shared" si="41"/>
        <v/>
      </c>
      <c r="AC40" s="1216" t="str">
        <f t="shared" si="41"/>
        <v/>
      </c>
      <c r="AD40" s="1218" t="str">
        <f t="shared" si="41"/>
        <v/>
      </c>
      <c r="AE40" s="1219">
        <f t="shared" si="27"/>
        <v>0</v>
      </c>
      <c r="AF40" s="282">
        <f t="shared" si="28"/>
        <v>0</v>
      </c>
      <c r="AG40" s="282" t="str">
        <f t="shared" si="29"/>
        <v>cukup</v>
      </c>
      <c r="AH40" s="282" t="str">
        <f t="shared" si="29"/>
        <v>cukup</v>
      </c>
      <c r="AI40" s="282" t="str">
        <f t="shared" si="30"/>
        <v/>
      </c>
      <c r="AJ40" s="283" t="str">
        <f t="shared" si="31"/>
        <v/>
      </c>
      <c r="AK40" s="284" t="str">
        <f t="shared" si="32"/>
        <v/>
      </c>
      <c r="AL40" s="276"/>
      <c r="AM40" s="277"/>
      <c r="AN40" s="277"/>
      <c r="AO40" s="277"/>
      <c r="AP40" s="277"/>
      <c r="AQ40" s="277"/>
      <c r="AR40" s="277"/>
      <c r="AS40" s="280"/>
      <c r="AT40" s="277"/>
      <c r="AU40" s="278"/>
      <c r="AV40" s="285" t="str">
        <f t="shared" si="33"/>
        <v/>
      </c>
      <c r="AW40" s="296" t="str">
        <f t="shared" si="34"/>
        <v/>
      </c>
      <c r="AX40" s="1220" t="str">
        <f t="shared" si="42"/>
        <v/>
      </c>
      <c r="AY40" s="1221" t="str">
        <f t="shared" si="42"/>
        <v/>
      </c>
      <c r="AZ40" s="1221" t="str">
        <f t="shared" si="42"/>
        <v/>
      </c>
      <c r="BA40" s="1221" t="str">
        <f t="shared" si="42"/>
        <v/>
      </c>
      <c r="BB40" s="1221" t="str">
        <f t="shared" si="42"/>
        <v/>
      </c>
      <c r="BC40" s="1221" t="str">
        <f t="shared" si="42"/>
        <v/>
      </c>
      <c r="BD40" s="1221" t="str">
        <f t="shared" si="42"/>
        <v/>
      </c>
      <c r="BE40" s="1222" t="str">
        <f t="shared" si="42"/>
        <v/>
      </c>
      <c r="BF40" s="1221" t="str">
        <f t="shared" si="42"/>
        <v/>
      </c>
      <c r="BG40" s="1223" t="str">
        <f t="shared" si="42"/>
        <v/>
      </c>
      <c r="BH40" s="286">
        <f t="shared" si="35"/>
        <v>0</v>
      </c>
      <c r="BI40" s="286">
        <f t="shared" si="36"/>
        <v>0</v>
      </c>
      <c r="BJ40" s="287" t="str">
        <f t="shared" si="37"/>
        <v>cukup</v>
      </c>
      <c r="BK40" s="287" t="str">
        <f t="shared" si="37"/>
        <v>cukup</v>
      </c>
      <c r="BL40" s="286" t="e">
        <f t="shared" si="38"/>
        <v>#N/A</v>
      </c>
      <c r="BM40" s="288" t="e">
        <f t="shared" si="39"/>
        <v>#N/A</v>
      </c>
      <c r="BN40" s="289" t="str">
        <f t="shared" si="40"/>
        <v/>
      </c>
      <c r="BO40" s="67"/>
    </row>
    <row r="41" spans="1:67" ht="33" customHeight="1">
      <c r="A41" s="67"/>
      <c r="B41" s="272">
        <f t="shared" si="23"/>
        <v>28</v>
      </c>
      <c r="C41" s="273">
        <f>IF(Data!F32="","",Data!F32)</f>
        <v>0</v>
      </c>
      <c r="D41" s="274" t="str">
        <f>IF(Data!H32="","",Data!H32)</f>
        <v>Ofni Antrikus Banun</v>
      </c>
      <c r="E41" s="275" t="str">
        <f>IF(Data!I32="","",Data!I32)</f>
        <v>L</v>
      </c>
      <c r="F41" s="276"/>
      <c r="G41" s="277"/>
      <c r="H41" s="277"/>
      <c r="I41" s="277"/>
      <c r="J41" s="277"/>
      <c r="K41" s="277"/>
      <c r="L41" s="277"/>
      <c r="M41" s="280"/>
      <c r="N41" s="277"/>
      <c r="O41" s="278"/>
      <c r="P41" s="279" t="str">
        <f t="shared" si="24"/>
        <v/>
      </c>
      <c r="Q41" s="277"/>
      <c r="R41" s="280"/>
      <c r="S41" s="281" t="str">
        <f t="shared" si="25"/>
        <v/>
      </c>
      <c r="T41" s="295" t="str">
        <f t="shared" si="26"/>
        <v/>
      </c>
      <c r="U41" s="1215" t="str">
        <f t="shared" si="41"/>
        <v/>
      </c>
      <c r="V41" s="1216" t="str">
        <f t="shared" si="41"/>
        <v/>
      </c>
      <c r="W41" s="1216" t="str">
        <f t="shared" si="41"/>
        <v/>
      </c>
      <c r="X41" s="1216" t="str">
        <f t="shared" si="41"/>
        <v/>
      </c>
      <c r="Y41" s="1216" t="str">
        <f t="shared" si="41"/>
        <v/>
      </c>
      <c r="Z41" s="1216" t="str">
        <f t="shared" si="41"/>
        <v/>
      </c>
      <c r="AA41" s="1216" t="str">
        <f t="shared" si="41"/>
        <v/>
      </c>
      <c r="AB41" s="1217" t="str">
        <f t="shared" si="41"/>
        <v/>
      </c>
      <c r="AC41" s="1216" t="str">
        <f t="shared" si="41"/>
        <v/>
      </c>
      <c r="AD41" s="1218" t="str">
        <f t="shared" si="41"/>
        <v/>
      </c>
      <c r="AE41" s="1219">
        <f t="shared" si="27"/>
        <v>0</v>
      </c>
      <c r="AF41" s="282">
        <f t="shared" si="28"/>
        <v>0</v>
      </c>
      <c r="AG41" s="282" t="str">
        <f t="shared" si="29"/>
        <v>cukup</v>
      </c>
      <c r="AH41" s="282" t="str">
        <f t="shared" si="29"/>
        <v>cukup</v>
      </c>
      <c r="AI41" s="282" t="str">
        <f t="shared" si="30"/>
        <v/>
      </c>
      <c r="AJ41" s="283" t="str">
        <f t="shared" si="31"/>
        <v/>
      </c>
      <c r="AK41" s="284" t="str">
        <f t="shared" si="32"/>
        <v/>
      </c>
      <c r="AL41" s="276"/>
      <c r="AM41" s="277"/>
      <c r="AN41" s="277"/>
      <c r="AO41" s="277"/>
      <c r="AP41" s="277"/>
      <c r="AQ41" s="277"/>
      <c r="AR41" s="277"/>
      <c r="AS41" s="280"/>
      <c r="AT41" s="277"/>
      <c r="AU41" s="278"/>
      <c r="AV41" s="285" t="str">
        <f t="shared" si="33"/>
        <v/>
      </c>
      <c r="AW41" s="296" t="str">
        <f t="shared" si="34"/>
        <v/>
      </c>
      <c r="AX41" s="1220" t="str">
        <f t="shared" si="42"/>
        <v/>
      </c>
      <c r="AY41" s="1221" t="str">
        <f t="shared" si="42"/>
        <v/>
      </c>
      <c r="AZ41" s="1221" t="str">
        <f t="shared" si="42"/>
        <v/>
      </c>
      <c r="BA41" s="1221" t="str">
        <f t="shared" si="42"/>
        <v/>
      </c>
      <c r="BB41" s="1221" t="str">
        <f t="shared" si="42"/>
        <v/>
      </c>
      <c r="BC41" s="1221" t="str">
        <f t="shared" si="42"/>
        <v/>
      </c>
      <c r="BD41" s="1221" t="str">
        <f t="shared" si="42"/>
        <v/>
      </c>
      <c r="BE41" s="1222" t="str">
        <f t="shared" si="42"/>
        <v/>
      </c>
      <c r="BF41" s="1221" t="str">
        <f t="shared" si="42"/>
        <v/>
      </c>
      <c r="BG41" s="1223" t="str">
        <f t="shared" si="42"/>
        <v/>
      </c>
      <c r="BH41" s="286">
        <f t="shared" si="35"/>
        <v>0</v>
      </c>
      <c r="BI41" s="286">
        <f t="shared" si="36"/>
        <v>0</v>
      </c>
      <c r="BJ41" s="287" t="str">
        <f t="shared" si="37"/>
        <v>cukup</v>
      </c>
      <c r="BK41" s="287" t="str">
        <f t="shared" si="37"/>
        <v>cukup</v>
      </c>
      <c r="BL41" s="286" t="e">
        <f t="shared" si="38"/>
        <v>#N/A</v>
      </c>
      <c r="BM41" s="288" t="e">
        <f t="shared" si="39"/>
        <v>#N/A</v>
      </c>
      <c r="BN41" s="289" t="str">
        <f t="shared" si="40"/>
        <v/>
      </c>
      <c r="BO41" s="67"/>
    </row>
    <row r="42" spans="1:67" ht="33" customHeight="1">
      <c r="A42" s="67"/>
      <c r="B42" s="272">
        <f t="shared" si="23"/>
        <v>29</v>
      </c>
      <c r="C42" s="273">
        <f>IF(Data!F33="","",Data!F33)</f>
        <v>0</v>
      </c>
      <c r="D42" s="274" t="str">
        <f>IF(Data!H33="","",Data!H33)</f>
        <v>Roiyandi Saebesi</v>
      </c>
      <c r="E42" s="275" t="str">
        <f>IF(Data!I33="","",Data!I33)</f>
        <v>L</v>
      </c>
      <c r="F42" s="276"/>
      <c r="G42" s="277"/>
      <c r="H42" s="277"/>
      <c r="I42" s="277"/>
      <c r="J42" s="277"/>
      <c r="K42" s="277"/>
      <c r="L42" s="277"/>
      <c r="M42" s="280"/>
      <c r="N42" s="277"/>
      <c r="O42" s="278"/>
      <c r="P42" s="279" t="str">
        <f t="shared" si="24"/>
        <v/>
      </c>
      <c r="Q42" s="277"/>
      <c r="R42" s="280"/>
      <c r="S42" s="281" t="str">
        <f t="shared" si="25"/>
        <v/>
      </c>
      <c r="T42" s="295" t="str">
        <f t="shared" si="26"/>
        <v/>
      </c>
      <c r="U42" s="1215" t="str">
        <f t="shared" si="41"/>
        <v/>
      </c>
      <c r="V42" s="1216" t="str">
        <f t="shared" si="41"/>
        <v/>
      </c>
      <c r="W42" s="1216" t="str">
        <f t="shared" si="41"/>
        <v/>
      </c>
      <c r="X42" s="1216" t="str">
        <f t="shared" si="41"/>
        <v/>
      </c>
      <c r="Y42" s="1216" t="str">
        <f t="shared" si="41"/>
        <v/>
      </c>
      <c r="Z42" s="1216" t="str">
        <f t="shared" si="41"/>
        <v/>
      </c>
      <c r="AA42" s="1216" t="str">
        <f t="shared" si="41"/>
        <v/>
      </c>
      <c r="AB42" s="1217" t="str">
        <f t="shared" si="41"/>
        <v/>
      </c>
      <c r="AC42" s="1216" t="str">
        <f t="shared" si="41"/>
        <v/>
      </c>
      <c r="AD42" s="1218" t="str">
        <f t="shared" si="41"/>
        <v/>
      </c>
      <c r="AE42" s="1219">
        <f t="shared" si="27"/>
        <v>0</v>
      </c>
      <c r="AF42" s="282">
        <f t="shared" si="28"/>
        <v>0</v>
      </c>
      <c r="AG42" s="282" t="str">
        <f t="shared" si="29"/>
        <v>cukup</v>
      </c>
      <c r="AH42" s="282" t="str">
        <f t="shared" si="29"/>
        <v>cukup</v>
      </c>
      <c r="AI42" s="282" t="str">
        <f t="shared" si="30"/>
        <v/>
      </c>
      <c r="AJ42" s="283" t="str">
        <f t="shared" si="31"/>
        <v/>
      </c>
      <c r="AK42" s="284" t="str">
        <f t="shared" si="32"/>
        <v/>
      </c>
      <c r="AL42" s="276"/>
      <c r="AM42" s="277"/>
      <c r="AN42" s="277"/>
      <c r="AO42" s="277"/>
      <c r="AP42" s="277"/>
      <c r="AQ42" s="277"/>
      <c r="AR42" s="277"/>
      <c r="AS42" s="280"/>
      <c r="AT42" s="277"/>
      <c r="AU42" s="278"/>
      <c r="AV42" s="285" t="str">
        <f t="shared" si="33"/>
        <v/>
      </c>
      <c r="AW42" s="296" t="str">
        <f t="shared" si="34"/>
        <v/>
      </c>
      <c r="AX42" s="1220" t="str">
        <f t="shared" si="42"/>
        <v/>
      </c>
      <c r="AY42" s="1221" t="str">
        <f t="shared" si="42"/>
        <v/>
      </c>
      <c r="AZ42" s="1221" t="str">
        <f t="shared" si="42"/>
        <v/>
      </c>
      <c r="BA42" s="1221" t="str">
        <f t="shared" si="42"/>
        <v/>
      </c>
      <c r="BB42" s="1221" t="str">
        <f t="shared" si="42"/>
        <v/>
      </c>
      <c r="BC42" s="1221" t="str">
        <f t="shared" si="42"/>
        <v/>
      </c>
      <c r="BD42" s="1221" t="str">
        <f t="shared" si="42"/>
        <v/>
      </c>
      <c r="BE42" s="1222" t="str">
        <f t="shared" si="42"/>
        <v/>
      </c>
      <c r="BF42" s="1221" t="str">
        <f t="shared" si="42"/>
        <v/>
      </c>
      <c r="BG42" s="1223" t="str">
        <f t="shared" si="42"/>
        <v/>
      </c>
      <c r="BH42" s="286">
        <f t="shared" si="35"/>
        <v>0</v>
      </c>
      <c r="BI42" s="286">
        <f t="shared" si="36"/>
        <v>0</v>
      </c>
      <c r="BJ42" s="287" t="str">
        <f t="shared" si="37"/>
        <v>cukup</v>
      </c>
      <c r="BK42" s="287" t="str">
        <f t="shared" si="37"/>
        <v>cukup</v>
      </c>
      <c r="BL42" s="286" t="e">
        <f t="shared" si="38"/>
        <v>#N/A</v>
      </c>
      <c r="BM42" s="288" t="e">
        <f t="shared" si="39"/>
        <v>#N/A</v>
      </c>
      <c r="BN42" s="289" t="str">
        <f t="shared" si="40"/>
        <v/>
      </c>
      <c r="BO42" s="67"/>
    </row>
    <row r="43" spans="1:67" ht="33" customHeight="1">
      <c r="A43" s="67"/>
      <c r="B43" s="272">
        <f t="shared" si="23"/>
        <v>30</v>
      </c>
      <c r="C43" s="273">
        <f>IF(Data!F34="","",Data!F34)</f>
        <v>0</v>
      </c>
      <c r="D43" s="274" t="str">
        <f>IF(Data!H34="","",Data!H34)</f>
        <v>Roni Yohanis Bira</v>
      </c>
      <c r="E43" s="275" t="str">
        <f>IF(Data!I34="","",Data!I34)</f>
        <v>L</v>
      </c>
      <c r="F43" s="276"/>
      <c r="G43" s="277"/>
      <c r="H43" s="277"/>
      <c r="I43" s="277"/>
      <c r="J43" s="277"/>
      <c r="K43" s="277"/>
      <c r="L43" s="277"/>
      <c r="M43" s="280"/>
      <c r="N43" s="277"/>
      <c r="O43" s="278"/>
      <c r="P43" s="279" t="str">
        <f t="shared" si="24"/>
        <v/>
      </c>
      <c r="Q43" s="277"/>
      <c r="R43" s="280"/>
      <c r="S43" s="281" t="str">
        <f t="shared" si="25"/>
        <v/>
      </c>
      <c r="T43" s="295" t="str">
        <f t="shared" si="26"/>
        <v/>
      </c>
      <c r="U43" s="1215" t="str">
        <f t="shared" si="41"/>
        <v/>
      </c>
      <c r="V43" s="1216" t="str">
        <f t="shared" si="41"/>
        <v/>
      </c>
      <c r="W43" s="1216" t="str">
        <f t="shared" si="41"/>
        <v/>
      </c>
      <c r="X43" s="1216" t="str">
        <f t="shared" si="41"/>
        <v/>
      </c>
      <c r="Y43" s="1216" t="str">
        <f t="shared" si="41"/>
        <v/>
      </c>
      <c r="Z43" s="1216" t="str">
        <f t="shared" si="41"/>
        <v/>
      </c>
      <c r="AA43" s="1216" t="str">
        <f t="shared" si="41"/>
        <v/>
      </c>
      <c r="AB43" s="1217" t="str">
        <f t="shared" si="41"/>
        <v/>
      </c>
      <c r="AC43" s="1216" t="str">
        <f t="shared" si="41"/>
        <v/>
      </c>
      <c r="AD43" s="1218" t="str">
        <f t="shared" si="41"/>
        <v/>
      </c>
      <c r="AE43" s="1219">
        <f t="shared" si="27"/>
        <v>0</v>
      </c>
      <c r="AF43" s="282">
        <f t="shared" si="28"/>
        <v>0</v>
      </c>
      <c r="AG43" s="282" t="str">
        <f t="shared" si="29"/>
        <v>cukup</v>
      </c>
      <c r="AH43" s="282" t="str">
        <f t="shared" si="29"/>
        <v>cukup</v>
      </c>
      <c r="AI43" s="282" t="str">
        <f t="shared" si="30"/>
        <v/>
      </c>
      <c r="AJ43" s="283" t="str">
        <f t="shared" si="31"/>
        <v/>
      </c>
      <c r="AK43" s="284" t="str">
        <f t="shared" si="32"/>
        <v/>
      </c>
      <c r="AL43" s="276"/>
      <c r="AM43" s="277"/>
      <c r="AN43" s="277"/>
      <c r="AO43" s="277"/>
      <c r="AP43" s="277"/>
      <c r="AQ43" s="277"/>
      <c r="AR43" s="277"/>
      <c r="AS43" s="280"/>
      <c r="AT43" s="277"/>
      <c r="AU43" s="278"/>
      <c r="AV43" s="285" t="str">
        <f t="shared" si="33"/>
        <v/>
      </c>
      <c r="AW43" s="296" t="str">
        <f t="shared" si="34"/>
        <v/>
      </c>
      <c r="AX43" s="1220" t="str">
        <f t="shared" si="42"/>
        <v/>
      </c>
      <c r="AY43" s="1221" t="str">
        <f t="shared" si="42"/>
        <v/>
      </c>
      <c r="AZ43" s="1221" t="str">
        <f t="shared" si="42"/>
        <v/>
      </c>
      <c r="BA43" s="1221" t="str">
        <f t="shared" si="42"/>
        <v/>
      </c>
      <c r="BB43" s="1221" t="str">
        <f t="shared" si="42"/>
        <v/>
      </c>
      <c r="BC43" s="1221" t="str">
        <f t="shared" si="42"/>
        <v/>
      </c>
      <c r="BD43" s="1221" t="str">
        <f t="shared" si="42"/>
        <v/>
      </c>
      <c r="BE43" s="1222" t="str">
        <f t="shared" si="42"/>
        <v/>
      </c>
      <c r="BF43" s="1221" t="str">
        <f t="shared" si="42"/>
        <v/>
      </c>
      <c r="BG43" s="1223" t="str">
        <f t="shared" si="42"/>
        <v/>
      </c>
      <c r="BH43" s="286">
        <f t="shared" si="35"/>
        <v>0</v>
      </c>
      <c r="BI43" s="286">
        <f t="shared" si="36"/>
        <v>0</v>
      </c>
      <c r="BJ43" s="287" t="str">
        <f t="shared" si="37"/>
        <v>cukup</v>
      </c>
      <c r="BK43" s="287" t="str">
        <f t="shared" si="37"/>
        <v>cukup</v>
      </c>
      <c r="BL43" s="286" t="e">
        <f t="shared" si="38"/>
        <v>#N/A</v>
      </c>
      <c r="BM43" s="288" t="e">
        <f t="shared" si="39"/>
        <v>#N/A</v>
      </c>
      <c r="BN43" s="289" t="str">
        <f t="shared" si="40"/>
        <v/>
      </c>
      <c r="BO43" s="67"/>
    </row>
    <row r="44" spans="1:67" ht="33" customHeight="1">
      <c r="A44" s="67"/>
      <c r="B44" s="272">
        <f t="shared" si="23"/>
        <v>31</v>
      </c>
      <c r="C44" s="273">
        <f>IF(Data!F35="","",Data!F35)</f>
        <v>0</v>
      </c>
      <c r="D44" s="274" t="str">
        <f>IF(Data!H35="","",Data!H35)</f>
        <v>Sinta Norliana Funan</v>
      </c>
      <c r="E44" s="275" t="str">
        <f>IF(Data!I35="","",Data!I35)</f>
        <v>P</v>
      </c>
      <c r="F44" s="276"/>
      <c r="G44" s="277"/>
      <c r="H44" s="277"/>
      <c r="I44" s="277"/>
      <c r="J44" s="277"/>
      <c r="K44" s="277"/>
      <c r="L44" s="277"/>
      <c r="M44" s="280"/>
      <c r="N44" s="277"/>
      <c r="O44" s="278"/>
      <c r="P44" s="279" t="str">
        <f t="shared" si="24"/>
        <v/>
      </c>
      <c r="Q44" s="277"/>
      <c r="R44" s="280"/>
      <c r="S44" s="281" t="str">
        <f t="shared" si="25"/>
        <v/>
      </c>
      <c r="T44" s="295" t="str">
        <f t="shared" si="26"/>
        <v/>
      </c>
      <c r="U44" s="1215" t="str">
        <f t="shared" si="41"/>
        <v/>
      </c>
      <c r="V44" s="1216" t="str">
        <f t="shared" si="41"/>
        <v/>
      </c>
      <c r="W44" s="1216" t="str">
        <f t="shared" si="41"/>
        <v/>
      </c>
      <c r="X44" s="1216" t="str">
        <f t="shared" si="41"/>
        <v/>
      </c>
      <c r="Y44" s="1216" t="str">
        <f t="shared" si="41"/>
        <v/>
      </c>
      <c r="Z44" s="1216" t="str">
        <f t="shared" si="41"/>
        <v/>
      </c>
      <c r="AA44" s="1216" t="str">
        <f t="shared" si="41"/>
        <v/>
      </c>
      <c r="AB44" s="1217" t="str">
        <f t="shared" si="41"/>
        <v/>
      </c>
      <c r="AC44" s="1216" t="str">
        <f t="shared" si="41"/>
        <v/>
      </c>
      <c r="AD44" s="1218" t="str">
        <f t="shared" si="41"/>
        <v/>
      </c>
      <c r="AE44" s="1219">
        <f t="shared" si="27"/>
        <v>0</v>
      </c>
      <c r="AF44" s="282">
        <f t="shared" si="28"/>
        <v>0</v>
      </c>
      <c r="AG44" s="282" t="str">
        <f t="shared" si="29"/>
        <v>cukup</v>
      </c>
      <c r="AH44" s="282" t="str">
        <f t="shared" si="29"/>
        <v>cukup</v>
      </c>
      <c r="AI44" s="282" t="str">
        <f t="shared" si="30"/>
        <v/>
      </c>
      <c r="AJ44" s="283" t="str">
        <f t="shared" si="31"/>
        <v/>
      </c>
      <c r="AK44" s="284" t="str">
        <f t="shared" si="32"/>
        <v/>
      </c>
      <c r="AL44" s="276"/>
      <c r="AM44" s="277"/>
      <c r="AN44" s="277"/>
      <c r="AO44" s="277"/>
      <c r="AP44" s="277"/>
      <c r="AQ44" s="277"/>
      <c r="AR44" s="277"/>
      <c r="AS44" s="280"/>
      <c r="AT44" s="277"/>
      <c r="AU44" s="278"/>
      <c r="AV44" s="285" t="str">
        <f t="shared" si="33"/>
        <v/>
      </c>
      <c r="AW44" s="296" t="str">
        <f t="shared" si="34"/>
        <v/>
      </c>
      <c r="AX44" s="1220" t="str">
        <f t="shared" si="42"/>
        <v/>
      </c>
      <c r="AY44" s="1221" t="str">
        <f t="shared" si="42"/>
        <v/>
      </c>
      <c r="AZ44" s="1221" t="str">
        <f t="shared" si="42"/>
        <v/>
      </c>
      <c r="BA44" s="1221" t="str">
        <f t="shared" si="42"/>
        <v/>
      </c>
      <c r="BB44" s="1221" t="str">
        <f t="shared" si="42"/>
        <v/>
      </c>
      <c r="BC44" s="1221" t="str">
        <f t="shared" si="42"/>
        <v/>
      </c>
      <c r="BD44" s="1221" t="str">
        <f t="shared" si="42"/>
        <v/>
      </c>
      <c r="BE44" s="1222" t="str">
        <f t="shared" si="42"/>
        <v/>
      </c>
      <c r="BF44" s="1221" t="str">
        <f t="shared" si="42"/>
        <v/>
      </c>
      <c r="BG44" s="1223" t="str">
        <f t="shared" si="42"/>
        <v/>
      </c>
      <c r="BH44" s="286">
        <f t="shared" si="35"/>
        <v>0</v>
      </c>
      <c r="BI44" s="286">
        <f t="shared" si="36"/>
        <v>0</v>
      </c>
      <c r="BJ44" s="287" t="str">
        <f t="shared" si="37"/>
        <v>cukup</v>
      </c>
      <c r="BK44" s="287" t="str">
        <f t="shared" si="37"/>
        <v>cukup</v>
      </c>
      <c r="BL44" s="286" t="e">
        <f t="shared" si="38"/>
        <v>#N/A</v>
      </c>
      <c r="BM44" s="288" t="e">
        <f t="shared" si="39"/>
        <v>#N/A</v>
      </c>
      <c r="BN44" s="289" t="str">
        <f t="shared" si="40"/>
        <v/>
      </c>
      <c r="BO44" s="67"/>
    </row>
    <row r="45" spans="1:67" ht="33" customHeight="1">
      <c r="A45" s="67"/>
      <c r="B45" s="272">
        <f t="shared" si="23"/>
        <v>32</v>
      </c>
      <c r="C45" s="273">
        <f>IF(Data!F36="","",Data!F36)</f>
        <v>0</v>
      </c>
      <c r="D45" s="274" t="str">
        <f>IF(Data!H36="","",Data!H36)</f>
        <v>Stevi Otnial Loemnanu</v>
      </c>
      <c r="E45" s="275" t="str">
        <f>IF(Data!I36="","",Data!I36)</f>
        <v>L</v>
      </c>
      <c r="F45" s="276"/>
      <c r="G45" s="277"/>
      <c r="H45" s="277"/>
      <c r="I45" s="277"/>
      <c r="J45" s="277"/>
      <c r="K45" s="277"/>
      <c r="L45" s="277"/>
      <c r="M45" s="280"/>
      <c r="N45" s="277"/>
      <c r="O45" s="278"/>
      <c r="P45" s="279" t="str">
        <f t="shared" si="24"/>
        <v/>
      </c>
      <c r="Q45" s="277"/>
      <c r="R45" s="280"/>
      <c r="S45" s="281" t="str">
        <f t="shared" si="25"/>
        <v/>
      </c>
      <c r="T45" s="295" t="str">
        <f t="shared" si="26"/>
        <v/>
      </c>
      <c r="U45" s="1215" t="str">
        <f t="shared" si="41"/>
        <v/>
      </c>
      <c r="V45" s="1216" t="str">
        <f t="shared" si="41"/>
        <v/>
      </c>
      <c r="W45" s="1216" t="str">
        <f t="shared" si="41"/>
        <v/>
      </c>
      <c r="X45" s="1216" t="str">
        <f t="shared" si="41"/>
        <v/>
      </c>
      <c r="Y45" s="1216" t="str">
        <f t="shared" si="41"/>
        <v/>
      </c>
      <c r="Z45" s="1216" t="str">
        <f t="shared" si="41"/>
        <v/>
      </c>
      <c r="AA45" s="1216" t="str">
        <f t="shared" si="41"/>
        <v/>
      </c>
      <c r="AB45" s="1217" t="str">
        <f t="shared" si="41"/>
        <v/>
      </c>
      <c r="AC45" s="1216" t="str">
        <f t="shared" si="41"/>
        <v/>
      </c>
      <c r="AD45" s="1218" t="str">
        <f t="shared" si="41"/>
        <v/>
      </c>
      <c r="AE45" s="1219">
        <f t="shared" si="27"/>
        <v>0</v>
      </c>
      <c r="AF45" s="282">
        <f t="shared" si="28"/>
        <v>0</v>
      </c>
      <c r="AG45" s="282" t="str">
        <f t="shared" si="29"/>
        <v>cukup</v>
      </c>
      <c r="AH45" s="282" t="str">
        <f t="shared" si="29"/>
        <v>cukup</v>
      </c>
      <c r="AI45" s="282" t="str">
        <f t="shared" si="30"/>
        <v/>
      </c>
      <c r="AJ45" s="283" t="str">
        <f t="shared" si="31"/>
        <v/>
      </c>
      <c r="AK45" s="284" t="str">
        <f t="shared" si="32"/>
        <v/>
      </c>
      <c r="AL45" s="276"/>
      <c r="AM45" s="277"/>
      <c r="AN45" s="277"/>
      <c r="AO45" s="277"/>
      <c r="AP45" s="277"/>
      <c r="AQ45" s="277"/>
      <c r="AR45" s="277"/>
      <c r="AS45" s="280"/>
      <c r="AT45" s="277"/>
      <c r="AU45" s="278"/>
      <c r="AV45" s="285" t="str">
        <f t="shared" si="33"/>
        <v/>
      </c>
      <c r="AW45" s="296" t="str">
        <f t="shared" si="34"/>
        <v/>
      </c>
      <c r="AX45" s="1220" t="str">
        <f t="shared" si="42"/>
        <v/>
      </c>
      <c r="AY45" s="1221" t="str">
        <f t="shared" si="42"/>
        <v/>
      </c>
      <c r="AZ45" s="1221" t="str">
        <f t="shared" si="42"/>
        <v/>
      </c>
      <c r="BA45" s="1221" t="str">
        <f t="shared" si="42"/>
        <v/>
      </c>
      <c r="BB45" s="1221" t="str">
        <f t="shared" si="42"/>
        <v/>
      </c>
      <c r="BC45" s="1221" t="str">
        <f t="shared" si="42"/>
        <v/>
      </c>
      <c r="BD45" s="1221" t="str">
        <f t="shared" si="42"/>
        <v/>
      </c>
      <c r="BE45" s="1222" t="str">
        <f t="shared" si="42"/>
        <v/>
      </c>
      <c r="BF45" s="1221" t="str">
        <f t="shared" si="42"/>
        <v/>
      </c>
      <c r="BG45" s="1223" t="str">
        <f t="shared" si="42"/>
        <v/>
      </c>
      <c r="BH45" s="286">
        <f t="shared" si="35"/>
        <v>0</v>
      </c>
      <c r="BI45" s="286">
        <f t="shared" si="36"/>
        <v>0</v>
      </c>
      <c r="BJ45" s="287" t="str">
        <f t="shared" si="37"/>
        <v>cukup</v>
      </c>
      <c r="BK45" s="287" t="str">
        <f t="shared" si="37"/>
        <v>cukup</v>
      </c>
      <c r="BL45" s="286" t="e">
        <f t="shared" si="38"/>
        <v>#N/A</v>
      </c>
      <c r="BM45" s="288" t="e">
        <f t="shared" si="39"/>
        <v>#N/A</v>
      </c>
      <c r="BN45" s="289" t="str">
        <f t="shared" si="40"/>
        <v/>
      </c>
      <c r="BO45" s="67"/>
    </row>
    <row r="46" spans="1:67" ht="33" customHeight="1">
      <c r="A46" s="67"/>
      <c r="B46" s="272">
        <f t="shared" si="23"/>
        <v>33</v>
      </c>
      <c r="C46" s="273">
        <f>IF(Data!F37="","",Data!F37)</f>
        <v>0</v>
      </c>
      <c r="D46" s="274" t="str">
        <f>IF(Data!H37="","",Data!H37)</f>
        <v>Venciani Sefrianti Sufnera</v>
      </c>
      <c r="E46" s="275" t="str">
        <f>IF(Data!I37="","",Data!I37)</f>
        <v>P</v>
      </c>
      <c r="F46" s="276"/>
      <c r="G46" s="277"/>
      <c r="H46" s="277"/>
      <c r="I46" s="277"/>
      <c r="J46" s="277"/>
      <c r="K46" s="277"/>
      <c r="L46" s="277"/>
      <c r="M46" s="280"/>
      <c r="N46" s="277"/>
      <c r="O46" s="278"/>
      <c r="P46" s="279" t="str">
        <f t="shared" si="24"/>
        <v/>
      </c>
      <c r="Q46" s="277"/>
      <c r="R46" s="280"/>
      <c r="S46" s="281" t="str">
        <f t="shared" si="25"/>
        <v/>
      </c>
      <c r="T46" s="295" t="str">
        <f t="shared" si="26"/>
        <v/>
      </c>
      <c r="U46" s="1215" t="str">
        <f t="shared" si="41"/>
        <v/>
      </c>
      <c r="V46" s="1216" t="str">
        <f t="shared" si="41"/>
        <v/>
      </c>
      <c r="W46" s="1216" t="str">
        <f t="shared" si="41"/>
        <v/>
      </c>
      <c r="X46" s="1216" t="str">
        <f t="shared" si="41"/>
        <v/>
      </c>
      <c r="Y46" s="1216" t="str">
        <f t="shared" si="41"/>
        <v/>
      </c>
      <c r="Z46" s="1216" t="str">
        <f t="shared" si="41"/>
        <v/>
      </c>
      <c r="AA46" s="1216" t="str">
        <f t="shared" si="41"/>
        <v/>
      </c>
      <c r="AB46" s="1217" t="str">
        <f t="shared" si="41"/>
        <v/>
      </c>
      <c r="AC46" s="1216" t="str">
        <f t="shared" si="41"/>
        <v/>
      </c>
      <c r="AD46" s="1218" t="str">
        <f t="shared" si="41"/>
        <v/>
      </c>
      <c r="AE46" s="1219">
        <f t="shared" si="27"/>
        <v>0</v>
      </c>
      <c r="AF46" s="282">
        <f t="shared" si="28"/>
        <v>0</v>
      </c>
      <c r="AG46" s="282" t="str">
        <f t="shared" si="29"/>
        <v>cukup</v>
      </c>
      <c r="AH46" s="282" t="str">
        <f t="shared" si="29"/>
        <v>cukup</v>
      </c>
      <c r="AI46" s="282" t="str">
        <f t="shared" si="30"/>
        <v/>
      </c>
      <c r="AJ46" s="283" t="str">
        <f t="shared" si="31"/>
        <v/>
      </c>
      <c r="AK46" s="284" t="str">
        <f t="shared" si="32"/>
        <v/>
      </c>
      <c r="AL46" s="276"/>
      <c r="AM46" s="277"/>
      <c r="AN46" s="277"/>
      <c r="AO46" s="277"/>
      <c r="AP46" s="277"/>
      <c r="AQ46" s="277"/>
      <c r="AR46" s="277"/>
      <c r="AS46" s="280"/>
      <c r="AT46" s="277"/>
      <c r="AU46" s="278"/>
      <c r="AV46" s="285" t="str">
        <f t="shared" si="33"/>
        <v/>
      </c>
      <c r="AW46" s="296" t="str">
        <f t="shared" si="34"/>
        <v/>
      </c>
      <c r="AX46" s="1220" t="str">
        <f t="shared" si="42"/>
        <v/>
      </c>
      <c r="AY46" s="1221" t="str">
        <f t="shared" si="42"/>
        <v/>
      </c>
      <c r="AZ46" s="1221" t="str">
        <f t="shared" si="42"/>
        <v/>
      </c>
      <c r="BA46" s="1221" t="str">
        <f t="shared" si="42"/>
        <v/>
      </c>
      <c r="BB46" s="1221" t="str">
        <f t="shared" si="42"/>
        <v/>
      </c>
      <c r="BC46" s="1221" t="str">
        <f t="shared" si="42"/>
        <v/>
      </c>
      <c r="BD46" s="1221" t="str">
        <f t="shared" si="42"/>
        <v/>
      </c>
      <c r="BE46" s="1222" t="str">
        <f t="shared" si="42"/>
        <v/>
      </c>
      <c r="BF46" s="1221" t="str">
        <f t="shared" si="42"/>
        <v/>
      </c>
      <c r="BG46" s="1223" t="str">
        <f t="shared" si="42"/>
        <v/>
      </c>
      <c r="BH46" s="286">
        <f t="shared" si="35"/>
        <v>0</v>
      </c>
      <c r="BI46" s="286">
        <f t="shared" si="36"/>
        <v>0</v>
      </c>
      <c r="BJ46" s="287" t="str">
        <f t="shared" si="37"/>
        <v>cukup</v>
      </c>
      <c r="BK46" s="287" t="str">
        <f t="shared" si="37"/>
        <v>cukup</v>
      </c>
      <c r="BL46" s="286" t="e">
        <f t="shared" si="38"/>
        <v>#N/A</v>
      </c>
      <c r="BM46" s="288" t="e">
        <f t="shared" si="39"/>
        <v>#N/A</v>
      </c>
      <c r="BN46" s="289" t="str">
        <f t="shared" si="40"/>
        <v/>
      </c>
      <c r="BO46" s="67"/>
    </row>
    <row r="47" spans="1:67" ht="33" customHeight="1">
      <c r="A47" s="67"/>
      <c r="B47" s="272">
        <f t="shared" si="23"/>
        <v>34</v>
      </c>
      <c r="C47" s="273">
        <f>IF(Data!F38="","",Data!F38)</f>
        <v>0</v>
      </c>
      <c r="D47" s="274" t="str">
        <f>IF(Data!H38="","",Data!H38)</f>
        <v>Yangres Nitti</v>
      </c>
      <c r="E47" s="275" t="str">
        <f>IF(Data!I38="","",Data!I38)</f>
        <v>L</v>
      </c>
      <c r="F47" s="276"/>
      <c r="G47" s="277"/>
      <c r="H47" s="277"/>
      <c r="I47" s="277"/>
      <c r="J47" s="277"/>
      <c r="K47" s="277"/>
      <c r="L47" s="277"/>
      <c r="M47" s="280"/>
      <c r="N47" s="277"/>
      <c r="O47" s="278"/>
      <c r="P47" s="279" t="str">
        <f t="shared" si="24"/>
        <v/>
      </c>
      <c r="Q47" s="277"/>
      <c r="R47" s="280"/>
      <c r="S47" s="281" t="str">
        <f t="shared" si="25"/>
        <v/>
      </c>
      <c r="T47" s="295" t="str">
        <f t="shared" si="26"/>
        <v/>
      </c>
      <c r="U47" s="1215" t="str">
        <f t="shared" si="41"/>
        <v/>
      </c>
      <c r="V47" s="1216" t="str">
        <f t="shared" si="41"/>
        <v/>
      </c>
      <c r="W47" s="1216" t="str">
        <f t="shared" si="41"/>
        <v/>
      </c>
      <c r="X47" s="1216" t="str">
        <f t="shared" si="41"/>
        <v/>
      </c>
      <c r="Y47" s="1216" t="str">
        <f t="shared" si="41"/>
        <v/>
      </c>
      <c r="Z47" s="1216" t="str">
        <f t="shared" si="41"/>
        <v/>
      </c>
      <c r="AA47" s="1216" t="str">
        <f t="shared" si="41"/>
        <v/>
      </c>
      <c r="AB47" s="1217" t="str">
        <f t="shared" si="41"/>
        <v/>
      </c>
      <c r="AC47" s="1216" t="str">
        <f t="shared" si="41"/>
        <v/>
      </c>
      <c r="AD47" s="1218" t="str">
        <f t="shared" si="41"/>
        <v/>
      </c>
      <c r="AE47" s="1219">
        <f t="shared" si="27"/>
        <v>0</v>
      </c>
      <c r="AF47" s="282">
        <f t="shared" si="28"/>
        <v>0</v>
      </c>
      <c r="AG47" s="282" t="str">
        <f t="shared" si="29"/>
        <v>cukup</v>
      </c>
      <c r="AH47" s="282" t="str">
        <f t="shared" si="29"/>
        <v>cukup</v>
      </c>
      <c r="AI47" s="282" t="str">
        <f t="shared" si="30"/>
        <v/>
      </c>
      <c r="AJ47" s="283" t="str">
        <f t="shared" si="31"/>
        <v/>
      </c>
      <c r="AK47" s="284" t="str">
        <f t="shared" si="32"/>
        <v/>
      </c>
      <c r="AL47" s="276"/>
      <c r="AM47" s="277"/>
      <c r="AN47" s="277"/>
      <c r="AO47" s="277"/>
      <c r="AP47" s="277"/>
      <c r="AQ47" s="277"/>
      <c r="AR47" s="277"/>
      <c r="AS47" s="280"/>
      <c r="AT47" s="277"/>
      <c r="AU47" s="278"/>
      <c r="AV47" s="285" t="str">
        <f t="shared" si="33"/>
        <v/>
      </c>
      <c r="AW47" s="296" t="str">
        <f t="shared" si="34"/>
        <v/>
      </c>
      <c r="AX47" s="1220" t="str">
        <f t="shared" si="42"/>
        <v/>
      </c>
      <c r="AY47" s="1221" t="str">
        <f t="shared" si="42"/>
        <v/>
      </c>
      <c r="AZ47" s="1221" t="str">
        <f t="shared" si="42"/>
        <v/>
      </c>
      <c r="BA47" s="1221" t="str">
        <f t="shared" si="42"/>
        <v/>
      </c>
      <c r="BB47" s="1221" t="str">
        <f t="shared" si="42"/>
        <v/>
      </c>
      <c r="BC47" s="1221" t="str">
        <f t="shared" si="42"/>
        <v/>
      </c>
      <c r="BD47" s="1221" t="str">
        <f t="shared" si="42"/>
        <v/>
      </c>
      <c r="BE47" s="1222" t="str">
        <f t="shared" si="42"/>
        <v/>
      </c>
      <c r="BF47" s="1221" t="str">
        <f t="shared" si="42"/>
        <v/>
      </c>
      <c r="BG47" s="1223" t="str">
        <f t="shared" si="42"/>
        <v/>
      </c>
      <c r="BH47" s="286">
        <f t="shared" si="35"/>
        <v>0</v>
      </c>
      <c r="BI47" s="286">
        <f t="shared" si="36"/>
        <v>0</v>
      </c>
      <c r="BJ47" s="287" t="str">
        <f t="shared" si="37"/>
        <v>cukup</v>
      </c>
      <c r="BK47" s="287" t="str">
        <f t="shared" si="37"/>
        <v>cukup</v>
      </c>
      <c r="BL47" s="286" t="e">
        <f t="shared" si="38"/>
        <v>#N/A</v>
      </c>
      <c r="BM47" s="288" t="e">
        <f t="shared" si="39"/>
        <v>#N/A</v>
      </c>
      <c r="BN47" s="289" t="str">
        <f t="shared" si="40"/>
        <v/>
      </c>
      <c r="BO47" s="67"/>
    </row>
    <row r="48" spans="1:67" ht="33" customHeight="1">
      <c r="A48" s="67"/>
      <c r="B48" s="272">
        <f t="shared" si="23"/>
        <v>35</v>
      </c>
      <c r="C48" s="273">
        <f>IF(Data!F39="","",Data!F39)</f>
        <v>0</v>
      </c>
      <c r="D48" s="274" t="str">
        <f>IF(Data!H39="","",Data!H39)</f>
        <v>Yefta Trianus Mau</v>
      </c>
      <c r="E48" s="275" t="str">
        <f>IF(Data!I39="","",Data!I39)</f>
        <v>L</v>
      </c>
      <c r="F48" s="276"/>
      <c r="G48" s="277"/>
      <c r="H48" s="277"/>
      <c r="I48" s="277"/>
      <c r="J48" s="277"/>
      <c r="K48" s="277"/>
      <c r="L48" s="277"/>
      <c r="M48" s="280"/>
      <c r="N48" s="277"/>
      <c r="O48" s="278"/>
      <c r="P48" s="279" t="str">
        <f t="shared" si="24"/>
        <v/>
      </c>
      <c r="Q48" s="277"/>
      <c r="R48" s="280"/>
      <c r="S48" s="281" t="str">
        <f t="shared" si="25"/>
        <v/>
      </c>
      <c r="T48" s="295" t="str">
        <f t="shared" si="26"/>
        <v/>
      </c>
      <c r="U48" s="1215" t="str">
        <f t="shared" si="41"/>
        <v/>
      </c>
      <c r="V48" s="1216" t="str">
        <f t="shared" si="41"/>
        <v/>
      </c>
      <c r="W48" s="1216" t="str">
        <f t="shared" si="41"/>
        <v/>
      </c>
      <c r="X48" s="1216" t="str">
        <f t="shared" si="41"/>
        <v/>
      </c>
      <c r="Y48" s="1216" t="str">
        <f t="shared" si="41"/>
        <v/>
      </c>
      <c r="Z48" s="1216" t="str">
        <f t="shared" si="41"/>
        <v/>
      </c>
      <c r="AA48" s="1216" t="str">
        <f t="shared" si="41"/>
        <v/>
      </c>
      <c r="AB48" s="1217" t="str">
        <f t="shared" si="41"/>
        <v/>
      </c>
      <c r="AC48" s="1216" t="str">
        <f t="shared" si="41"/>
        <v/>
      </c>
      <c r="AD48" s="1218" t="str">
        <f t="shared" si="41"/>
        <v/>
      </c>
      <c r="AE48" s="1219">
        <f t="shared" si="27"/>
        <v>0</v>
      </c>
      <c r="AF48" s="282">
        <f t="shared" si="28"/>
        <v>0</v>
      </c>
      <c r="AG48" s="282" t="str">
        <f t="shared" si="29"/>
        <v>cukup</v>
      </c>
      <c r="AH48" s="282" t="str">
        <f t="shared" si="29"/>
        <v>cukup</v>
      </c>
      <c r="AI48" s="282" t="str">
        <f t="shared" si="30"/>
        <v/>
      </c>
      <c r="AJ48" s="283" t="str">
        <f t="shared" si="31"/>
        <v/>
      </c>
      <c r="AK48" s="284" t="str">
        <f t="shared" si="32"/>
        <v/>
      </c>
      <c r="AL48" s="276"/>
      <c r="AM48" s="277"/>
      <c r="AN48" s="277"/>
      <c r="AO48" s="277"/>
      <c r="AP48" s="277"/>
      <c r="AQ48" s="277"/>
      <c r="AR48" s="277"/>
      <c r="AS48" s="280"/>
      <c r="AT48" s="277"/>
      <c r="AU48" s="278"/>
      <c r="AV48" s="285" t="str">
        <f t="shared" si="33"/>
        <v/>
      </c>
      <c r="AW48" s="296" t="str">
        <f t="shared" si="34"/>
        <v/>
      </c>
      <c r="AX48" s="1220" t="str">
        <f t="shared" si="42"/>
        <v/>
      </c>
      <c r="AY48" s="1221" t="str">
        <f t="shared" si="42"/>
        <v/>
      </c>
      <c r="AZ48" s="1221" t="str">
        <f t="shared" si="42"/>
        <v/>
      </c>
      <c r="BA48" s="1221" t="str">
        <f t="shared" si="42"/>
        <v/>
      </c>
      <c r="BB48" s="1221" t="str">
        <f t="shared" si="42"/>
        <v/>
      </c>
      <c r="BC48" s="1221" t="str">
        <f t="shared" si="42"/>
        <v/>
      </c>
      <c r="BD48" s="1221" t="str">
        <f t="shared" si="42"/>
        <v/>
      </c>
      <c r="BE48" s="1222" t="str">
        <f t="shared" si="42"/>
        <v/>
      </c>
      <c r="BF48" s="1221" t="str">
        <f t="shared" si="42"/>
        <v/>
      </c>
      <c r="BG48" s="1223" t="str">
        <f t="shared" si="42"/>
        <v/>
      </c>
      <c r="BH48" s="286">
        <f t="shared" si="35"/>
        <v>0</v>
      </c>
      <c r="BI48" s="286">
        <f t="shared" si="36"/>
        <v>0</v>
      </c>
      <c r="BJ48" s="287" t="str">
        <f t="shared" si="37"/>
        <v>cukup</v>
      </c>
      <c r="BK48" s="287" t="str">
        <f t="shared" si="37"/>
        <v>cukup</v>
      </c>
      <c r="BL48" s="286" t="e">
        <f t="shared" si="38"/>
        <v>#N/A</v>
      </c>
      <c r="BM48" s="288" t="e">
        <f t="shared" si="39"/>
        <v>#N/A</v>
      </c>
      <c r="BN48" s="289" t="str">
        <f t="shared" si="40"/>
        <v/>
      </c>
      <c r="BO48" s="67"/>
    </row>
    <row r="49" spans="1:67" ht="33" customHeight="1">
      <c r="A49" s="67"/>
      <c r="B49" s="272">
        <f t="shared" si="23"/>
        <v>36</v>
      </c>
      <c r="C49" s="273">
        <f>IF(Data!F40="","",Data!F40)</f>
        <v>0</v>
      </c>
      <c r="D49" s="274" t="str">
        <f>IF(Data!H40="","",Data!H40)</f>
        <v>Yuliana Febriyanti Nggeon</v>
      </c>
      <c r="E49" s="275" t="str">
        <f>IF(Data!I40="","",Data!I40)</f>
        <v>P</v>
      </c>
      <c r="F49" s="276"/>
      <c r="G49" s="277"/>
      <c r="H49" s="277"/>
      <c r="I49" s="277"/>
      <c r="J49" s="277"/>
      <c r="K49" s="277"/>
      <c r="L49" s="277"/>
      <c r="M49" s="280"/>
      <c r="N49" s="277"/>
      <c r="O49" s="278"/>
      <c r="P49" s="279" t="str">
        <f t="shared" si="24"/>
        <v/>
      </c>
      <c r="Q49" s="277"/>
      <c r="R49" s="280"/>
      <c r="S49" s="281" t="str">
        <f t="shared" si="25"/>
        <v/>
      </c>
      <c r="T49" s="295" t="str">
        <f t="shared" si="26"/>
        <v/>
      </c>
      <c r="U49" s="1215" t="str">
        <f t="shared" si="41"/>
        <v/>
      </c>
      <c r="V49" s="1216" t="str">
        <f t="shared" si="41"/>
        <v/>
      </c>
      <c r="W49" s="1216" t="str">
        <f t="shared" si="41"/>
        <v/>
      </c>
      <c r="X49" s="1216" t="str">
        <f t="shared" si="41"/>
        <v/>
      </c>
      <c r="Y49" s="1216" t="str">
        <f t="shared" si="41"/>
        <v/>
      </c>
      <c r="Z49" s="1216" t="str">
        <f t="shared" si="41"/>
        <v/>
      </c>
      <c r="AA49" s="1216" t="str">
        <f t="shared" si="41"/>
        <v/>
      </c>
      <c r="AB49" s="1217" t="str">
        <f t="shared" si="41"/>
        <v/>
      </c>
      <c r="AC49" s="1216" t="str">
        <f t="shared" si="41"/>
        <v/>
      </c>
      <c r="AD49" s="1218" t="str">
        <f t="shared" si="41"/>
        <v/>
      </c>
      <c r="AE49" s="1219">
        <f t="shared" si="27"/>
        <v>0</v>
      </c>
      <c r="AF49" s="282">
        <f t="shared" si="28"/>
        <v>0</v>
      </c>
      <c r="AG49" s="282" t="str">
        <f t="shared" si="29"/>
        <v>cukup</v>
      </c>
      <c r="AH49" s="282" t="str">
        <f t="shared" si="29"/>
        <v>cukup</v>
      </c>
      <c r="AI49" s="282" t="str">
        <f t="shared" si="30"/>
        <v/>
      </c>
      <c r="AJ49" s="283" t="str">
        <f t="shared" si="31"/>
        <v/>
      </c>
      <c r="AK49" s="284" t="str">
        <f t="shared" si="32"/>
        <v/>
      </c>
      <c r="AL49" s="276"/>
      <c r="AM49" s="277"/>
      <c r="AN49" s="277"/>
      <c r="AO49" s="277"/>
      <c r="AP49" s="277"/>
      <c r="AQ49" s="277"/>
      <c r="AR49" s="277"/>
      <c r="AS49" s="280"/>
      <c r="AT49" s="277"/>
      <c r="AU49" s="278"/>
      <c r="AV49" s="285" t="str">
        <f t="shared" si="33"/>
        <v/>
      </c>
      <c r="AW49" s="296" t="str">
        <f t="shared" si="34"/>
        <v/>
      </c>
      <c r="AX49" s="1220" t="str">
        <f t="shared" si="42"/>
        <v/>
      </c>
      <c r="AY49" s="1221" t="str">
        <f t="shared" si="42"/>
        <v/>
      </c>
      <c r="AZ49" s="1221" t="str">
        <f t="shared" si="42"/>
        <v/>
      </c>
      <c r="BA49" s="1221" t="str">
        <f t="shared" si="42"/>
        <v/>
      </c>
      <c r="BB49" s="1221" t="str">
        <f t="shared" si="42"/>
        <v/>
      </c>
      <c r="BC49" s="1221" t="str">
        <f t="shared" si="42"/>
        <v/>
      </c>
      <c r="BD49" s="1221" t="str">
        <f t="shared" si="42"/>
        <v/>
      </c>
      <c r="BE49" s="1222" t="str">
        <f t="shared" si="42"/>
        <v/>
      </c>
      <c r="BF49" s="1221" t="str">
        <f t="shared" si="42"/>
        <v/>
      </c>
      <c r="BG49" s="1223" t="str">
        <f t="shared" si="42"/>
        <v/>
      </c>
      <c r="BH49" s="286">
        <f t="shared" si="35"/>
        <v>0</v>
      </c>
      <c r="BI49" s="286">
        <f t="shared" si="36"/>
        <v>0</v>
      </c>
      <c r="BJ49" s="287" t="str">
        <f t="shared" si="37"/>
        <v>cukup</v>
      </c>
      <c r="BK49" s="287" t="str">
        <f t="shared" si="37"/>
        <v>cukup</v>
      </c>
      <c r="BL49" s="286" t="e">
        <f t="shared" si="38"/>
        <v>#N/A</v>
      </c>
      <c r="BM49" s="288" t="e">
        <f t="shared" si="39"/>
        <v>#N/A</v>
      </c>
      <c r="BN49" s="289" t="str">
        <f t="shared" si="40"/>
        <v/>
      </c>
      <c r="BO49" s="67"/>
    </row>
    <row r="50" spans="1:67" ht="33" customHeight="1">
      <c r="A50" s="67"/>
      <c r="B50" s="272">
        <f t="shared" si="23"/>
        <v>37</v>
      </c>
      <c r="C50" s="273">
        <f>IF(Data!F41="","",Data!F41)</f>
        <v>0</v>
      </c>
      <c r="D50" s="274" t="str">
        <f>IF(Data!H41="","",Data!H41)</f>
        <v>Yuninda Pono</v>
      </c>
      <c r="E50" s="275" t="str">
        <f>IF(Data!I41="","",Data!I41)</f>
        <v>P</v>
      </c>
      <c r="F50" s="276"/>
      <c r="G50" s="277"/>
      <c r="H50" s="277"/>
      <c r="I50" s="277"/>
      <c r="J50" s="277"/>
      <c r="K50" s="277"/>
      <c r="L50" s="277"/>
      <c r="M50" s="280"/>
      <c r="N50" s="277"/>
      <c r="O50" s="278"/>
      <c r="P50" s="279" t="str">
        <f t="shared" si="24"/>
        <v/>
      </c>
      <c r="Q50" s="277"/>
      <c r="R50" s="280"/>
      <c r="S50" s="281" t="str">
        <f t="shared" si="25"/>
        <v/>
      </c>
      <c r="T50" s="295" t="str">
        <f t="shared" si="26"/>
        <v/>
      </c>
      <c r="U50" s="1215" t="str">
        <f t="shared" si="41"/>
        <v/>
      </c>
      <c r="V50" s="1216" t="str">
        <f t="shared" si="41"/>
        <v/>
      </c>
      <c r="W50" s="1216" t="str">
        <f t="shared" si="41"/>
        <v/>
      </c>
      <c r="X50" s="1216" t="str">
        <f t="shared" si="41"/>
        <v/>
      </c>
      <c r="Y50" s="1216" t="str">
        <f t="shared" si="41"/>
        <v/>
      </c>
      <c r="Z50" s="1216" t="str">
        <f t="shared" si="41"/>
        <v/>
      </c>
      <c r="AA50" s="1216" t="str">
        <f t="shared" si="41"/>
        <v/>
      </c>
      <c r="AB50" s="1217" t="str">
        <f t="shared" si="41"/>
        <v/>
      </c>
      <c r="AC50" s="1216" t="str">
        <f t="shared" si="41"/>
        <v/>
      </c>
      <c r="AD50" s="1218" t="str">
        <f t="shared" si="41"/>
        <v/>
      </c>
      <c r="AE50" s="1219">
        <f t="shared" si="27"/>
        <v>0</v>
      </c>
      <c r="AF50" s="282">
        <f t="shared" si="28"/>
        <v>0</v>
      </c>
      <c r="AG50" s="282" t="str">
        <f t="shared" si="29"/>
        <v>cukup</v>
      </c>
      <c r="AH50" s="282" t="str">
        <f t="shared" si="29"/>
        <v>cukup</v>
      </c>
      <c r="AI50" s="282" t="str">
        <f t="shared" si="30"/>
        <v/>
      </c>
      <c r="AJ50" s="283" t="str">
        <f t="shared" si="31"/>
        <v/>
      </c>
      <c r="AK50" s="284" t="str">
        <f t="shared" si="32"/>
        <v/>
      </c>
      <c r="AL50" s="276"/>
      <c r="AM50" s="277"/>
      <c r="AN50" s="277"/>
      <c r="AO50" s="277"/>
      <c r="AP50" s="277"/>
      <c r="AQ50" s="277"/>
      <c r="AR50" s="277"/>
      <c r="AS50" s="280"/>
      <c r="AT50" s="277"/>
      <c r="AU50" s="278"/>
      <c r="AV50" s="285" t="str">
        <f t="shared" si="33"/>
        <v/>
      </c>
      <c r="AW50" s="296" t="str">
        <f t="shared" si="34"/>
        <v/>
      </c>
      <c r="AX50" s="1220" t="str">
        <f t="shared" si="42"/>
        <v/>
      </c>
      <c r="AY50" s="1221" t="str">
        <f t="shared" si="42"/>
        <v/>
      </c>
      <c r="AZ50" s="1221" t="str">
        <f t="shared" si="42"/>
        <v/>
      </c>
      <c r="BA50" s="1221" t="str">
        <f t="shared" si="42"/>
        <v/>
      </c>
      <c r="BB50" s="1221" t="str">
        <f t="shared" si="42"/>
        <v/>
      </c>
      <c r="BC50" s="1221" t="str">
        <f t="shared" si="42"/>
        <v/>
      </c>
      <c r="BD50" s="1221" t="str">
        <f t="shared" si="42"/>
        <v/>
      </c>
      <c r="BE50" s="1222" t="str">
        <f t="shared" si="42"/>
        <v/>
      </c>
      <c r="BF50" s="1221" t="str">
        <f t="shared" si="42"/>
        <v/>
      </c>
      <c r="BG50" s="1223" t="str">
        <f t="shared" si="42"/>
        <v/>
      </c>
      <c r="BH50" s="286">
        <f t="shared" si="35"/>
        <v>0</v>
      </c>
      <c r="BI50" s="286">
        <f t="shared" si="36"/>
        <v>0</v>
      </c>
      <c r="BJ50" s="287" t="str">
        <f t="shared" si="37"/>
        <v>cukup</v>
      </c>
      <c r="BK50" s="287" t="str">
        <f t="shared" si="37"/>
        <v>cukup</v>
      </c>
      <c r="BL50" s="286" t="e">
        <f t="shared" si="38"/>
        <v>#N/A</v>
      </c>
      <c r="BM50" s="288" t="e">
        <f t="shared" si="39"/>
        <v>#N/A</v>
      </c>
      <c r="BN50" s="289" t="str">
        <f t="shared" si="40"/>
        <v/>
      </c>
      <c r="BO50" s="67"/>
    </row>
    <row r="51" spans="1:67" ht="33" customHeight="1">
      <c r="A51" s="67"/>
      <c r="B51" s="272" t="str">
        <f t="shared" si="23"/>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cukup</v>
      </c>
      <c r="AH51" s="282" t="str">
        <f t="shared" si="29"/>
        <v>cukup</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cukup</v>
      </c>
      <c r="BK51" s="287" t="str">
        <f t="shared" si="37"/>
        <v>cukup</v>
      </c>
      <c r="BL51" s="286" t="e">
        <f t="shared" si="38"/>
        <v>#N/A</v>
      </c>
      <c r="BM51" s="288" t="e">
        <f t="shared" si="39"/>
        <v>#N/A</v>
      </c>
      <c r="BN51" s="289" t="str">
        <f t="shared" si="40"/>
        <v/>
      </c>
      <c r="BO51" s="67"/>
    </row>
    <row r="52" spans="1:67" ht="33" customHeight="1">
      <c r="A52" s="67"/>
      <c r="B52" s="272" t="str">
        <f t="shared" si="23"/>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cukup</v>
      </c>
      <c r="AH52" s="282" t="str">
        <f t="shared" si="29"/>
        <v>cukup</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cukup</v>
      </c>
      <c r="BK52" s="287" t="str">
        <f t="shared" si="37"/>
        <v>cukup</v>
      </c>
      <c r="BL52" s="286" t="e">
        <f t="shared" si="38"/>
        <v>#N/A</v>
      </c>
      <c r="BM52" s="288" t="e">
        <f t="shared" si="39"/>
        <v>#N/A</v>
      </c>
      <c r="BN52" s="289" t="str">
        <f t="shared" si="40"/>
        <v/>
      </c>
      <c r="BO52" s="67"/>
    </row>
    <row r="53" spans="1:67" ht="33" customHeight="1">
      <c r="A53" s="67"/>
      <c r="B53" s="272" t="str">
        <f t="shared" si="23"/>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cukup</v>
      </c>
      <c r="AH53" s="282" t="str">
        <f t="shared" si="29"/>
        <v>cukup</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cukup</v>
      </c>
      <c r="BK53" s="287" t="str">
        <f t="shared" si="37"/>
        <v>cukup</v>
      </c>
      <c r="BL53" s="286" t="e">
        <f t="shared" si="38"/>
        <v>#N/A</v>
      </c>
      <c r="BM53" s="288" t="e">
        <f t="shared" si="39"/>
        <v>#N/A</v>
      </c>
      <c r="BN53" s="289" t="str">
        <f t="shared" si="40"/>
        <v/>
      </c>
      <c r="BO53" s="67"/>
    </row>
    <row r="54" spans="1:67" ht="33" customHeight="1">
      <c r="A54" s="67"/>
      <c r="B54" s="272" t="str">
        <f t="shared" si="23"/>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cukup</v>
      </c>
      <c r="AH54" s="282" t="str">
        <f t="shared" si="29"/>
        <v>cukup</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cukup</v>
      </c>
      <c r="BK54" s="287" t="str">
        <f t="shared" si="37"/>
        <v>cukup</v>
      </c>
      <c r="BL54" s="286" t="e">
        <f t="shared" si="38"/>
        <v>#N/A</v>
      </c>
      <c r="BM54" s="288" t="e">
        <f t="shared" si="39"/>
        <v>#N/A</v>
      </c>
      <c r="BN54" s="289" t="str">
        <f t="shared" si="40"/>
        <v/>
      </c>
      <c r="BO54" s="67"/>
    </row>
    <row r="55" spans="1:67" ht="33" customHeight="1">
      <c r="A55" s="67"/>
      <c r="B55" s="272" t="str">
        <f t="shared" si="23"/>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3">IF(K55="","",K55+Z$13)</f>
        <v/>
      </c>
      <c r="AA55" s="1216" t="str">
        <f t="shared" si="43"/>
        <v/>
      </c>
      <c r="AB55" s="1217" t="str">
        <f t="shared" si="43"/>
        <v/>
      </c>
      <c r="AC55" s="1216" t="str">
        <f t="shared" si="43"/>
        <v/>
      </c>
      <c r="AD55" s="1218" t="str">
        <f t="shared" si="43"/>
        <v/>
      </c>
      <c r="AE55" s="1219">
        <f t="shared" si="27"/>
        <v>0</v>
      </c>
      <c r="AF55" s="282">
        <f t="shared" si="28"/>
        <v>0</v>
      </c>
      <c r="AG55" s="282" t="str">
        <f t="shared" si="29"/>
        <v>cukup</v>
      </c>
      <c r="AH55" s="282" t="str">
        <f t="shared" si="29"/>
        <v>cukup</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4">IF(AQ55="","",AQ55+BC$12)</f>
        <v/>
      </c>
      <c r="BD55" s="1221" t="str">
        <f t="shared" si="44"/>
        <v/>
      </c>
      <c r="BE55" s="1222" t="str">
        <f t="shared" si="44"/>
        <v/>
      </c>
      <c r="BF55" s="1221" t="str">
        <f t="shared" si="44"/>
        <v/>
      </c>
      <c r="BG55" s="1223" t="str">
        <f t="shared" si="44"/>
        <v/>
      </c>
      <c r="BH55" s="286">
        <f t="shared" si="35"/>
        <v>0</v>
      </c>
      <c r="BI55" s="286">
        <f t="shared" si="36"/>
        <v>0</v>
      </c>
      <c r="BJ55" s="287" t="str">
        <f t="shared" si="37"/>
        <v>cukup</v>
      </c>
      <c r="BK55" s="287" t="str">
        <f t="shared" si="37"/>
        <v>cukup</v>
      </c>
      <c r="BL55" s="286" t="e">
        <f t="shared" si="38"/>
        <v>#N/A</v>
      </c>
      <c r="BM55" s="288" t="e">
        <f t="shared" si="39"/>
        <v>#N/A</v>
      </c>
      <c r="BN55" s="289" t="str">
        <f t="shared" si="40"/>
        <v/>
      </c>
      <c r="BO55" s="67"/>
    </row>
    <row r="56" spans="1:67" ht="33" customHeight="1">
      <c r="A56" s="67"/>
      <c r="B56" s="272" t="str">
        <f t="shared" si="23"/>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5">IF(F56="","",F56+U$13)</f>
        <v/>
      </c>
      <c r="V56" s="1216" t="str">
        <f t="shared" si="45"/>
        <v/>
      </c>
      <c r="W56" s="1216" t="str">
        <f t="shared" si="45"/>
        <v/>
      </c>
      <c r="X56" s="1216" t="str">
        <f t="shared" si="45"/>
        <v/>
      </c>
      <c r="Y56" s="1216" t="str">
        <f t="shared" si="45"/>
        <v/>
      </c>
      <c r="Z56" s="1216" t="str">
        <f t="shared" si="43"/>
        <v/>
      </c>
      <c r="AA56" s="1216" t="str">
        <f t="shared" si="43"/>
        <v/>
      </c>
      <c r="AB56" s="1217" t="str">
        <f t="shared" si="43"/>
        <v/>
      </c>
      <c r="AC56" s="1216" t="str">
        <f t="shared" si="43"/>
        <v/>
      </c>
      <c r="AD56" s="1218" t="str">
        <f t="shared" si="43"/>
        <v/>
      </c>
      <c r="AE56" s="1219">
        <f t="shared" si="27"/>
        <v>0</v>
      </c>
      <c r="AF56" s="282">
        <f t="shared" si="28"/>
        <v>0</v>
      </c>
      <c r="AG56" s="282" t="str">
        <f t="shared" si="29"/>
        <v>cukup</v>
      </c>
      <c r="AH56" s="282" t="str">
        <f t="shared" si="29"/>
        <v>cukup</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6">IF(AL56="","",AL56+AX$12)</f>
        <v/>
      </c>
      <c r="AY56" s="1221" t="str">
        <f t="shared" si="46"/>
        <v/>
      </c>
      <c r="AZ56" s="1221" t="str">
        <f t="shared" si="46"/>
        <v/>
      </c>
      <c r="BA56" s="1221" t="str">
        <f t="shared" si="46"/>
        <v/>
      </c>
      <c r="BB56" s="1221" t="str">
        <f t="shared" si="46"/>
        <v/>
      </c>
      <c r="BC56" s="1221" t="str">
        <f t="shared" si="44"/>
        <v/>
      </c>
      <c r="BD56" s="1221" t="str">
        <f t="shared" si="44"/>
        <v/>
      </c>
      <c r="BE56" s="1222" t="str">
        <f t="shared" si="44"/>
        <v/>
      </c>
      <c r="BF56" s="1221" t="str">
        <f t="shared" si="44"/>
        <v/>
      </c>
      <c r="BG56" s="1223" t="str">
        <f t="shared" si="44"/>
        <v/>
      </c>
      <c r="BH56" s="286">
        <f t="shared" si="35"/>
        <v>0</v>
      </c>
      <c r="BI56" s="286">
        <f t="shared" si="36"/>
        <v>0</v>
      </c>
      <c r="BJ56" s="287" t="str">
        <f t="shared" si="37"/>
        <v>cukup</v>
      </c>
      <c r="BK56" s="287" t="str">
        <f t="shared" si="37"/>
        <v>cukup</v>
      </c>
      <c r="BL56" s="286" t="e">
        <f t="shared" si="38"/>
        <v>#N/A</v>
      </c>
      <c r="BM56" s="288" t="e">
        <f t="shared" si="39"/>
        <v>#N/A</v>
      </c>
      <c r="BN56" s="289" t="str">
        <f t="shared" si="40"/>
        <v/>
      </c>
      <c r="BO56" s="67"/>
    </row>
    <row r="57" spans="1:67" ht="33" customHeight="1">
      <c r="A57" s="67"/>
      <c r="B57" s="272" t="str">
        <f t="shared" si="23"/>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5"/>
        <v/>
      </c>
      <c r="V57" s="1216" t="str">
        <f t="shared" si="45"/>
        <v/>
      </c>
      <c r="W57" s="1216" t="str">
        <f t="shared" si="45"/>
        <v/>
      </c>
      <c r="X57" s="1216" t="str">
        <f t="shared" si="45"/>
        <v/>
      </c>
      <c r="Y57" s="1216" t="str">
        <f t="shared" si="45"/>
        <v/>
      </c>
      <c r="Z57" s="1216" t="str">
        <f t="shared" si="43"/>
        <v/>
      </c>
      <c r="AA57" s="1216" t="str">
        <f t="shared" si="43"/>
        <v/>
      </c>
      <c r="AB57" s="1217" t="str">
        <f t="shared" si="43"/>
        <v/>
      </c>
      <c r="AC57" s="1216" t="str">
        <f t="shared" si="43"/>
        <v/>
      </c>
      <c r="AD57" s="1218" t="str">
        <f t="shared" si="43"/>
        <v/>
      </c>
      <c r="AE57" s="1219">
        <f t="shared" si="27"/>
        <v>0</v>
      </c>
      <c r="AF57" s="282">
        <f t="shared" si="28"/>
        <v>0</v>
      </c>
      <c r="AG57" s="282" t="str">
        <f t="shared" si="29"/>
        <v>cukup</v>
      </c>
      <c r="AH57" s="282" t="str">
        <f t="shared" si="29"/>
        <v>cukup</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6"/>
        <v/>
      </c>
      <c r="AY57" s="1221" t="str">
        <f t="shared" si="46"/>
        <v/>
      </c>
      <c r="AZ57" s="1221" t="str">
        <f t="shared" si="46"/>
        <v/>
      </c>
      <c r="BA57" s="1221" t="str">
        <f t="shared" si="46"/>
        <v/>
      </c>
      <c r="BB57" s="1221" t="str">
        <f t="shared" si="46"/>
        <v/>
      </c>
      <c r="BC57" s="1221" t="str">
        <f t="shared" si="44"/>
        <v/>
      </c>
      <c r="BD57" s="1221" t="str">
        <f t="shared" si="44"/>
        <v/>
      </c>
      <c r="BE57" s="1222" t="str">
        <f t="shared" si="44"/>
        <v/>
      </c>
      <c r="BF57" s="1221" t="str">
        <f t="shared" si="44"/>
        <v/>
      </c>
      <c r="BG57" s="1223" t="str">
        <f t="shared" si="44"/>
        <v/>
      </c>
      <c r="BH57" s="286">
        <f t="shared" si="35"/>
        <v>0</v>
      </c>
      <c r="BI57" s="286">
        <f t="shared" si="36"/>
        <v>0</v>
      </c>
      <c r="BJ57" s="287" t="str">
        <f t="shared" si="37"/>
        <v>cukup</v>
      </c>
      <c r="BK57" s="287" t="str">
        <f t="shared" si="37"/>
        <v>cukup</v>
      </c>
      <c r="BL57" s="286" t="e">
        <f t="shared" si="38"/>
        <v>#N/A</v>
      </c>
      <c r="BM57" s="288" t="e">
        <f t="shared" si="39"/>
        <v>#N/A</v>
      </c>
      <c r="BN57" s="289" t="str">
        <f t="shared" si="40"/>
        <v/>
      </c>
      <c r="BO57" s="67"/>
    </row>
    <row r="58" spans="1:67" ht="33" customHeight="1">
      <c r="A58" s="67"/>
      <c r="B58" s="272" t="str">
        <f t="shared" si="23"/>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5"/>
        <v/>
      </c>
      <c r="V58" s="1216" t="str">
        <f t="shared" si="45"/>
        <v/>
      </c>
      <c r="W58" s="1216" t="str">
        <f t="shared" si="45"/>
        <v/>
      </c>
      <c r="X58" s="1216" t="str">
        <f t="shared" si="45"/>
        <v/>
      </c>
      <c r="Y58" s="1216" t="str">
        <f t="shared" si="45"/>
        <v/>
      </c>
      <c r="Z58" s="1216" t="str">
        <f t="shared" si="43"/>
        <v/>
      </c>
      <c r="AA58" s="1216" t="str">
        <f t="shared" si="43"/>
        <v/>
      </c>
      <c r="AB58" s="1217" t="str">
        <f t="shared" si="43"/>
        <v/>
      </c>
      <c r="AC58" s="1216" t="str">
        <f t="shared" si="43"/>
        <v/>
      </c>
      <c r="AD58" s="1218" t="str">
        <f t="shared" si="43"/>
        <v/>
      </c>
      <c r="AE58" s="1219">
        <f t="shared" si="27"/>
        <v>0</v>
      </c>
      <c r="AF58" s="282">
        <f t="shared" si="28"/>
        <v>0</v>
      </c>
      <c r="AG58" s="282" t="str">
        <f t="shared" si="29"/>
        <v>cukup</v>
      </c>
      <c r="AH58" s="282" t="str">
        <f t="shared" si="29"/>
        <v>cukup</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6"/>
        <v/>
      </c>
      <c r="AY58" s="1221" t="str">
        <f t="shared" si="46"/>
        <v/>
      </c>
      <c r="AZ58" s="1221" t="str">
        <f t="shared" si="46"/>
        <v/>
      </c>
      <c r="BA58" s="1221" t="str">
        <f t="shared" si="46"/>
        <v/>
      </c>
      <c r="BB58" s="1221" t="str">
        <f t="shared" si="46"/>
        <v/>
      </c>
      <c r="BC58" s="1221" t="str">
        <f t="shared" si="44"/>
        <v/>
      </c>
      <c r="BD58" s="1221" t="str">
        <f t="shared" si="44"/>
        <v/>
      </c>
      <c r="BE58" s="1222" t="str">
        <f t="shared" si="44"/>
        <v/>
      </c>
      <c r="BF58" s="1221" t="str">
        <f t="shared" si="44"/>
        <v/>
      </c>
      <c r="BG58" s="1223" t="str">
        <f t="shared" si="44"/>
        <v/>
      </c>
      <c r="BH58" s="286">
        <f t="shared" si="35"/>
        <v>0</v>
      </c>
      <c r="BI58" s="286">
        <f t="shared" si="36"/>
        <v>0</v>
      </c>
      <c r="BJ58" s="287" t="str">
        <f t="shared" si="37"/>
        <v>cukup</v>
      </c>
      <c r="BK58" s="287" t="str">
        <f t="shared" si="37"/>
        <v>cukup</v>
      </c>
      <c r="BL58" s="286" t="e">
        <f t="shared" si="38"/>
        <v>#N/A</v>
      </c>
      <c r="BM58" s="288" t="e">
        <f t="shared" si="39"/>
        <v>#N/A</v>
      </c>
      <c r="BN58" s="289" t="str">
        <f t="shared" si="40"/>
        <v/>
      </c>
      <c r="BO58" s="67"/>
    </row>
    <row r="59" spans="1:67" ht="33" customHeight="1">
      <c r="A59" s="67"/>
      <c r="B59" s="272" t="str">
        <f t="shared" si="23"/>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5"/>
        <v/>
      </c>
      <c r="V59" s="1216" t="str">
        <f t="shared" si="45"/>
        <v/>
      </c>
      <c r="W59" s="1216" t="str">
        <f t="shared" si="45"/>
        <v/>
      </c>
      <c r="X59" s="1216" t="str">
        <f t="shared" si="45"/>
        <v/>
      </c>
      <c r="Y59" s="1216" t="str">
        <f t="shared" si="45"/>
        <v/>
      </c>
      <c r="Z59" s="1216" t="str">
        <f t="shared" si="43"/>
        <v/>
      </c>
      <c r="AA59" s="1216" t="str">
        <f t="shared" si="43"/>
        <v/>
      </c>
      <c r="AB59" s="1217" t="str">
        <f t="shared" si="43"/>
        <v/>
      </c>
      <c r="AC59" s="1216" t="str">
        <f t="shared" si="43"/>
        <v/>
      </c>
      <c r="AD59" s="1218" t="str">
        <f t="shared" si="43"/>
        <v/>
      </c>
      <c r="AE59" s="1219">
        <f t="shared" si="27"/>
        <v>0</v>
      </c>
      <c r="AF59" s="282">
        <f t="shared" si="28"/>
        <v>0</v>
      </c>
      <c r="AG59" s="282" t="str">
        <f t="shared" si="29"/>
        <v>cukup</v>
      </c>
      <c r="AH59" s="282" t="str">
        <f t="shared" si="29"/>
        <v>cukup</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6"/>
        <v/>
      </c>
      <c r="AY59" s="1221" t="str">
        <f t="shared" si="46"/>
        <v/>
      </c>
      <c r="AZ59" s="1221" t="str">
        <f t="shared" si="46"/>
        <v/>
      </c>
      <c r="BA59" s="1221" t="str">
        <f t="shared" si="46"/>
        <v/>
      </c>
      <c r="BB59" s="1221" t="str">
        <f t="shared" si="46"/>
        <v/>
      </c>
      <c r="BC59" s="1221" t="str">
        <f t="shared" si="44"/>
        <v/>
      </c>
      <c r="BD59" s="1221" t="str">
        <f t="shared" si="44"/>
        <v/>
      </c>
      <c r="BE59" s="1222" t="str">
        <f t="shared" si="44"/>
        <v/>
      </c>
      <c r="BF59" s="1221" t="str">
        <f t="shared" si="44"/>
        <v/>
      </c>
      <c r="BG59" s="1223" t="str">
        <f t="shared" si="44"/>
        <v/>
      </c>
      <c r="BH59" s="286">
        <f t="shared" si="35"/>
        <v>0</v>
      </c>
      <c r="BI59" s="286">
        <f t="shared" si="36"/>
        <v>0</v>
      </c>
      <c r="BJ59" s="287" t="str">
        <f t="shared" si="37"/>
        <v>cukup</v>
      </c>
      <c r="BK59" s="287" t="str">
        <f t="shared" si="37"/>
        <v>cukup</v>
      </c>
      <c r="BL59" s="286" t="e">
        <f t="shared" si="38"/>
        <v>#N/A</v>
      </c>
      <c r="BM59" s="288" t="e">
        <f t="shared" si="39"/>
        <v>#N/A</v>
      </c>
      <c r="BN59" s="289" t="str">
        <f t="shared" si="40"/>
        <v/>
      </c>
      <c r="BO59" s="67"/>
    </row>
    <row r="60" spans="1:67" ht="33" customHeight="1">
      <c r="A60" s="67"/>
      <c r="B60" s="272" t="str">
        <f t="shared" si="23"/>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5"/>
        <v/>
      </c>
      <c r="V60" s="1216" t="str">
        <f t="shared" si="45"/>
        <v/>
      </c>
      <c r="W60" s="1216" t="str">
        <f t="shared" si="45"/>
        <v/>
      </c>
      <c r="X60" s="1216" t="str">
        <f t="shared" si="45"/>
        <v/>
      </c>
      <c r="Y60" s="1216" t="str">
        <f t="shared" si="45"/>
        <v/>
      </c>
      <c r="Z60" s="1216" t="str">
        <f t="shared" si="43"/>
        <v/>
      </c>
      <c r="AA60" s="1216" t="str">
        <f t="shared" si="43"/>
        <v/>
      </c>
      <c r="AB60" s="1217" t="str">
        <f t="shared" si="43"/>
        <v/>
      </c>
      <c r="AC60" s="1216" t="str">
        <f t="shared" si="43"/>
        <v/>
      </c>
      <c r="AD60" s="1218" t="str">
        <f t="shared" si="43"/>
        <v/>
      </c>
      <c r="AE60" s="1219">
        <f t="shared" si="27"/>
        <v>0</v>
      </c>
      <c r="AF60" s="282">
        <f t="shared" si="28"/>
        <v>0</v>
      </c>
      <c r="AG60" s="282" t="str">
        <f t="shared" si="29"/>
        <v>cukup</v>
      </c>
      <c r="AH60" s="282" t="str">
        <f t="shared" si="29"/>
        <v>cukup</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6"/>
        <v/>
      </c>
      <c r="AY60" s="1221" t="str">
        <f t="shared" si="46"/>
        <v/>
      </c>
      <c r="AZ60" s="1221" t="str">
        <f t="shared" si="46"/>
        <v/>
      </c>
      <c r="BA60" s="1221" t="str">
        <f t="shared" si="46"/>
        <v/>
      </c>
      <c r="BB60" s="1221" t="str">
        <f t="shared" si="46"/>
        <v/>
      </c>
      <c r="BC60" s="1221" t="str">
        <f t="shared" si="44"/>
        <v/>
      </c>
      <c r="BD60" s="1221" t="str">
        <f t="shared" si="44"/>
        <v/>
      </c>
      <c r="BE60" s="1222" t="str">
        <f t="shared" si="44"/>
        <v/>
      </c>
      <c r="BF60" s="1221" t="str">
        <f t="shared" si="44"/>
        <v/>
      </c>
      <c r="BG60" s="1223" t="str">
        <f t="shared" si="44"/>
        <v/>
      </c>
      <c r="BH60" s="286">
        <f t="shared" si="35"/>
        <v>0</v>
      </c>
      <c r="BI60" s="286">
        <f t="shared" si="36"/>
        <v>0</v>
      </c>
      <c r="BJ60" s="287" t="str">
        <f t="shared" si="37"/>
        <v>cukup</v>
      </c>
      <c r="BK60" s="287" t="str">
        <f t="shared" si="37"/>
        <v>cukup</v>
      </c>
      <c r="BL60" s="286" t="e">
        <f t="shared" si="38"/>
        <v>#N/A</v>
      </c>
      <c r="BM60" s="288" t="e">
        <f t="shared" si="39"/>
        <v>#N/A</v>
      </c>
      <c r="BN60" s="289" t="str">
        <f t="shared" si="40"/>
        <v/>
      </c>
      <c r="BO60" s="67"/>
    </row>
    <row r="61" spans="1:67" ht="33" customHeight="1">
      <c r="A61" s="67"/>
      <c r="B61" s="272" t="str">
        <f t="shared" si="23"/>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5"/>
        <v/>
      </c>
      <c r="V61" s="1216" t="str">
        <f t="shared" si="45"/>
        <v/>
      </c>
      <c r="W61" s="1216" t="str">
        <f t="shared" si="45"/>
        <v/>
      </c>
      <c r="X61" s="1216" t="str">
        <f t="shared" si="45"/>
        <v/>
      </c>
      <c r="Y61" s="1216" t="str">
        <f t="shared" si="45"/>
        <v/>
      </c>
      <c r="Z61" s="1216" t="str">
        <f t="shared" si="43"/>
        <v/>
      </c>
      <c r="AA61" s="1216" t="str">
        <f t="shared" si="43"/>
        <v/>
      </c>
      <c r="AB61" s="1217" t="str">
        <f t="shared" si="43"/>
        <v/>
      </c>
      <c r="AC61" s="1216" t="str">
        <f t="shared" si="43"/>
        <v/>
      </c>
      <c r="AD61" s="1218" t="str">
        <f t="shared" si="43"/>
        <v/>
      </c>
      <c r="AE61" s="1219">
        <f t="shared" si="27"/>
        <v>0</v>
      </c>
      <c r="AF61" s="282">
        <f t="shared" si="28"/>
        <v>0</v>
      </c>
      <c r="AG61" s="282" t="str">
        <f t="shared" si="29"/>
        <v>cukup</v>
      </c>
      <c r="AH61" s="282" t="str">
        <f t="shared" si="29"/>
        <v>cukup</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6"/>
        <v/>
      </c>
      <c r="AY61" s="1221" t="str">
        <f t="shared" si="46"/>
        <v/>
      </c>
      <c r="AZ61" s="1221" t="str">
        <f t="shared" si="46"/>
        <v/>
      </c>
      <c r="BA61" s="1221" t="str">
        <f t="shared" si="46"/>
        <v/>
      </c>
      <c r="BB61" s="1221" t="str">
        <f t="shared" si="46"/>
        <v/>
      </c>
      <c r="BC61" s="1221" t="str">
        <f t="shared" si="44"/>
        <v/>
      </c>
      <c r="BD61" s="1221" t="str">
        <f t="shared" si="44"/>
        <v/>
      </c>
      <c r="BE61" s="1222" t="str">
        <f t="shared" si="44"/>
        <v/>
      </c>
      <c r="BF61" s="1221" t="str">
        <f t="shared" si="44"/>
        <v/>
      </c>
      <c r="BG61" s="1223" t="str">
        <f t="shared" si="44"/>
        <v/>
      </c>
      <c r="BH61" s="286">
        <f t="shared" si="35"/>
        <v>0</v>
      </c>
      <c r="BI61" s="286">
        <f t="shared" si="36"/>
        <v>0</v>
      </c>
      <c r="BJ61" s="287" t="str">
        <f t="shared" si="37"/>
        <v>cukup</v>
      </c>
      <c r="BK61" s="287" t="str">
        <f t="shared" si="37"/>
        <v>cukup</v>
      </c>
      <c r="BL61" s="286" t="e">
        <f t="shared" si="38"/>
        <v>#N/A</v>
      </c>
      <c r="BM61" s="288" t="e">
        <f t="shared" si="39"/>
        <v>#N/A</v>
      </c>
      <c r="BN61" s="289" t="str">
        <f t="shared" si="40"/>
        <v/>
      </c>
      <c r="BO61" s="67"/>
    </row>
    <row r="62" spans="1:67" ht="33" customHeight="1">
      <c r="A62" s="67"/>
      <c r="B62" s="272" t="str">
        <f t="shared" si="23"/>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5"/>
        <v/>
      </c>
      <c r="V62" s="1216" t="str">
        <f t="shared" si="45"/>
        <v/>
      </c>
      <c r="W62" s="1216" t="str">
        <f t="shared" si="45"/>
        <v/>
      </c>
      <c r="X62" s="1216" t="str">
        <f t="shared" si="45"/>
        <v/>
      </c>
      <c r="Y62" s="1216" t="str">
        <f t="shared" si="45"/>
        <v/>
      </c>
      <c r="Z62" s="1216" t="str">
        <f t="shared" si="43"/>
        <v/>
      </c>
      <c r="AA62" s="1216" t="str">
        <f t="shared" si="43"/>
        <v/>
      </c>
      <c r="AB62" s="1217" t="str">
        <f t="shared" si="43"/>
        <v/>
      </c>
      <c r="AC62" s="1216" t="str">
        <f t="shared" si="43"/>
        <v/>
      </c>
      <c r="AD62" s="1218" t="str">
        <f t="shared" si="43"/>
        <v/>
      </c>
      <c r="AE62" s="1219">
        <f t="shared" si="27"/>
        <v>0</v>
      </c>
      <c r="AF62" s="282">
        <f t="shared" si="28"/>
        <v>0</v>
      </c>
      <c r="AG62" s="282" t="str">
        <f t="shared" si="29"/>
        <v>cukup</v>
      </c>
      <c r="AH62" s="282" t="str">
        <f t="shared" si="29"/>
        <v>cukup</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6"/>
        <v/>
      </c>
      <c r="AY62" s="1221" t="str">
        <f t="shared" si="46"/>
        <v/>
      </c>
      <c r="AZ62" s="1221" t="str">
        <f t="shared" si="46"/>
        <v/>
      </c>
      <c r="BA62" s="1221" t="str">
        <f t="shared" si="46"/>
        <v/>
      </c>
      <c r="BB62" s="1221" t="str">
        <f t="shared" si="46"/>
        <v/>
      </c>
      <c r="BC62" s="1221" t="str">
        <f t="shared" si="44"/>
        <v/>
      </c>
      <c r="BD62" s="1221" t="str">
        <f t="shared" si="44"/>
        <v/>
      </c>
      <c r="BE62" s="1222" t="str">
        <f t="shared" si="44"/>
        <v/>
      </c>
      <c r="BF62" s="1221" t="str">
        <f t="shared" si="44"/>
        <v/>
      </c>
      <c r="BG62" s="1223" t="str">
        <f t="shared" si="44"/>
        <v/>
      </c>
      <c r="BH62" s="286">
        <f t="shared" si="35"/>
        <v>0</v>
      </c>
      <c r="BI62" s="286">
        <f t="shared" si="36"/>
        <v>0</v>
      </c>
      <c r="BJ62" s="287" t="str">
        <f t="shared" si="37"/>
        <v>cukup</v>
      </c>
      <c r="BK62" s="287" t="str">
        <f t="shared" si="37"/>
        <v>cukup</v>
      </c>
      <c r="BL62" s="286" t="e">
        <f t="shared" si="38"/>
        <v>#N/A</v>
      </c>
      <c r="BM62" s="288" t="e">
        <f t="shared" si="39"/>
        <v>#N/A</v>
      </c>
      <c r="BN62" s="289" t="str">
        <f t="shared" si="40"/>
        <v/>
      </c>
      <c r="BO62" s="67"/>
    </row>
    <row r="63" spans="1:67" ht="33" customHeight="1">
      <c r="A63" s="67"/>
      <c r="B63" s="272" t="str">
        <f t="shared" si="23"/>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5"/>
        <v/>
      </c>
      <c r="V63" s="1216" t="str">
        <f t="shared" si="45"/>
        <v/>
      </c>
      <c r="W63" s="1216" t="str">
        <f t="shared" si="45"/>
        <v/>
      </c>
      <c r="X63" s="1216" t="str">
        <f t="shared" si="45"/>
        <v/>
      </c>
      <c r="Y63" s="1216" t="str">
        <f t="shared" si="45"/>
        <v/>
      </c>
      <c r="Z63" s="1216" t="str">
        <f t="shared" si="43"/>
        <v/>
      </c>
      <c r="AA63" s="1216" t="str">
        <f t="shared" si="43"/>
        <v/>
      </c>
      <c r="AB63" s="1217" t="str">
        <f t="shared" si="43"/>
        <v/>
      </c>
      <c r="AC63" s="1216" t="str">
        <f t="shared" si="43"/>
        <v/>
      </c>
      <c r="AD63" s="1218" t="str">
        <f t="shared" si="43"/>
        <v/>
      </c>
      <c r="AE63" s="1219">
        <f t="shared" si="27"/>
        <v>0</v>
      </c>
      <c r="AF63" s="282">
        <f t="shared" si="28"/>
        <v>0</v>
      </c>
      <c r="AG63" s="282" t="str">
        <f t="shared" si="29"/>
        <v>cukup</v>
      </c>
      <c r="AH63" s="282" t="str">
        <f t="shared" si="29"/>
        <v>cukup</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6"/>
        <v/>
      </c>
      <c r="AY63" s="1221" t="str">
        <f t="shared" si="46"/>
        <v/>
      </c>
      <c r="AZ63" s="1221" t="str">
        <f t="shared" si="46"/>
        <v/>
      </c>
      <c r="BA63" s="1221" t="str">
        <f t="shared" si="46"/>
        <v/>
      </c>
      <c r="BB63" s="1221" t="str">
        <f t="shared" si="46"/>
        <v/>
      </c>
      <c r="BC63" s="1221" t="str">
        <f t="shared" si="44"/>
        <v/>
      </c>
      <c r="BD63" s="1221" t="str">
        <f t="shared" si="44"/>
        <v/>
      </c>
      <c r="BE63" s="1222" t="str">
        <f t="shared" si="44"/>
        <v/>
      </c>
      <c r="BF63" s="1221" t="str">
        <f t="shared" si="44"/>
        <v/>
      </c>
      <c r="BG63" s="1223" t="str">
        <f t="shared" si="44"/>
        <v/>
      </c>
      <c r="BH63" s="286">
        <f t="shared" si="35"/>
        <v>0</v>
      </c>
      <c r="BI63" s="286">
        <f t="shared" si="36"/>
        <v>0</v>
      </c>
      <c r="BJ63" s="287" t="str">
        <f t="shared" si="37"/>
        <v>cukup</v>
      </c>
      <c r="BK63" s="287" t="str">
        <f t="shared" si="37"/>
        <v>cukup</v>
      </c>
      <c r="BL63" s="286" t="e">
        <f t="shared" si="38"/>
        <v>#N/A</v>
      </c>
      <c r="BM63" s="288" t="e">
        <f t="shared" si="39"/>
        <v>#N/A</v>
      </c>
      <c r="BN63" s="289" t="str">
        <f t="shared" si="40"/>
        <v/>
      </c>
      <c r="BO63" s="67"/>
    </row>
    <row r="64" spans="1:67">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68</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7">F68</f>
        <v>68</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34</v>
      </c>
      <c r="G69" s="348" t="s">
        <v>5</v>
      </c>
      <c r="H69" s="347">
        <f>ROUNDDOWN(F69+(H68-F69)/2,0)</f>
        <v>67</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7"/>
        <v>34</v>
      </c>
      <c r="AM69" s="349" t="s">
        <v>5</v>
      </c>
      <c r="AN69" s="347">
        <f t="shared" ref="AN69" si="48">H69</f>
        <v>67</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Data2!G19</f>
        <v>0</v>
      </c>
      <c r="G70" s="348" t="s">
        <v>5</v>
      </c>
      <c r="H70" s="347">
        <f>ROUNDDOWN(F70+(H68-F70)/3,0)</f>
        <v>33</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0</v>
      </c>
      <c r="AM70" s="349" t="s">
        <v>5</v>
      </c>
      <c r="AN70" s="347">
        <f>H70</f>
        <v>33</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-1</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49">H71</f>
        <v>-1</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68</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68</v>
      </c>
      <c r="AM75" s="7" t="s">
        <v>5</v>
      </c>
      <c r="AN75" s="9">
        <f>H75</f>
        <v>100</v>
      </c>
      <c r="AO75" s="1357" t="str">
        <f t="shared" ref="AO75" si="50">I75</f>
        <v>sangat baik</v>
      </c>
      <c r="AP75" s="1358"/>
      <c r="AQ75" s="1358"/>
      <c r="AR75" s="1358"/>
      <c r="AS75" s="1358"/>
      <c r="AT75" s="1358"/>
      <c r="AU75" s="1359"/>
      <c r="AV75" s="9" t="str">
        <f>Data2!L12</f>
        <v>A</v>
      </c>
    </row>
    <row r="76" spans="1:67" ht="12.75" hidden="1" customHeight="1">
      <c r="C76" s="2"/>
      <c r="F76" s="1360">
        <f>IF($F$65="KKM TUNGGAL",Data2!I7,F69)</f>
        <v>34</v>
      </c>
      <c r="G76" s="1361" t="s">
        <v>5</v>
      </c>
      <c r="H76" s="1360">
        <f>IF($F$65="KKM TUNGGAL",Data2!K7,H69)+0.5</f>
        <v>67.5</v>
      </c>
      <c r="I76" s="1697" t="str">
        <f>IF($F$65="KKM TUNGGAL",Data2!L7,I69)</f>
        <v>baik</v>
      </c>
      <c r="J76" s="1698"/>
      <c r="K76" s="1698"/>
      <c r="L76" s="1698"/>
      <c r="M76" s="1698"/>
      <c r="N76" s="1698"/>
      <c r="O76" s="1698"/>
      <c r="P76" s="1699"/>
      <c r="Q76" s="9" t="str">
        <f>Data2!L13</f>
        <v>B</v>
      </c>
      <c r="AL76" s="9">
        <f t="shared" ref="AL76:AN78" si="51">F76</f>
        <v>34</v>
      </c>
      <c r="AM76" s="7" t="s">
        <v>5</v>
      </c>
      <c r="AN76" s="9">
        <f t="shared" si="51"/>
        <v>67.5</v>
      </c>
      <c r="AO76" s="1357" t="str">
        <f>I76</f>
        <v>baik</v>
      </c>
      <c r="AP76" s="1358"/>
      <c r="AQ76" s="1358"/>
      <c r="AR76" s="1358"/>
      <c r="AS76" s="1358"/>
      <c r="AT76" s="1358"/>
      <c r="AU76" s="1359"/>
      <c r="AV76" s="9" t="str">
        <f>Data2!L13</f>
        <v>B</v>
      </c>
    </row>
    <row r="77" spans="1:67" ht="12.75" hidden="1" customHeight="1">
      <c r="C77" s="2"/>
      <c r="F77" s="1360">
        <f>IF($F$65="KKM TUNGGAL",Data2!I8,F70)</f>
        <v>0</v>
      </c>
      <c r="G77" s="1361" t="s">
        <v>5</v>
      </c>
      <c r="H77" s="1360">
        <f>IF($F$65="KKM TUNGGAL",Data2!K8,H70)+0.5</f>
        <v>33.5</v>
      </c>
      <c r="I77" s="1697" t="str">
        <f>IF($F$65="KKM TUNGGAL",Data2!L8,I70)</f>
        <v>cukup</v>
      </c>
      <c r="J77" s="1698"/>
      <c r="K77" s="1698"/>
      <c r="L77" s="1698"/>
      <c r="M77" s="1698"/>
      <c r="N77" s="1698"/>
      <c r="O77" s="1698"/>
      <c r="P77" s="1699"/>
      <c r="Q77" s="9" t="str">
        <f>Data2!L14</f>
        <v>C</v>
      </c>
      <c r="AL77" s="9">
        <f t="shared" si="51"/>
        <v>0</v>
      </c>
      <c r="AM77" s="7" t="s">
        <v>5</v>
      </c>
      <c r="AN77" s="9">
        <f t="shared" si="51"/>
        <v>33.5</v>
      </c>
      <c r="AO77" s="1357" t="str">
        <f t="shared" ref="AO77:AO78" si="52">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-0.5</v>
      </c>
      <c r="I78" s="1697" t="str">
        <f>IF($F$65="KKM TUNGGAL",Data2!L9,I71)</f>
        <v>perlu dimaksimalkan</v>
      </c>
      <c r="J78" s="1698"/>
      <c r="K78" s="1698"/>
      <c r="L78" s="1698"/>
      <c r="M78" s="1698"/>
      <c r="N78" s="1698"/>
      <c r="O78" s="1698"/>
      <c r="P78" s="1699"/>
      <c r="Q78" s="9" t="str">
        <f>Data2!L15</f>
        <v>D</v>
      </c>
      <c r="AL78" s="9">
        <f t="shared" si="51"/>
        <v>0</v>
      </c>
      <c r="AM78" s="7" t="s">
        <v>5</v>
      </c>
      <c r="AN78" s="9">
        <f t="shared" si="51"/>
        <v>-0.5</v>
      </c>
      <c r="AO78" s="1357" t="str">
        <f t="shared" si="52"/>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75" hidden="1" customHeight="1">
      <c r="C84" s="2"/>
      <c r="AL84" s="10"/>
      <c r="AM84" s="8"/>
      <c r="AN84" s="10"/>
      <c r="AO84" s="512"/>
      <c r="AP84" s="512"/>
      <c r="AQ84" s="512"/>
      <c r="AR84" s="1159"/>
      <c r="AS84" s="1159"/>
      <c r="AT84" s="512"/>
      <c r="AU84" s="512"/>
      <c r="AV84" s="512"/>
    </row>
    <row r="85" spans="3:48" ht="12.75" hidden="1" customHeight="1">
      <c r="C85" s="2"/>
      <c r="AL85" s="10"/>
      <c r="AM85" s="8"/>
      <c r="AN85" s="10"/>
      <c r="AO85" s="512"/>
      <c r="AP85" s="512"/>
      <c r="AQ85" s="512"/>
      <c r="AR85" s="1159"/>
      <c r="AS85" s="1159"/>
      <c r="AT85" s="512"/>
      <c r="AU85" s="512"/>
      <c r="AV85" s="512"/>
    </row>
    <row r="86" spans="3:48" ht="12" hidden="1" customHeight="1"/>
    <row r="87" spans="3:48" ht="12" hidden="1" customHeight="1"/>
    <row r="88" spans="3:48" ht="12" hidden="1" customHeight="1"/>
    <row r="89" spans="3:48" ht="12" hidden="1" customHeight="1"/>
    <row r="90" spans="3:48" ht="12" hidden="1" customHeight="1"/>
    <row r="91" spans="3:48" ht="12" hidden="1" customHeight="1">
      <c r="C91" s="2"/>
      <c r="F91" s="2"/>
      <c r="G91" s="2"/>
      <c r="H91" s="2"/>
      <c r="I91" s="2"/>
      <c r="J91" s="2"/>
      <c r="K91" s="2"/>
      <c r="L91" s="2"/>
      <c r="M91" s="2"/>
      <c r="S91" s="2"/>
      <c r="AL91" s="2"/>
      <c r="AM91" s="2"/>
      <c r="AN91" s="2"/>
      <c r="AO91" s="2"/>
      <c r="AP91" s="2"/>
      <c r="AQ91" s="2"/>
      <c r="AR91" s="2"/>
      <c r="AS91" s="2"/>
    </row>
    <row r="92" spans="3:48" ht="12" hidden="1" customHeight="1">
      <c r="C92" s="2"/>
      <c r="F92" s="2"/>
      <c r="G92" s="2"/>
      <c r="H92" s="2"/>
      <c r="I92" s="2"/>
      <c r="J92" s="2"/>
      <c r="K92" s="2"/>
      <c r="L92" s="2"/>
      <c r="M92" s="2"/>
      <c r="S92" s="2"/>
      <c r="AL92" s="2"/>
      <c r="AM92" s="2"/>
      <c r="AN92" s="2"/>
      <c r="AO92" s="2"/>
      <c r="AP92" s="2"/>
      <c r="AQ92" s="2"/>
      <c r="AR92" s="2"/>
      <c r="AS92" s="2"/>
    </row>
    <row r="93" spans="3:48" hidden="1"/>
    <row r="94" spans="3:48" hidden="1"/>
    <row r="95" spans="3:48" hidden="1"/>
    <row r="96" spans="3:48" hidden="1"/>
    <row r="97" hidden="1"/>
    <row r="98" hidden="1"/>
    <row r="99" hidden="1"/>
    <row r="100" hidden="1"/>
    <row r="101" hidden="1"/>
    <row r="102" hidden="1"/>
    <row r="103" hidden="1"/>
  </sheetData>
  <mergeCells count="70">
    <mergeCell ref="D1:E2"/>
    <mergeCell ref="B3:C4"/>
    <mergeCell ref="D3:E6"/>
    <mergeCell ref="B6:C6"/>
    <mergeCell ref="B7:C7"/>
    <mergeCell ref="D7:E9"/>
    <mergeCell ref="B8:C8"/>
    <mergeCell ref="B9:C9"/>
    <mergeCell ref="B1:C2"/>
    <mergeCell ref="F3:F6"/>
    <mergeCell ref="G3:R6"/>
    <mergeCell ref="AL4:AL5"/>
    <mergeCell ref="AM4:AU5"/>
    <mergeCell ref="AL6:AL7"/>
    <mergeCell ref="AM6:AU7"/>
    <mergeCell ref="F7:F10"/>
    <mergeCell ref="G7:R10"/>
    <mergeCell ref="AL8:AL11"/>
    <mergeCell ref="AM8:AU11"/>
    <mergeCell ref="G11:R11"/>
    <mergeCell ref="G1:R1"/>
    <mergeCell ref="AM1:AU1"/>
    <mergeCell ref="G2:R2"/>
    <mergeCell ref="AL2:AL3"/>
    <mergeCell ref="AM2:AU3"/>
    <mergeCell ref="I78:P78"/>
    <mergeCell ref="AO82:AV82"/>
    <mergeCell ref="AO83:AV83"/>
    <mergeCell ref="I75:P75"/>
    <mergeCell ref="I76:P76"/>
    <mergeCell ref="I77:P77"/>
    <mergeCell ref="I71:Q71"/>
    <mergeCell ref="AO71:AV71"/>
    <mergeCell ref="F73:Q73"/>
    <mergeCell ref="AL73:AV73"/>
    <mergeCell ref="F74:H74"/>
    <mergeCell ref="I74:Q74"/>
    <mergeCell ref="AL74:AN74"/>
    <mergeCell ref="AO74:AV74"/>
    <mergeCell ref="I68:Q68"/>
    <mergeCell ref="AO68:AV68"/>
    <mergeCell ref="I69:Q69"/>
    <mergeCell ref="AO69:AV69"/>
    <mergeCell ref="I70:Q70"/>
    <mergeCell ref="AO70:AV70"/>
    <mergeCell ref="F65:Q65"/>
    <mergeCell ref="AL65:AV65"/>
    <mergeCell ref="F66:Q66"/>
    <mergeCell ref="AL66:AV66"/>
    <mergeCell ref="F67:H67"/>
    <mergeCell ref="I67:Q67"/>
    <mergeCell ref="AL67:AN67"/>
    <mergeCell ref="AO67:AV67"/>
    <mergeCell ref="BN12:BN13"/>
    <mergeCell ref="AG13:AH13"/>
    <mergeCell ref="AI13:AJ13"/>
    <mergeCell ref="BJ13:BK13"/>
    <mergeCell ref="BL13:BM13"/>
    <mergeCell ref="AV12:AV13"/>
    <mergeCell ref="AW12:AW13"/>
    <mergeCell ref="B10:C11"/>
    <mergeCell ref="D10:E11"/>
    <mergeCell ref="S12:S13"/>
    <mergeCell ref="T12:T13"/>
    <mergeCell ref="AK12:AK13"/>
    <mergeCell ref="B12:B13"/>
    <mergeCell ref="C12:C13"/>
    <mergeCell ref="D12:D13"/>
    <mergeCell ref="E12:E13"/>
    <mergeCell ref="F12:O12"/>
  </mergeCells>
  <conditionalFormatting sqref="B14:E63">
    <cfRule type="expression" dxfId="2398" priority="235">
      <formula>AND($B14&lt;&gt;"",$B15="")</formula>
    </cfRule>
    <cfRule type="expression" dxfId="2397" priority="236">
      <formula>$B14=""</formula>
    </cfRule>
  </conditionalFormatting>
  <conditionalFormatting sqref="B56:E56">
    <cfRule type="expression" dxfId="2396" priority="237">
      <formula>AND($B56&lt;&gt;"",$B63="")</formula>
    </cfRule>
    <cfRule type="expression" dxfId="2395" priority="238">
      <formula>$B56=""</formula>
    </cfRule>
  </conditionalFormatting>
  <conditionalFormatting sqref="B50:E50">
    <cfRule type="expression" dxfId="2394" priority="239">
      <formula>AND($B50&lt;&gt;"",$B63="")</formula>
    </cfRule>
    <cfRule type="expression" dxfId="2393" priority="240">
      <formula>$B50=""</formula>
    </cfRule>
  </conditionalFormatting>
  <conditionalFormatting sqref="B43:E44">
    <cfRule type="expression" dxfId="2392" priority="241">
      <formula>AND($B43&lt;&gt;"",$B62="")</formula>
    </cfRule>
    <cfRule type="expression" dxfId="2391" priority="242">
      <formula>$B43=""</formula>
    </cfRule>
  </conditionalFormatting>
  <conditionalFormatting sqref="B63:E63">
    <cfRule type="expression" dxfId="2390" priority="243">
      <formula>AND($B63&lt;&gt;"",#REF!="")</formula>
    </cfRule>
    <cfRule type="expression" dxfId="2389" priority="244">
      <formula>$B63=""</formula>
    </cfRule>
  </conditionalFormatting>
  <conditionalFormatting sqref="B61:E61">
    <cfRule type="expression" dxfId="2388" priority="245">
      <formula>AND($B61&lt;&gt;"",$B64="")</formula>
    </cfRule>
    <cfRule type="expression" dxfId="2387" priority="246">
      <formula>$B61=""</formula>
    </cfRule>
  </conditionalFormatting>
  <conditionalFormatting sqref="B57:E60">
    <cfRule type="expression" dxfId="2386" priority="247">
      <formula>AND($B57&lt;&gt;"",#REF!="")</formula>
    </cfRule>
    <cfRule type="expression" dxfId="2385" priority="248">
      <formula>$B57=""</formula>
    </cfRule>
  </conditionalFormatting>
  <conditionalFormatting sqref="B55:E55">
    <cfRule type="expression" dxfId="2384" priority="249">
      <formula>AND($B55&lt;&gt;"",$B64="")</formula>
    </cfRule>
    <cfRule type="expression" dxfId="2383" priority="250">
      <formula>$B55=""</formula>
    </cfRule>
  </conditionalFormatting>
  <conditionalFormatting sqref="B51:E54">
    <cfRule type="expression" dxfId="2382" priority="251">
      <formula>AND($B51&lt;&gt;"",#REF!="")</formula>
    </cfRule>
    <cfRule type="expression" dxfId="2381" priority="252">
      <formula>$B51=""</formula>
    </cfRule>
  </conditionalFormatting>
  <conditionalFormatting sqref="B49:E49">
    <cfRule type="expression" dxfId="2380" priority="253">
      <formula>AND($B49&lt;&gt;"",$B64="")</formula>
    </cfRule>
    <cfRule type="expression" dxfId="2379" priority="254">
      <formula>$B49=""</formula>
    </cfRule>
  </conditionalFormatting>
  <conditionalFormatting sqref="B45:E63">
    <cfRule type="expression" dxfId="2378" priority="255">
      <formula>AND($B45&lt;&gt;"",#REF!="")</formula>
    </cfRule>
    <cfRule type="expression" dxfId="2377" priority="256">
      <formula>$B45=""</formula>
    </cfRule>
  </conditionalFormatting>
  <conditionalFormatting sqref="R70 F66:Q71">
    <cfRule type="expression" dxfId="2376" priority="257">
      <formula>$F$65="SAMA DENGAN DATA"</formula>
    </cfRule>
  </conditionalFormatting>
  <conditionalFormatting sqref="F66:Q71">
    <cfRule type="expression" dxfId="2375" priority="258">
      <formula>$F$65="kkm tunggal"</formula>
    </cfRule>
  </conditionalFormatting>
  <conditionalFormatting sqref="AW70:BG70 AL66:AV71">
    <cfRule type="expression" dxfId="2374" priority="259">
      <formula>$AL$65="SAMA DENGAN DATA"</formula>
    </cfRule>
  </conditionalFormatting>
  <conditionalFormatting sqref="AL66:AV71">
    <cfRule type="expression" dxfId="2373" priority="260">
      <formula>$AL$65="KKM TUNGGAL"</formula>
    </cfRule>
  </conditionalFormatting>
  <conditionalFormatting sqref="B61:E63">
    <cfRule type="expression" dxfId="2372" priority="2658">
      <formula>AND($B61&lt;&gt;"",$B65="")</formula>
    </cfRule>
    <cfRule type="expression" dxfId="2371" priority="2659">
      <formula>$B61=""</formula>
    </cfRule>
  </conditionalFormatting>
  <conditionalFormatting sqref="B50:E60">
    <cfRule type="expression" dxfId="2370" priority="2660">
      <formula>AND($B50&lt;&gt;"",#REF!="")</formula>
    </cfRule>
    <cfRule type="expression" dxfId="2369" priority="2661">
      <formula>$B50=""</formula>
    </cfRule>
  </conditionalFormatting>
  <conditionalFormatting sqref="U14:AB63 P14:S63 AV14:BE63 AE14:AK63 BH14:BN63">
    <cfRule type="expression" dxfId="2368" priority="148">
      <formula>AND($B14&lt;&gt;"",$B15="")</formula>
    </cfRule>
    <cfRule type="expression" dxfId="2367" priority="149">
      <formula>$B14=""</formula>
    </cfRule>
  </conditionalFormatting>
  <conditionalFormatting sqref="T14:T63">
    <cfRule type="expression" dxfId="2366" priority="146">
      <formula>AND($B14&lt;&gt;"",$B15="")</formula>
    </cfRule>
    <cfRule type="expression" dxfId="2365" priority="147">
      <formula>$B14=""</formula>
    </cfRule>
  </conditionalFormatting>
  <conditionalFormatting sqref="AV14">
    <cfRule type="expression" dxfId="2364" priority="144">
      <formula>AND($B14&lt;&gt;"",$B15="")</formula>
    </cfRule>
    <cfRule type="expression" dxfId="2363" priority="145">
      <formula>$B14=""</formula>
    </cfRule>
  </conditionalFormatting>
  <conditionalFormatting sqref="P56:S56 U56:AB56 BH56:BN56 AE56:AK56 AV56:BE56">
    <cfRule type="expression" dxfId="2362" priority="150">
      <formula>AND($B56&lt;&gt;"",$B63="")</formula>
    </cfRule>
    <cfRule type="expression" dxfId="2361" priority="151">
      <formula>$B56=""</formula>
    </cfRule>
  </conditionalFormatting>
  <conditionalFormatting sqref="P50:S50 U50:AB50 BH50:BN50 AE50:AK50 AV50:BE50">
    <cfRule type="expression" dxfId="2360" priority="152">
      <formula>AND($B50&lt;&gt;"",$B63="")</formula>
    </cfRule>
    <cfRule type="expression" dxfId="2359" priority="153">
      <formula>$B50=""</formula>
    </cfRule>
  </conditionalFormatting>
  <conditionalFormatting sqref="P43:S44 U43:AB44 BH43:BN44 AE43:AK44 AV43:BE44">
    <cfRule type="expression" dxfId="2358" priority="154">
      <formula>AND($B43&lt;&gt;"",$B62="")</formula>
    </cfRule>
    <cfRule type="expression" dxfId="2357" priority="155">
      <formula>$B43=""</formula>
    </cfRule>
  </conditionalFormatting>
  <conditionalFormatting sqref="P63:S63 U63:AB63 BH63:BN63 AE63:AK63 AV63:BE63">
    <cfRule type="expression" dxfId="2356" priority="156">
      <formula>AND($B63&lt;&gt;"",#REF!="")</formula>
    </cfRule>
    <cfRule type="expression" dxfId="2355" priority="157">
      <formula>$B63=""</formula>
    </cfRule>
  </conditionalFormatting>
  <conditionalFormatting sqref="P61:S61 U61:AB61 BH61:BN61 AE61:AK61 AV61:BE61">
    <cfRule type="expression" dxfId="2354" priority="158">
      <formula>AND($B61&lt;&gt;"",$B64="")</formula>
    </cfRule>
    <cfRule type="expression" dxfId="2353" priority="159">
      <formula>$B61=""</formula>
    </cfRule>
  </conditionalFormatting>
  <conditionalFormatting sqref="P57:S60 U57:AB60 BH57:BN60 AE57:AK60 AV57:BE60">
    <cfRule type="expression" dxfId="2352" priority="160">
      <formula>AND($B57&lt;&gt;"",#REF!="")</formula>
    </cfRule>
    <cfRule type="expression" dxfId="2351" priority="161">
      <formula>$B57=""</formula>
    </cfRule>
  </conditionalFormatting>
  <conditionalFormatting sqref="P55:S55 U55:AB55 BH55:BN55 AE55:AK55 AV55:BE55">
    <cfRule type="expression" dxfId="2350" priority="162">
      <formula>AND($B55&lt;&gt;"",$B64="")</formula>
    </cfRule>
    <cfRule type="expression" dxfId="2349" priority="163">
      <formula>$B55=""</formula>
    </cfRule>
  </conditionalFormatting>
  <conditionalFormatting sqref="P51:S54 U51:AB54 BH51:BN54 AE51:AK54 AV51:BE54">
    <cfRule type="expression" dxfId="2348" priority="164">
      <formula>AND($B51&lt;&gt;"",#REF!="")</formula>
    </cfRule>
    <cfRule type="expression" dxfId="2347" priority="165">
      <formula>$B51=""</formula>
    </cfRule>
  </conditionalFormatting>
  <conditionalFormatting sqref="F49:S49 U49:BN49">
    <cfRule type="expression" dxfId="2346" priority="166">
      <formula>AND($B49&lt;&gt;"",$B64="")</formula>
    </cfRule>
    <cfRule type="expression" dxfId="2345" priority="167">
      <formula>$B49=""</formula>
    </cfRule>
  </conditionalFormatting>
  <conditionalFormatting sqref="P45:S63 U45:AB63 BH45:BN63 AE45:AK63 AV45:BE63">
    <cfRule type="expression" dxfId="2344" priority="168">
      <formula>AND($B45&lt;&gt;"",#REF!="")</formula>
    </cfRule>
    <cfRule type="expression" dxfId="2343" priority="169">
      <formula>$B45=""</formula>
    </cfRule>
  </conditionalFormatting>
  <conditionalFormatting sqref="T16:T63">
    <cfRule type="expression" dxfId="2342" priority="142">
      <formula>AND($B16&lt;&gt;"",$B17="")</formula>
    </cfRule>
    <cfRule type="expression" dxfId="2341" priority="143">
      <formula>$B16=""</formula>
    </cfRule>
  </conditionalFormatting>
  <conditionalFormatting sqref="U13:AB13 AX12:BG12">
    <cfRule type="expression" dxfId="2340" priority="141">
      <formula>COUNTA(U$14:U$63)&gt;0</formula>
    </cfRule>
  </conditionalFormatting>
  <conditionalFormatting sqref="F14:M63">
    <cfRule type="expression" dxfId="2339" priority="120">
      <formula>AND($B14&lt;&gt;"",$B15="")</formula>
    </cfRule>
    <cfRule type="expression" dxfId="2338" priority="121">
      <formula>$B14=""</formula>
    </cfRule>
  </conditionalFormatting>
  <conditionalFormatting sqref="F56:M56">
    <cfRule type="expression" dxfId="2337" priority="122">
      <formula>AND($B56&lt;&gt;"",$B63="")</formula>
    </cfRule>
    <cfRule type="expression" dxfId="2336" priority="123">
      <formula>$B56=""</formula>
    </cfRule>
  </conditionalFormatting>
  <conditionalFormatting sqref="F50:M50">
    <cfRule type="expression" dxfId="2335" priority="124">
      <formula>AND($B50&lt;&gt;"",$B63="")</formula>
    </cfRule>
    <cfRule type="expression" dxfId="2334" priority="125">
      <formula>$B50=""</formula>
    </cfRule>
  </conditionalFormatting>
  <conditionalFormatting sqref="F43:M44">
    <cfRule type="expression" dxfId="2333" priority="126">
      <formula>AND($B43&lt;&gt;"",$B62="")</formula>
    </cfRule>
    <cfRule type="expression" dxfId="2332" priority="127">
      <formula>$B43=""</formula>
    </cfRule>
  </conditionalFormatting>
  <conditionalFormatting sqref="F63:M63">
    <cfRule type="expression" dxfId="2331" priority="128">
      <formula>AND($B63&lt;&gt;"",#REF!="")</formula>
    </cfRule>
    <cfRule type="expression" dxfId="2330" priority="129">
      <formula>$B63=""</formula>
    </cfRule>
  </conditionalFormatting>
  <conditionalFormatting sqref="F61:M61">
    <cfRule type="expression" dxfId="2329" priority="130">
      <formula>AND($B61&lt;&gt;"",$B64="")</formula>
    </cfRule>
    <cfRule type="expression" dxfId="2328" priority="131">
      <formula>$B61=""</formula>
    </cfRule>
  </conditionalFormatting>
  <conditionalFormatting sqref="F57:M60">
    <cfRule type="expression" dxfId="2327" priority="132">
      <formula>AND($B57&lt;&gt;"",#REF!="")</formula>
    </cfRule>
    <cfRule type="expression" dxfId="2326" priority="133">
      <formula>$B57=""</formula>
    </cfRule>
  </conditionalFormatting>
  <conditionalFormatting sqref="F55:M55">
    <cfRule type="expression" dxfId="2325" priority="134">
      <formula>AND($B55&lt;&gt;"",$B64="")</formula>
    </cfRule>
    <cfRule type="expression" dxfId="2324" priority="135">
      <formula>$B55=""</formula>
    </cfRule>
  </conditionalFormatting>
  <conditionalFormatting sqref="F51:M54">
    <cfRule type="expression" dxfId="2323" priority="136">
      <formula>AND($B51&lt;&gt;"",#REF!="")</formula>
    </cfRule>
    <cfRule type="expression" dxfId="2322" priority="137">
      <formula>$B51=""</formula>
    </cfRule>
  </conditionalFormatting>
  <conditionalFormatting sqref="F45:M63">
    <cfRule type="expression" dxfId="2321" priority="138">
      <formula>AND($B45&lt;&gt;"",#REF!="")</formula>
    </cfRule>
    <cfRule type="expression" dxfId="2320" priority="139">
      <formula>$B45=""</formula>
    </cfRule>
  </conditionalFormatting>
  <conditionalFormatting sqref="F13:M13">
    <cfRule type="expression" dxfId="2319" priority="119">
      <formula>COUNTA(F$14:F$63)&gt;0</formula>
    </cfRule>
  </conditionalFormatting>
  <conditionalFormatting sqref="F14:M63">
    <cfRule type="expression" dxfId="2318" priority="140">
      <formula>COUNTIF($U14:$AB14,F14)&gt;1</formula>
    </cfRule>
  </conditionalFormatting>
  <conditionalFormatting sqref="AC14:AD63">
    <cfRule type="expression" dxfId="2317" priority="99">
      <formula>AND($B14&lt;&gt;"",$B15="")</formula>
    </cfRule>
    <cfRule type="expression" dxfId="2316" priority="100">
      <formula>$B14=""</formula>
    </cfRule>
  </conditionalFormatting>
  <conditionalFormatting sqref="AC56:AD56">
    <cfRule type="expression" dxfId="2315" priority="101">
      <formula>AND($B56&lt;&gt;"",$B63="")</formula>
    </cfRule>
    <cfRule type="expression" dxfId="2314" priority="102">
      <formula>$B56=""</formula>
    </cfRule>
  </conditionalFormatting>
  <conditionalFormatting sqref="AC50:AD50">
    <cfRule type="expression" dxfId="2313" priority="103">
      <formula>AND($B50&lt;&gt;"",$B63="")</formula>
    </cfRule>
    <cfRule type="expression" dxfId="2312" priority="104">
      <formula>$B50=""</formula>
    </cfRule>
  </conditionalFormatting>
  <conditionalFormatting sqref="AC43:AD44">
    <cfRule type="expression" dxfId="2311" priority="105">
      <formula>AND($B43&lt;&gt;"",$B62="")</formula>
    </cfRule>
    <cfRule type="expression" dxfId="2310" priority="106">
      <formula>$B43=""</formula>
    </cfRule>
  </conditionalFormatting>
  <conditionalFormatting sqref="AC63:AD63">
    <cfRule type="expression" dxfId="2309" priority="107">
      <formula>AND($B63&lt;&gt;"",#REF!="")</formula>
    </cfRule>
    <cfRule type="expression" dxfId="2308" priority="108">
      <formula>$B63=""</formula>
    </cfRule>
  </conditionalFormatting>
  <conditionalFormatting sqref="AC61:AD61">
    <cfRule type="expression" dxfId="2307" priority="109">
      <formula>AND($B61&lt;&gt;"",$B64="")</formula>
    </cfRule>
    <cfRule type="expression" dxfId="2306" priority="110">
      <formula>$B61=""</formula>
    </cfRule>
  </conditionalFormatting>
  <conditionalFormatting sqref="AC57:AD60">
    <cfRule type="expression" dxfId="2305" priority="111">
      <formula>AND($B57&lt;&gt;"",#REF!="")</formula>
    </cfRule>
    <cfRule type="expression" dxfId="2304" priority="112">
      <formula>$B57=""</formula>
    </cfRule>
  </conditionalFormatting>
  <conditionalFormatting sqref="AC55:AD55">
    <cfRule type="expression" dxfId="2303" priority="113">
      <formula>AND($B55&lt;&gt;"",$B64="")</formula>
    </cfRule>
    <cfRule type="expression" dxfId="2302" priority="114">
      <formula>$B55=""</formula>
    </cfRule>
  </conditionalFormatting>
  <conditionalFormatting sqref="AC51:AD54">
    <cfRule type="expression" dxfId="2301" priority="115">
      <formula>AND($B51&lt;&gt;"",#REF!="")</formula>
    </cfRule>
    <cfRule type="expression" dxfId="2300" priority="116">
      <formula>$B51=""</formula>
    </cfRule>
  </conditionalFormatting>
  <conditionalFormatting sqref="AC45:AD63">
    <cfRule type="expression" dxfId="2299" priority="117">
      <formula>AND($B45&lt;&gt;"",#REF!="")</formula>
    </cfRule>
    <cfRule type="expression" dxfId="2298" priority="118">
      <formula>$B45=""</formula>
    </cfRule>
  </conditionalFormatting>
  <conditionalFormatting sqref="AC13:AD13">
    <cfRule type="expression" dxfId="2297" priority="98">
      <formula>COUNTA(AC$14:AC$63)&gt;0</formula>
    </cfRule>
  </conditionalFormatting>
  <conditionalFormatting sqref="N14:O63">
    <cfRule type="expression" dxfId="2296" priority="77">
      <formula>AND($B14&lt;&gt;"",$B15="")</formula>
    </cfRule>
    <cfRule type="expression" dxfId="2295" priority="78">
      <formula>$B14=""</formula>
    </cfRule>
  </conditionalFormatting>
  <conditionalFormatting sqref="N56:O56">
    <cfRule type="expression" dxfId="2294" priority="79">
      <formula>AND($B56&lt;&gt;"",$B63="")</formula>
    </cfRule>
    <cfRule type="expression" dxfId="2293" priority="80">
      <formula>$B56=""</formula>
    </cfRule>
  </conditionalFormatting>
  <conditionalFormatting sqref="N50:O50">
    <cfRule type="expression" dxfId="2292" priority="81">
      <formula>AND($B50&lt;&gt;"",$B63="")</formula>
    </cfRule>
    <cfRule type="expression" dxfId="2291" priority="82">
      <formula>$B50=""</formula>
    </cfRule>
  </conditionalFormatting>
  <conditionalFormatting sqref="N43:O44">
    <cfRule type="expression" dxfId="2290" priority="83">
      <formula>AND($B43&lt;&gt;"",$B62="")</formula>
    </cfRule>
    <cfRule type="expression" dxfId="2289" priority="84">
      <formula>$B43=""</formula>
    </cfRule>
  </conditionalFormatting>
  <conditionalFormatting sqref="N63:O63">
    <cfRule type="expression" dxfId="2288" priority="85">
      <formula>AND($B63&lt;&gt;"",#REF!="")</formula>
    </cfRule>
    <cfRule type="expression" dxfId="2287" priority="86">
      <formula>$B63=""</formula>
    </cfRule>
  </conditionalFormatting>
  <conditionalFormatting sqref="N61:O61">
    <cfRule type="expression" dxfId="2286" priority="87">
      <formula>AND($B61&lt;&gt;"",$B64="")</formula>
    </cfRule>
    <cfRule type="expression" dxfId="2285" priority="88">
      <formula>$B61=""</formula>
    </cfRule>
  </conditionalFormatting>
  <conditionalFormatting sqref="N57:O60">
    <cfRule type="expression" dxfId="2284" priority="89">
      <formula>AND($B57&lt;&gt;"",#REF!="")</formula>
    </cfRule>
    <cfRule type="expression" dxfId="2283" priority="90">
      <formula>$B57=""</formula>
    </cfRule>
  </conditionalFormatting>
  <conditionalFormatting sqref="N55:O55">
    <cfRule type="expression" dxfId="2282" priority="91">
      <formula>AND($B55&lt;&gt;"",$B64="")</formula>
    </cfRule>
    <cfRule type="expression" dxfId="2281" priority="92">
      <formula>$B55=""</formula>
    </cfRule>
  </conditionalFormatting>
  <conditionalFormatting sqref="N51:O54">
    <cfRule type="expression" dxfId="2280" priority="93">
      <formula>AND($B51&lt;&gt;"",#REF!="")</formula>
    </cfRule>
    <cfRule type="expression" dxfId="2279" priority="94">
      <formula>$B51=""</formula>
    </cfRule>
  </conditionalFormatting>
  <conditionalFormatting sqref="N45:O63">
    <cfRule type="expression" dxfId="2278" priority="95">
      <formula>AND($B45&lt;&gt;"",#REF!="")</formula>
    </cfRule>
    <cfRule type="expression" dxfId="2277" priority="96">
      <formula>$B45=""</formula>
    </cfRule>
  </conditionalFormatting>
  <conditionalFormatting sqref="N13:O13">
    <cfRule type="expression" dxfId="2276" priority="76">
      <formula>COUNTA(N$14:N$63)&gt;0</formula>
    </cfRule>
  </conditionalFormatting>
  <conditionalFormatting sqref="N14:O63">
    <cfRule type="expression" dxfId="2275" priority="97">
      <formula>COUNTIF($U14:$AB14,N14)&gt;1</formula>
    </cfRule>
  </conditionalFormatting>
  <conditionalFormatting sqref="BF14:BG63">
    <cfRule type="expression" dxfId="2274" priority="56">
      <formula>AND($B14&lt;&gt;"",$B15="")</formula>
    </cfRule>
    <cfRule type="expression" dxfId="2273" priority="57">
      <formula>$B14=""</formula>
    </cfRule>
  </conditionalFormatting>
  <conditionalFormatting sqref="BF56:BG56">
    <cfRule type="expression" dxfId="2272" priority="58">
      <formula>AND($B56&lt;&gt;"",$B63="")</formula>
    </cfRule>
    <cfRule type="expression" dxfId="2271" priority="59">
      <formula>$B56=""</formula>
    </cfRule>
  </conditionalFormatting>
  <conditionalFormatting sqref="BF50:BG50">
    <cfRule type="expression" dxfId="2270" priority="60">
      <formula>AND($B50&lt;&gt;"",$B63="")</formula>
    </cfRule>
    <cfRule type="expression" dxfId="2269" priority="61">
      <formula>$B50=""</formula>
    </cfRule>
  </conditionalFormatting>
  <conditionalFormatting sqref="BF43:BG44">
    <cfRule type="expression" dxfId="2268" priority="62">
      <formula>AND($B43&lt;&gt;"",$B62="")</formula>
    </cfRule>
    <cfRule type="expression" dxfId="2267" priority="63">
      <formula>$B43=""</formula>
    </cfRule>
  </conditionalFormatting>
  <conditionalFormatting sqref="BF63:BG63">
    <cfRule type="expression" dxfId="2266" priority="64">
      <formula>AND($B63&lt;&gt;"",#REF!="")</formula>
    </cfRule>
    <cfRule type="expression" dxfId="2265" priority="65">
      <formula>$B63=""</formula>
    </cfRule>
  </conditionalFormatting>
  <conditionalFormatting sqref="BF61:BG61">
    <cfRule type="expression" dxfId="2264" priority="66">
      <formula>AND($B61&lt;&gt;"",$B64="")</formula>
    </cfRule>
    <cfRule type="expression" dxfId="2263" priority="67">
      <formula>$B61=""</formula>
    </cfRule>
  </conditionalFormatting>
  <conditionalFormatting sqref="BF57:BG60">
    <cfRule type="expression" dxfId="2262" priority="68">
      <formula>AND($B57&lt;&gt;"",#REF!="")</formula>
    </cfRule>
    <cfRule type="expression" dxfId="2261" priority="69">
      <formula>$B57=""</formula>
    </cfRule>
  </conditionalFormatting>
  <conditionalFormatting sqref="BF55:BG55">
    <cfRule type="expression" dxfId="2260" priority="70">
      <formula>AND($B55&lt;&gt;"",$B64="")</formula>
    </cfRule>
    <cfRule type="expression" dxfId="2259" priority="71">
      <formula>$B55=""</formula>
    </cfRule>
  </conditionalFormatting>
  <conditionalFormatting sqref="BF51:BG54">
    <cfRule type="expression" dxfId="2258" priority="72">
      <formula>AND($B51&lt;&gt;"",#REF!="")</formula>
    </cfRule>
    <cfRule type="expression" dxfId="2257" priority="73">
      <formula>$B51=""</formula>
    </cfRule>
  </conditionalFormatting>
  <conditionalFormatting sqref="BF45:BG63">
    <cfRule type="expression" dxfId="2256" priority="74">
      <formula>AND($B45&lt;&gt;"",#REF!="")</formula>
    </cfRule>
    <cfRule type="expression" dxfId="2255" priority="75">
      <formula>$B45=""</formula>
    </cfRule>
  </conditionalFormatting>
  <conditionalFormatting sqref="AL14:AS63">
    <cfRule type="expression" dxfId="2254" priority="35">
      <formula>AND($B14&lt;&gt;"",$B15="")</formula>
    </cfRule>
    <cfRule type="expression" dxfId="2253" priority="36">
      <formula>$B14=""</formula>
    </cfRule>
  </conditionalFormatting>
  <conditionalFormatting sqref="AL56:AS56">
    <cfRule type="expression" dxfId="2252" priority="37">
      <formula>AND($B56&lt;&gt;"",$B63="")</formula>
    </cfRule>
    <cfRule type="expression" dxfId="2251" priority="38">
      <formula>$B56=""</formula>
    </cfRule>
  </conditionalFormatting>
  <conditionalFormatting sqref="AL50:AS50">
    <cfRule type="expression" dxfId="2250" priority="39">
      <formula>AND($B50&lt;&gt;"",$B63="")</formula>
    </cfRule>
    <cfRule type="expression" dxfId="2249" priority="40">
      <formula>$B50=""</formula>
    </cfRule>
  </conditionalFormatting>
  <conditionalFormatting sqref="AL43:AS44">
    <cfRule type="expression" dxfId="2248" priority="41">
      <formula>AND($B43&lt;&gt;"",$B62="")</formula>
    </cfRule>
    <cfRule type="expression" dxfId="2247" priority="42">
      <formula>$B43=""</formula>
    </cfRule>
  </conditionalFormatting>
  <conditionalFormatting sqref="AL63:AS63">
    <cfRule type="expression" dxfId="2246" priority="43">
      <formula>AND($B63&lt;&gt;"",#REF!="")</formula>
    </cfRule>
    <cfRule type="expression" dxfId="2245" priority="44">
      <formula>$B63=""</formula>
    </cfRule>
  </conditionalFormatting>
  <conditionalFormatting sqref="AL61:AS61">
    <cfRule type="expression" dxfId="2244" priority="45">
      <formula>AND($B61&lt;&gt;"",$B64="")</formula>
    </cfRule>
    <cfRule type="expression" dxfId="2243" priority="46">
      <formula>$B61=""</formula>
    </cfRule>
  </conditionalFormatting>
  <conditionalFormatting sqref="AL57:AS60">
    <cfRule type="expression" dxfId="2242" priority="47">
      <formula>AND($B57&lt;&gt;"",#REF!="")</formula>
    </cfRule>
    <cfRule type="expression" dxfId="2241" priority="48">
      <formula>$B57=""</formula>
    </cfRule>
  </conditionalFormatting>
  <conditionalFormatting sqref="AL55:AS55">
    <cfRule type="expression" dxfId="2240" priority="49">
      <formula>AND($B55&lt;&gt;"",$B64="")</formula>
    </cfRule>
    <cfRule type="expression" dxfId="2239" priority="50">
      <formula>$B55=""</formula>
    </cfRule>
  </conditionalFormatting>
  <conditionalFormatting sqref="AL51:AS54">
    <cfRule type="expression" dxfId="2238" priority="51">
      <formula>AND($B51&lt;&gt;"",#REF!="")</formula>
    </cfRule>
    <cfRule type="expression" dxfId="2237" priority="52">
      <formula>$B51=""</formula>
    </cfRule>
  </conditionalFormatting>
  <conditionalFormatting sqref="AL45:AS63">
    <cfRule type="expression" dxfId="2236" priority="53">
      <formula>AND($B45&lt;&gt;"",#REF!="")</formula>
    </cfRule>
    <cfRule type="expression" dxfId="2235" priority="54">
      <formula>$B45=""</formula>
    </cfRule>
  </conditionalFormatting>
  <conditionalFormatting sqref="AL12:AU12">
    <cfRule type="expression" dxfId="2234" priority="34">
      <formula>COUNTA(AL$14:AL$63)&gt;0</formula>
    </cfRule>
  </conditionalFormatting>
  <conditionalFormatting sqref="AT14:AU63">
    <cfRule type="expression" dxfId="2233" priority="14">
      <formula>AND($B14&lt;&gt;"",$B15="")</formula>
    </cfRule>
    <cfRule type="expression" dxfId="2232" priority="15">
      <formula>$B14=""</formula>
    </cfRule>
  </conditionalFormatting>
  <conditionalFormatting sqref="AT56:AU56">
    <cfRule type="expression" dxfId="2231" priority="16">
      <formula>AND($B56&lt;&gt;"",$B63="")</formula>
    </cfRule>
    <cfRule type="expression" dxfId="2230" priority="17">
      <formula>$B56=""</formula>
    </cfRule>
  </conditionalFormatting>
  <conditionalFormatting sqref="AT50:AU50">
    <cfRule type="expression" dxfId="2229" priority="18">
      <formula>AND($B50&lt;&gt;"",$B63="")</formula>
    </cfRule>
    <cfRule type="expression" dxfId="2228" priority="19">
      <formula>$B50=""</formula>
    </cfRule>
  </conditionalFormatting>
  <conditionalFormatting sqref="AT43:AU44">
    <cfRule type="expression" dxfId="2227" priority="20">
      <formula>AND($B43&lt;&gt;"",$B62="")</formula>
    </cfRule>
    <cfRule type="expression" dxfId="2226" priority="21">
      <formula>$B43=""</formula>
    </cfRule>
  </conditionalFormatting>
  <conditionalFormatting sqref="AT63:AU63">
    <cfRule type="expression" dxfId="2225" priority="22">
      <formula>AND($B63&lt;&gt;"",#REF!="")</formula>
    </cfRule>
    <cfRule type="expression" dxfId="2224" priority="23">
      <formula>$B63=""</formula>
    </cfRule>
  </conditionalFormatting>
  <conditionalFormatting sqref="AT61:AU61">
    <cfRule type="expression" dxfId="2223" priority="24">
      <formula>AND($B61&lt;&gt;"",$B64="")</formula>
    </cfRule>
    <cfRule type="expression" dxfId="2222" priority="25">
      <formula>$B61=""</formula>
    </cfRule>
  </conditionalFormatting>
  <conditionalFormatting sqref="AT57:AU60">
    <cfRule type="expression" dxfId="2221" priority="26">
      <formula>AND($B57&lt;&gt;"",#REF!="")</formula>
    </cfRule>
    <cfRule type="expression" dxfId="2220" priority="27">
      <formula>$B57=""</formula>
    </cfRule>
  </conditionalFormatting>
  <conditionalFormatting sqref="AT55:AU55">
    <cfRule type="expression" dxfId="2219" priority="28">
      <formula>AND($B55&lt;&gt;"",$B64="")</formula>
    </cfRule>
    <cfRule type="expression" dxfId="2218" priority="29">
      <formula>$B55=""</formula>
    </cfRule>
  </conditionalFormatting>
  <conditionalFormatting sqref="AT51:AU54">
    <cfRule type="expression" dxfId="2217" priority="30">
      <formula>AND($B51&lt;&gt;"",#REF!="")</formula>
    </cfRule>
    <cfRule type="expression" dxfId="2216" priority="31">
      <formula>$B51=""</formula>
    </cfRule>
  </conditionalFormatting>
  <conditionalFormatting sqref="AT45:AU63">
    <cfRule type="expression" dxfId="2215" priority="32">
      <formula>AND($B45&lt;&gt;"",#REF!="")</formula>
    </cfRule>
    <cfRule type="expression" dxfId="2214" priority="33">
      <formula>$B45=""</formula>
    </cfRule>
  </conditionalFormatting>
  <conditionalFormatting sqref="AL14:AU63">
    <cfRule type="expression" dxfId="2213" priority="55">
      <formula>COUNTIF($AX14:$BE14,AL14)&gt;1</formula>
    </cfRule>
  </conditionalFormatting>
  <conditionalFormatting sqref="F61:S63 U61:BN63">
    <cfRule type="expression" dxfId="2212" priority="170">
      <formula>AND($B61&lt;&gt;"",$B65="")</formula>
    </cfRule>
    <cfRule type="expression" dxfId="2211" priority="171">
      <formula>$B61=""</formula>
    </cfRule>
  </conditionalFormatting>
  <conditionalFormatting sqref="F50:S60 U50:BN60">
    <cfRule type="expression" dxfId="2210" priority="172">
      <formula>AND($B50&lt;&gt;"",#REF!="")</formula>
    </cfRule>
    <cfRule type="expression" dxfId="2209" priority="173">
      <formula>$B50=""</formula>
    </cfRule>
  </conditionalFormatting>
  <conditionalFormatting sqref="T2">
    <cfRule type="expression" dxfId="2208" priority="13">
      <formula>COUNTA(F$14:F$63)&gt;0</formula>
    </cfRule>
  </conditionalFormatting>
  <conditionalFormatting sqref="T3">
    <cfRule type="expression" dxfId="2207" priority="174">
      <formula>COUNTA(G$14:G$63)&gt;0</formula>
    </cfRule>
  </conditionalFormatting>
  <conditionalFormatting sqref="T4">
    <cfRule type="expression" dxfId="2206" priority="175">
      <formula>COUNTA(H$14:H$63)&gt;0</formula>
    </cfRule>
  </conditionalFormatting>
  <conditionalFormatting sqref="T5">
    <cfRule type="expression" dxfId="2205" priority="176">
      <formula>COUNTA(I$14:I$63)&gt;0</formula>
    </cfRule>
  </conditionalFormatting>
  <conditionalFormatting sqref="T7">
    <cfRule type="expression" dxfId="2204" priority="12">
      <formula>COUNTA(K$14:K$63)&gt;0</formula>
    </cfRule>
  </conditionalFormatting>
  <conditionalFormatting sqref="T11">
    <cfRule type="expression" dxfId="2203" priority="177">
      <formula>COUNTA(O$14:O$63)&gt;0</formula>
    </cfRule>
  </conditionalFormatting>
  <conditionalFormatting sqref="T10">
    <cfRule type="expression" dxfId="2202" priority="178">
      <formula>COUNTA(N$14:N$63)&gt;0</formula>
    </cfRule>
  </conditionalFormatting>
  <conditionalFormatting sqref="T9">
    <cfRule type="expression" dxfId="2201" priority="179">
      <formula>COUNTA(M$14:M$63)&gt;0</formula>
    </cfRule>
  </conditionalFormatting>
  <conditionalFormatting sqref="T8">
    <cfRule type="expression" dxfId="2200" priority="180">
      <formula>COUNTA(L$14:L$63)&gt;0</formula>
    </cfRule>
  </conditionalFormatting>
  <conditionalFormatting sqref="T6">
    <cfRule type="expression" dxfId="2199" priority="11">
      <formula>COUNTA(J$14:J$63)&gt;0</formula>
    </cfRule>
  </conditionalFormatting>
  <conditionalFormatting sqref="AW2">
    <cfRule type="expression" dxfId="2198" priority="10">
      <formula>COUNTA(AL$14:AL$63)&gt;0</formula>
    </cfRule>
  </conditionalFormatting>
  <conditionalFormatting sqref="AW3">
    <cfRule type="expression" dxfId="2197" priority="9">
      <formula>COUNTA(AM$14:AM$63)&gt;0</formula>
    </cfRule>
  </conditionalFormatting>
  <conditionalFormatting sqref="AW4">
    <cfRule type="expression" dxfId="2196" priority="8">
      <formula>COUNTA(AN$14:AN$63)&gt;0</formula>
    </cfRule>
  </conditionalFormatting>
  <conditionalFormatting sqref="AW5">
    <cfRule type="expression" dxfId="2195" priority="7">
      <formula>COUNTA(AO$14:AO$63)&gt;0</formula>
    </cfRule>
  </conditionalFormatting>
  <conditionalFormatting sqref="AW6">
    <cfRule type="expression" dxfId="2194" priority="6">
      <formula>COUNTA(AP$14:AP$63)&gt;0</formula>
    </cfRule>
  </conditionalFormatting>
  <conditionalFormatting sqref="AW7">
    <cfRule type="expression" dxfId="2193" priority="5">
      <formula>COUNTA(AQ$14:AQ$63)&gt;0</formula>
    </cfRule>
  </conditionalFormatting>
  <conditionalFormatting sqref="AW8">
    <cfRule type="expression" dxfId="2192" priority="4">
      <formula>COUNTA(AR$14:AR$63)&gt;0</formula>
    </cfRule>
  </conditionalFormatting>
  <conditionalFormatting sqref="AW9">
    <cfRule type="expression" dxfId="2191" priority="3">
      <formula>COUNTA(AS$14:AS$63)&gt;0</formula>
    </cfRule>
  </conditionalFormatting>
  <conditionalFormatting sqref="AW10">
    <cfRule type="expression" dxfId="2190" priority="2">
      <formula>COUNTA(AT$14:AT$63)&gt;0</formula>
    </cfRule>
  </conditionalFormatting>
  <conditionalFormatting sqref="AW11">
    <cfRule type="expression" dxfId="2189" priority="1">
      <formula>COUNTA(AU$14:AU$63)&gt;0</formula>
    </cfRule>
  </conditionalFormatting>
  <dataValidations count="6">
    <dataValidation allowBlank="1" showInputMessage="1" showErrorMessage="1" prompt="Bobot Nilai" sqref="P13:R13 BH11 AE12:AF12"/>
    <dataValidation allowBlank="1" showInputMessage="1" showErrorMessage="1" promptTitle="Tulis Bobot Nilai" prompt="Berupa Nilai Praktik, Portofolio atau Proyek._x000a_Bobot Praktik disarankan lebih tinggi" sqref="AL13:AU13 AX13:BG13"/>
    <dataValidation allowBlank="1" showInputMessage="1" showErrorMessage="1" prompt="Rata-rata Harian" sqref="P12 AV12"/>
    <dataValidation type="whole" allowBlank="1" showInputMessage="1" showErrorMessage="1" errorTitle="Petunjuk" error="Nilai 0-100" sqref="Q14:R63 F14:O63 AL14:AU63">
      <formula1>0</formula1>
      <formula2>100</formula2>
    </dataValidation>
    <dataValidation allowBlank="1" showInputMessage="1" showErrorMessage="1" prompt="KKM" sqref="H69:H70"/>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0000FF"/>
  </sheetPr>
  <dimension ref="A1:DG103"/>
  <sheetViews>
    <sheetView showGridLines="0" showRowColHeaders="0" workbookViewId="0">
      <pane xSplit="5" ySplit="13" topLeftCell="F14" activePane="bottomRight" state="frozen"/>
      <selection activeCell="AW5" sqref="AW5:BN7"/>
      <selection pane="topRight" activeCell="AW5" sqref="AW5:BN7"/>
      <selection pane="bottomLeft" activeCell="AW5" sqref="AW5:BN7"/>
      <selection pane="bottomRight" activeCell="AW5" sqref="AW5:BN7"/>
    </sheetView>
  </sheetViews>
  <sheetFormatPr defaultColWidth="0" defaultRowHeight="12"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f>Data2!C20</f>
        <v>0</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82" t="s">
        <v>1076</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86" t="s">
        <v>1204</v>
      </c>
      <c r="BO2" s="67"/>
    </row>
    <row r="3" spans="1:67" ht="12" customHeight="1">
      <c r="A3" s="67"/>
      <c r="B3" s="1734" t="str">
        <f>Data2!L16&amp;" - "&amp;F77</f>
        <v>MULTI KKM - 0</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1077</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1205</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1078</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1206</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t="s">
        <v>1079</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1207</v>
      </c>
      <c r="BO5" s="67"/>
    </row>
    <row r="6" spans="1:67" ht="12" customHeight="1">
      <c r="A6" s="67"/>
      <c r="B6" s="1742" t="str">
        <f>F75&amp;" - "&amp;H75&amp;"--"&amp;Q75</f>
        <v>68 - 100--A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1080</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1208</v>
      </c>
      <c r="BO6" s="67"/>
    </row>
    <row r="7" spans="1:67" ht="12" customHeight="1">
      <c r="A7" s="67"/>
      <c r="B7" s="1742" t="str">
        <f>F76&amp;" - "&amp;ROUNDDOWN(H76,0)&amp;"---"&amp;Q76</f>
        <v>34 - 67---B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1081</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1209</v>
      </c>
      <c r="BO7" s="67"/>
    </row>
    <row r="8" spans="1:67" s="101" customFormat="1" ht="12" customHeight="1">
      <c r="A8" s="100"/>
      <c r="B8" s="1742" t="str">
        <f t="shared" ref="B8" si="0">F77&amp;" - "&amp;ROUNDDOWN(H77,0)&amp;"---"&amp;Q77</f>
        <v>0 - 33---C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1082</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1210</v>
      </c>
      <c r="BO8" s="100"/>
    </row>
    <row r="9" spans="1:67" ht="12" customHeight="1" thickBot="1">
      <c r="A9" s="67"/>
      <c r="B9" s="1742" t="str">
        <f>F78&amp;"  -  "&amp;ROUNDDOWN(H78,0)&amp;"---"&amp;Q78</f>
        <v>0  -  0---D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1083</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1211</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1084</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1212</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1085</v>
      </c>
      <c r="AL11" s="1800"/>
      <c r="AM11" s="1803"/>
      <c r="AN11" s="1803"/>
      <c r="AO11" s="1803"/>
      <c r="AP11" s="1803"/>
      <c r="AQ11" s="1803"/>
      <c r="AR11" s="1803"/>
      <c r="AS11" s="1803"/>
      <c r="AT11" s="1803"/>
      <c r="AU11" s="1804"/>
      <c r="AV11" s="1196">
        <v>10</v>
      </c>
      <c r="AW11" s="1197" t="s">
        <v>929</v>
      </c>
      <c r="AX11" s="1198" t="str">
        <f t="shared" ref="AX11:BG11" si="1">IF(COUNT(AX14:AX63)&gt;0,AX13,"")</f>
        <v/>
      </c>
      <c r="AY11" s="1198" t="str">
        <f t="shared" si="1"/>
        <v/>
      </c>
      <c r="AZ11" s="1198" t="str">
        <f t="shared" si="1"/>
        <v/>
      </c>
      <c r="BA11" s="1198" t="str">
        <f t="shared" si="1"/>
        <v/>
      </c>
      <c r="BB11" s="1198" t="str">
        <f t="shared" si="1"/>
        <v/>
      </c>
      <c r="BC11" s="1198" t="str">
        <f t="shared" si="1"/>
        <v/>
      </c>
      <c r="BD11" s="1198" t="str">
        <f t="shared" si="1"/>
        <v/>
      </c>
      <c r="BE11" s="1198" t="str">
        <f t="shared" si="1"/>
        <v/>
      </c>
      <c r="BF11" s="1198" t="str">
        <f t="shared" si="1"/>
        <v/>
      </c>
      <c r="BG11" s="1198" t="str">
        <f t="shared" si="1"/>
        <v/>
      </c>
      <c r="BH11" s="1198">
        <f>SUM(AX11:BG11)</f>
        <v>0</v>
      </c>
      <c r="BI11" s="1199"/>
      <c r="BJ11" s="1199"/>
      <c r="BK11" s="1199"/>
      <c r="BL11" s="1199"/>
      <c r="BM11" s="1199"/>
      <c r="BN11" s="1186" t="s">
        <v>1213</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t="str">
        <f t="shared" ref="U12:AD12" si="2">IF(COUNT(U14:U63)&gt;0,1,"")</f>
        <v/>
      </c>
      <c r="V12" s="1201" t="str">
        <f t="shared" si="2"/>
        <v/>
      </c>
      <c r="W12" s="1201" t="str">
        <f t="shared" si="2"/>
        <v/>
      </c>
      <c r="X12" s="1201" t="str">
        <f t="shared" si="2"/>
        <v/>
      </c>
      <c r="Y12" s="1201" t="str">
        <f t="shared" si="2"/>
        <v/>
      </c>
      <c r="Z12" s="1201" t="str">
        <f t="shared" si="2"/>
        <v/>
      </c>
      <c r="AA12" s="1201" t="str">
        <f t="shared" si="2"/>
        <v/>
      </c>
      <c r="AB12" s="1201" t="str">
        <f t="shared" si="2"/>
        <v/>
      </c>
      <c r="AC12" s="1201" t="str">
        <f t="shared" si="2"/>
        <v/>
      </c>
      <c r="AD12" s="1201" t="str">
        <f t="shared" si="2"/>
        <v/>
      </c>
      <c r="AE12" s="1202">
        <f>SUM(U12:AD12)</f>
        <v>0</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c r="G14" s="277"/>
      <c r="H14" s="277"/>
      <c r="I14" s="277"/>
      <c r="J14" s="277"/>
      <c r="K14" s="277"/>
      <c r="L14" s="277"/>
      <c r="M14" s="280"/>
      <c r="N14" s="277"/>
      <c r="O14" s="278"/>
      <c r="P14" s="279" t="str">
        <f t="shared" ref="P14" si="4">IF(COUNT(U14:AD14)&lt;2,"",ROUND(SUM(U14:AD14)/$AE$12,0))</f>
        <v/>
      </c>
      <c r="Q14" s="277"/>
      <c r="R14" s="280"/>
      <c r="S14" s="281" t="str">
        <f t="shared" ref="S14" si="5">IFERROR(ROUND(((P14*$P$13)+(Q14*$Q$13)+(R14*$R$13))/$AF$12,0),"")</f>
        <v/>
      </c>
      <c r="T14" s="295" t="str">
        <f t="shared" ref="T14" si="6">IF(S14="","",IF(S14&gt;$H$76,$Q$75,IF(S14&gt;$H$77,$Q$76,IF(S14&gt;$H$78,$Q$77,$Q$78))))</f>
        <v/>
      </c>
      <c r="U14" s="1215" t="str">
        <f t="shared" ref="U14:AD29" si="7">IF(F14="","",F14+U$13)</f>
        <v/>
      </c>
      <c r="V14" s="1216" t="str">
        <f t="shared" si="7"/>
        <v/>
      </c>
      <c r="W14" s="1216" t="str">
        <f t="shared" si="7"/>
        <v/>
      </c>
      <c r="X14" s="1216" t="str">
        <f t="shared" si="7"/>
        <v/>
      </c>
      <c r="Y14" s="1216" t="str">
        <f t="shared" si="7"/>
        <v/>
      </c>
      <c r="Z14" s="1216" t="str">
        <f t="shared" si="7"/>
        <v/>
      </c>
      <c r="AA14" s="1216" t="str">
        <f t="shared" si="7"/>
        <v/>
      </c>
      <c r="AB14" s="1217" t="str">
        <f t="shared" si="7"/>
        <v/>
      </c>
      <c r="AC14" s="1216" t="str">
        <f t="shared" si="7"/>
        <v/>
      </c>
      <c r="AD14" s="1218" t="str">
        <f t="shared" si="7"/>
        <v/>
      </c>
      <c r="AE14" s="1219">
        <f t="shared" ref="AE14" si="8">MAX(U14:AD14)</f>
        <v>0</v>
      </c>
      <c r="AF14" s="282">
        <f t="shared" ref="AF14" si="9">MIN(U14:AD14)</f>
        <v>0</v>
      </c>
      <c r="AG14" s="282" t="str">
        <f t="shared" ref="AG14:AH29" si="10">IF(AE14&gt;$H$76,$I$75,IF(AE14&gt;$H$77,$I$76,IF(AE14&gt;$H$78,$I$77,$I$78)))</f>
        <v>cukup</v>
      </c>
      <c r="AH14" s="282" t="str">
        <f t="shared" si="10"/>
        <v>cukup</v>
      </c>
      <c r="AI14" s="282" t="str">
        <f t="shared" ref="AI14" si="11">IFERROR(MATCH(AE14,U14:AD14,0),"")</f>
        <v/>
      </c>
      <c r="AJ14" s="283" t="str">
        <f t="shared" ref="AJ14" si="12">IFERROR(MATCH(AF14,U14:AD14,0),"")</f>
        <v/>
      </c>
      <c r="AK14" s="284" t="str">
        <f t="shared" ref="AK14" si="13">IF(S14="","",IFERROR("Memiliki kemampuan "&amp;IF(AG14=AH14,AG14&amp;" dalam "&amp;VLOOKUP(AI14,$S$2:$AK$11,19)&amp;" dan "&amp;VLOOKUP(AJ14,$S$2:$AK$11,19),AG14&amp;" dalam "&amp;VLOOKUP(AI14,$S$2:$AK$11,19)&amp;", "&amp;AH14&amp;" kemampuan dalam "&amp;VLOOKUP(AJ14,$S$2:$AK$11,19)),""))</f>
        <v/>
      </c>
      <c r="AL14" s="276"/>
      <c r="AM14" s="277"/>
      <c r="AN14" s="277"/>
      <c r="AO14" s="277"/>
      <c r="AP14" s="277"/>
      <c r="AQ14" s="277"/>
      <c r="AR14" s="277"/>
      <c r="AS14" s="280"/>
      <c r="AT14" s="277"/>
      <c r="AU14" s="278"/>
      <c r="AV14" s="285" t="str">
        <f t="shared" ref="AV14" si="14">IF(COUNT(AL14:AU14)&lt;2,"",ROUND(((AL14*$AX$13)+(AM14*$AY$13)+(AN14*$AZ$13)+(AO14*$BA$13)+(AP14*$BB$13)+(AQ14*$BC$13)+(AR14*$BD$13)+(AS14*$BE$13)+(AT14*$BF$13)+(AU14*$BG$13))/$BH$11,0))</f>
        <v/>
      </c>
      <c r="AW14" s="296" t="str">
        <f t="shared" ref="AW14" si="15">IF(AV14="","",IF(AV14&gt;$AN$76,$AV$75,IF(AV14&gt;$AN$77,$AV$76,IF(AV14&gt;$AN$78,$AV$77,$AV$78))))</f>
        <v/>
      </c>
      <c r="AX14" s="1220" t="str">
        <f t="shared" ref="AX14:BG29" si="16">IF(AL14="","",AL14+AX$12)</f>
        <v/>
      </c>
      <c r="AY14" s="1221" t="str">
        <f t="shared" si="16"/>
        <v/>
      </c>
      <c r="AZ14" s="1221" t="str">
        <f t="shared" si="16"/>
        <v/>
      </c>
      <c r="BA14" s="1221" t="str">
        <f t="shared" si="16"/>
        <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0</v>
      </c>
      <c r="BI14" s="286">
        <f t="shared" ref="BI14" si="18">MIN(AX14:BG14)</f>
        <v>0</v>
      </c>
      <c r="BJ14" s="287" t="str">
        <f t="shared" ref="BJ14:BK14" si="19">IF(BH14&gt;$H$76,$AO$75,IF(BH14&gt;$H$77,$AO$76,IF(BH14&gt;$H$78,$AO$77,$AO$78)))</f>
        <v>cukup</v>
      </c>
      <c r="BK14" s="287" t="str">
        <f t="shared" si="19"/>
        <v>cukup</v>
      </c>
      <c r="BL14" s="286" t="e">
        <f t="shared" ref="BL14" si="20">MATCH(BH14,AX14:BG14,0)</f>
        <v>#N/A</v>
      </c>
      <c r="BM14" s="288" t="e">
        <f t="shared" ref="BM14" si="21">MATCH(BI14,AX14:BG14,0)</f>
        <v>#N/A</v>
      </c>
      <c r="BN14" s="289" t="str">
        <f t="shared" ref="BN14" si="22">IF(AV14="","",IFERROR("Memiliki keterampilan "&amp;IF(BJ14=BK14,BJ14&amp;" dalam "&amp;VLOOKUP(BL14,$AV$2:$BN$11,19)&amp;" dan "&amp;VLOOKUP(BM14,$AV$2:$BN$11,19),BJ14&amp;" dalam "&amp;VLOOKUP(BL14,$AV$2:$BN$11,19)&amp;", "&amp;BK14&amp;" keterampilan dalam "&amp;VLOOKUP(BM14,$AV$2:$BN$11,19)),""))</f>
        <v/>
      </c>
      <c r="BO14" s="67"/>
    </row>
    <row r="15" spans="1:67" ht="33" customHeight="1">
      <c r="A15" s="67"/>
      <c r="B15" s="272">
        <f>IF(D15="","",B14+1)</f>
        <v>2</v>
      </c>
      <c r="C15" s="273">
        <f>IF(Data!F6="","",Data!F6)</f>
        <v>0</v>
      </c>
      <c r="D15" s="274" t="str">
        <f>IF(Data!H6="","",Data!H6)</f>
        <v>Aprianus Bira</v>
      </c>
      <c r="E15" s="275" t="str">
        <f>IF(Data!I6="","",Data!I6)</f>
        <v>L</v>
      </c>
      <c r="F15" s="276"/>
      <c r="G15" s="277"/>
      <c r="H15" s="277"/>
      <c r="I15" s="277"/>
      <c r="J15" s="277"/>
      <c r="K15" s="277"/>
      <c r="L15" s="277"/>
      <c r="M15" s="280"/>
      <c r="N15" s="277"/>
      <c r="O15" s="278"/>
      <c r="P15" s="279" t="str">
        <f>IF(COUNT(U15:AD15)&lt;2,"",ROUND(SUM(U15:AD15)/$AE$12,0))</f>
        <v/>
      </c>
      <c r="Q15" s="277"/>
      <c r="R15" s="280"/>
      <c r="S15" s="281" t="str">
        <f>IFERROR(ROUND(((P15*$P$13)+(Q15*$Q$13)+(R15*$R$13))/$AF$12,0),"")</f>
        <v/>
      </c>
      <c r="T15" s="295" t="str">
        <f>IF(S15="","",IF(S15&gt;$H$76,$Q$75,IF(S15&gt;$H$77,$Q$76,IF(S15&gt;$H$78,$Q$77,$Q$78))))</f>
        <v/>
      </c>
      <c r="U15" s="1215" t="str">
        <f t="shared" si="7"/>
        <v/>
      </c>
      <c r="V15" s="1216" t="str">
        <f t="shared" si="7"/>
        <v/>
      </c>
      <c r="W15" s="1216" t="str">
        <f t="shared" si="7"/>
        <v/>
      </c>
      <c r="X15" s="1216" t="str">
        <f t="shared" si="7"/>
        <v/>
      </c>
      <c r="Y15" s="1216" t="str">
        <f t="shared" si="7"/>
        <v/>
      </c>
      <c r="Z15" s="1216" t="str">
        <f t="shared" si="7"/>
        <v/>
      </c>
      <c r="AA15" s="1216" t="str">
        <f t="shared" si="7"/>
        <v/>
      </c>
      <c r="AB15" s="1217" t="str">
        <f t="shared" si="7"/>
        <v/>
      </c>
      <c r="AC15" s="1216" t="str">
        <f t="shared" si="7"/>
        <v/>
      </c>
      <c r="AD15" s="1218" t="str">
        <f t="shared" si="7"/>
        <v/>
      </c>
      <c r="AE15" s="1219">
        <f>MAX(U15:AD15)</f>
        <v>0</v>
      </c>
      <c r="AF15" s="282">
        <f>MIN(U15:AD15)</f>
        <v>0</v>
      </c>
      <c r="AG15" s="282" t="str">
        <f>IF(AE15&gt;$H$76,$I$75,IF(AE15&gt;$H$77,$I$76,IF(AE15&gt;$H$78,$I$77,$I$78)))</f>
        <v>cukup</v>
      </c>
      <c r="AH15" s="282" t="str">
        <f t="shared" si="10"/>
        <v>cukup</v>
      </c>
      <c r="AI15" s="282" t="str">
        <f>IFERROR(MATCH(AE15,U15:AD15,0),"")</f>
        <v/>
      </c>
      <c r="AJ15" s="283" t="str">
        <f>IFERROR(MATCH(AF15,U15:AD15,0),"")</f>
        <v/>
      </c>
      <c r="AK15" s="284" t="str">
        <f>IF(S15="","",IFERROR("Memiliki kemampuan "&amp;IF(AG15=AH15,AG15&amp;" dalam "&amp;VLOOKUP(AI15,$S$2:$AK$11,19)&amp;" dan "&amp;VLOOKUP(AJ15,$S$2:$AK$11,19),AG15&amp;" dalam "&amp;VLOOKUP(AI15,$S$2:$AK$11,19)&amp;", "&amp;AH15&amp;" kemampuan dalam "&amp;VLOOKUP(AJ15,$S$2:$AK$11,19)),""))</f>
        <v/>
      </c>
      <c r="AL15" s="276"/>
      <c r="AM15" s="277"/>
      <c r="AN15" s="277"/>
      <c r="AO15" s="277"/>
      <c r="AP15" s="277"/>
      <c r="AQ15" s="277"/>
      <c r="AR15" s="277"/>
      <c r="AS15" s="280"/>
      <c r="AT15" s="277"/>
      <c r="AU15" s="278"/>
      <c r="AV15" s="285" t="str">
        <f>IF(COUNT(AL15:AU15)&lt;2,"",ROUND(((AL15*$AX$13)+(AM15*$AY$13)+(AN15*$AZ$13)+(AO15*$BA$13)+(AP15*$BB$13)+(AQ15*$BC$13)+(AR15*$BD$13)+(AS15*$BE$13)+(AT15*$BF$13)+(AU15*$BG$13))/$BH$11,0))</f>
        <v/>
      </c>
      <c r="AW15" s="296" t="str">
        <f>IF(AV15="","",IF(AV15&gt;$AN$76,$AV$75,IF(AV15&gt;$AN$77,$AV$76,IF(AV15&gt;$AN$78,$AV$77,$AV$78))))</f>
        <v/>
      </c>
      <c r="AX15" s="1220" t="str">
        <f t="shared" si="16"/>
        <v/>
      </c>
      <c r="AY15" s="1221" t="str">
        <f t="shared" si="16"/>
        <v/>
      </c>
      <c r="AZ15" s="1221" t="str">
        <f>IF(AN15="","",AN15+AZ$12)</f>
        <v/>
      </c>
      <c r="BA15" s="1221" t="str">
        <f t="shared" si="16"/>
        <v/>
      </c>
      <c r="BB15" s="1221" t="str">
        <f t="shared" si="16"/>
        <v/>
      </c>
      <c r="BC15" s="1221" t="str">
        <f t="shared" si="16"/>
        <v/>
      </c>
      <c r="BD15" s="1221" t="str">
        <f t="shared" si="16"/>
        <v/>
      </c>
      <c r="BE15" s="1222" t="str">
        <f t="shared" si="16"/>
        <v/>
      </c>
      <c r="BF15" s="1221" t="str">
        <f t="shared" si="16"/>
        <v/>
      </c>
      <c r="BG15" s="1223" t="str">
        <f t="shared" si="16"/>
        <v/>
      </c>
      <c r="BH15" s="286">
        <f>MAX(AX15:BG15)</f>
        <v>0</v>
      </c>
      <c r="BI15" s="286">
        <f>MIN(AX15:BG15)</f>
        <v>0</v>
      </c>
      <c r="BJ15" s="287" t="str">
        <f>IF(BH15&gt;$H$76,$AO$75,IF(BH15&gt;$H$77,$AO$76,IF(BH15&gt;$H$78,$AO$77,$AO$78)))</f>
        <v>cukup</v>
      </c>
      <c r="BK15" s="287" t="str">
        <f>IF(BI15&gt;$H$76,$AO$75,IF(BI15&gt;$H$77,$AO$76,IF(BI15&gt;$H$78,$AO$77,$AO$78)))</f>
        <v>cukup</v>
      </c>
      <c r="BL15" s="286" t="e">
        <f>MATCH(BH15,AX15:BG15,0)</f>
        <v>#N/A</v>
      </c>
      <c r="BM15" s="288" t="e">
        <f>MATCH(BI15,AX15:BG15,0)</f>
        <v>#N/A</v>
      </c>
      <c r="BN15" s="289" t="str">
        <f>IF(AV15="","",IFERROR("Memiliki keterampilan "&amp;IF(BJ15=BK15,BJ15&amp;" dalam "&amp;VLOOKUP(BL15,$AV$2:$BN$11,19)&amp;" dan "&amp;VLOOKUP(BM15,$AV$2:$BN$11,19),BJ15&amp;" dalam "&amp;VLOOKUP(BL15,$AV$2:$BN$11,19)&amp;", "&amp;BK15&amp;" keterampilan dalam "&amp;VLOOKUP(BM15,$AV$2:$BN$11,19)),""))</f>
        <v/>
      </c>
      <c r="BO15" s="67"/>
    </row>
    <row r="16" spans="1:67" ht="33" customHeight="1">
      <c r="A16" s="67"/>
      <c r="B16" s="272">
        <f t="shared" ref="B16:B63" si="23">IF(D16="","",B15+1)</f>
        <v>3</v>
      </c>
      <c r="C16" s="273">
        <f>IF(Data!F7="","",Data!F7)</f>
        <v>0</v>
      </c>
      <c r="D16" s="274" t="str">
        <f>IF(Data!H7="","",Data!H7)</f>
        <v>Asri Aldina Baksuni</v>
      </c>
      <c r="E16" s="275" t="str">
        <f>IF(Data!I7="","",Data!I7)</f>
        <v>P</v>
      </c>
      <c r="F16" s="276"/>
      <c r="G16" s="277"/>
      <c r="H16" s="277"/>
      <c r="I16" s="277"/>
      <c r="J16" s="277"/>
      <c r="K16" s="277"/>
      <c r="L16" s="277"/>
      <c r="M16" s="280"/>
      <c r="N16" s="277"/>
      <c r="O16" s="278"/>
      <c r="P16" s="279" t="str">
        <f t="shared" ref="P16:P63" si="24">IF(COUNT(U16:AD16)&lt;2,"",ROUND(SUM(U16:AD16)/$AE$12,0))</f>
        <v/>
      </c>
      <c r="Q16" s="277"/>
      <c r="R16" s="280"/>
      <c r="S16" s="281" t="str">
        <f t="shared" ref="S16:S63" si="25">IFERROR(ROUND(((P16*$P$13)+(Q16*$Q$13)+(R16*$R$13))/$AF$12,0),"")</f>
        <v/>
      </c>
      <c r="T16" s="295" t="str">
        <f t="shared" ref="T16:T63" si="26">IF(S16="","",IF(S16&gt;$H$76,$Q$75,IF(S16&gt;$H$77,$Q$76,IF(S16&gt;$H$78,$Q$77,$Q$78))))</f>
        <v/>
      </c>
      <c r="U16" s="1215" t="str">
        <f t="shared" si="7"/>
        <v/>
      </c>
      <c r="V16" s="1216" t="str">
        <f t="shared" si="7"/>
        <v/>
      </c>
      <c r="W16" s="1216" t="str">
        <f t="shared" si="7"/>
        <v/>
      </c>
      <c r="X16" s="1216" t="str">
        <f t="shared" si="7"/>
        <v/>
      </c>
      <c r="Y16" s="1216" t="str">
        <f t="shared" si="7"/>
        <v/>
      </c>
      <c r="Z16" s="1216" t="str">
        <f t="shared" si="7"/>
        <v/>
      </c>
      <c r="AA16" s="1216" t="str">
        <f t="shared" si="7"/>
        <v/>
      </c>
      <c r="AB16" s="1217" t="str">
        <f t="shared" si="7"/>
        <v/>
      </c>
      <c r="AC16" s="1216" t="str">
        <f t="shared" si="7"/>
        <v/>
      </c>
      <c r="AD16" s="1218" t="str">
        <f t="shared" si="7"/>
        <v/>
      </c>
      <c r="AE16" s="1219">
        <f t="shared" ref="AE16:AE63" si="27">MAX(U16:AD16)</f>
        <v>0</v>
      </c>
      <c r="AF16" s="282">
        <f t="shared" ref="AF16:AF63" si="28">MIN(U16:AD16)</f>
        <v>0</v>
      </c>
      <c r="AG16" s="282" t="str">
        <f t="shared" ref="AG16:AH63" si="29">IF(AE16&gt;$H$76,$I$75,IF(AE16&gt;$H$77,$I$76,IF(AE16&gt;$H$78,$I$77,$I$78)))</f>
        <v>cukup</v>
      </c>
      <c r="AH16" s="282" t="str">
        <f t="shared" si="10"/>
        <v>cukup</v>
      </c>
      <c r="AI16" s="282" t="str">
        <f t="shared" ref="AI16:AI63" si="30">IFERROR(MATCH(AE16,U16:AD16,0),"")</f>
        <v/>
      </c>
      <c r="AJ16" s="283" t="str">
        <f t="shared" ref="AJ16:AJ63" si="31">IFERROR(MATCH(AF16,U16:AD16,0),"")</f>
        <v/>
      </c>
      <c r="AK16" s="284" t="str">
        <f t="shared" ref="AK16:AK63" si="32">IF(S16="","",IFERROR("Memiliki kemampuan "&amp;IF(AG16=AH16,AG16&amp;" dalam "&amp;VLOOKUP(AI16,$S$2:$AK$11,19)&amp;" dan "&amp;VLOOKUP(AJ16,$S$2:$AK$11,19),AG16&amp;" dalam "&amp;VLOOKUP(AI16,$S$2:$AK$11,19)&amp;", "&amp;AH16&amp;" kemampuan dalam "&amp;VLOOKUP(AJ16,$S$2:$AK$11,19)),""))</f>
        <v/>
      </c>
      <c r="AL16" s="276"/>
      <c r="AM16" s="277"/>
      <c r="AN16" s="277"/>
      <c r="AO16" s="277"/>
      <c r="AP16" s="277"/>
      <c r="AQ16" s="277"/>
      <c r="AR16" s="277"/>
      <c r="AS16" s="280"/>
      <c r="AT16" s="277"/>
      <c r="AU16" s="278"/>
      <c r="AV16" s="285" t="str">
        <f t="shared" ref="AV16:AV63" si="33">IF(COUNT(AL16:AU16)&lt;2,"",ROUND(((AL16*$AX$13)+(AM16*$AY$13)+(AN16*$AZ$13)+(AO16*$BA$13)+(AP16*$BB$13)+(AQ16*$BC$13)+(AR16*$BD$13)+(AS16*$BE$13)+(AT16*$BF$13)+(AU16*$BG$13))/$BH$11,0))</f>
        <v/>
      </c>
      <c r="AW16" s="296" t="str">
        <f t="shared" ref="AW16:AW63" si="34">IF(AV16="","",IF(AV16&gt;$AN$76,$AV$75,IF(AV16&gt;$AN$77,$AV$76,IF(AV16&gt;$AN$78,$AV$77,$AV$78))))</f>
        <v/>
      </c>
      <c r="AX16" s="1220" t="str">
        <f t="shared" si="16"/>
        <v/>
      </c>
      <c r="AY16" s="1221" t="str">
        <f t="shared" si="16"/>
        <v/>
      </c>
      <c r="AZ16" s="1221" t="str">
        <f t="shared" si="16"/>
        <v/>
      </c>
      <c r="BA16" s="1221" t="str">
        <f t="shared" si="16"/>
        <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0</v>
      </c>
      <c r="BI16" s="286">
        <f t="shared" ref="BI16:BI63" si="36">MIN(AX16:BG16)</f>
        <v>0</v>
      </c>
      <c r="BJ16" s="287" t="str">
        <f t="shared" ref="BJ16:BK63" si="37">IF(BH16&gt;$H$76,$AO$75,IF(BH16&gt;$H$77,$AO$76,IF(BH16&gt;$H$78,$AO$77,$AO$78)))</f>
        <v>cukup</v>
      </c>
      <c r="BK16" s="287" t="str">
        <f t="shared" si="37"/>
        <v>cukup</v>
      </c>
      <c r="BL16" s="286" t="e">
        <f t="shared" ref="BL16:BL63" si="38">MATCH(BH16,AX16:BG16,0)</f>
        <v>#N/A</v>
      </c>
      <c r="BM16" s="288" t="e">
        <f t="shared" ref="BM16:BM63" si="39">MATCH(BI16,AX16:BG16,0)</f>
        <v>#N/A</v>
      </c>
      <c r="BN16" s="289" t="str">
        <f t="shared" ref="BN16:BN63" si="40">IF(AV16="","",IFERROR("Memiliki keterampilan "&amp;IF(BJ16=BK16,BJ16&amp;" dalam "&amp;VLOOKUP(BL16,$AV$2:$BN$11,19)&amp;" dan "&amp;VLOOKUP(BM16,$AV$2:$BN$11,19),BJ16&amp;" dalam "&amp;VLOOKUP(BL16,$AV$2:$BN$11,19)&amp;", "&amp;BK16&amp;" keterampilan dalam "&amp;VLOOKUP(BM16,$AV$2:$BN$11,19)),""))</f>
        <v/>
      </c>
      <c r="BO16" s="67"/>
    </row>
    <row r="17" spans="1:67" ht="33" customHeight="1">
      <c r="A17" s="67"/>
      <c r="B17" s="272">
        <f t="shared" si="23"/>
        <v>4</v>
      </c>
      <c r="C17" s="273">
        <f>IF(Data!F8="","",Data!F8)</f>
        <v>0</v>
      </c>
      <c r="D17" s="274" t="str">
        <f>IF(Data!H8="","",Data!H8)</f>
        <v>Asti Welmince Welkis</v>
      </c>
      <c r="E17" s="275" t="str">
        <f>IF(Data!I8="","",Data!I8)</f>
        <v>P</v>
      </c>
      <c r="F17" s="276"/>
      <c r="G17" s="277"/>
      <c r="H17" s="277"/>
      <c r="I17" s="277"/>
      <c r="J17" s="277"/>
      <c r="K17" s="277"/>
      <c r="L17" s="277"/>
      <c r="M17" s="280"/>
      <c r="N17" s="277"/>
      <c r="O17" s="278"/>
      <c r="P17" s="279" t="str">
        <f t="shared" si="24"/>
        <v/>
      </c>
      <c r="Q17" s="277"/>
      <c r="R17" s="280"/>
      <c r="S17" s="281" t="str">
        <f t="shared" si="25"/>
        <v/>
      </c>
      <c r="T17" s="295" t="str">
        <f t="shared" si="26"/>
        <v/>
      </c>
      <c r="U17" s="1215" t="str">
        <f t="shared" si="7"/>
        <v/>
      </c>
      <c r="V17" s="1216" t="str">
        <f t="shared" si="7"/>
        <v/>
      </c>
      <c r="W17" s="1216" t="str">
        <f t="shared" si="7"/>
        <v/>
      </c>
      <c r="X17" s="1216" t="str">
        <f t="shared" si="7"/>
        <v/>
      </c>
      <c r="Y17" s="1216" t="str">
        <f t="shared" si="7"/>
        <v/>
      </c>
      <c r="Z17" s="1216" t="str">
        <f t="shared" si="7"/>
        <v/>
      </c>
      <c r="AA17" s="1216" t="str">
        <f t="shared" si="7"/>
        <v/>
      </c>
      <c r="AB17" s="1217" t="str">
        <f t="shared" si="7"/>
        <v/>
      </c>
      <c r="AC17" s="1216" t="str">
        <f t="shared" si="7"/>
        <v/>
      </c>
      <c r="AD17" s="1218" t="str">
        <f t="shared" si="7"/>
        <v/>
      </c>
      <c r="AE17" s="1219">
        <f t="shared" si="27"/>
        <v>0</v>
      </c>
      <c r="AF17" s="282">
        <f t="shared" si="28"/>
        <v>0</v>
      </c>
      <c r="AG17" s="282" t="str">
        <f t="shared" si="29"/>
        <v>cukup</v>
      </c>
      <c r="AH17" s="282" t="str">
        <f t="shared" si="10"/>
        <v>cukup</v>
      </c>
      <c r="AI17" s="282" t="str">
        <f t="shared" si="30"/>
        <v/>
      </c>
      <c r="AJ17" s="283" t="str">
        <f t="shared" si="31"/>
        <v/>
      </c>
      <c r="AK17" s="284" t="str">
        <f t="shared" si="32"/>
        <v/>
      </c>
      <c r="AL17" s="276"/>
      <c r="AM17" s="277"/>
      <c r="AN17" s="277"/>
      <c r="AO17" s="277"/>
      <c r="AP17" s="277"/>
      <c r="AQ17" s="277"/>
      <c r="AR17" s="277"/>
      <c r="AS17" s="280"/>
      <c r="AT17" s="277"/>
      <c r="AU17" s="278"/>
      <c r="AV17" s="285" t="str">
        <f t="shared" si="33"/>
        <v/>
      </c>
      <c r="AW17" s="296" t="str">
        <f t="shared" si="34"/>
        <v/>
      </c>
      <c r="AX17" s="1220" t="str">
        <f t="shared" si="16"/>
        <v/>
      </c>
      <c r="AY17" s="1221" t="str">
        <f t="shared" si="16"/>
        <v/>
      </c>
      <c r="AZ17" s="1221" t="str">
        <f t="shared" si="16"/>
        <v/>
      </c>
      <c r="BA17" s="1221" t="str">
        <f t="shared" si="16"/>
        <v/>
      </c>
      <c r="BB17" s="1221" t="str">
        <f t="shared" si="16"/>
        <v/>
      </c>
      <c r="BC17" s="1221" t="str">
        <f t="shared" si="16"/>
        <v/>
      </c>
      <c r="BD17" s="1221" t="str">
        <f t="shared" si="16"/>
        <v/>
      </c>
      <c r="BE17" s="1222" t="str">
        <f t="shared" si="16"/>
        <v/>
      </c>
      <c r="BF17" s="1221" t="str">
        <f t="shared" si="16"/>
        <v/>
      </c>
      <c r="BG17" s="1223" t="str">
        <f t="shared" si="16"/>
        <v/>
      </c>
      <c r="BH17" s="286">
        <f t="shared" si="35"/>
        <v>0</v>
      </c>
      <c r="BI17" s="286">
        <f t="shared" si="36"/>
        <v>0</v>
      </c>
      <c r="BJ17" s="287" t="str">
        <f t="shared" si="37"/>
        <v>cukup</v>
      </c>
      <c r="BK17" s="287" t="str">
        <f t="shared" si="37"/>
        <v>cukup</v>
      </c>
      <c r="BL17" s="286" t="e">
        <f t="shared" si="38"/>
        <v>#N/A</v>
      </c>
      <c r="BM17" s="288" t="e">
        <f t="shared" si="39"/>
        <v>#N/A</v>
      </c>
      <c r="BN17" s="289" t="str">
        <f t="shared" si="40"/>
        <v/>
      </c>
      <c r="BO17" s="67"/>
    </row>
    <row r="18" spans="1:67" ht="33" customHeight="1">
      <c r="A18" s="67"/>
      <c r="B18" s="272">
        <f t="shared" si="23"/>
        <v>5</v>
      </c>
      <c r="C18" s="273">
        <f>IF(Data!F9="","",Data!F9)</f>
        <v>0</v>
      </c>
      <c r="D18" s="274" t="str">
        <f>IF(Data!H9="","",Data!H9)</f>
        <v>Aulya Noviyanti Mbura</v>
      </c>
      <c r="E18" s="275" t="str">
        <f>IF(Data!I9="","",Data!I9)</f>
        <v>P</v>
      </c>
      <c r="F18" s="276"/>
      <c r="G18" s="277"/>
      <c r="H18" s="277"/>
      <c r="I18" s="277"/>
      <c r="J18" s="277"/>
      <c r="K18" s="277"/>
      <c r="L18" s="277"/>
      <c r="M18" s="280"/>
      <c r="N18" s="277"/>
      <c r="O18" s="278"/>
      <c r="P18" s="279" t="str">
        <f t="shared" si="24"/>
        <v/>
      </c>
      <c r="Q18" s="277"/>
      <c r="R18" s="280"/>
      <c r="S18" s="281" t="str">
        <f t="shared" si="25"/>
        <v/>
      </c>
      <c r="T18" s="295" t="str">
        <f t="shared" si="26"/>
        <v/>
      </c>
      <c r="U18" s="1215" t="str">
        <f t="shared" si="7"/>
        <v/>
      </c>
      <c r="V18" s="1216" t="str">
        <f t="shared" si="7"/>
        <v/>
      </c>
      <c r="W18" s="1216" t="str">
        <f t="shared" si="7"/>
        <v/>
      </c>
      <c r="X18" s="1216" t="str">
        <f t="shared" si="7"/>
        <v/>
      </c>
      <c r="Y18" s="1216" t="str">
        <f t="shared" si="7"/>
        <v/>
      </c>
      <c r="Z18" s="1216" t="str">
        <f t="shared" si="7"/>
        <v/>
      </c>
      <c r="AA18" s="1216" t="str">
        <f t="shared" si="7"/>
        <v/>
      </c>
      <c r="AB18" s="1217" t="str">
        <f t="shared" si="7"/>
        <v/>
      </c>
      <c r="AC18" s="1216" t="str">
        <f t="shared" si="7"/>
        <v/>
      </c>
      <c r="AD18" s="1218" t="str">
        <f t="shared" si="7"/>
        <v/>
      </c>
      <c r="AE18" s="1219">
        <f t="shared" si="27"/>
        <v>0</v>
      </c>
      <c r="AF18" s="282">
        <f t="shared" si="28"/>
        <v>0</v>
      </c>
      <c r="AG18" s="282" t="str">
        <f t="shared" si="29"/>
        <v>cukup</v>
      </c>
      <c r="AH18" s="282" t="str">
        <f t="shared" si="10"/>
        <v>cukup</v>
      </c>
      <c r="AI18" s="282" t="str">
        <f t="shared" si="30"/>
        <v/>
      </c>
      <c r="AJ18" s="283" t="str">
        <f t="shared" si="31"/>
        <v/>
      </c>
      <c r="AK18" s="284" t="str">
        <f t="shared" si="32"/>
        <v/>
      </c>
      <c r="AL18" s="276"/>
      <c r="AM18" s="277"/>
      <c r="AN18" s="277"/>
      <c r="AO18" s="277"/>
      <c r="AP18" s="277"/>
      <c r="AQ18" s="277"/>
      <c r="AR18" s="277"/>
      <c r="AS18" s="280"/>
      <c r="AT18" s="277"/>
      <c r="AU18" s="278"/>
      <c r="AV18" s="285" t="str">
        <f t="shared" si="33"/>
        <v/>
      </c>
      <c r="AW18" s="296" t="str">
        <f t="shared" si="34"/>
        <v/>
      </c>
      <c r="AX18" s="1220" t="str">
        <f t="shared" si="16"/>
        <v/>
      </c>
      <c r="AY18" s="1221" t="str">
        <f t="shared" si="16"/>
        <v/>
      </c>
      <c r="AZ18" s="1221" t="str">
        <f t="shared" si="16"/>
        <v/>
      </c>
      <c r="BA18" s="1221" t="str">
        <f t="shared" si="16"/>
        <v/>
      </c>
      <c r="BB18" s="1221" t="str">
        <f t="shared" si="16"/>
        <v/>
      </c>
      <c r="BC18" s="1221" t="str">
        <f t="shared" si="16"/>
        <v/>
      </c>
      <c r="BD18" s="1221" t="str">
        <f t="shared" si="16"/>
        <v/>
      </c>
      <c r="BE18" s="1222" t="str">
        <f t="shared" si="16"/>
        <v/>
      </c>
      <c r="BF18" s="1221" t="str">
        <f t="shared" si="16"/>
        <v/>
      </c>
      <c r="BG18" s="1223" t="str">
        <f t="shared" si="16"/>
        <v/>
      </c>
      <c r="BH18" s="286">
        <f t="shared" si="35"/>
        <v>0</v>
      </c>
      <c r="BI18" s="286">
        <f t="shared" si="36"/>
        <v>0</v>
      </c>
      <c r="BJ18" s="287" t="str">
        <f t="shared" si="37"/>
        <v>cukup</v>
      </c>
      <c r="BK18" s="287" t="str">
        <f t="shared" si="37"/>
        <v>cukup</v>
      </c>
      <c r="BL18" s="286" t="e">
        <f t="shared" si="38"/>
        <v>#N/A</v>
      </c>
      <c r="BM18" s="288" t="e">
        <f t="shared" si="39"/>
        <v>#N/A</v>
      </c>
      <c r="BN18" s="289" t="str">
        <f t="shared" si="40"/>
        <v/>
      </c>
      <c r="BO18" s="67"/>
    </row>
    <row r="19" spans="1:67" ht="33" customHeight="1">
      <c r="A19" s="67"/>
      <c r="B19" s="272">
        <f t="shared" si="23"/>
        <v>6</v>
      </c>
      <c r="C19" s="273">
        <f>IF(Data!F10="","",Data!F10)</f>
        <v>0</v>
      </c>
      <c r="D19" s="274" t="str">
        <f>IF(Data!H10="","",Data!H10)</f>
        <v>Ayu Oliberta Ranboki</v>
      </c>
      <c r="E19" s="275" t="str">
        <f>IF(Data!I10="","",Data!I10)</f>
        <v>P</v>
      </c>
      <c r="F19" s="276"/>
      <c r="G19" s="277"/>
      <c r="H19" s="277"/>
      <c r="I19" s="277"/>
      <c r="J19" s="277"/>
      <c r="K19" s="277"/>
      <c r="L19" s="277"/>
      <c r="M19" s="280"/>
      <c r="N19" s="277"/>
      <c r="O19" s="278"/>
      <c r="P19" s="279" t="str">
        <f t="shared" si="24"/>
        <v/>
      </c>
      <c r="Q19" s="277"/>
      <c r="R19" s="280"/>
      <c r="S19" s="281" t="str">
        <f t="shared" si="25"/>
        <v/>
      </c>
      <c r="T19" s="295" t="str">
        <f t="shared" si="26"/>
        <v/>
      </c>
      <c r="U19" s="1215" t="str">
        <f t="shared" si="7"/>
        <v/>
      </c>
      <c r="V19" s="1216" t="str">
        <f t="shared" si="7"/>
        <v/>
      </c>
      <c r="W19" s="1216" t="str">
        <f t="shared" si="7"/>
        <v/>
      </c>
      <c r="X19" s="1216" t="str">
        <f t="shared" si="7"/>
        <v/>
      </c>
      <c r="Y19" s="1216" t="str">
        <f t="shared" si="7"/>
        <v/>
      </c>
      <c r="Z19" s="1216" t="str">
        <f t="shared" si="7"/>
        <v/>
      </c>
      <c r="AA19" s="1216" t="str">
        <f t="shared" si="7"/>
        <v/>
      </c>
      <c r="AB19" s="1217" t="str">
        <f t="shared" si="7"/>
        <v/>
      </c>
      <c r="AC19" s="1216" t="str">
        <f t="shared" si="7"/>
        <v/>
      </c>
      <c r="AD19" s="1218" t="str">
        <f t="shared" si="7"/>
        <v/>
      </c>
      <c r="AE19" s="1219">
        <f t="shared" si="27"/>
        <v>0</v>
      </c>
      <c r="AF19" s="282">
        <f t="shared" si="28"/>
        <v>0</v>
      </c>
      <c r="AG19" s="282" t="str">
        <f t="shared" si="29"/>
        <v>cukup</v>
      </c>
      <c r="AH19" s="282" t="str">
        <f t="shared" si="10"/>
        <v>cukup</v>
      </c>
      <c r="AI19" s="282" t="str">
        <f t="shared" si="30"/>
        <v/>
      </c>
      <c r="AJ19" s="283" t="str">
        <f t="shared" si="31"/>
        <v/>
      </c>
      <c r="AK19" s="284" t="str">
        <f t="shared" si="32"/>
        <v/>
      </c>
      <c r="AL19" s="276"/>
      <c r="AM19" s="277"/>
      <c r="AN19" s="277"/>
      <c r="AO19" s="277"/>
      <c r="AP19" s="277"/>
      <c r="AQ19" s="277"/>
      <c r="AR19" s="277"/>
      <c r="AS19" s="280"/>
      <c r="AT19" s="277"/>
      <c r="AU19" s="278"/>
      <c r="AV19" s="285" t="str">
        <f t="shared" si="33"/>
        <v/>
      </c>
      <c r="AW19" s="296" t="str">
        <f t="shared" si="34"/>
        <v/>
      </c>
      <c r="AX19" s="1220" t="str">
        <f t="shared" si="16"/>
        <v/>
      </c>
      <c r="AY19" s="1221" t="str">
        <f t="shared" si="16"/>
        <v/>
      </c>
      <c r="AZ19" s="1221" t="str">
        <f t="shared" si="16"/>
        <v/>
      </c>
      <c r="BA19" s="1221" t="str">
        <f t="shared" si="16"/>
        <v/>
      </c>
      <c r="BB19" s="1221" t="str">
        <f t="shared" si="16"/>
        <v/>
      </c>
      <c r="BC19" s="1221" t="str">
        <f t="shared" si="16"/>
        <v/>
      </c>
      <c r="BD19" s="1221" t="str">
        <f t="shared" si="16"/>
        <v/>
      </c>
      <c r="BE19" s="1222" t="str">
        <f t="shared" si="16"/>
        <v/>
      </c>
      <c r="BF19" s="1221" t="str">
        <f t="shared" si="16"/>
        <v/>
      </c>
      <c r="BG19" s="1223" t="str">
        <f t="shared" si="16"/>
        <v/>
      </c>
      <c r="BH19" s="286">
        <f t="shared" si="35"/>
        <v>0</v>
      </c>
      <c r="BI19" s="286">
        <f t="shared" si="36"/>
        <v>0</v>
      </c>
      <c r="BJ19" s="287" t="str">
        <f t="shared" si="37"/>
        <v>cukup</v>
      </c>
      <c r="BK19" s="287" t="str">
        <f t="shared" si="37"/>
        <v>cukup</v>
      </c>
      <c r="BL19" s="286" t="e">
        <f t="shared" si="38"/>
        <v>#N/A</v>
      </c>
      <c r="BM19" s="288" t="e">
        <f t="shared" si="39"/>
        <v>#N/A</v>
      </c>
      <c r="BN19" s="289" t="str">
        <f t="shared" si="40"/>
        <v/>
      </c>
      <c r="BO19" s="67"/>
    </row>
    <row r="20" spans="1:67" ht="33" customHeight="1">
      <c r="A20" s="67"/>
      <c r="B20" s="272">
        <f t="shared" si="23"/>
        <v>7</v>
      </c>
      <c r="C20" s="273">
        <f>IF(Data!F11="","",Data!F11)</f>
        <v>0</v>
      </c>
      <c r="D20" s="274" t="str">
        <f>IF(Data!H11="","",Data!H11)</f>
        <v>Benediktus Faot</v>
      </c>
      <c r="E20" s="275" t="str">
        <f>IF(Data!I11="","",Data!I11)</f>
        <v>L</v>
      </c>
      <c r="F20" s="276"/>
      <c r="G20" s="277"/>
      <c r="H20" s="277"/>
      <c r="I20" s="277"/>
      <c r="J20" s="277"/>
      <c r="K20" s="277"/>
      <c r="L20" s="277"/>
      <c r="M20" s="280"/>
      <c r="N20" s="277"/>
      <c r="O20" s="278"/>
      <c r="P20" s="279" t="str">
        <f t="shared" si="24"/>
        <v/>
      </c>
      <c r="Q20" s="277"/>
      <c r="R20" s="280"/>
      <c r="S20" s="281" t="str">
        <f t="shared" si="25"/>
        <v/>
      </c>
      <c r="T20" s="295" t="str">
        <f t="shared" si="26"/>
        <v/>
      </c>
      <c r="U20" s="1215" t="str">
        <f t="shared" si="7"/>
        <v/>
      </c>
      <c r="V20" s="1216" t="str">
        <f t="shared" si="7"/>
        <v/>
      </c>
      <c r="W20" s="1216" t="str">
        <f t="shared" si="7"/>
        <v/>
      </c>
      <c r="X20" s="1216" t="str">
        <f t="shared" si="7"/>
        <v/>
      </c>
      <c r="Y20" s="1216" t="str">
        <f t="shared" si="7"/>
        <v/>
      </c>
      <c r="Z20" s="1216" t="str">
        <f t="shared" si="7"/>
        <v/>
      </c>
      <c r="AA20" s="1216" t="str">
        <f t="shared" si="7"/>
        <v/>
      </c>
      <c r="AB20" s="1217" t="str">
        <f t="shared" si="7"/>
        <v/>
      </c>
      <c r="AC20" s="1216" t="str">
        <f t="shared" si="7"/>
        <v/>
      </c>
      <c r="AD20" s="1218" t="str">
        <f t="shared" si="7"/>
        <v/>
      </c>
      <c r="AE20" s="1219">
        <f t="shared" si="27"/>
        <v>0</v>
      </c>
      <c r="AF20" s="282">
        <f t="shared" si="28"/>
        <v>0</v>
      </c>
      <c r="AG20" s="282" t="str">
        <f t="shared" si="29"/>
        <v>cukup</v>
      </c>
      <c r="AH20" s="282" t="str">
        <f t="shared" si="10"/>
        <v>cukup</v>
      </c>
      <c r="AI20" s="282" t="str">
        <f t="shared" si="30"/>
        <v/>
      </c>
      <c r="AJ20" s="283" t="str">
        <f t="shared" si="31"/>
        <v/>
      </c>
      <c r="AK20" s="284" t="str">
        <f t="shared" si="32"/>
        <v/>
      </c>
      <c r="AL20" s="276"/>
      <c r="AM20" s="277"/>
      <c r="AN20" s="277"/>
      <c r="AO20" s="277"/>
      <c r="AP20" s="277"/>
      <c r="AQ20" s="277"/>
      <c r="AR20" s="277"/>
      <c r="AS20" s="280"/>
      <c r="AT20" s="277"/>
      <c r="AU20" s="278"/>
      <c r="AV20" s="285" t="str">
        <f t="shared" si="33"/>
        <v/>
      </c>
      <c r="AW20" s="296" t="str">
        <f t="shared" si="34"/>
        <v/>
      </c>
      <c r="AX20" s="1220" t="str">
        <f t="shared" si="16"/>
        <v/>
      </c>
      <c r="AY20" s="1221" t="str">
        <f t="shared" si="16"/>
        <v/>
      </c>
      <c r="AZ20" s="1221" t="str">
        <f t="shared" si="16"/>
        <v/>
      </c>
      <c r="BA20" s="1221" t="str">
        <f t="shared" si="16"/>
        <v/>
      </c>
      <c r="BB20" s="1221" t="str">
        <f t="shared" si="16"/>
        <v/>
      </c>
      <c r="BC20" s="1221" t="str">
        <f t="shared" si="16"/>
        <v/>
      </c>
      <c r="BD20" s="1221" t="str">
        <f t="shared" si="16"/>
        <v/>
      </c>
      <c r="BE20" s="1222" t="str">
        <f t="shared" si="16"/>
        <v/>
      </c>
      <c r="BF20" s="1221" t="str">
        <f t="shared" si="16"/>
        <v/>
      </c>
      <c r="BG20" s="1223" t="str">
        <f t="shared" si="16"/>
        <v/>
      </c>
      <c r="BH20" s="286">
        <f t="shared" si="35"/>
        <v>0</v>
      </c>
      <c r="BI20" s="286">
        <f t="shared" si="36"/>
        <v>0</v>
      </c>
      <c r="BJ20" s="287" t="str">
        <f t="shared" si="37"/>
        <v>cukup</v>
      </c>
      <c r="BK20" s="287" t="str">
        <f t="shared" si="37"/>
        <v>cukup</v>
      </c>
      <c r="BL20" s="286" t="e">
        <f t="shared" si="38"/>
        <v>#N/A</v>
      </c>
      <c r="BM20" s="288" t="e">
        <f t="shared" si="39"/>
        <v>#N/A</v>
      </c>
      <c r="BN20" s="289" t="str">
        <f t="shared" si="40"/>
        <v/>
      </c>
      <c r="BO20" s="67"/>
    </row>
    <row r="21" spans="1:67" ht="33" customHeight="1">
      <c r="A21" s="67"/>
      <c r="B21" s="272">
        <f t="shared" si="23"/>
        <v>8</v>
      </c>
      <c r="C21" s="273">
        <f>IF(Data!F12="","",Data!F12)</f>
        <v>0</v>
      </c>
      <c r="D21" s="274" t="str">
        <f>IF(Data!H12="","",Data!H12)</f>
        <v>Betron Imanuel Kuni</v>
      </c>
      <c r="E21" s="275" t="str">
        <f>IF(Data!I12="","",Data!I12)</f>
        <v>L</v>
      </c>
      <c r="F21" s="276"/>
      <c r="G21" s="277"/>
      <c r="H21" s="277"/>
      <c r="I21" s="277"/>
      <c r="J21" s="277"/>
      <c r="K21" s="277"/>
      <c r="L21" s="277"/>
      <c r="M21" s="280"/>
      <c r="N21" s="277"/>
      <c r="O21" s="278"/>
      <c r="P21" s="279" t="str">
        <f t="shared" si="24"/>
        <v/>
      </c>
      <c r="Q21" s="277"/>
      <c r="R21" s="280"/>
      <c r="S21" s="281" t="str">
        <f t="shared" si="25"/>
        <v/>
      </c>
      <c r="T21" s="295" t="str">
        <f t="shared" si="26"/>
        <v/>
      </c>
      <c r="U21" s="1215" t="str">
        <f t="shared" si="7"/>
        <v/>
      </c>
      <c r="V21" s="1216" t="str">
        <f t="shared" si="7"/>
        <v/>
      </c>
      <c r="W21" s="1216" t="str">
        <f t="shared" si="7"/>
        <v/>
      </c>
      <c r="X21" s="1216" t="str">
        <f t="shared" si="7"/>
        <v/>
      </c>
      <c r="Y21" s="1216" t="str">
        <f t="shared" si="7"/>
        <v/>
      </c>
      <c r="Z21" s="1216" t="str">
        <f t="shared" si="7"/>
        <v/>
      </c>
      <c r="AA21" s="1216" t="str">
        <f t="shared" si="7"/>
        <v/>
      </c>
      <c r="AB21" s="1217" t="str">
        <f t="shared" si="7"/>
        <v/>
      </c>
      <c r="AC21" s="1216" t="str">
        <f t="shared" si="7"/>
        <v/>
      </c>
      <c r="AD21" s="1218" t="str">
        <f t="shared" si="7"/>
        <v/>
      </c>
      <c r="AE21" s="1219">
        <f t="shared" si="27"/>
        <v>0</v>
      </c>
      <c r="AF21" s="282">
        <f t="shared" si="28"/>
        <v>0</v>
      </c>
      <c r="AG21" s="282" t="str">
        <f t="shared" si="29"/>
        <v>cukup</v>
      </c>
      <c r="AH21" s="282" t="str">
        <f t="shared" si="10"/>
        <v>cukup</v>
      </c>
      <c r="AI21" s="282" t="str">
        <f t="shared" si="30"/>
        <v/>
      </c>
      <c r="AJ21" s="283" t="str">
        <f t="shared" si="31"/>
        <v/>
      </c>
      <c r="AK21" s="284" t="str">
        <f t="shared" si="32"/>
        <v/>
      </c>
      <c r="AL21" s="276"/>
      <c r="AM21" s="277"/>
      <c r="AN21" s="277"/>
      <c r="AO21" s="277"/>
      <c r="AP21" s="277"/>
      <c r="AQ21" s="277"/>
      <c r="AR21" s="277"/>
      <c r="AS21" s="280"/>
      <c r="AT21" s="277"/>
      <c r="AU21" s="278"/>
      <c r="AV21" s="285" t="str">
        <f t="shared" si="33"/>
        <v/>
      </c>
      <c r="AW21" s="296" t="str">
        <f t="shared" si="34"/>
        <v/>
      </c>
      <c r="AX21" s="1220" t="str">
        <f t="shared" si="16"/>
        <v/>
      </c>
      <c r="AY21" s="1221" t="str">
        <f t="shared" si="16"/>
        <v/>
      </c>
      <c r="AZ21" s="1221" t="str">
        <f t="shared" si="16"/>
        <v/>
      </c>
      <c r="BA21" s="1221" t="str">
        <f t="shared" si="16"/>
        <v/>
      </c>
      <c r="BB21" s="1221" t="str">
        <f t="shared" si="16"/>
        <v/>
      </c>
      <c r="BC21" s="1221" t="str">
        <f t="shared" si="16"/>
        <v/>
      </c>
      <c r="BD21" s="1221" t="str">
        <f t="shared" si="16"/>
        <v/>
      </c>
      <c r="BE21" s="1222" t="str">
        <f t="shared" si="16"/>
        <v/>
      </c>
      <c r="BF21" s="1221" t="str">
        <f t="shared" si="16"/>
        <v/>
      </c>
      <c r="BG21" s="1223" t="str">
        <f t="shared" si="16"/>
        <v/>
      </c>
      <c r="BH21" s="286">
        <f t="shared" si="35"/>
        <v>0</v>
      </c>
      <c r="BI21" s="286">
        <f t="shared" si="36"/>
        <v>0</v>
      </c>
      <c r="BJ21" s="287" t="str">
        <f t="shared" si="37"/>
        <v>cukup</v>
      </c>
      <c r="BK21" s="287" t="str">
        <f t="shared" si="37"/>
        <v>cukup</v>
      </c>
      <c r="BL21" s="286" t="e">
        <f t="shared" si="38"/>
        <v>#N/A</v>
      </c>
      <c r="BM21" s="288" t="e">
        <f t="shared" si="39"/>
        <v>#N/A</v>
      </c>
      <c r="BN21" s="289" t="str">
        <f t="shared" si="40"/>
        <v/>
      </c>
      <c r="BO21" s="67"/>
    </row>
    <row r="22" spans="1:67" ht="33" customHeight="1">
      <c r="A22" s="67"/>
      <c r="B22" s="272">
        <f t="shared" si="23"/>
        <v>9</v>
      </c>
      <c r="C22" s="273">
        <f>IF(Data!F13="","",Data!F13)</f>
        <v>0</v>
      </c>
      <c r="D22" s="274" t="str">
        <f>IF(Data!H13="","",Data!H13)</f>
        <v>Demrianus Ton</v>
      </c>
      <c r="E22" s="275" t="str">
        <f>IF(Data!I13="","",Data!I13)</f>
        <v>L</v>
      </c>
      <c r="F22" s="276"/>
      <c r="G22" s="277"/>
      <c r="H22" s="277"/>
      <c r="I22" s="277"/>
      <c r="J22" s="277"/>
      <c r="K22" s="277"/>
      <c r="L22" s="277"/>
      <c r="M22" s="280"/>
      <c r="N22" s="277"/>
      <c r="O22" s="278"/>
      <c r="P22" s="279" t="str">
        <f t="shared" si="24"/>
        <v/>
      </c>
      <c r="Q22" s="277"/>
      <c r="R22" s="280"/>
      <c r="S22" s="281" t="str">
        <f t="shared" si="25"/>
        <v/>
      </c>
      <c r="T22" s="295" t="str">
        <f t="shared" si="26"/>
        <v/>
      </c>
      <c r="U22" s="1215" t="str">
        <f t="shared" si="7"/>
        <v/>
      </c>
      <c r="V22" s="1216" t="str">
        <f t="shared" si="7"/>
        <v/>
      </c>
      <c r="W22" s="1216" t="str">
        <f t="shared" si="7"/>
        <v/>
      </c>
      <c r="X22" s="1216" t="str">
        <f t="shared" si="7"/>
        <v/>
      </c>
      <c r="Y22" s="1216" t="str">
        <f t="shared" si="7"/>
        <v/>
      </c>
      <c r="Z22" s="1216" t="str">
        <f t="shared" si="7"/>
        <v/>
      </c>
      <c r="AA22" s="1216" t="str">
        <f t="shared" si="7"/>
        <v/>
      </c>
      <c r="AB22" s="1217" t="str">
        <f t="shared" si="7"/>
        <v/>
      </c>
      <c r="AC22" s="1216" t="str">
        <f t="shared" si="7"/>
        <v/>
      </c>
      <c r="AD22" s="1218" t="str">
        <f t="shared" si="7"/>
        <v/>
      </c>
      <c r="AE22" s="1219">
        <f t="shared" si="27"/>
        <v>0</v>
      </c>
      <c r="AF22" s="282">
        <f t="shared" si="28"/>
        <v>0</v>
      </c>
      <c r="AG22" s="282" t="str">
        <f t="shared" si="29"/>
        <v>cukup</v>
      </c>
      <c r="AH22" s="282" t="str">
        <f t="shared" si="10"/>
        <v>cukup</v>
      </c>
      <c r="AI22" s="282" t="str">
        <f t="shared" si="30"/>
        <v/>
      </c>
      <c r="AJ22" s="283" t="str">
        <f t="shared" si="31"/>
        <v/>
      </c>
      <c r="AK22" s="284" t="str">
        <f t="shared" si="32"/>
        <v/>
      </c>
      <c r="AL22" s="276"/>
      <c r="AM22" s="277"/>
      <c r="AN22" s="277"/>
      <c r="AO22" s="277"/>
      <c r="AP22" s="277"/>
      <c r="AQ22" s="277"/>
      <c r="AR22" s="277"/>
      <c r="AS22" s="280"/>
      <c r="AT22" s="277"/>
      <c r="AU22" s="278"/>
      <c r="AV22" s="285" t="str">
        <f t="shared" si="33"/>
        <v/>
      </c>
      <c r="AW22" s="296" t="str">
        <f t="shared" si="34"/>
        <v/>
      </c>
      <c r="AX22" s="1220" t="str">
        <f t="shared" si="16"/>
        <v/>
      </c>
      <c r="AY22" s="1221" t="str">
        <f t="shared" si="16"/>
        <v/>
      </c>
      <c r="AZ22" s="1221" t="str">
        <f t="shared" si="16"/>
        <v/>
      </c>
      <c r="BA22" s="1221" t="str">
        <f t="shared" si="16"/>
        <v/>
      </c>
      <c r="BB22" s="1221" t="str">
        <f t="shared" si="16"/>
        <v/>
      </c>
      <c r="BC22" s="1221" t="str">
        <f t="shared" si="16"/>
        <v/>
      </c>
      <c r="BD22" s="1221" t="str">
        <f t="shared" si="16"/>
        <v/>
      </c>
      <c r="BE22" s="1222" t="str">
        <f t="shared" si="16"/>
        <v/>
      </c>
      <c r="BF22" s="1221" t="str">
        <f t="shared" si="16"/>
        <v/>
      </c>
      <c r="BG22" s="1223" t="str">
        <f t="shared" si="16"/>
        <v/>
      </c>
      <c r="BH22" s="286">
        <f t="shared" si="35"/>
        <v>0</v>
      </c>
      <c r="BI22" s="286">
        <f t="shared" si="36"/>
        <v>0</v>
      </c>
      <c r="BJ22" s="287" t="str">
        <f t="shared" si="37"/>
        <v>cukup</v>
      </c>
      <c r="BK22" s="287" t="str">
        <f t="shared" si="37"/>
        <v>cukup</v>
      </c>
      <c r="BL22" s="286" t="e">
        <f t="shared" si="38"/>
        <v>#N/A</v>
      </c>
      <c r="BM22" s="288" t="e">
        <f t="shared" si="39"/>
        <v>#N/A</v>
      </c>
      <c r="BN22" s="289" t="str">
        <f t="shared" si="40"/>
        <v/>
      </c>
      <c r="BO22" s="67"/>
    </row>
    <row r="23" spans="1:67" ht="33" customHeight="1">
      <c r="A23" s="67"/>
      <c r="B23" s="272">
        <f t="shared" si="23"/>
        <v>10</v>
      </c>
      <c r="C23" s="273">
        <f>IF(Data!F14="","",Data!F14)</f>
        <v>0</v>
      </c>
      <c r="D23" s="274" t="str">
        <f>IF(Data!H14="","",Data!H14)</f>
        <v>Desti Manggoa</v>
      </c>
      <c r="E23" s="275" t="str">
        <f>IF(Data!I14="","",Data!I14)</f>
        <v>P</v>
      </c>
      <c r="F23" s="276"/>
      <c r="G23" s="277"/>
      <c r="H23" s="277"/>
      <c r="I23" s="277"/>
      <c r="J23" s="277"/>
      <c r="K23" s="277"/>
      <c r="L23" s="277"/>
      <c r="M23" s="280"/>
      <c r="N23" s="277"/>
      <c r="O23" s="278"/>
      <c r="P23" s="279" t="str">
        <f t="shared" si="24"/>
        <v/>
      </c>
      <c r="Q23" s="277"/>
      <c r="R23" s="280"/>
      <c r="S23" s="281" t="str">
        <f t="shared" si="25"/>
        <v/>
      </c>
      <c r="T23" s="295" t="str">
        <f t="shared" si="26"/>
        <v/>
      </c>
      <c r="U23" s="1215" t="str">
        <f t="shared" si="7"/>
        <v/>
      </c>
      <c r="V23" s="1216" t="str">
        <f t="shared" si="7"/>
        <v/>
      </c>
      <c r="W23" s="1216" t="str">
        <f t="shared" si="7"/>
        <v/>
      </c>
      <c r="X23" s="1216" t="str">
        <f t="shared" si="7"/>
        <v/>
      </c>
      <c r="Y23" s="1216" t="str">
        <f t="shared" si="7"/>
        <v/>
      </c>
      <c r="Z23" s="1216" t="str">
        <f t="shared" si="7"/>
        <v/>
      </c>
      <c r="AA23" s="1216" t="str">
        <f t="shared" si="7"/>
        <v/>
      </c>
      <c r="AB23" s="1217" t="str">
        <f t="shared" si="7"/>
        <v/>
      </c>
      <c r="AC23" s="1216" t="str">
        <f t="shared" si="7"/>
        <v/>
      </c>
      <c r="AD23" s="1218" t="str">
        <f t="shared" si="7"/>
        <v/>
      </c>
      <c r="AE23" s="1219">
        <f t="shared" si="27"/>
        <v>0</v>
      </c>
      <c r="AF23" s="282">
        <f t="shared" si="28"/>
        <v>0</v>
      </c>
      <c r="AG23" s="282" t="str">
        <f t="shared" si="29"/>
        <v>cukup</v>
      </c>
      <c r="AH23" s="282" t="str">
        <f t="shared" si="10"/>
        <v>cukup</v>
      </c>
      <c r="AI23" s="282" t="str">
        <f t="shared" si="30"/>
        <v/>
      </c>
      <c r="AJ23" s="283" t="str">
        <f t="shared" si="31"/>
        <v/>
      </c>
      <c r="AK23" s="284" t="str">
        <f t="shared" si="32"/>
        <v/>
      </c>
      <c r="AL23" s="276"/>
      <c r="AM23" s="277"/>
      <c r="AN23" s="277"/>
      <c r="AO23" s="277"/>
      <c r="AP23" s="277"/>
      <c r="AQ23" s="277"/>
      <c r="AR23" s="277"/>
      <c r="AS23" s="280"/>
      <c r="AT23" s="277"/>
      <c r="AU23" s="278"/>
      <c r="AV23" s="285" t="str">
        <f t="shared" si="33"/>
        <v/>
      </c>
      <c r="AW23" s="296" t="str">
        <f t="shared" si="34"/>
        <v/>
      </c>
      <c r="AX23" s="1220" t="str">
        <f t="shared" si="16"/>
        <v/>
      </c>
      <c r="AY23" s="1221" t="str">
        <f t="shared" si="16"/>
        <v/>
      </c>
      <c r="AZ23" s="1221" t="str">
        <f t="shared" si="16"/>
        <v/>
      </c>
      <c r="BA23" s="1221" t="str">
        <f t="shared" si="16"/>
        <v/>
      </c>
      <c r="BB23" s="1221" t="str">
        <f t="shared" si="16"/>
        <v/>
      </c>
      <c r="BC23" s="1221" t="str">
        <f t="shared" si="16"/>
        <v/>
      </c>
      <c r="BD23" s="1221" t="str">
        <f t="shared" si="16"/>
        <v/>
      </c>
      <c r="BE23" s="1222" t="str">
        <f t="shared" si="16"/>
        <v/>
      </c>
      <c r="BF23" s="1221" t="str">
        <f t="shared" si="16"/>
        <v/>
      </c>
      <c r="BG23" s="1223" t="str">
        <f t="shared" si="16"/>
        <v/>
      </c>
      <c r="BH23" s="286">
        <f t="shared" si="35"/>
        <v>0</v>
      </c>
      <c r="BI23" s="286">
        <f t="shared" si="36"/>
        <v>0</v>
      </c>
      <c r="BJ23" s="287" t="str">
        <f t="shared" si="37"/>
        <v>cukup</v>
      </c>
      <c r="BK23" s="287" t="str">
        <f t="shared" si="37"/>
        <v>cukup</v>
      </c>
      <c r="BL23" s="286" t="e">
        <f t="shared" si="38"/>
        <v>#N/A</v>
      </c>
      <c r="BM23" s="288" t="e">
        <f t="shared" si="39"/>
        <v>#N/A</v>
      </c>
      <c r="BN23" s="289" t="str">
        <f t="shared" si="40"/>
        <v/>
      </c>
      <c r="BO23" s="67"/>
    </row>
    <row r="24" spans="1:67" ht="33" customHeight="1">
      <c r="A24" s="67"/>
      <c r="B24" s="272">
        <f t="shared" si="23"/>
        <v>11</v>
      </c>
      <c r="C24" s="273">
        <f>IF(Data!F15="","",Data!F15)</f>
        <v>0</v>
      </c>
      <c r="D24" s="274" t="str">
        <f>IF(Data!H15="","",Data!H15)</f>
        <v>Dorkas Meliana Talita Kesnay</v>
      </c>
      <c r="E24" s="275" t="str">
        <f>IF(Data!I15="","",Data!I15)</f>
        <v>P</v>
      </c>
      <c r="F24" s="276"/>
      <c r="G24" s="277"/>
      <c r="H24" s="277"/>
      <c r="I24" s="277"/>
      <c r="J24" s="277"/>
      <c r="K24" s="277"/>
      <c r="L24" s="277"/>
      <c r="M24" s="280"/>
      <c r="N24" s="277"/>
      <c r="O24" s="278"/>
      <c r="P24" s="279" t="str">
        <f t="shared" si="24"/>
        <v/>
      </c>
      <c r="Q24" s="277"/>
      <c r="R24" s="280"/>
      <c r="S24" s="281" t="str">
        <f t="shared" si="25"/>
        <v/>
      </c>
      <c r="T24" s="295" t="str">
        <f t="shared" si="26"/>
        <v/>
      </c>
      <c r="U24" s="1215" t="str">
        <f t="shared" si="7"/>
        <v/>
      </c>
      <c r="V24" s="1216" t="str">
        <f t="shared" si="7"/>
        <v/>
      </c>
      <c r="W24" s="1216" t="str">
        <f t="shared" si="7"/>
        <v/>
      </c>
      <c r="X24" s="1216" t="str">
        <f t="shared" si="7"/>
        <v/>
      </c>
      <c r="Y24" s="1216" t="str">
        <f t="shared" si="7"/>
        <v/>
      </c>
      <c r="Z24" s="1216" t="str">
        <f t="shared" si="7"/>
        <v/>
      </c>
      <c r="AA24" s="1216" t="str">
        <f t="shared" si="7"/>
        <v/>
      </c>
      <c r="AB24" s="1217" t="str">
        <f t="shared" si="7"/>
        <v/>
      </c>
      <c r="AC24" s="1216" t="str">
        <f t="shared" si="7"/>
        <v/>
      </c>
      <c r="AD24" s="1218" t="str">
        <f t="shared" si="7"/>
        <v/>
      </c>
      <c r="AE24" s="1219">
        <f t="shared" si="27"/>
        <v>0</v>
      </c>
      <c r="AF24" s="282">
        <f t="shared" si="28"/>
        <v>0</v>
      </c>
      <c r="AG24" s="282" t="str">
        <f t="shared" si="29"/>
        <v>cukup</v>
      </c>
      <c r="AH24" s="282" t="str">
        <f t="shared" si="10"/>
        <v>cukup</v>
      </c>
      <c r="AI24" s="282" t="str">
        <f t="shared" si="30"/>
        <v/>
      </c>
      <c r="AJ24" s="283" t="str">
        <f t="shared" si="31"/>
        <v/>
      </c>
      <c r="AK24" s="284" t="str">
        <f t="shared" si="32"/>
        <v/>
      </c>
      <c r="AL24" s="276"/>
      <c r="AM24" s="277"/>
      <c r="AN24" s="277"/>
      <c r="AO24" s="277"/>
      <c r="AP24" s="277"/>
      <c r="AQ24" s="277"/>
      <c r="AR24" s="277"/>
      <c r="AS24" s="280"/>
      <c r="AT24" s="277"/>
      <c r="AU24" s="278"/>
      <c r="AV24" s="285" t="str">
        <f t="shared" si="33"/>
        <v/>
      </c>
      <c r="AW24" s="296" t="str">
        <f t="shared" si="34"/>
        <v/>
      </c>
      <c r="AX24" s="1220" t="str">
        <f t="shared" si="16"/>
        <v/>
      </c>
      <c r="AY24" s="1221" t="str">
        <f t="shared" si="16"/>
        <v/>
      </c>
      <c r="AZ24" s="1221" t="str">
        <f t="shared" si="16"/>
        <v/>
      </c>
      <c r="BA24" s="1221" t="str">
        <f t="shared" si="16"/>
        <v/>
      </c>
      <c r="BB24" s="1221" t="str">
        <f t="shared" si="16"/>
        <v/>
      </c>
      <c r="BC24" s="1221" t="str">
        <f t="shared" si="16"/>
        <v/>
      </c>
      <c r="BD24" s="1221" t="str">
        <f t="shared" si="16"/>
        <v/>
      </c>
      <c r="BE24" s="1222" t="str">
        <f t="shared" si="16"/>
        <v/>
      </c>
      <c r="BF24" s="1221" t="str">
        <f t="shared" si="16"/>
        <v/>
      </c>
      <c r="BG24" s="1223" t="str">
        <f t="shared" si="16"/>
        <v/>
      </c>
      <c r="BH24" s="286">
        <f t="shared" si="35"/>
        <v>0</v>
      </c>
      <c r="BI24" s="286">
        <f t="shared" si="36"/>
        <v>0</v>
      </c>
      <c r="BJ24" s="287" t="str">
        <f t="shared" si="37"/>
        <v>cukup</v>
      </c>
      <c r="BK24" s="287" t="str">
        <f t="shared" si="37"/>
        <v>cukup</v>
      </c>
      <c r="BL24" s="286" t="e">
        <f t="shared" si="38"/>
        <v>#N/A</v>
      </c>
      <c r="BM24" s="288" t="e">
        <f t="shared" si="39"/>
        <v>#N/A</v>
      </c>
      <c r="BN24" s="289" t="str">
        <f t="shared" si="40"/>
        <v/>
      </c>
      <c r="BO24" s="67"/>
    </row>
    <row r="25" spans="1:67" ht="33" customHeight="1">
      <c r="A25" s="67"/>
      <c r="B25" s="272">
        <f t="shared" si="23"/>
        <v>12</v>
      </c>
      <c r="C25" s="273">
        <f>IF(Data!F16="","",Data!F16)</f>
        <v>0</v>
      </c>
      <c r="D25" s="274" t="str">
        <f>IF(Data!H16="","",Data!H16)</f>
        <v>Erto Seprianto Leukune</v>
      </c>
      <c r="E25" s="275" t="str">
        <f>IF(Data!I16="","",Data!I16)</f>
        <v>L</v>
      </c>
      <c r="F25" s="276"/>
      <c r="G25" s="277"/>
      <c r="H25" s="277"/>
      <c r="I25" s="277"/>
      <c r="J25" s="277"/>
      <c r="K25" s="277"/>
      <c r="L25" s="277"/>
      <c r="M25" s="280"/>
      <c r="N25" s="277"/>
      <c r="O25" s="278"/>
      <c r="P25" s="279" t="str">
        <f t="shared" si="24"/>
        <v/>
      </c>
      <c r="Q25" s="277"/>
      <c r="R25" s="280"/>
      <c r="S25" s="281" t="str">
        <f t="shared" si="25"/>
        <v/>
      </c>
      <c r="T25" s="295" t="str">
        <f t="shared" si="26"/>
        <v/>
      </c>
      <c r="U25" s="1215" t="str">
        <f t="shared" si="7"/>
        <v/>
      </c>
      <c r="V25" s="1216" t="str">
        <f t="shared" si="7"/>
        <v/>
      </c>
      <c r="W25" s="1216" t="str">
        <f t="shared" si="7"/>
        <v/>
      </c>
      <c r="X25" s="1216" t="str">
        <f t="shared" si="7"/>
        <v/>
      </c>
      <c r="Y25" s="1216" t="str">
        <f t="shared" si="7"/>
        <v/>
      </c>
      <c r="Z25" s="1216" t="str">
        <f t="shared" si="7"/>
        <v/>
      </c>
      <c r="AA25" s="1216" t="str">
        <f t="shared" si="7"/>
        <v/>
      </c>
      <c r="AB25" s="1217" t="str">
        <f t="shared" si="7"/>
        <v/>
      </c>
      <c r="AC25" s="1216" t="str">
        <f t="shared" si="7"/>
        <v/>
      </c>
      <c r="AD25" s="1218" t="str">
        <f t="shared" si="7"/>
        <v/>
      </c>
      <c r="AE25" s="1219">
        <f t="shared" si="27"/>
        <v>0</v>
      </c>
      <c r="AF25" s="282">
        <f t="shared" si="28"/>
        <v>0</v>
      </c>
      <c r="AG25" s="282" t="str">
        <f t="shared" si="29"/>
        <v>cukup</v>
      </c>
      <c r="AH25" s="282" t="str">
        <f t="shared" si="10"/>
        <v>cukup</v>
      </c>
      <c r="AI25" s="282" t="str">
        <f t="shared" si="30"/>
        <v/>
      </c>
      <c r="AJ25" s="283" t="str">
        <f t="shared" si="31"/>
        <v/>
      </c>
      <c r="AK25" s="284" t="str">
        <f t="shared" si="32"/>
        <v/>
      </c>
      <c r="AL25" s="276"/>
      <c r="AM25" s="277"/>
      <c r="AN25" s="277"/>
      <c r="AO25" s="277"/>
      <c r="AP25" s="277"/>
      <c r="AQ25" s="277"/>
      <c r="AR25" s="277"/>
      <c r="AS25" s="280"/>
      <c r="AT25" s="277"/>
      <c r="AU25" s="278"/>
      <c r="AV25" s="285" t="str">
        <f t="shared" si="33"/>
        <v/>
      </c>
      <c r="AW25" s="296" t="str">
        <f t="shared" si="34"/>
        <v/>
      </c>
      <c r="AX25" s="1220" t="str">
        <f t="shared" si="16"/>
        <v/>
      </c>
      <c r="AY25" s="1221" t="str">
        <f t="shared" si="16"/>
        <v/>
      </c>
      <c r="AZ25" s="1221" t="str">
        <f t="shared" si="16"/>
        <v/>
      </c>
      <c r="BA25" s="1221" t="str">
        <f t="shared" si="16"/>
        <v/>
      </c>
      <c r="BB25" s="1221" t="str">
        <f t="shared" si="16"/>
        <v/>
      </c>
      <c r="BC25" s="1221" t="str">
        <f t="shared" si="16"/>
        <v/>
      </c>
      <c r="BD25" s="1221" t="str">
        <f t="shared" si="16"/>
        <v/>
      </c>
      <c r="BE25" s="1222" t="str">
        <f t="shared" si="16"/>
        <v/>
      </c>
      <c r="BF25" s="1221" t="str">
        <f t="shared" si="16"/>
        <v/>
      </c>
      <c r="BG25" s="1223" t="str">
        <f t="shared" si="16"/>
        <v/>
      </c>
      <c r="BH25" s="286">
        <f t="shared" si="35"/>
        <v>0</v>
      </c>
      <c r="BI25" s="286">
        <f t="shared" si="36"/>
        <v>0</v>
      </c>
      <c r="BJ25" s="287" t="str">
        <f t="shared" si="37"/>
        <v>cukup</v>
      </c>
      <c r="BK25" s="287" t="str">
        <f t="shared" si="37"/>
        <v>cukup</v>
      </c>
      <c r="BL25" s="286" t="e">
        <f t="shared" si="38"/>
        <v>#N/A</v>
      </c>
      <c r="BM25" s="288" t="e">
        <f t="shared" si="39"/>
        <v>#N/A</v>
      </c>
      <c r="BN25" s="289" t="str">
        <f t="shared" si="40"/>
        <v/>
      </c>
      <c r="BO25" s="67"/>
    </row>
    <row r="26" spans="1:67" ht="33" customHeight="1">
      <c r="A26" s="67"/>
      <c r="B26" s="272">
        <f t="shared" si="23"/>
        <v>13</v>
      </c>
      <c r="C26" s="273">
        <f>IF(Data!F17="","",Data!F17)</f>
        <v>0</v>
      </c>
      <c r="D26" s="274" t="str">
        <f>IF(Data!H17="","",Data!H17)</f>
        <v>Feli Tipnoni</v>
      </c>
      <c r="E26" s="275" t="str">
        <f>IF(Data!I17="","",Data!I17)</f>
        <v>P</v>
      </c>
      <c r="F26" s="276"/>
      <c r="G26" s="277"/>
      <c r="H26" s="277"/>
      <c r="I26" s="277"/>
      <c r="J26" s="277"/>
      <c r="K26" s="277"/>
      <c r="L26" s="277"/>
      <c r="M26" s="280"/>
      <c r="N26" s="277"/>
      <c r="O26" s="278"/>
      <c r="P26" s="279" t="str">
        <f t="shared" si="24"/>
        <v/>
      </c>
      <c r="Q26" s="277"/>
      <c r="R26" s="280"/>
      <c r="S26" s="281" t="str">
        <f t="shared" si="25"/>
        <v/>
      </c>
      <c r="T26" s="295" t="str">
        <f t="shared" si="26"/>
        <v/>
      </c>
      <c r="U26" s="1215" t="str">
        <f t="shared" si="7"/>
        <v/>
      </c>
      <c r="V26" s="1216" t="str">
        <f t="shared" si="7"/>
        <v/>
      </c>
      <c r="W26" s="1216" t="str">
        <f t="shared" si="7"/>
        <v/>
      </c>
      <c r="X26" s="1216" t="str">
        <f t="shared" si="7"/>
        <v/>
      </c>
      <c r="Y26" s="1216" t="str">
        <f t="shared" si="7"/>
        <v/>
      </c>
      <c r="Z26" s="1216" t="str">
        <f t="shared" si="7"/>
        <v/>
      </c>
      <c r="AA26" s="1216" t="str">
        <f t="shared" si="7"/>
        <v/>
      </c>
      <c r="AB26" s="1217" t="str">
        <f t="shared" si="7"/>
        <v/>
      </c>
      <c r="AC26" s="1216" t="str">
        <f t="shared" si="7"/>
        <v/>
      </c>
      <c r="AD26" s="1218" t="str">
        <f t="shared" si="7"/>
        <v/>
      </c>
      <c r="AE26" s="1219">
        <f t="shared" si="27"/>
        <v>0</v>
      </c>
      <c r="AF26" s="282">
        <f t="shared" si="28"/>
        <v>0</v>
      </c>
      <c r="AG26" s="282" t="str">
        <f t="shared" si="29"/>
        <v>cukup</v>
      </c>
      <c r="AH26" s="282" t="str">
        <f t="shared" si="10"/>
        <v>cukup</v>
      </c>
      <c r="AI26" s="282" t="str">
        <f t="shared" si="30"/>
        <v/>
      </c>
      <c r="AJ26" s="283" t="str">
        <f t="shared" si="31"/>
        <v/>
      </c>
      <c r="AK26" s="284" t="str">
        <f t="shared" si="32"/>
        <v/>
      </c>
      <c r="AL26" s="276"/>
      <c r="AM26" s="277"/>
      <c r="AN26" s="277"/>
      <c r="AO26" s="277"/>
      <c r="AP26" s="277"/>
      <c r="AQ26" s="277"/>
      <c r="AR26" s="277"/>
      <c r="AS26" s="280"/>
      <c r="AT26" s="277"/>
      <c r="AU26" s="278"/>
      <c r="AV26" s="285" t="str">
        <f t="shared" si="33"/>
        <v/>
      </c>
      <c r="AW26" s="296" t="str">
        <f t="shared" si="34"/>
        <v/>
      </c>
      <c r="AX26" s="1220" t="str">
        <f t="shared" si="16"/>
        <v/>
      </c>
      <c r="AY26" s="1221" t="str">
        <f t="shared" si="16"/>
        <v/>
      </c>
      <c r="AZ26" s="1221" t="str">
        <f t="shared" si="16"/>
        <v/>
      </c>
      <c r="BA26" s="1221" t="str">
        <f t="shared" si="16"/>
        <v/>
      </c>
      <c r="BB26" s="1221" t="str">
        <f t="shared" si="16"/>
        <v/>
      </c>
      <c r="BC26" s="1221" t="str">
        <f t="shared" si="16"/>
        <v/>
      </c>
      <c r="BD26" s="1221" t="str">
        <f t="shared" si="16"/>
        <v/>
      </c>
      <c r="BE26" s="1222" t="str">
        <f t="shared" si="16"/>
        <v/>
      </c>
      <c r="BF26" s="1221" t="str">
        <f t="shared" si="16"/>
        <v/>
      </c>
      <c r="BG26" s="1223" t="str">
        <f t="shared" si="16"/>
        <v/>
      </c>
      <c r="BH26" s="286">
        <f t="shared" si="35"/>
        <v>0</v>
      </c>
      <c r="BI26" s="286">
        <f t="shared" si="36"/>
        <v>0</v>
      </c>
      <c r="BJ26" s="287" t="str">
        <f t="shared" si="37"/>
        <v>cukup</v>
      </c>
      <c r="BK26" s="287" t="str">
        <f t="shared" si="37"/>
        <v>cukup</v>
      </c>
      <c r="BL26" s="286" t="e">
        <f t="shared" si="38"/>
        <v>#N/A</v>
      </c>
      <c r="BM26" s="288" t="e">
        <f t="shared" si="39"/>
        <v>#N/A</v>
      </c>
      <c r="BN26" s="289" t="str">
        <f t="shared" si="40"/>
        <v/>
      </c>
      <c r="BO26" s="67"/>
    </row>
    <row r="27" spans="1:67" ht="33" customHeight="1">
      <c r="A27" s="67"/>
      <c r="B27" s="272">
        <f t="shared" si="23"/>
        <v>14</v>
      </c>
      <c r="C27" s="273">
        <f>IF(Data!F18="","",Data!F18)</f>
        <v>0</v>
      </c>
      <c r="D27" s="274" t="str">
        <f>IF(Data!H18="","",Data!H18)</f>
        <v xml:space="preserve">Ferdinandes Sakbana </v>
      </c>
      <c r="E27" s="275" t="str">
        <f>IF(Data!I18="","",Data!I18)</f>
        <v>L</v>
      </c>
      <c r="F27" s="276"/>
      <c r="G27" s="277"/>
      <c r="H27" s="277"/>
      <c r="I27" s="277"/>
      <c r="J27" s="277"/>
      <c r="K27" s="277"/>
      <c r="L27" s="277"/>
      <c r="M27" s="280"/>
      <c r="N27" s="277"/>
      <c r="O27" s="278"/>
      <c r="P27" s="279" t="str">
        <f t="shared" si="24"/>
        <v/>
      </c>
      <c r="Q27" s="277"/>
      <c r="R27" s="280"/>
      <c r="S27" s="281" t="str">
        <f t="shared" si="25"/>
        <v/>
      </c>
      <c r="T27" s="295" t="str">
        <f t="shared" si="26"/>
        <v/>
      </c>
      <c r="U27" s="1215" t="str">
        <f t="shared" si="7"/>
        <v/>
      </c>
      <c r="V27" s="1216" t="str">
        <f t="shared" si="7"/>
        <v/>
      </c>
      <c r="W27" s="1216" t="str">
        <f t="shared" si="7"/>
        <v/>
      </c>
      <c r="X27" s="1216" t="str">
        <f t="shared" si="7"/>
        <v/>
      </c>
      <c r="Y27" s="1216" t="str">
        <f t="shared" si="7"/>
        <v/>
      </c>
      <c r="Z27" s="1216" t="str">
        <f t="shared" si="7"/>
        <v/>
      </c>
      <c r="AA27" s="1216" t="str">
        <f t="shared" si="7"/>
        <v/>
      </c>
      <c r="AB27" s="1217" t="str">
        <f t="shared" si="7"/>
        <v/>
      </c>
      <c r="AC27" s="1216" t="str">
        <f t="shared" si="7"/>
        <v/>
      </c>
      <c r="AD27" s="1218" t="str">
        <f t="shared" si="7"/>
        <v/>
      </c>
      <c r="AE27" s="1219">
        <f t="shared" si="27"/>
        <v>0</v>
      </c>
      <c r="AF27" s="282">
        <f t="shared" si="28"/>
        <v>0</v>
      </c>
      <c r="AG27" s="282" t="str">
        <f t="shared" si="29"/>
        <v>cukup</v>
      </c>
      <c r="AH27" s="282" t="str">
        <f t="shared" si="10"/>
        <v>cukup</v>
      </c>
      <c r="AI27" s="282" t="str">
        <f t="shared" si="30"/>
        <v/>
      </c>
      <c r="AJ27" s="283" t="str">
        <f t="shared" si="31"/>
        <v/>
      </c>
      <c r="AK27" s="284" t="str">
        <f t="shared" si="32"/>
        <v/>
      </c>
      <c r="AL27" s="276"/>
      <c r="AM27" s="277"/>
      <c r="AN27" s="277"/>
      <c r="AO27" s="277"/>
      <c r="AP27" s="277"/>
      <c r="AQ27" s="277"/>
      <c r="AR27" s="277"/>
      <c r="AS27" s="280"/>
      <c r="AT27" s="277"/>
      <c r="AU27" s="278"/>
      <c r="AV27" s="285" t="str">
        <f t="shared" si="33"/>
        <v/>
      </c>
      <c r="AW27" s="296" t="str">
        <f t="shared" si="34"/>
        <v/>
      </c>
      <c r="AX27" s="1220" t="str">
        <f t="shared" si="16"/>
        <v/>
      </c>
      <c r="AY27" s="1221" t="str">
        <f t="shared" si="16"/>
        <v/>
      </c>
      <c r="AZ27" s="1221" t="str">
        <f t="shared" si="16"/>
        <v/>
      </c>
      <c r="BA27" s="1221" t="str">
        <f t="shared" si="16"/>
        <v/>
      </c>
      <c r="BB27" s="1221" t="str">
        <f t="shared" si="16"/>
        <v/>
      </c>
      <c r="BC27" s="1221" t="str">
        <f t="shared" si="16"/>
        <v/>
      </c>
      <c r="BD27" s="1221" t="str">
        <f t="shared" si="16"/>
        <v/>
      </c>
      <c r="BE27" s="1222" t="str">
        <f t="shared" si="16"/>
        <v/>
      </c>
      <c r="BF27" s="1221" t="str">
        <f t="shared" si="16"/>
        <v/>
      </c>
      <c r="BG27" s="1223" t="str">
        <f t="shared" si="16"/>
        <v/>
      </c>
      <c r="BH27" s="286">
        <f t="shared" si="35"/>
        <v>0</v>
      </c>
      <c r="BI27" s="286">
        <f t="shared" si="36"/>
        <v>0</v>
      </c>
      <c r="BJ27" s="287" t="str">
        <f t="shared" si="37"/>
        <v>cukup</v>
      </c>
      <c r="BK27" s="287" t="str">
        <f t="shared" si="37"/>
        <v>cukup</v>
      </c>
      <c r="BL27" s="286" t="e">
        <f t="shared" si="38"/>
        <v>#N/A</v>
      </c>
      <c r="BM27" s="288" t="e">
        <f t="shared" si="39"/>
        <v>#N/A</v>
      </c>
      <c r="BN27" s="289" t="str">
        <f t="shared" si="40"/>
        <v/>
      </c>
      <c r="BO27" s="67"/>
    </row>
    <row r="28" spans="1:67" ht="33" customHeight="1">
      <c r="A28" s="67"/>
      <c r="B28" s="272">
        <f t="shared" si="23"/>
        <v>15</v>
      </c>
      <c r="C28" s="273">
        <f>IF(Data!F19="","",Data!F19)</f>
        <v>0</v>
      </c>
      <c r="D28" s="274" t="str">
        <f>IF(Data!H19="","",Data!H19)</f>
        <v>Fitri Novani Nitbani</v>
      </c>
      <c r="E28" s="275" t="str">
        <f>IF(Data!I19="","",Data!I19)</f>
        <v>P</v>
      </c>
      <c r="F28" s="276"/>
      <c r="G28" s="277"/>
      <c r="H28" s="277"/>
      <c r="I28" s="277"/>
      <c r="J28" s="277"/>
      <c r="K28" s="277"/>
      <c r="L28" s="277"/>
      <c r="M28" s="280"/>
      <c r="N28" s="277"/>
      <c r="O28" s="278"/>
      <c r="P28" s="279" t="str">
        <f t="shared" si="24"/>
        <v/>
      </c>
      <c r="Q28" s="277"/>
      <c r="R28" s="280"/>
      <c r="S28" s="281" t="str">
        <f t="shared" si="25"/>
        <v/>
      </c>
      <c r="T28" s="295" t="str">
        <f t="shared" si="26"/>
        <v/>
      </c>
      <c r="U28" s="1215" t="str">
        <f t="shared" si="7"/>
        <v/>
      </c>
      <c r="V28" s="1216" t="str">
        <f t="shared" si="7"/>
        <v/>
      </c>
      <c r="W28" s="1216" t="str">
        <f t="shared" si="7"/>
        <v/>
      </c>
      <c r="X28" s="1216" t="str">
        <f t="shared" si="7"/>
        <v/>
      </c>
      <c r="Y28" s="1216" t="str">
        <f t="shared" si="7"/>
        <v/>
      </c>
      <c r="Z28" s="1216" t="str">
        <f t="shared" si="7"/>
        <v/>
      </c>
      <c r="AA28" s="1216" t="str">
        <f t="shared" si="7"/>
        <v/>
      </c>
      <c r="AB28" s="1217" t="str">
        <f t="shared" si="7"/>
        <v/>
      </c>
      <c r="AC28" s="1216" t="str">
        <f t="shared" si="7"/>
        <v/>
      </c>
      <c r="AD28" s="1218" t="str">
        <f t="shared" si="7"/>
        <v/>
      </c>
      <c r="AE28" s="1219">
        <f t="shared" si="27"/>
        <v>0</v>
      </c>
      <c r="AF28" s="282">
        <f t="shared" si="28"/>
        <v>0</v>
      </c>
      <c r="AG28" s="282" t="str">
        <f t="shared" si="29"/>
        <v>cukup</v>
      </c>
      <c r="AH28" s="282" t="str">
        <f t="shared" si="10"/>
        <v>cukup</v>
      </c>
      <c r="AI28" s="282" t="str">
        <f t="shared" si="30"/>
        <v/>
      </c>
      <c r="AJ28" s="283" t="str">
        <f t="shared" si="31"/>
        <v/>
      </c>
      <c r="AK28" s="284" t="str">
        <f t="shared" si="32"/>
        <v/>
      </c>
      <c r="AL28" s="276"/>
      <c r="AM28" s="277"/>
      <c r="AN28" s="277"/>
      <c r="AO28" s="277"/>
      <c r="AP28" s="277"/>
      <c r="AQ28" s="277"/>
      <c r="AR28" s="277"/>
      <c r="AS28" s="280"/>
      <c r="AT28" s="277"/>
      <c r="AU28" s="278"/>
      <c r="AV28" s="285" t="str">
        <f t="shared" si="33"/>
        <v/>
      </c>
      <c r="AW28" s="296" t="str">
        <f t="shared" si="34"/>
        <v/>
      </c>
      <c r="AX28" s="1220" t="str">
        <f t="shared" si="16"/>
        <v/>
      </c>
      <c r="AY28" s="1221" t="str">
        <f t="shared" si="16"/>
        <v/>
      </c>
      <c r="AZ28" s="1221" t="str">
        <f t="shared" si="16"/>
        <v/>
      </c>
      <c r="BA28" s="1221" t="str">
        <f t="shared" si="16"/>
        <v/>
      </c>
      <c r="BB28" s="1221" t="str">
        <f t="shared" si="16"/>
        <v/>
      </c>
      <c r="BC28" s="1221" t="str">
        <f t="shared" si="16"/>
        <v/>
      </c>
      <c r="BD28" s="1221" t="str">
        <f t="shared" si="16"/>
        <v/>
      </c>
      <c r="BE28" s="1222" t="str">
        <f t="shared" si="16"/>
        <v/>
      </c>
      <c r="BF28" s="1221" t="str">
        <f t="shared" si="16"/>
        <v/>
      </c>
      <c r="BG28" s="1223" t="str">
        <f t="shared" si="16"/>
        <v/>
      </c>
      <c r="BH28" s="286">
        <f t="shared" si="35"/>
        <v>0</v>
      </c>
      <c r="BI28" s="286">
        <f t="shared" si="36"/>
        <v>0</v>
      </c>
      <c r="BJ28" s="287" t="str">
        <f t="shared" si="37"/>
        <v>cukup</v>
      </c>
      <c r="BK28" s="287" t="str">
        <f t="shared" si="37"/>
        <v>cukup</v>
      </c>
      <c r="BL28" s="286" t="e">
        <f t="shared" si="38"/>
        <v>#N/A</v>
      </c>
      <c r="BM28" s="288" t="e">
        <f t="shared" si="39"/>
        <v>#N/A</v>
      </c>
      <c r="BN28" s="289" t="str">
        <f t="shared" si="40"/>
        <v/>
      </c>
      <c r="BO28" s="67"/>
    </row>
    <row r="29" spans="1:67" ht="33" customHeight="1">
      <c r="A29" s="67"/>
      <c r="B29" s="272">
        <f t="shared" si="23"/>
        <v>16</v>
      </c>
      <c r="C29" s="273">
        <f>IF(Data!F20="","",Data!F20)</f>
        <v>0</v>
      </c>
      <c r="D29" s="274" t="str">
        <f>IF(Data!H20="","",Data!H20)</f>
        <v>Helsina Benu</v>
      </c>
      <c r="E29" s="275" t="str">
        <f>IF(Data!I20="","",Data!I20)</f>
        <v>P</v>
      </c>
      <c r="F29" s="276"/>
      <c r="G29" s="277"/>
      <c r="H29" s="277"/>
      <c r="I29" s="277"/>
      <c r="J29" s="277"/>
      <c r="K29" s="277"/>
      <c r="L29" s="277"/>
      <c r="M29" s="280"/>
      <c r="N29" s="277"/>
      <c r="O29" s="278"/>
      <c r="P29" s="279" t="str">
        <f t="shared" si="24"/>
        <v/>
      </c>
      <c r="Q29" s="277"/>
      <c r="R29" s="280"/>
      <c r="S29" s="281" t="str">
        <f t="shared" si="25"/>
        <v/>
      </c>
      <c r="T29" s="295" t="str">
        <f t="shared" si="26"/>
        <v/>
      </c>
      <c r="U29" s="1215" t="str">
        <f t="shared" si="7"/>
        <v/>
      </c>
      <c r="V29" s="1216" t="str">
        <f t="shared" si="7"/>
        <v/>
      </c>
      <c r="W29" s="1216" t="str">
        <f t="shared" si="7"/>
        <v/>
      </c>
      <c r="X29" s="1216" t="str">
        <f t="shared" si="7"/>
        <v/>
      </c>
      <c r="Y29" s="1216" t="str">
        <f t="shared" si="7"/>
        <v/>
      </c>
      <c r="Z29" s="1216" t="str">
        <f t="shared" si="7"/>
        <v/>
      </c>
      <c r="AA29" s="1216" t="str">
        <f t="shared" si="7"/>
        <v/>
      </c>
      <c r="AB29" s="1217" t="str">
        <f t="shared" si="7"/>
        <v/>
      </c>
      <c r="AC29" s="1216" t="str">
        <f t="shared" si="7"/>
        <v/>
      </c>
      <c r="AD29" s="1218" t="str">
        <f t="shared" si="7"/>
        <v/>
      </c>
      <c r="AE29" s="1219">
        <f t="shared" si="27"/>
        <v>0</v>
      </c>
      <c r="AF29" s="282">
        <f t="shared" si="28"/>
        <v>0</v>
      </c>
      <c r="AG29" s="282" t="str">
        <f t="shared" si="29"/>
        <v>cukup</v>
      </c>
      <c r="AH29" s="282" t="str">
        <f t="shared" si="10"/>
        <v>cukup</v>
      </c>
      <c r="AI29" s="282" t="str">
        <f t="shared" si="30"/>
        <v/>
      </c>
      <c r="AJ29" s="283" t="str">
        <f t="shared" si="31"/>
        <v/>
      </c>
      <c r="AK29" s="284" t="str">
        <f t="shared" si="32"/>
        <v/>
      </c>
      <c r="AL29" s="276"/>
      <c r="AM29" s="277"/>
      <c r="AN29" s="277"/>
      <c r="AO29" s="277"/>
      <c r="AP29" s="277"/>
      <c r="AQ29" s="277"/>
      <c r="AR29" s="277"/>
      <c r="AS29" s="280"/>
      <c r="AT29" s="277"/>
      <c r="AU29" s="278"/>
      <c r="AV29" s="285" t="str">
        <f t="shared" si="33"/>
        <v/>
      </c>
      <c r="AW29" s="296" t="str">
        <f t="shared" si="34"/>
        <v/>
      </c>
      <c r="AX29" s="1220" t="str">
        <f t="shared" si="16"/>
        <v/>
      </c>
      <c r="AY29" s="1221" t="str">
        <f t="shared" si="16"/>
        <v/>
      </c>
      <c r="AZ29" s="1221" t="str">
        <f t="shared" si="16"/>
        <v/>
      </c>
      <c r="BA29" s="1221" t="str">
        <f t="shared" si="16"/>
        <v/>
      </c>
      <c r="BB29" s="1221" t="str">
        <f t="shared" si="16"/>
        <v/>
      </c>
      <c r="BC29" s="1221" t="str">
        <f t="shared" si="16"/>
        <v/>
      </c>
      <c r="BD29" s="1221" t="str">
        <f t="shared" si="16"/>
        <v/>
      </c>
      <c r="BE29" s="1222" t="str">
        <f t="shared" si="16"/>
        <v/>
      </c>
      <c r="BF29" s="1221" t="str">
        <f t="shared" si="16"/>
        <v/>
      </c>
      <c r="BG29" s="1223" t="str">
        <f t="shared" si="16"/>
        <v/>
      </c>
      <c r="BH29" s="286">
        <f t="shared" si="35"/>
        <v>0</v>
      </c>
      <c r="BI29" s="286">
        <f t="shared" si="36"/>
        <v>0</v>
      </c>
      <c r="BJ29" s="287" t="str">
        <f t="shared" si="37"/>
        <v>cukup</v>
      </c>
      <c r="BK29" s="287" t="str">
        <f t="shared" si="37"/>
        <v>cukup</v>
      </c>
      <c r="BL29" s="286" t="e">
        <f t="shared" si="38"/>
        <v>#N/A</v>
      </c>
      <c r="BM29" s="288" t="e">
        <f t="shared" si="39"/>
        <v>#N/A</v>
      </c>
      <c r="BN29" s="289" t="str">
        <f t="shared" si="40"/>
        <v/>
      </c>
      <c r="BO29" s="67"/>
    </row>
    <row r="30" spans="1:67" ht="33" customHeight="1">
      <c r="A30" s="67"/>
      <c r="B30" s="272">
        <f t="shared" si="23"/>
        <v>17</v>
      </c>
      <c r="C30" s="273">
        <f>IF(Data!F21="","",Data!F21)</f>
        <v>0</v>
      </c>
      <c r="D30" s="274" t="str">
        <f>IF(Data!H21="","",Data!H21)</f>
        <v xml:space="preserve">Hezron Nubatonis </v>
      </c>
      <c r="E30" s="275" t="str">
        <f>IF(Data!I21="","",Data!I21)</f>
        <v>L</v>
      </c>
      <c r="F30" s="276"/>
      <c r="G30" s="277"/>
      <c r="H30" s="277"/>
      <c r="I30" s="277"/>
      <c r="J30" s="277"/>
      <c r="K30" s="277"/>
      <c r="L30" s="277"/>
      <c r="M30" s="280"/>
      <c r="N30" s="277"/>
      <c r="O30" s="278"/>
      <c r="P30" s="279" t="str">
        <f t="shared" si="24"/>
        <v/>
      </c>
      <c r="Q30" s="277"/>
      <c r="R30" s="280"/>
      <c r="S30" s="281" t="str">
        <f t="shared" si="25"/>
        <v/>
      </c>
      <c r="T30" s="295" t="str">
        <f t="shared" si="26"/>
        <v/>
      </c>
      <c r="U30" s="1215" t="str">
        <f t="shared" ref="U30:AD55" si="41">IF(F30="","",F30+U$13)</f>
        <v/>
      </c>
      <c r="V30" s="1216" t="str">
        <f t="shared" si="41"/>
        <v/>
      </c>
      <c r="W30" s="1216" t="str">
        <f t="shared" si="41"/>
        <v/>
      </c>
      <c r="X30" s="1216" t="str">
        <f t="shared" si="41"/>
        <v/>
      </c>
      <c r="Y30" s="1216" t="str">
        <f t="shared" si="41"/>
        <v/>
      </c>
      <c r="Z30" s="1216" t="str">
        <f t="shared" si="41"/>
        <v/>
      </c>
      <c r="AA30" s="1216" t="str">
        <f t="shared" si="41"/>
        <v/>
      </c>
      <c r="AB30" s="1217" t="str">
        <f t="shared" si="41"/>
        <v/>
      </c>
      <c r="AC30" s="1216" t="str">
        <f t="shared" si="41"/>
        <v/>
      </c>
      <c r="AD30" s="1218" t="str">
        <f t="shared" si="41"/>
        <v/>
      </c>
      <c r="AE30" s="1219">
        <f t="shared" si="27"/>
        <v>0</v>
      </c>
      <c r="AF30" s="282">
        <f t="shared" si="28"/>
        <v>0</v>
      </c>
      <c r="AG30" s="282" t="str">
        <f t="shared" si="29"/>
        <v>cukup</v>
      </c>
      <c r="AH30" s="282" t="str">
        <f t="shared" si="29"/>
        <v>cukup</v>
      </c>
      <c r="AI30" s="282" t="str">
        <f t="shared" si="30"/>
        <v/>
      </c>
      <c r="AJ30" s="283" t="str">
        <f t="shared" si="31"/>
        <v/>
      </c>
      <c r="AK30" s="284" t="str">
        <f t="shared" si="32"/>
        <v/>
      </c>
      <c r="AL30" s="276"/>
      <c r="AM30" s="277"/>
      <c r="AN30" s="277"/>
      <c r="AO30" s="277"/>
      <c r="AP30" s="277"/>
      <c r="AQ30" s="277"/>
      <c r="AR30" s="277"/>
      <c r="AS30" s="280"/>
      <c r="AT30" s="277"/>
      <c r="AU30" s="278"/>
      <c r="AV30" s="285" t="str">
        <f t="shared" si="33"/>
        <v/>
      </c>
      <c r="AW30" s="296" t="str">
        <f t="shared" si="34"/>
        <v/>
      </c>
      <c r="AX30" s="1220" t="str">
        <f t="shared" ref="AX30:BG55" si="42">IF(AL30="","",AL30+AX$12)</f>
        <v/>
      </c>
      <c r="AY30" s="1221" t="str">
        <f t="shared" si="42"/>
        <v/>
      </c>
      <c r="AZ30" s="1221" t="str">
        <f t="shared" si="42"/>
        <v/>
      </c>
      <c r="BA30" s="1221" t="str">
        <f t="shared" si="42"/>
        <v/>
      </c>
      <c r="BB30" s="1221" t="str">
        <f t="shared" si="42"/>
        <v/>
      </c>
      <c r="BC30" s="1221" t="str">
        <f t="shared" si="42"/>
        <v/>
      </c>
      <c r="BD30" s="1221" t="str">
        <f t="shared" si="42"/>
        <v/>
      </c>
      <c r="BE30" s="1222" t="str">
        <f t="shared" si="42"/>
        <v/>
      </c>
      <c r="BF30" s="1221" t="str">
        <f t="shared" si="42"/>
        <v/>
      </c>
      <c r="BG30" s="1223" t="str">
        <f t="shared" si="42"/>
        <v/>
      </c>
      <c r="BH30" s="286">
        <f t="shared" si="35"/>
        <v>0</v>
      </c>
      <c r="BI30" s="286">
        <f t="shared" si="36"/>
        <v>0</v>
      </c>
      <c r="BJ30" s="287" t="str">
        <f t="shared" si="37"/>
        <v>cukup</v>
      </c>
      <c r="BK30" s="287" t="str">
        <f t="shared" si="37"/>
        <v>cukup</v>
      </c>
      <c r="BL30" s="286" t="e">
        <f t="shared" si="38"/>
        <v>#N/A</v>
      </c>
      <c r="BM30" s="288" t="e">
        <f t="shared" si="39"/>
        <v>#N/A</v>
      </c>
      <c r="BN30" s="289" t="str">
        <f t="shared" si="40"/>
        <v/>
      </c>
      <c r="BO30" s="67"/>
    </row>
    <row r="31" spans="1:67" ht="33" customHeight="1">
      <c r="A31" s="67"/>
      <c r="B31" s="272">
        <f t="shared" si="23"/>
        <v>18</v>
      </c>
      <c r="C31" s="273">
        <f>IF(Data!F22="","",Data!F22)</f>
        <v>0</v>
      </c>
      <c r="D31" s="274" t="str">
        <f>IF(Data!H22="","",Data!H22)</f>
        <v>Jelita Anita Boimau</v>
      </c>
      <c r="E31" s="275" t="str">
        <f>IF(Data!I22="","",Data!I22)</f>
        <v>P</v>
      </c>
      <c r="F31" s="276"/>
      <c r="G31" s="277"/>
      <c r="H31" s="277"/>
      <c r="I31" s="277"/>
      <c r="J31" s="277"/>
      <c r="K31" s="277"/>
      <c r="L31" s="277"/>
      <c r="M31" s="280"/>
      <c r="N31" s="277"/>
      <c r="O31" s="278"/>
      <c r="P31" s="279" t="str">
        <f t="shared" si="24"/>
        <v/>
      </c>
      <c r="Q31" s="277"/>
      <c r="R31" s="280"/>
      <c r="S31" s="281" t="str">
        <f t="shared" si="25"/>
        <v/>
      </c>
      <c r="T31" s="295" t="str">
        <f t="shared" si="26"/>
        <v/>
      </c>
      <c r="U31" s="1215" t="str">
        <f t="shared" si="41"/>
        <v/>
      </c>
      <c r="V31" s="1216" t="str">
        <f t="shared" si="41"/>
        <v/>
      </c>
      <c r="W31" s="1216" t="str">
        <f t="shared" si="41"/>
        <v/>
      </c>
      <c r="X31" s="1216" t="str">
        <f t="shared" si="41"/>
        <v/>
      </c>
      <c r="Y31" s="1216" t="str">
        <f t="shared" si="41"/>
        <v/>
      </c>
      <c r="Z31" s="1216" t="str">
        <f t="shared" si="41"/>
        <v/>
      </c>
      <c r="AA31" s="1216" t="str">
        <f t="shared" si="41"/>
        <v/>
      </c>
      <c r="AB31" s="1217" t="str">
        <f t="shared" si="41"/>
        <v/>
      </c>
      <c r="AC31" s="1216" t="str">
        <f t="shared" si="41"/>
        <v/>
      </c>
      <c r="AD31" s="1218" t="str">
        <f t="shared" si="41"/>
        <v/>
      </c>
      <c r="AE31" s="1219">
        <f t="shared" si="27"/>
        <v>0</v>
      </c>
      <c r="AF31" s="282">
        <f t="shared" si="28"/>
        <v>0</v>
      </c>
      <c r="AG31" s="282" t="str">
        <f t="shared" si="29"/>
        <v>cukup</v>
      </c>
      <c r="AH31" s="282" t="str">
        <f t="shared" si="29"/>
        <v>cukup</v>
      </c>
      <c r="AI31" s="282" t="str">
        <f t="shared" si="30"/>
        <v/>
      </c>
      <c r="AJ31" s="283" t="str">
        <f t="shared" si="31"/>
        <v/>
      </c>
      <c r="AK31" s="284" t="str">
        <f t="shared" si="32"/>
        <v/>
      </c>
      <c r="AL31" s="276"/>
      <c r="AM31" s="277"/>
      <c r="AN31" s="277"/>
      <c r="AO31" s="277"/>
      <c r="AP31" s="277"/>
      <c r="AQ31" s="277"/>
      <c r="AR31" s="277"/>
      <c r="AS31" s="280"/>
      <c r="AT31" s="277"/>
      <c r="AU31" s="278"/>
      <c r="AV31" s="285" t="str">
        <f t="shared" si="33"/>
        <v/>
      </c>
      <c r="AW31" s="296" t="str">
        <f t="shared" si="34"/>
        <v/>
      </c>
      <c r="AX31" s="1220" t="str">
        <f t="shared" si="42"/>
        <v/>
      </c>
      <c r="AY31" s="1221" t="str">
        <f t="shared" si="42"/>
        <v/>
      </c>
      <c r="AZ31" s="1221" t="str">
        <f t="shared" si="42"/>
        <v/>
      </c>
      <c r="BA31" s="1221" t="str">
        <f t="shared" si="42"/>
        <v/>
      </c>
      <c r="BB31" s="1221" t="str">
        <f t="shared" si="42"/>
        <v/>
      </c>
      <c r="BC31" s="1221" t="str">
        <f t="shared" si="42"/>
        <v/>
      </c>
      <c r="BD31" s="1221" t="str">
        <f t="shared" si="42"/>
        <v/>
      </c>
      <c r="BE31" s="1222" t="str">
        <f t="shared" si="42"/>
        <v/>
      </c>
      <c r="BF31" s="1221" t="str">
        <f t="shared" si="42"/>
        <v/>
      </c>
      <c r="BG31" s="1223" t="str">
        <f t="shared" si="42"/>
        <v/>
      </c>
      <c r="BH31" s="286">
        <f t="shared" si="35"/>
        <v>0</v>
      </c>
      <c r="BI31" s="286">
        <f t="shared" si="36"/>
        <v>0</v>
      </c>
      <c r="BJ31" s="287" t="str">
        <f t="shared" si="37"/>
        <v>cukup</v>
      </c>
      <c r="BK31" s="287" t="str">
        <f t="shared" si="37"/>
        <v>cukup</v>
      </c>
      <c r="BL31" s="286" t="e">
        <f t="shared" si="38"/>
        <v>#N/A</v>
      </c>
      <c r="BM31" s="288" t="e">
        <f t="shared" si="39"/>
        <v>#N/A</v>
      </c>
      <c r="BN31" s="289" t="str">
        <f t="shared" si="40"/>
        <v/>
      </c>
      <c r="BO31" s="67"/>
    </row>
    <row r="32" spans="1:67" ht="33" customHeight="1">
      <c r="A32" s="67"/>
      <c r="B32" s="272">
        <f t="shared" si="23"/>
        <v>19</v>
      </c>
      <c r="C32" s="273">
        <f>IF(Data!F23="","",Data!F23)</f>
        <v>0</v>
      </c>
      <c r="D32" s="274" t="str">
        <f>IF(Data!H23="","",Data!H23)</f>
        <v>Jidon Nubatonis</v>
      </c>
      <c r="E32" s="275" t="str">
        <f>IF(Data!I23="","",Data!I23)</f>
        <v>L</v>
      </c>
      <c r="F32" s="276"/>
      <c r="G32" s="277"/>
      <c r="H32" s="277"/>
      <c r="I32" s="277"/>
      <c r="J32" s="277"/>
      <c r="K32" s="277"/>
      <c r="L32" s="277"/>
      <c r="M32" s="280"/>
      <c r="N32" s="277"/>
      <c r="O32" s="278"/>
      <c r="P32" s="279" t="str">
        <f t="shared" si="24"/>
        <v/>
      </c>
      <c r="Q32" s="277"/>
      <c r="R32" s="280"/>
      <c r="S32" s="281" t="str">
        <f t="shared" si="25"/>
        <v/>
      </c>
      <c r="T32" s="295" t="str">
        <f t="shared" si="26"/>
        <v/>
      </c>
      <c r="U32" s="1215" t="str">
        <f t="shared" si="41"/>
        <v/>
      </c>
      <c r="V32" s="1216" t="str">
        <f t="shared" si="41"/>
        <v/>
      </c>
      <c r="W32" s="1216" t="str">
        <f t="shared" si="41"/>
        <v/>
      </c>
      <c r="X32" s="1216" t="str">
        <f t="shared" si="41"/>
        <v/>
      </c>
      <c r="Y32" s="1216" t="str">
        <f t="shared" si="41"/>
        <v/>
      </c>
      <c r="Z32" s="1216" t="str">
        <f t="shared" si="41"/>
        <v/>
      </c>
      <c r="AA32" s="1216" t="str">
        <f t="shared" si="41"/>
        <v/>
      </c>
      <c r="AB32" s="1217" t="str">
        <f t="shared" si="41"/>
        <v/>
      </c>
      <c r="AC32" s="1216" t="str">
        <f t="shared" si="41"/>
        <v/>
      </c>
      <c r="AD32" s="1218" t="str">
        <f t="shared" si="41"/>
        <v/>
      </c>
      <c r="AE32" s="1219">
        <f t="shared" si="27"/>
        <v>0</v>
      </c>
      <c r="AF32" s="282">
        <f t="shared" si="28"/>
        <v>0</v>
      </c>
      <c r="AG32" s="282" t="str">
        <f t="shared" si="29"/>
        <v>cukup</v>
      </c>
      <c r="AH32" s="282" t="str">
        <f t="shared" si="29"/>
        <v>cukup</v>
      </c>
      <c r="AI32" s="282" t="str">
        <f t="shared" si="30"/>
        <v/>
      </c>
      <c r="AJ32" s="283" t="str">
        <f t="shared" si="31"/>
        <v/>
      </c>
      <c r="AK32" s="284" t="str">
        <f t="shared" si="32"/>
        <v/>
      </c>
      <c r="AL32" s="276"/>
      <c r="AM32" s="277"/>
      <c r="AN32" s="277"/>
      <c r="AO32" s="277"/>
      <c r="AP32" s="277"/>
      <c r="AQ32" s="277"/>
      <c r="AR32" s="277"/>
      <c r="AS32" s="280"/>
      <c r="AT32" s="277"/>
      <c r="AU32" s="278"/>
      <c r="AV32" s="285" t="str">
        <f t="shared" si="33"/>
        <v/>
      </c>
      <c r="AW32" s="296" t="str">
        <f t="shared" si="34"/>
        <v/>
      </c>
      <c r="AX32" s="1220" t="str">
        <f t="shared" si="42"/>
        <v/>
      </c>
      <c r="AY32" s="1221" t="str">
        <f t="shared" si="42"/>
        <v/>
      </c>
      <c r="AZ32" s="1221" t="str">
        <f t="shared" si="42"/>
        <v/>
      </c>
      <c r="BA32" s="1221" t="str">
        <f t="shared" si="42"/>
        <v/>
      </c>
      <c r="BB32" s="1221" t="str">
        <f t="shared" si="42"/>
        <v/>
      </c>
      <c r="BC32" s="1221" t="str">
        <f t="shared" si="42"/>
        <v/>
      </c>
      <c r="BD32" s="1221" t="str">
        <f t="shared" si="42"/>
        <v/>
      </c>
      <c r="BE32" s="1222" t="str">
        <f t="shared" si="42"/>
        <v/>
      </c>
      <c r="BF32" s="1221" t="str">
        <f t="shared" si="42"/>
        <v/>
      </c>
      <c r="BG32" s="1223" t="str">
        <f t="shared" si="42"/>
        <v/>
      </c>
      <c r="BH32" s="286">
        <f t="shared" si="35"/>
        <v>0</v>
      </c>
      <c r="BI32" s="286">
        <f t="shared" si="36"/>
        <v>0</v>
      </c>
      <c r="BJ32" s="287" t="str">
        <f t="shared" si="37"/>
        <v>cukup</v>
      </c>
      <c r="BK32" s="287" t="str">
        <f t="shared" si="37"/>
        <v>cukup</v>
      </c>
      <c r="BL32" s="286" t="e">
        <f t="shared" si="38"/>
        <v>#N/A</v>
      </c>
      <c r="BM32" s="288" t="e">
        <f t="shared" si="39"/>
        <v>#N/A</v>
      </c>
      <c r="BN32" s="289" t="str">
        <f t="shared" si="40"/>
        <v/>
      </c>
      <c r="BO32" s="67"/>
    </row>
    <row r="33" spans="1:67" ht="33" customHeight="1">
      <c r="A33" s="67"/>
      <c r="B33" s="272">
        <f t="shared" si="23"/>
        <v>20</v>
      </c>
      <c r="C33" s="273">
        <f>IF(Data!F24="","",Data!F24)</f>
        <v>0</v>
      </c>
      <c r="D33" s="274" t="str">
        <f>IF(Data!H24="","",Data!H24)</f>
        <v>Jitro Andro Baran</v>
      </c>
      <c r="E33" s="275" t="str">
        <f>IF(Data!I24="","",Data!I24)</f>
        <v>L</v>
      </c>
      <c r="F33" s="276"/>
      <c r="G33" s="277"/>
      <c r="H33" s="277"/>
      <c r="I33" s="277"/>
      <c r="J33" s="277"/>
      <c r="K33" s="277"/>
      <c r="L33" s="277"/>
      <c r="M33" s="280"/>
      <c r="N33" s="277"/>
      <c r="O33" s="278"/>
      <c r="P33" s="279" t="str">
        <f t="shared" si="24"/>
        <v/>
      </c>
      <c r="Q33" s="277"/>
      <c r="R33" s="280"/>
      <c r="S33" s="281" t="str">
        <f t="shared" si="25"/>
        <v/>
      </c>
      <c r="T33" s="295" t="str">
        <f t="shared" si="26"/>
        <v/>
      </c>
      <c r="U33" s="1215" t="str">
        <f t="shared" si="41"/>
        <v/>
      </c>
      <c r="V33" s="1216" t="str">
        <f t="shared" si="41"/>
        <v/>
      </c>
      <c r="W33" s="1216" t="str">
        <f t="shared" si="41"/>
        <v/>
      </c>
      <c r="X33" s="1216" t="str">
        <f t="shared" si="41"/>
        <v/>
      </c>
      <c r="Y33" s="1216" t="str">
        <f t="shared" si="41"/>
        <v/>
      </c>
      <c r="Z33" s="1216" t="str">
        <f t="shared" si="41"/>
        <v/>
      </c>
      <c r="AA33" s="1216" t="str">
        <f t="shared" si="41"/>
        <v/>
      </c>
      <c r="AB33" s="1217" t="str">
        <f t="shared" si="41"/>
        <v/>
      </c>
      <c r="AC33" s="1216" t="str">
        <f t="shared" si="41"/>
        <v/>
      </c>
      <c r="AD33" s="1218" t="str">
        <f t="shared" si="41"/>
        <v/>
      </c>
      <c r="AE33" s="1219">
        <f t="shared" si="27"/>
        <v>0</v>
      </c>
      <c r="AF33" s="282">
        <f t="shared" si="28"/>
        <v>0</v>
      </c>
      <c r="AG33" s="282" t="str">
        <f t="shared" si="29"/>
        <v>cukup</v>
      </c>
      <c r="AH33" s="282" t="str">
        <f t="shared" si="29"/>
        <v>cukup</v>
      </c>
      <c r="AI33" s="282" t="str">
        <f t="shared" si="30"/>
        <v/>
      </c>
      <c r="AJ33" s="283" t="str">
        <f t="shared" si="31"/>
        <v/>
      </c>
      <c r="AK33" s="284" t="str">
        <f t="shared" si="32"/>
        <v/>
      </c>
      <c r="AL33" s="276"/>
      <c r="AM33" s="277"/>
      <c r="AN33" s="277"/>
      <c r="AO33" s="277"/>
      <c r="AP33" s="277"/>
      <c r="AQ33" s="277"/>
      <c r="AR33" s="277"/>
      <c r="AS33" s="280"/>
      <c r="AT33" s="277"/>
      <c r="AU33" s="278"/>
      <c r="AV33" s="285" t="str">
        <f t="shared" si="33"/>
        <v/>
      </c>
      <c r="AW33" s="296" t="str">
        <f t="shared" si="34"/>
        <v/>
      </c>
      <c r="AX33" s="1220" t="str">
        <f t="shared" si="42"/>
        <v/>
      </c>
      <c r="AY33" s="1221" t="str">
        <f t="shared" si="42"/>
        <v/>
      </c>
      <c r="AZ33" s="1221" t="str">
        <f t="shared" si="42"/>
        <v/>
      </c>
      <c r="BA33" s="1221" t="str">
        <f t="shared" si="42"/>
        <v/>
      </c>
      <c r="BB33" s="1221" t="str">
        <f t="shared" si="42"/>
        <v/>
      </c>
      <c r="BC33" s="1221" t="str">
        <f t="shared" si="42"/>
        <v/>
      </c>
      <c r="BD33" s="1221" t="str">
        <f t="shared" si="42"/>
        <v/>
      </c>
      <c r="BE33" s="1222" t="str">
        <f t="shared" si="42"/>
        <v/>
      </c>
      <c r="BF33" s="1221" t="str">
        <f t="shared" si="42"/>
        <v/>
      </c>
      <c r="BG33" s="1223" t="str">
        <f t="shared" si="42"/>
        <v/>
      </c>
      <c r="BH33" s="286">
        <f t="shared" si="35"/>
        <v>0</v>
      </c>
      <c r="BI33" s="286">
        <f t="shared" si="36"/>
        <v>0</v>
      </c>
      <c r="BJ33" s="287" t="str">
        <f t="shared" si="37"/>
        <v>cukup</v>
      </c>
      <c r="BK33" s="287" t="str">
        <f t="shared" si="37"/>
        <v>cukup</v>
      </c>
      <c r="BL33" s="286" t="e">
        <f t="shared" si="38"/>
        <v>#N/A</v>
      </c>
      <c r="BM33" s="288" t="e">
        <f t="shared" si="39"/>
        <v>#N/A</v>
      </c>
      <c r="BN33" s="289" t="str">
        <f t="shared" si="40"/>
        <v/>
      </c>
      <c r="BO33" s="67"/>
    </row>
    <row r="34" spans="1:67" ht="33" customHeight="1">
      <c r="A34" s="67"/>
      <c r="B34" s="272">
        <f t="shared" si="23"/>
        <v>21</v>
      </c>
      <c r="C34" s="273">
        <f>IF(Data!F25="","",Data!F25)</f>
        <v>0</v>
      </c>
      <c r="D34" s="274" t="str">
        <f>IF(Data!H25="","",Data!H25)</f>
        <v>Juan Manuel Boys</v>
      </c>
      <c r="E34" s="275" t="str">
        <f>IF(Data!I25="","",Data!I25)</f>
        <v>L</v>
      </c>
      <c r="F34" s="276"/>
      <c r="G34" s="277"/>
      <c r="H34" s="277"/>
      <c r="I34" s="277"/>
      <c r="J34" s="277"/>
      <c r="K34" s="277"/>
      <c r="L34" s="277"/>
      <c r="M34" s="280"/>
      <c r="N34" s="277"/>
      <c r="O34" s="278"/>
      <c r="P34" s="279" t="str">
        <f t="shared" si="24"/>
        <v/>
      </c>
      <c r="Q34" s="277"/>
      <c r="R34" s="280"/>
      <c r="S34" s="281" t="str">
        <f t="shared" si="25"/>
        <v/>
      </c>
      <c r="T34" s="295" t="str">
        <f t="shared" si="26"/>
        <v/>
      </c>
      <c r="U34" s="1215" t="str">
        <f t="shared" si="41"/>
        <v/>
      </c>
      <c r="V34" s="1216" t="str">
        <f t="shared" si="41"/>
        <v/>
      </c>
      <c r="W34" s="1216" t="str">
        <f t="shared" si="41"/>
        <v/>
      </c>
      <c r="X34" s="1216" t="str">
        <f t="shared" si="41"/>
        <v/>
      </c>
      <c r="Y34" s="1216" t="str">
        <f t="shared" si="41"/>
        <v/>
      </c>
      <c r="Z34" s="1216" t="str">
        <f t="shared" si="41"/>
        <v/>
      </c>
      <c r="AA34" s="1216" t="str">
        <f t="shared" si="41"/>
        <v/>
      </c>
      <c r="AB34" s="1217" t="str">
        <f t="shared" si="41"/>
        <v/>
      </c>
      <c r="AC34" s="1216" t="str">
        <f t="shared" si="41"/>
        <v/>
      </c>
      <c r="AD34" s="1218" t="str">
        <f t="shared" si="41"/>
        <v/>
      </c>
      <c r="AE34" s="1219">
        <f t="shared" si="27"/>
        <v>0</v>
      </c>
      <c r="AF34" s="282">
        <f t="shared" si="28"/>
        <v>0</v>
      </c>
      <c r="AG34" s="282" t="str">
        <f t="shared" si="29"/>
        <v>cukup</v>
      </c>
      <c r="AH34" s="282" t="str">
        <f t="shared" si="29"/>
        <v>cukup</v>
      </c>
      <c r="AI34" s="282" t="str">
        <f t="shared" si="30"/>
        <v/>
      </c>
      <c r="AJ34" s="283" t="str">
        <f t="shared" si="31"/>
        <v/>
      </c>
      <c r="AK34" s="284" t="str">
        <f t="shared" si="32"/>
        <v/>
      </c>
      <c r="AL34" s="276"/>
      <c r="AM34" s="277"/>
      <c r="AN34" s="277"/>
      <c r="AO34" s="277"/>
      <c r="AP34" s="277"/>
      <c r="AQ34" s="277"/>
      <c r="AR34" s="277"/>
      <c r="AS34" s="280"/>
      <c r="AT34" s="277"/>
      <c r="AU34" s="278"/>
      <c r="AV34" s="285" t="str">
        <f t="shared" si="33"/>
        <v/>
      </c>
      <c r="AW34" s="296" t="str">
        <f t="shared" si="34"/>
        <v/>
      </c>
      <c r="AX34" s="1220" t="str">
        <f t="shared" si="42"/>
        <v/>
      </c>
      <c r="AY34" s="1221" t="str">
        <f t="shared" si="42"/>
        <v/>
      </c>
      <c r="AZ34" s="1221" t="str">
        <f t="shared" si="42"/>
        <v/>
      </c>
      <c r="BA34" s="1221" t="str">
        <f t="shared" si="42"/>
        <v/>
      </c>
      <c r="BB34" s="1221" t="str">
        <f t="shared" si="42"/>
        <v/>
      </c>
      <c r="BC34" s="1221" t="str">
        <f t="shared" si="42"/>
        <v/>
      </c>
      <c r="BD34" s="1221" t="str">
        <f t="shared" si="42"/>
        <v/>
      </c>
      <c r="BE34" s="1222" t="str">
        <f t="shared" si="42"/>
        <v/>
      </c>
      <c r="BF34" s="1221" t="str">
        <f t="shared" si="42"/>
        <v/>
      </c>
      <c r="BG34" s="1223" t="str">
        <f t="shared" si="42"/>
        <v/>
      </c>
      <c r="BH34" s="286">
        <f t="shared" si="35"/>
        <v>0</v>
      </c>
      <c r="BI34" s="286">
        <f t="shared" si="36"/>
        <v>0</v>
      </c>
      <c r="BJ34" s="287" t="str">
        <f t="shared" si="37"/>
        <v>cukup</v>
      </c>
      <c r="BK34" s="287" t="str">
        <f t="shared" si="37"/>
        <v>cukup</v>
      </c>
      <c r="BL34" s="286" t="e">
        <f t="shared" si="38"/>
        <v>#N/A</v>
      </c>
      <c r="BM34" s="288" t="e">
        <f t="shared" si="39"/>
        <v>#N/A</v>
      </c>
      <c r="BN34" s="289" t="str">
        <f t="shared" si="40"/>
        <v/>
      </c>
      <c r="BO34" s="67"/>
    </row>
    <row r="35" spans="1:67" ht="33" customHeight="1">
      <c r="A35" s="67"/>
      <c r="B35" s="272">
        <f t="shared" si="23"/>
        <v>22</v>
      </c>
      <c r="C35" s="273">
        <f>IF(Data!F26="","",Data!F26)</f>
        <v>0</v>
      </c>
      <c r="D35" s="274" t="str">
        <f>IF(Data!H26="","",Data!H26)</f>
        <v>Krisyanti Ernela Kesnay</v>
      </c>
      <c r="E35" s="275" t="str">
        <f>IF(Data!I26="","",Data!I26)</f>
        <v>P</v>
      </c>
      <c r="F35" s="276"/>
      <c r="G35" s="277"/>
      <c r="H35" s="277"/>
      <c r="I35" s="277"/>
      <c r="J35" s="277"/>
      <c r="K35" s="277"/>
      <c r="L35" s="277"/>
      <c r="M35" s="280"/>
      <c r="N35" s="277"/>
      <c r="O35" s="278"/>
      <c r="P35" s="279" t="str">
        <f t="shared" si="24"/>
        <v/>
      </c>
      <c r="Q35" s="277"/>
      <c r="R35" s="280"/>
      <c r="S35" s="281" t="str">
        <f t="shared" si="25"/>
        <v/>
      </c>
      <c r="T35" s="295" t="str">
        <f t="shared" si="26"/>
        <v/>
      </c>
      <c r="U35" s="1215" t="str">
        <f t="shared" si="41"/>
        <v/>
      </c>
      <c r="V35" s="1216" t="str">
        <f t="shared" si="41"/>
        <v/>
      </c>
      <c r="W35" s="1216" t="str">
        <f t="shared" si="41"/>
        <v/>
      </c>
      <c r="X35" s="1216" t="str">
        <f t="shared" si="41"/>
        <v/>
      </c>
      <c r="Y35" s="1216" t="str">
        <f t="shared" si="41"/>
        <v/>
      </c>
      <c r="Z35" s="1216" t="str">
        <f t="shared" si="41"/>
        <v/>
      </c>
      <c r="AA35" s="1216" t="str">
        <f t="shared" si="41"/>
        <v/>
      </c>
      <c r="AB35" s="1217" t="str">
        <f t="shared" si="41"/>
        <v/>
      </c>
      <c r="AC35" s="1216" t="str">
        <f t="shared" si="41"/>
        <v/>
      </c>
      <c r="AD35" s="1218" t="str">
        <f t="shared" si="41"/>
        <v/>
      </c>
      <c r="AE35" s="1219">
        <f t="shared" si="27"/>
        <v>0</v>
      </c>
      <c r="AF35" s="282">
        <f t="shared" si="28"/>
        <v>0</v>
      </c>
      <c r="AG35" s="282" t="str">
        <f t="shared" si="29"/>
        <v>cukup</v>
      </c>
      <c r="AH35" s="282" t="str">
        <f t="shared" si="29"/>
        <v>cukup</v>
      </c>
      <c r="AI35" s="282" t="str">
        <f t="shared" si="30"/>
        <v/>
      </c>
      <c r="AJ35" s="283" t="str">
        <f t="shared" si="31"/>
        <v/>
      </c>
      <c r="AK35" s="284" t="str">
        <f t="shared" si="32"/>
        <v/>
      </c>
      <c r="AL35" s="276"/>
      <c r="AM35" s="277"/>
      <c r="AN35" s="277"/>
      <c r="AO35" s="277"/>
      <c r="AP35" s="277"/>
      <c r="AQ35" s="277"/>
      <c r="AR35" s="277"/>
      <c r="AS35" s="280"/>
      <c r="AT35" s="277"/>
      <c r="AU35" s="278"/>
      <c r="AV35" s="285" t="str">
        <f t="shared" si="33"/>
        <v/>
      </c>
      <c r="AW35" s="296" t="str">
        <f t="shared" si="34"/>
        <v/>
      </c>
      <c r="AX35" s="1220" t="str">
        <f t="shared" si="42"/>
        <v/>
      </c>
      <c r="AY35" s="1221" t="str">
        <f t="shared" si="42"/>
        <v/>
      </c>
      <c r="AZ35" s="1221" t="str">
        <f t="shared" si="42"/>
        <v/>
      </c>
      <c r="BA35" s="1221" t="str">
        <f t="shared" si="42"/>
        <v/>
      </c>
      <c r="BB35" s="1221" t="str">
        <f t="shared" si="42"/>
        <v/>
      </c>
      <c r="BC35" s="1221" t="str">
        <f t="shared" si="42"/>
        <v/>
      </c>
      <c r="BD35" s="1221" t="str">
        <f t="shared" si="42"/>
        <v/>
      </c>
      <c r="BE35" s="1222" t="str">
        <f t="shared" si="42"/>
        <v/>
      </c>
      <c r="BF35" s="1221" t="str">
        <f t="shared" si="42"/>
        <v/>
      </c>
      <c r="BG35" s="1223" t="str">
        <f t="shared" si="42"/>
        <v/>
      </c>
      <c r="BH35" s="286">
        <f t="shared" si="35"/>
        <v>0</v>
      </c>
      <c r="BI35" s="286">
        <f t="shared" si="36"/>
        <v>0</v>
      </c>
      <c r="BJ35" s="287" t="str">
        <f t="shared" si="37"/>
        <v>cukup</v>
      </c>
      <c r="BK35" s="287" t="str">
        <f t="shared" si="37"/>
        <v>cukup</v>
      </c>
      <c r="BL35" s="286" t="e">
        <f t="shared" si="38"/>
        <v>#N/A</v>
      </c>
      <c r="BM35" s="288" t="e">
        <f t="shared" si="39"/>
        <v>#N/A</v>
      </c>
      <c r="BN35" s="289" t="str">
        <f t="shared" si="40"/>
        <v/>
      </c>
      <c r="BO35" s="67"/>
    </row>
    <row r="36" spans="1:67" ht="33" customHeight="1">
      <c r="A36" s="67"/>
      <c r="B36" s="272">
        <f t="shared" si="23"/>
        <v>23</v>
      </c>
      <c r="C36" s="273">
        <f>IF(Data!F27="","",Data!F27)</f>
        <v>0</v>
      </c>
      <c r="D36" s="274" t="str">
        <f>IF(Data!H27="","",Data!H27)</f>
        <v>Leni Aknesia Knoan</v>
      </c>
      <c r="E36" s="275" t="str">
        <f>IF(Data!I27="","",Data!I27)</f>
        <v>P</v>
      </c>
      <c r="F36" s="276"/>
      <c r="G36" s="277"/>
      <c r="H36" s="277"/>
      <c r="I36" s="277"/>
      <c r="J36" s="277"/>
      <c r="K36" s="277"/>
      <c r="L36" s="277"/>
      <c r="M36" s="280"/>
      <c r="N36" s="277"/>
      <c r="O36" s="278"/>
      <c r="P36" s="279" t="str">
        <f t="shared" si="24"/>
        <v/>
      </c>
      <c r="Q36" s="277"/>
      <c r="R36" s="280"/>
      <c r="S36" s="281" t="str">
        <f t="shared" si="25"/>
        <v/>
      </c>
      <c r="T36" s="295" t="str">
        <f t="shared" si="26"/>
        <v/>
      </c>
      <c r="U36" s="1215" t="str">
        <f t="shared" si="41"/>
        <v/>
      </c>
      <c r="V36" s="1216" t="str">
        <f t="shared" si="41"/>
        <v/>
      </c>
      <c r="W36" s="1216" t="str">
        <f t="shared" si="41"/>
        <v/>
      </c>
      <c r="X36" s="1216" t="str">
        <f t="shared" si="41"/>
        <v/>
      </c>
      <c r="Y36" s="1216" t="str">
        <f t="shared" si="41"/>
        <v/>
      </c>
      <c r="Z36" s="1216" t="str">
        <f t="shared" si="41"/>
        <v/>
      </c>
      <c r="AA36" s="1216" t="str">
        <f t="shared" si="41"/>
        <v/>
      </c>
      <c r="AB36" s="1217" t="str">
        <f t="shared" si="41"/>
        <v/>
      </c>
      <c r="AC36" s="1216" t="str">
        <f t="shared" si="41"/>
        <v/>
      </c>
      <c r="AD36" s="1218" t="str">
        <f t="shared" si="41"/>
        <v/>
      </c>
      <c r="AE36" s="1219">
        <f t="shared" si="27"/>
        <v>0</v>
      </c>
      <c r="AF36" s="282">
        <f t="shared" si="28"/>
        <v>0</v>
      </c>
      <c r="AG36" s="282" t="str">
        <f t="shared" si="29"/>
        <v>cukup</v>
      </c>
      <c r="AH36" s="282" t="str">
        <f t="shared" si="29"/>
        <v>cukup</v>
      </c>
      <c r="AI36" s="282" t="str">
        <f t="shared" si="30"/>
        <v/>
      </c>
      <c r="AJ36" s="283" t="str">
        <f t="shared" si="31"/>
        <v/>
      </c>
      <c r="AK36" s="284" t="str">
        <f t="shared" si="32"/>
        <v/>
      </c>
      <c r="AL36" s="276"/>
      <c r="AM36" s="277"/>
      <c r="AN36" s="277"/>
      <c r="AO36" s="277"/>
      <c r="AP36" s="277"/>
      <c r="AQ36" s="277"/>
      <c r="AR36" s="277"/>
      <c r="AS36" s="280"/>
      <c r="AT36" s="277"/>
      <c r="AU36" s="278"/>
      <c r="AV36" s="285" t="str">
        <f t="shared" si="33"/>
        <v/>
      </c>
      <c r="AW36" s="296" t="str">
        <f t="shared" si="34"/>
        <v/>
      </c>
      <c r="AX36" s="1220" t="str">
        <f t="shared" si="42"/>
        <v/>
      </c>
      <c r="AY36" s="1221" t="str">
        <f t="shared" si="42"/>
        <v/>
      </c>
      <c r="AZ36" s="1221" t="str">
        <f t="shared" si="42"/>
        <v/>
      </c>
      <c r="BA36" s="1221" t="str">
        <f t="shared" si="42"/>
        <v/>
      </c>
      <c r="BB36" s="1221" t="str">
        <f t="shared" si="42"/>
        <v/>
      </c>
      <c r="BC36" s="1221" t="str">
        <f t="shared" si="42"/>
        <v/>
      </c>
      <c r="BD36" s="1221" t="str">
        <f t="shared" si="42"/>
        <v/>
      </c>
      <c r="BE36" s="1222" t="str">
        <f t="shared" si="42"/>
        <v/>
      </c>
      <c r="BF36" s="1221" t="str">
        <f t="shared" si="42"/>
        <v/>
      </c>
      <c r="BG36" s="1223" t="str">
        <f t="shared" si="42"/>
        <v/>
      </c>
      <c r="BH36" s="286">
        <f t="shared" si="35"/>
        <v>0</v>
      </c>
      <c r="BI36" s="286">
        <f t="shared" si="36"/>
        <v>0</v>
      </c>
      <c r="BJ36" s="287" t="str">
        <f t="shared" si="37"/>
        <v>cukup</v>
      </c>
      <c r="BK36" s="287" t="str">
        <f t="shared" si="37"/>
        <v>cukup</v>
      </c>
      <c r="BL36" s="286" t="e">
        <f t="shared" si="38"/>
        <v>#N/A</v>
      </c>
      <c r="BM36" s="288" t="e">
        <f t="shared" si="39"/>
        <v>#N/A</v>
      </c>
      <c r="BN36" s="289" t="str">
        <f t="shared" si="40"/>
        <v/>
      </c>
      <c r="BO36" s="67"/>
    </row>
    <row r="37" spans="1:67" ht="33" customHeight="1">
      <c r="A37" s="67"/>
      <c r="B37" s="272">
        <f t="shared" si="23"/>
        <v>24</v>
      </c>
      <c r="C37" s="273">
        <f>IF(Data!F28="","",Data!F28)</f>
        <v>0</v>
      </c>
      <c r="D37" s="274" t="str">
        <f>IF(Data!H28="","",Data!H28)</f>
        <v>Marlon Dioninsius Lalus</v>
      </c>
      <c r="E37" s="275" t="str">
        <f>IF(Data!I28="","",Data!I28)</f>
        <v>L</v>
      </c>
      <c r="F37" s="276"/>
      <c r="G37" s="277"/>
      <c r="H37" s="277"/>
      <c r="I37" s="277"/>
      <c r="J37" s="277"/>
      <c r="K37" s="277"/>
      <c r="L37" s="277"/>
      <c r="M37" s="280"/>
      <c r="N37" s="277"/>
      <c r="O37" s="278"/>
      <c r="P37" s="279" t="str">
        <f t="shared" si="24"/>
        <v/>
      </c>
      <c r="Q37" s="277"/>
      <c r="R37" s="280"/>
      <c r="S37" s="281" t="str">
        <f t="shared" si="25"/>
        <v/>
      </c>
      <c r="T37" s="295" t="str">
        <f t="shared" si="26"/>
        <v/>
      </c>
      <c r="U37" s="1215" t="str">
        <f t="shared" si="41"/>
        <v/>
      </c>
      <c r="V37" s="1216" t="str">
        <f t="shared" si="41"/>
        <v/>
      </c>
      <c r="W37" s="1216" t="str">
        <f t="shared" si="41"/>
        <v/>
      </c>
      <c r="X37" s="1216" t="str">
        <f t="shared" si="41"/>
        <v/>
      </c>
      <c r="Y37" s="1216" t="str">
        <f t="shared" si="41"/>
        <v/>
      </c>
      <c r="Z37" s="1216" t="str">
        <f t="shared" si="41"/>
        <v/>
      </c>
      <c r="AA37" s="1216" t="str">
        <f t="shared" si="41"/>
        <v/>
      </c>
      <c r="AB37" s="1217" t="str">
        <f t="shared" si="41"/>
        <v/>
      </c>
      <c r="AC37" s="1216" t="str">
        <f t="shared" si="41"/>
        <v/>
      </c>
      <c r="AD37" s="1218" t="str">
        <f t="shared" si="41"/>
        <v/>
      </c>
      <c r="AE37" s="1219">
        <f t="shared" si="27"/>
        <v>0</v>
      </c>
      <c r="AF37" s="282">
        <f t="shared" si="28"/>
        <v>0</v>
      </c>
      <c r="AG37" s="282" t="str">
        <f t="shared" si="29"/>
        <v>cukup</v>
      </c>
      <c r="AH37" s="282" t="str">
        <f t="shared" si="29"/>
        <v>cukup</v>
      </c>
      <c r="AI37" s="282" t="str">
        <f t="shared" si="30"/>
        <v/>
      </c>
      <c r="AJ37" s="283" t="str">
        <f t="shared" si="31"/>
        <v/>
      </c>
      <c r="AK37" s="284" t="str">
        <f t="shared" si="32"/>
        <v/>
      </c>
      <c r="AL37" s="276"/>
      <c r="AM37" s="277"/>
      <c r="AN37" s="277"/>
      <c r="AO37" s="277"/>
      <c r="AP37" s="277"/>
      <c r="AQ37" s="277"/>
      <c r="AR37" s="277"/>
      <c r="AS37" s="280"/>
      <c r="AT37" s="277"/>
      <c r="AU37" s="278"/>
      <c r="AV37" s="285" t="str">
        <f t="shared" si="33"/>
        <v/>
      </c>
      <c r="AW37" s="296" t="str">
        <f t="shared" si="34"/>
        <v/>
      </c>
      <c r="AX37" s="1220" t="str">
        <f t="shared" si="42"/>
        <v/>
      </c>
      <c r="AY37" s="1221" t="str">
        <f t="shared" si="42"/>
        <v/>
      </c>
      <c r="AZ37" s="1221" t="str">
        <f t="shared" si="42"/>
        <v/>
      </c>
      <c r="BA37" s="1221" t="str">
        <f t="shared" si="42"/>
        <v/>
      </c>
      <c r="BB37" s="1221" t="str">
        <f t="shared" si="42"/>
        <v/>
      </c>
      <c r="BC37" s="1221" t="str">
        <f t="shared" si="42"/>
        <v/>
      </c>
      <c r="BD37" s="1221" t="str">
        <f t="shared" si="42"/>
        <v/>
      </c>
      <c r="BE37" s="1222" t="str">
        <f t="shared" si="42"/>
        <v/>
      </c>
      <c r="BF37" s="1221" t="str">
        <f t="shared" si="42"/>
        <v/>
      </c>
      <c r="BG37" s="1223" t="str">
        <f t="shared" si="42"/>
        <v/>
      </c>
      <c r="BH37" s="286">
        <f t="shared" si="35"/>
        <v>0</v>
      </c>
      <c r="BI37" s="286">
        <f t="shared" si="36"/>
        <v>0</v>
      </c>
      <c r="BJ37" s="287" t="str">
        <f t="shared" si="37"/>
        <v>cukup</v>
      </c>
      <c r="BK37" s="287" t="str">
        <f t="shared" si="37"/>
        <v>cukup</v>
      </c>
      <c r="BL37" s="286" t="e">
        <f t="shared" si="38"/>
        <v>#N/A</v>
      </c>
      <c r="BM37" s="288" t="e">
        <f t="shared" si="39"/>
        <v>#N/A</v>
      </c>
      <c r="BN37" s="289" t="str">
        <f t="shared" si="40"/>
        <v/>
      </c>
      <c r="BO37" s="67"/>
    </row>
    <row r="38" spans="1:67" ht="33" customHeight="1">
      <c r="A38" s="67"/>
      <c r="B38" s="272">
        <f t="shared" si="23"/>
        <v>25</v>
      </c>
      <c r="C38" s="273">
        <f>IF(Data!F29="","",Data!F29)</f>
        <v>0</v>
      </c>
      <c r="D38" s="274" t="str">
        <f>IF(Data!H29="","",Data!H29)</f>
        <v>Maya Trifena Niobe</v>
      </c>
      <c r="E38" s="275" t="str">
        <f>IF(Data!I29="","",Data!I29)</f>
        <v>P</v>
      </c>
      <c r="F38" s="276"/>
      <c r="G38" s="277"/>
      <c r="H38" s="277"/>
      <c r="I38" s="277"/>
      <c r="J38" s="277"/>
      <c r="K38" s="277"/>
      <c r="L38" s="277"/>
      <c r="M38" s="280"/>
      <c r="N38" s="277"/>
      <c r="O38" s="278"/>
      <c r="P38" s="279" t="str">
        <f t="shared" si="24"/>
        <v/>
      </c>
      <c r="Q38" s="277"/>
      <c r="R38" s="280"/>
      <c r="S38" s="281" t="str">
        <f t="shared" si="25"/>
        <v/>
      </c>
      <c r="T38" s="295" t="str">
        <f t="shared" si="26"/>
        <v/>
      </c>
      <c r="U38" s="1215" t="str">
        <f t="shared" si="41"/>
        <v/>
      </c>
      <c r="V38" s="1216" t="str">
        <f t="shared" si="41"/>
        <v/>
      </c>
      <c r="W38" s="1216" t="str">
        <f t="shared" si="41"/>
        <v/>
      </c>
      <c r="X38" s="1216" t="str">
        <f t="shared" si="41"/>
        <v/>
      </c>
      <c r="Y38" s="1216" t="str">
        <f t="shared" si="41"/>
        <v/>
      </c>
      <c r="Z38" s="1216" t="str">
        <f t="shared" si="41"/>
        <v/>
      </c>
      <c r="AA38" s="1216" t="str">
        <f t="shared" si="41"/>
        <v/>
      </c>
      <c r="AB38" s="1217" t="str">
        <f t="shared" si="41"/>
        <v/>
      </c>
      <c r="AC38" s="1216" t="str">
        <f t="shared" si="41"/>
        <v/>
      </c>
      <c r="AD38" s="1218" t="str">
        <f t="shared" si="41"/>
        <v/>
      </c>
      <c r="AE38" s="1219">
        <f t="shared" si="27"/>
        <v>0</v>
      </c>
      <c r="AF38" s="282">
        <f t="shared" si="28"/>
        <v>0</v>
      </c>
      <c r="AG38" s="282" t="str">
        <f t="shared" si="29"/>
        <v>cukup</v>
      </c>
      <c r="AH38" s="282" t="str">
        <f t="shared" si="29"/>
        <v>cukup</v>
      </c>
      <c r="AI38" s="282" t="str">
        <f t="shared" si="30"/>
        <v/>
      </c>
      <c r="AJ38" s="283" t="str">
        <f t="shared" si="31"/>
        <v/>
      </c>
      <c r="AK38" s="284" t="str">
        <f t="shared" si="32"/>
        <v/>
      </c>
      <c r="AL38" s="276"/>
      <c r="AM38" s="277"/>
      <c r="AN38" s="277"/>
      <c r="AO38" s="277"/>
      <c r="AP38" s="277"/>
      <c r="AQ38" s="277"/>
      <c r="AR38" s="277"/>
      <c r="AS38" s="280"/>
      <c r="AT38" s="277"/>
      <c r="AU38" s="278"/>
      <c r="AV38" s="285" t="str">
        <f t="shared" si="33"/>
        <v/>
      </c>
      <c r="AW38" s="296" t="str">
        <f t="shared" si="34"/>
        <v/>
      </c>
      <c r="AX38" s="1220" t="str">
        <f t="shared" si="42"/>
        <v/>
      </c>
      <c r="AY38" s="1221" t="str">
        <f t="shared" si="42"/>
        <v/>
      </c>
      <c r="AZ38" s="1221" t="str">
        <f t="shared" si="42"/>
        <v/>
      </c>
      <c r="BA38" s="1221" t="str">
        <f t="shared" si="42"/>
        <v/>
      </c>
      <c r="BB38" s="1221" t="str">
        <f t="shared" si="42"/>
        <v/>
      </c>
      <c r="BC38" s="1221" t="str">
        <f t="shared" si="42"/>
        <v/>
      </c>
      <c r="BD38" s="1221" t="str">
        <f t="shared" si="42"/>
        <v/>
      </c>
      <c r="BE38" s="1222" t="str">
        <f t="shared" si="42"/>
        <v/>
      </c>
      <c r="BF38" s="1221" t="str">
        <f t="shared" si="42"/>
        <v/>
      </c>
      <c r="BG38" s="1223" t="str">
        <f t="shared" si="42"/>
        <v/>
      </c>
      <c r="BH38" s="286">
        <f t="shared" si="35"/>
        <v>0</v>
      </c>
      <c r="BI38" s="286">
        <f t="shared" si="36"/>
        <v>0</v>
      </c>
      <c r="BJ38" s="287" t="str">
        <f t="shared" si="37"/>
        <v>cukup</v>
      </c>
      <c r="BK38" s="287" t="str">
        <f t="shared" si="37"/>
        <v>cukup</v>
      </c>
      <c r="BL38" s="286" t="e">
        <f t="shared" si="38"/>
        <v>#N/A</v>
      </c>
      <c r="BM38" s="288" t="e">
        <f t="shared" si="39"/>
        <v>#N/A</v>
      </c>
      <c r="BN38" s="289" t="str">
        <f t="shared" si="40"/>
        <v/>
      </c>
      <c r="BO38" s="67"/>
    </row>
    <row r="39" spans="1:67" ht="33" customHeight="1">
      <c r="A39" s="67"/>
      <c r="B39" s="272">
        <f t="shared" si="23"/>
        <v>26</v>
      </c>
      <c r="C39" s="273">
        <f>IF(Data!F30="","",Data!F30)</f>
        <v>0</v>
      </c>
      <c r="D39" s="274" t="str">
        <f>IF(Data!H30="","",Data!H30)</f>
        <v>Misel Miranda Sora</v>
      </c>
      <c r="E39" s="275" t="str">
        <f>IF(Data!I30="","",Data!I30)</f>
        <v>P</v>
      </c>
      <c r="F39" s="276"/>
      <c r="G39" s="277"/>
      <c r="H39" s="277"/>
      <c r="I39" s="277"/>
      <c r="J39" s="277"/>
      <c r="K39" s="277"/>
      <c r="L39" s="277"/>
      <c r="M39" s="280"/>
      <c r="N39" s="277"/>
      <c r="O39" s="278"/>
      <c r="P39" s="279" t="str">
        <f t="shared" si="24"/>
        <v/>
      </c>
      <c r="Q39" s="277"/>
      <c r="R39" s="280"/>
      <c r="S39" s="281" t="str">
        <f t="shared" si="25"/>
        <v/>
      </c>
      <c r="T39" s="295" t="str">
        <f t="shared" si="26"/>
        <v/>
      </c>
      <c r="U39" s="1215" t="str">
        <f t="shared" si="41"/>
        <v/>
      </c>
      <c r="V39" s="1216" t="str">
        <f t="shared" si="41"/>
        <v/>
      </c>
      <c r="W39" s="1216" t="str">
        <f t="shared" si="41"/>
        <v/>
      </c>
      <c r="X39" s="1216" t="str">
        <f t="shared" si="41"/>
        <v/>
      </c>
      <c r="Y39" s="1216" t="str">
        <f t="shared" si="41"/>
        <v/>
      </c>
      <c r="Z39" s="1216" t="str">
        <f t="shared" si="41"/>
        <v/>
      </c>
      <c r="AA39" s="1216" t="str">
        <f t="shared" si="41"/>
        <v/>
      </c>
      <c r="AB39" s="1217" t="str">
        <f t="shared" si="41"/>
        <v/>
      </c>
      <c r="AC39" s="1216" t="str">
        <f t="shared" si="41"/>
        <v/>
      </c>
      <c r="AD39" s="1218" t="str">
        <f t="shared" si="41"/>
        <v/>
      </c>
      <c r="AE39" s="1219">
        <f t="shared" si="27"/>
        <v>0</v>
      </c>
      <c r="AF39" s="282">
        <f t="shared" si="28"/>
        <v>0</v>
      </c>
      <c r="AG39" s="282" t="str">
        <f t="shared" si="29"/>
        <v>cukup</v>
      </c>
      <c r="AH39" s="282" t="str">
        <f t="shared" si="29"/>
        <v>cukup</v>
      </c>
      <c r="AI39" s="282" t="str">
        <f t="shared" si="30"/>
        <v/>
      </c>
      <c r="AJ39" s="283" t="str">
        <f t="shared" si="31"/>
        <v/>
      </c>
      <c r="AK39" s="284" t="str">
        <f t="shared" si="32"/>
        <v/>
      </c>
      <c r="AL39" s="276"/>
      <c r="AM39" s="277"/>
      <c r="AN39" s="277"/>
      <c r="AO39" s="277"/>
      <c r="AP39" s="277"/>
      <c r="AQ39" s="277"/>
      <c r="AR39" s="277"/>
      <c r="AS39" s="280"/>
      <c r="AT39" s="277"/>
      <c r="AU39" s="278"/>
      <c r="AV39" s="285" t="str">
        <f t="shared" si="33"/>
        <v/>
      </c>
      <c r="AW39" s="296" t="str">
        <f t="shared" si="34"/>
        <v/>
      </c>
      <c r="AX39" s="1220" t="str">
        <f t="shared" si="42"/>
        <v/>
      </c>
      <c r="AY39" s="1221" t="str">
        <f t="shared" si="42"/>
        <v/>
      </c>
      <c r="AZ39" s="1221" t="str">
        <f t="shared" si="42"/>
        <v/>
      </c>
      <c r="BA39" s="1221" t="str">
        <f t="shared" si="42"/>
        <v/>
      </c>
      <c r="BB39" s="1221" t="str">
        <f t="shared" si="42"/>
        <v/>
      </c>
      <c r="BC39" s="1221" t="str">
        <f t="shared" si="42"/>
        <v/>
      </c>
      <c r="BD39" s="1221" t="str">
        <f t="shared" si="42"/>
        <v/>
      </c>
      <c r="BE39" s="1222" t="str">
        <f t="shared" si="42"/>
        <v/>
      </c>
      <c r="BF39" s="1221" t="str">
        <f t="shared" si="42"/>
        <v/>
      </c>
      <c r="BG39" s="1223" t="str">
        <f t="shared" si="42"/>
        <v/>
      </c>
      <c r="BH39" s="286">
        <f t="shared" si="35"/>
        <v>0</v>
      </c>
      <c r="BI39" s="286">
        <f t="shared" si="36"/>
        <v>0</v>
      </c>
      <c r="BJ39" s="287" t="str">
        <f t="shared" si="37"/>
        <v>cukup</v>
      </c>
      <c r="BK39" s="287" t="str">
        <f t="shared" si="37"/>
        <v>cukup</v>
      </c>
      <c r="BL39" s="286" t="e">
        <f t="shared" si="38"/>
        <v>#N/A</v>
      </c>
      <c r="BM39" s="288" t="e">
        <f t="shared" si="39"/>
        <v>#N/A</v>
      </c>
      <c r="BN39" s="289" t="str">
        <f t="shared" si="40"/>
        <v/>
      </c>
      <c r="BO39" s="67"/>
    </row>
    <row r="40" spans="1:67" ht="33" customHeight="1">
      <c r="A40" s="67"/>
      <c r="B40" s="272">
        <f t="shared" si="23"/>
        <v>27</v>
      </c>
      <c r="C40" s="273">
        <f>IF(Data!F31="","",Data!F31)</f>
        <v>0</v>
      </c>
      <c r="D40" s="274" t="str">
        <f>IF(Data!H31="","",Data!H31)</f>
        <v>Nofianti Tainmeta</v>
      </c>
      <c r="E40" s="275" t="str">
        <f>IF(Data!I31="","",Data!I31)</f>
        <v>P</v>
      </c>
      <c r="F40" s="276"/>
      <c r="G40" s="277"/>
      <c r="H40" s="277"/>
      <c r="I40" s="277"/>
      <c r="J40" s="277"/>
      <c r="K40" s="277"/>
      <c r="L40" s="277"/>
      <c r="M40" s="280"/>
      <c r="N40" s="277"/>
      <c r="O40" s="278"/>
      <c r="P40" s="279" t="str">
        <f t="shared" si="24"/>
        <v/>
      </c>
      <c r="Q40" s="277"/>
      <c r="R40" s="280"/>
      <c r="S40" s="281" t="str">
        <f t="shared" si="25"/>
        <v/>
      </c>
      <c r="T40" s="295" t="str">
        <f t="shared" si="26"/>
        <v/>
      </c>
      <c r="U40" s="1215" t="str">
        <f t="shared" si="41"/>
        <v/>
      </c>
      <c r="V40" s="1216" t="str">
        <f t="shared" si="41"/>
        <v/>
      </c>
      <c r="W40" s="1216" t="str">
        <f t="shared" si="41"/>
        <v/>
      </c>
      <c r="X40" s="1216" t="str">
        <f t="shared" si="41"/>
        <v/>
      </c>
      <c r="Y40" s="1216" t="str">
        <f t="shared" si="41"/>
        <v/>
      </c>
      <c r="Z40" s="1216" t="str">
        <f t="shared" si="41"/>
        <v/>
      </c>
      <c r="AA40" s="1216" t="str">
        <f t="shared" si="41"/>
        <v/>
      </c>
      <c r="AB40" s="1217" t="str">
        <f t="shared" si="41"/>
        <v/>
      </c>
      <c r="AC40" s="1216" t="str">
        <f t="shared" si="41"/>
        <v/>
      </c>
      <c r="AD40" s="1218" t="str">
        <f t="shared" si="41"/>
        <v/>
      </c>
      <c r="AE40" s="1219">
        <f t="shared" si="27"/>
        <v>0</v>
      </c>
      <c r="AF40" s="282">
        <f t="shared" si="28"/>
        <v>0</v>
      </c>
      <c r="AG40" s="282" t="str">
        <f t="shared" si="29"/>
        <v>cukup</v>
      </c>
      <c r="AH40" s="282" t="str">
        <f t="shared" si="29"/>
        <v>cukup</v>
      </c>
      <c r="AI40" s="282" t="str">
        <f t="shared" si="30"/>
        <v/>
      </c>
      <c r="AJ40" s="283" t="str">
        <f t="shared" si="31"/>
        <v/>
      </c>
      <c r="AK40" s="284" t="str">
        <f t="shared" si="32"/>
        <v/>
      </c>
      <c r="AL40" s="276"/>
      <c r="AM40" s="277"/>
      <c r="AN40" s="277"/>
      <c r="AO40" s="277"/>
      <c r="AP40" s="277"/>
      <c r="AQ40" s="277"/>
      <c r="AR40" s="277"/>
      <c r="AS40" s="280"/>
      <c r="AT40" s="277"/>
      <c r="AU40" s="278"/>
      <c r="AV40" s="285" t="str">
        <f t="shared" si="33"/>
        <v/>
      </c>
      <c r="AW40" s="296" t="str">
        <f t="shared" si="34"/>
        <v/>
      </c>
      <c r="AX40" s="1220" t="str">
        <f t="shared" si="42"/>
        <v/>
      </c>
      <c r="AY40" s="1221" t="str">
        <f t="shared" si="42"/>
        <v/>
      </c>
      <c r="AZ40" s="1221" t="str">
        <f t="shared" si="42"/>
        <v/>
      </c>
      <c r="BA40" s="1221" t="str">
        <f t="shared" si="42"/>
        <v/>
      </c>
      <c r="BB40" s="1221" t="str">
        <f t="shared" si="42"/>
        <v/>
      </c>
      <c r="BC40" s="1221" t="str">
        <f t="shared" si="42"/>
        <v/>
      </c>
      <c r="BD40" s="1221" t="str">
        <f t="shared" si="42"/>
        <v/>
      </c>
      <c r="BE40" s="1222" t="str">
        <f t="shared" si="42"/>
        <v/>
      </c>
      <c r="BF40" s="1221" t="str">
        <f t="shared" si="42"/>
        <v/>
      </c>
      <c r="BG40" s="1223" t="str">
        <f t="shared" si="42"/>
        <v/>
      </c>
      <c r="BH40" s="286">
        <f t="shared" si="35"/>
        <v>0</v>
      </c>
      <c r="BI40" s="286">
        <f t="shared" si="36"/>
        <v>0</v>
      </c>
      <c r="BJ40" s="287" t="str">
        <f t="shared" si="37"/>
        <v>cukup</v>
      </c>
      <c r="BK40" s="287" t="str">
        <f t="shared" si="37"/>
        <v>cukup</v>
      </c>
      <c r="BL40" s="286" t="e">
        <f t="shared" si="38"/>
        <v>#N/A</v>
      </c>
      <c r="BM40" s="288" t="e">
        <f t="shared" si="39"/>
        <v>#N/A</v>
      </c>
      <c r="BN40" s="289" t="str">
        <f t="shared" si="40"/>
        <v/>
      </c>
      <c r="BO40" s="67"/>
    </row>
    <row r="41" spans="1:67" ht="33" customHeight="1">
      <c r="A41" s="67"/>
      <c r="B41" s="272">
        <f t="shared" si="23"/>
        <v>28</v>
      </c>
      <c r="C41" s="273">
        <f>IF(Data!F32="","",Data!F32)</f>
        <v>0</v>
      </c>
      <c r="D41" s="274" t="str">
        <f>IF(Data!H32="","",Data!H32)</f>
        <v>Ofni Antrikus Banun</v>
      </c>
      <c r="E41" s="275" t="str">
        <f>IF(Data!I32="","",Data!I32)</f>
        <v>L</v>
      </c>
      <c r="F41" s="276"/>
      <c r="G41" s="277"/>
      <c r="H41" s="277"/>
      <c r="I41" s="277"/>
      <c r="J41" s="277"/>
      <c r="K41" s="277"/>
      <c r="L41" s="277"/>
      <c r="M41" s="280"/>
      <c r="N41" s="277"/>
      <c r="O41" s="278"/>
      <c r="P41" s="279" t="str">
        <f t="shared" si="24"/>
        <v/>
      </c>
      <c r="Q41" s="277"/>
      <c r="R41" s="280"/>
      <c r="S41" s="281" t="str">
        <f t="shared" si="25"/>
        <v/>
      </c>
      <c r="T41" s="295" t="str">
        <f t="shared" si="26"/>
        <v/>
      </c>
      <c r="U41" s="1215" t="str">
        <f t="shared" si="41"/>
        <v/>
      </c>
      <c r="V41" s="1216" t="str">
        <f t="shared" si="41"/>
        <v/>
      </c>
      <c r="W41" s="1216" t="str">
        <f t="shared" si="41"/>
        <v/>
      </c>
      <c r="X41" s="1216" t="str">
        <f t="shared" si="41"/>
        <v/>
      </c>
      <c r="Y41" s="1216" t="str">
        <f t="shared" si="41"/>
        <v/>
      </c>
      <c r="Z41" s="1216" t="str">
        <f t="shared" si="41"/>
        <v/>
      </c>
      <c r="AA41" s="1216" t="str">
        <f t="shared" si="41"/>
        <v/>
      </c>
      <c r="AB41" s="1217" t="str">
        <f t="shared" si="41"/>
        <v/>
      </c>
      <c r="AC41" s="1216" t="str">
        <f t="shared" si="41"/>
        <v/>
      </c>
      <c r="AD41" s="1218" t="str">
        <f t="shared" si="41"/>
        <v/>
      </c>
      <c r="AE41" s="1219">
        <f t="shared" si="27"/>
        <v>0</v>
      </c>
      <c r="AF41" s="282">
        <f t="shared" si="28"/>
        <v>0</v>
      </c>
      <c r="AG41" s="282" t="str">
        <f t="shared" si="29"/>
        <v>cukup</v>
      </c>
      <c r="AH41" s="282" t="str">
        <f t="shared" si="29"/>
        <v>cukup</v>
      </c>
      <c r="AI41" s="282" t="str">
        <f t="shared" si="30"/>
        <v/>
      </c>
      <c r="AJ41" s="283" t="str">
        <f t="shared" si="31"/>
        <v/>
      </c>
      <c r="AK41" s="284" t="str">
        <f t="shared" si="32"/>
        <v/>
      </c>
      <c r="AL41" s="276"/>
      <c r="AM41" s="277"/>
      <c r="AN41" s="277"/>
      <c r="AO41" s="277"/>
      <c r="AP41" s="277"/>
      <c r="AQ41" s="277"/>
      <c r="AR41" s="277"/>
      <c r="AS41" s="280"/>
      <c r="AT41" s="277"/>
      <c r="AU41" s="278"/>
      <c r="AV41" s="285" t="str">
        <f t="shared" si="33"/>
        <v/>
      </c>
      <c r="AW41" s="296" t="str">
        <f t="shared" si="34"/>
        <v/>
      </c>
      <c r="AX41" s="1220" t="str">
        <f t="shared" si="42"/>
        <v/>
      </c>
      <c r="AY41" s="1221" t="str">
        <f t="shared" si="42"/>
        <v/>
      </c>
      <c r="AZ41" s="1221" t="str">
        <f t="shared" si="42"/>
        <v/>
      </c>
      <c r="BA41" s="1221" t="str">
        <f t="shared" si="42"/>
        <v/>
      </c>
      <c r="BB41" s="1221" t="str">
        <f t="shared" si="42"/>
        <v/>
      </c>
      <c r="BC41" s="1221" t="str">
        <f t="shared" si="42"/>
        <v/>
      </c>
      <c r="BD41" s="1221" t="str">
        <f t="shared" si="42"/>
        <v/>
      </c>
      <c r="BE41" s="1222" t="str">
        <f t="shared" si="42"/>
        <v/>
      </c>
      <c r="BF41" s="1221" t="str">
        <f t="shared" si="42"/>
        <v/>
      </c>
      <c r="BG41" s="1223" t="str">
        <f t="shared" si="42"/>
        <v/>
      </c>
      <c r="BH41" s="286">
        <f t="shared" si="35"/>
        <v>0</v>
      </c>
      <c r="BI41" s="286">
        <f t="shared" si="36"/>
        <v>0</v>
      </c>
      <c r="BJ41" s="287" t="str">
        <f t="shared" si="37"/>
        <v>cukup</v>
      </c>
      <c r="BK41" s="287" t="str">
        <f t="shared" si="37"/>
        <v>cukup</v>
      </c>
      <c r="BL41" s="286" t="e">
        <f t="shared" si="38"/>
        <v>#N/A</v>
      </c>
      <c r="BM41" s="288" t="e">
        <f t="shared" si="39"/>
        <v>#N/A</v>
      </c>
      <c r="BN41" s="289" t="str">
        <f t="shared" si="40"/>
        <v/>
      </c>
      <c r="BO41" s="67"/>
    </row>
    <row r="42" spans="1:67" ht="33" customHeight="1">
      <c r="A42" s="67"/>
      <c r="B42" s="272">
        <f t="shared" si="23"/>
        <v>29</v>
      </c>
      <c r="C42" s="273">
        <f>IF(Data!F33="","",Data!F33)</f>
        <v>0</v>
      </c>
      <c r="D42" s="274" t="str">
        <f>IF(Data!H33="","",Data!H33)</f>
        <v>Roiyandi Saebesi</v>
      </c>
      <c r="E42" s="275" t="str">
        <f>IF(Data!I33="","",Data!I33)</f>
        <v>L</v>
      </c>
      <c r="F42" s="276"/>
      <c r="G42" s="277"/>
      <c r="H42" s="277"/>
      <c r="I42" s="277"/>
      <c r="J42" s="277"/>
      <c r="K42" s="277"/>
      <c r="L42" s="277"/>
      <c r="M42" s="280"/>
      <c r="N42" s="277"/>
      <c r="O42" s="278"/>
      <c r="P42" s="279" t="str">
        <f t="shared" si="24"/>
        <v/>
      </c>
      <c r="Q42" s="277"/>
      <c r="R42" s="280"/>
      <c r="S42" s="281" t="str">
        <f t="shared" si="25"/>
        <v/>
      </c>
      <c r="T42" s="295" t="str">
        <f t="shared" si="26"/>
        <v/>
      </c>
      <c r="U42" s="1215" t="str">
        <f t="shared" si="41"/>
        <v/>
      </c>
      <c r="V42" s="1216" t="str">
        <f t="shared" si="41"/>
        <v/>
      </c>
      <c r="W42" s="1216" t="str">
        <f t="shared" si="41"/>
        <v/>
      </c>
      <c r="X42" s="1216" t="str">
        <f t="shared" si="41"/>
        <v/>
      </c>
      <c r="Y42" s="1216" t="str">
        <f t="shared" si="41"/>
        <v/>
      </c>
      <c r="Z42" s="1216" t="str">
        <f t="shared" si="41"/>
        <v/>
      </c>
      <c r="AA42" s="1216" t="str">
        <f t="shared" si="41"/>
        <v/>
      </c>
      <c r="AB42" s="1217" t="str">
        <f t="shared" si="41"/>
        <v/>
      </c>
      <c r="AC42" s="1216" t="str">
        <f t="shared" si="41"/>
        <v/>
      </c>
      <c r="AD42" s="1218" t="str">
        <f t="shared" si="41"/>
        <v/>
      </c>
      <c r="AE42" s="1219">
        <f t="shared" si="27"/>
        <v>0</v>
      </c>
      <c r="AF42" s="282">
        <f t="shared" si="28"/>
        <v>0</v>
      </c>
      <c r="AG42" s="282" t="str">
        <f t="shared" si="29"/>
        <v>cukup</v>
      </c>
      <c r="AH42" s="282" t="str">
        <f t="shared" si="29"/>
        <v>cukup</v>
      </c>
      <c r="AI42" s="282" t="str">
        <f t="shared" si="30"/>
        <v/>
      </c>
      <c r="AJ42" s="283" t="str">
        <f t="shared" si="31"/>
        <v/>
      </c>
      <c r="AK42" s="284" t="str">
        <f t="shared" si="32"/>
        <v/>
      </c>
      <c r="AL42" s="276"/>
      <c r="AM42" s="277"/>
      <c r="AN42" s="277"/>
      <c r="AO42" s="277"/>
      <c r="AP42" s="277"/>
      <c r="AQ42" s="277"/>
      <c r="AR42" s="277"/>
      <c r="AS42" s="280"/>
      <c r="AT42" s="277"/>
      <c r="AU42" s="278"/>
      <c r="AV42" s="285" t="str">
        <f t="shared" si="33"/>
        <v/>
      </c>
      <c r="AW42" s="296" t="str">
        <f t="shared" si="34"/>
        <v/>
      </c>
      <c r="AX42" s="1220" t="str">
        <f t="shared" si="42"/>
        <v/>
      </c>
      <c r="AY42" s="1221" t="str">
        <f t="shared" si="42"/>
        <v/>
      </c>
      <c r="AZ42" s="1221" t="str">
        <f t="shared" si="42"/>
        <v/>
      </c>
      <c r="BA42" s="1221" t="str">
        <f t="shared" si="42"/>
        <v/>
      </c>
      <c r="BB42" s="1221" t="str">
        <f t="shared" si="42"/>
        <v/>
      </c>
      <c r="BC42" s="1221" t="str">
        <f t="shared" si="42"/>
        <v/>
      </c>
      <c r="BD42" s="1221" t="str">
        <f t="shared" si="42"/>
        <v/>
      </c>
      <c r="BE42" s="1222" t="str">
        <f t="shared" si="42"/>
        <v/>
      </c>
      <c r="BF42" s="1221" t="str">
        <f t="shared" si="42"/>
        <v/>
      </c>
      <c r="BG42" s="1223" t="str">
        <f t="shared" si="42"/>
        <v/>
      </c>
      <c r="BH42" s="286">
        <f t="shared" si="35"/>
        <v>0</v>
      </c>
      <c r="BI42" s="286">
        <f t="shared" si="36"/>
        <v>0</v>
      </c>
      <c r="BJ42" s="287" t="str">
        <f t="shared" si="37"/>
        <v>cukup</v>
      </c>
      <c r="BK42" s="287" t="str">
        <f t="shared" si="37"/>
        <v>cukup</v>
      </c>
      <c r="BL42" s="286" t="e">
        <f t="shared" si="38"/>
        <v>#N/A</v>
      </c>
      <c r="BM42" s="288" t="e">
        <f t="shared" si="39"/>
        <v>#N/A</v>
      </c>
      <c r="BN42" s="289" t="str">
        <f t="shared" si="40"/>
        <v/>
      </c>
      <c r="BO42" s="67"/>
    </row>
    <row r="43" spans="1:67" ht="33" customHeight="1">
      <c r="A43" s="67"/>
      <c r="B43" s="272">
        <f t="shared" si="23"/>
        <v>30</v>
      </c>
      <c r="C43" s="273">
        <f>IF(Data!F34="","",Data!F34)</f>
        <v>0</v>
      </c>
      <c r="D43" s="274" t="str">
        <f>IF(Data!H34="","",Data!H34)</f>
        <v>Roni Yohanis Bira</v>
      </c>
      <c r="E43" s="275" t="str">
        <f>IF(Data!I34="","",Data!I34)</f>
        <v>L</v>
      </c>
      <c r="F43" s="276"/>
      <c r="G43" s="277"/>
      <c r="H43" s="277"/>
      <c r="I43" s="277"/>
      <c r="J43" s="277"/>
      <c r="K43" s="277"/>
      <c r="L43" s="277"/>
      <c r="M43" s="280"/>
      <c r="N43" s="277"/>
      <c r="O43" s="278"/>
      <c r="P43" s="279" t="str">
        <f t="shared" si="24"/>
        <v/>
      </c>
      <c r="Q43" s="277"/>
      <c r="R43" s="280"/>
      <c r="S43" s="281" t="str">
        <f t="shared" si="25"/>
        <v/>
      </c>
      <c r="T43" s="295" t="str">
        <f t="shared" si="26"/>
        <v/>
      </c>
      <c r="U43" s="1215" t="str">
        <f t="shared" si="41"/>
        <v/>
      </c>
      <c r="V43" s="1216" t="str">
        <f t="shared" si="41"/>
        <v/>
      </c>
      <c r="W43" s="1216" t="str">
        <f t="shared" si="41"/>
        <v/>
      </c>
      <c r="X43" s="1216" t="str">
        <f t="shared" si="41"/>
        <v/>
      </c>
      <c r="Y43" s="1216" t="str">
        <f t="shared" si="41"/>
        <v/>
      </c>
      <c r="Z43" s="1216" t="str">
        <f t="shared" si="41"/>
        <v/>
      </c>
      <c r="AA43" s="1216" t="str">
        <f t="shared" si="41"/>
        <v/>
      </c>
      <c r="AB43" s="1217" t="str">
        <f t="shared" si="41"/>
        <v/>
      </c>
      <c r="AC43" s="1216" t="str">
        <f t="shared" si="41"/>
        <v/>
      </c>
      <c r="AD43" s="1218" t="str">
        <f t="shared" si="41"/>
        <v/>
      </c>
      <c r="AE43" s="1219">
        <f t="shared" si="27"/>
        <v>0</v>
      </c>
      <c r="AF43" s="282">
        <f t="shared" si="28"/>
        <v>0</v>
      </c>
      <c r="AG43" s="282" t="str">
        <f t="shared" si="29"/>
        <v>cukup</v>
      </c>
      <c r="AH43" s="282" t="str">
        <f t="shared" si="29"/>
        <v>cukup</v>
      </c>
      <c r="AI43" s="282" t="str">
        <f t="shared" si="30"/>
        <v/>
      </c>
      <c r="AJ43" s="283" t="str">
        <f t="shared" si="31"/>
        <v/>
      </c>
      <c r="AK43" s="284" t="str">
        <f t="shared" si="32"/>
        <v/>
      </c>
      <c r="AL43" s="276"/>
      <c r="AM43" s="277"/>
      <c r="AN43" s="277"/>
      <c r="AO43" s="277"/>
      <c r="AP43" s="277"/>
      <c r="AQ43" s="277"/>
      <c r="AR43" s="277"/>
      <c r="AS43" s="280"/>
      <c r="AT43" s="277"/>
      <c r="AU43" s="278"/>
      <c r="AV43" s="285" t="str">
        <f t="shared" si="33"/>
        <v/>
      </c>
      <c r="AW43" s="296" t="str">
        <f t="shared" si="34"/>
        <v/>
      </c>
      <c r="AX43" s="1220" t="str">
        <f t="shared" si="42"/>
        <v/>
      </c>
      <c r="AY43" s="1221" t="str">
        <f t="shared" si="42"/>
        <v/>
      </c>
      <c r="AZ43" s="1221" t="str">
        <f t="shared" si="42"/>
        <v/>
      </c>
      <c r="BA43" s="1221" t="str">
        <f t="shared" si="42"/>
        <v/>
      </c>
      <c r="BB43" s="1221" t="str">
        <f t="shared" si="42"/>
        <v/>
      </c>
      <c r="BC43" s="1221" t="str">
        <f t="shared" si="42"/>
        <v/>
      </c>
      <c r="BD43" s="1221" t="str">
        <f t="shared" si="42"/>
        <v/>
      </c>
      <c r="BE43" s="1222" t="str">
        <f t="shared" si="42"/>
        <v/>
      </c>
      <c r="BF43" s="1221" t="str">
        <f t="shared" si="42"/>
        <v/>
      </c>
      <c r="BG43" s="1223" t="str">
        <f t="shared" si="42"/>
        <v/>
      </c>
      <c r="BH43" s="286">
        <f t="shared" si="35"/>
        <v>0</v>
      </c>
      <c r="BI43" s="286">
        <f t="shared" si="36"/>
        <v>0</v>
      </c>
      <c r="BJ43" s="287" t="str">
        <f t="shared" si="37"/>
        <v>cukup</v>
      </c>
      <c r="BK43" s="287" t="str">
        <f t="shared" si="37"/>
        <v>cukup</v>
      </c>
      <c r="BL43" s="286" t="e">
        <f t="shared" si="38"/>
        <v>#N/A</v>
      </c>
      <c r="BM43" s="288" t="e">
        <f t="shared" si="39"/>
        <v>#N/A</v>
      </c>
      <c r="BN43" s="289" t="str">
        <f t="shared" si="40"/>
        <v/>
      </c>
      <c r="BO43" s="67"/>
    </row>
    <row r="44" spans="1:67" ht="33" customHeight="1">
      <c r="A44" s="67"/>
      <c r="B44" s="272">
        <f t="shared" si="23"/>
        <v>31</v>
      </c>
      <c r="C44" s="273">
        <f>IF(Data!F35="","",Data!F35)</f>
        <v>0</v>
      </c>
      <c r="D44" s="274" t="str">
        <f>IF(Data!H35="","",Data!H35)</f>
        <v>Sinta Norliana Funan</v>
      </c>
      <c r="E44" s="275" t="str">
        <f>IF(Data!I35="","",Data!I35)</f>
        <v>P</v>
      </c>
      <c r="F44" s="276"/>
      <c r="G44" s="277"/>
      <c r="H44" s="277"/>
      <c r="I44" s="277"/>
      <c r="J44" s="277"/>
      <c r="K44" s="277"/>
      <c r="L44" s="277"/>
      <c r="M44" s="280"/>
      <c r="N44" s="277"/>
      <c r="O44" s="278"/>
      <c r="P44" s="279" t="str">
        <f t="shared" si="24"/>
        <v/>
      </c>
      <c r="Q44" s="277"/>
      <c r="R44" s="280"/>
      <c r="S44" s="281" t="str">
        <f t="shared" si="25"/>
        <v/>
      </c>
      <c r="T44" s="295" t="str">
        <f t="shared" si="26"/>
        <v/>
      </c>
      <c r="U44" s="1215" t="str">
        <f t="shared" si="41"/>
        <v/>
      </c>
      <c r="V44" s="1216" t="str">
        <f t="shared" si="41"/>
        <v/>
      </c>
      <c r="W44" s="1216" t="str">
        <f t="shared" si="41"/>
        <v/>
      </c>
      <c r="X44" s="1216" t="str">
        <f t="shared" si="41"/>
        <v/>
      </c>
      <c r="Y44" s="1216" t="str">
        <f t="shared" si="41"/>
        <v/>
      </c>
      <c r="Z44" s="1216" t="str">
        <f t="shared" si="41"/>
        <v/>
      </c>
      <c r="AA44" s="1216" t="str">
        <f t="shared" si="41"/>
        <v/>
      </c>
      <c r="AB44" s="1217" t="str">
        <f t="shared" si="41"/>
        <v/>
      </c>
      <c r="AC44" s="1216" t="str">
        <f t="shared" si="41"/>
        <v/>
      </c>
      <c r="AD44" s="1218" t="str">
        <f t="shared" si="41"/>
        <v/>
      </c>
      <c r="AE44" s="1219">
        <f t="shared" si="27"/>
        <v>0</v>
      </c>
      <c r="AF44" s="282">
        <f t="shared" si="28"/>
        <v>0</v>
      </c>
      <c r="AG44" s="282" t="str">
        <f t="shared" si="29"/>
        <v>cukup</v>
      </c>
      <c r="AH44" s="282" t="str">
        <f t="shared" si="29"/>
        <v>cukup</v>
      </c>
      <c r="AI44" s="282" t="str">
        <f t="shared" si="30"/>
        <v/>
      </c>
      <c r="AJ44" s="283" t="str">
        <f t="shared" si="31"/>
        <v/>
      </c>
      <c r="AK44" s="284" t="str">
        <f t="shared" si="32"/>
        <v/>
      </c>
      <c r="AL44" s="276"/>
      <c r="AM44" s="277"/>
      <c r="AN44" s="277"/>
      <c r="AO44" s="277"/>
      <c r="AP44" s="277"/>
      <c r="AQ44" s="277"/>
      <c r="AR44" s="277"/>
      <c r="AS44" s="280"/>
      <c r="AT44" s="277"/>
      <c r="AU44" s="278"/>
      <c r="AV44" s="285" t="str">
        <f t="shared" si="33"/>
        <v/>
      </c>
      <c r="AW44" s="296" t="str">
        <f t="shared" si="34"/>
        <v/>
      </c>
      <c r="AX44" s="1220" t="str">
        <f t="shared" si="42"/>
        <v/>
      </c>
      <c r="AY44" s="1221" t="str">
        <f t="shared" si="42"/>
        <v/>
      </c>
      <c r="AZ44" s="1221" t="str">
        <f t="shared" si="42"/>
        <v/>
      </c>
      <c r="BA44" s="1221" t="str">
        <f t="shared" si="42"/>
        <v/>
      </c>
      <c r="BB44" s="1221" t="str">
        <f t="shared" si="42"/>
        <v/>
      </c>
      <c r="BC44" s="1221" t="str">
        <f t="shared" si="42"/>
        <v/>
      </c>
      <c r="BD44" s="1221" t="str">
        <f t="shared" si="42"/>
        <v/>
      </c>
      <c r="BE44" s="1222" t="str">
        <f t="shared" si="42"/>
        <v/>
      </c>
      <c r="BF44" s="1221" t="str">
        <f t="shared" si="42"/>
        <v/>
      </c>
      <c r="BG44" s="1223" t="str">
        <f t="shared" si="42"/>
        <v/>
      </c>
      <c r="BH44" s="286">
        <f t="shared" si="35"/>
        <v>0</v>
      </c>
      <c r="BI44" s="286">
        <f t="shared" si="36"/>
        <v>0</v>
      </c>
      <c r="BJ44" s="287" t="str">
        <f t="shared" si="37"/>
        <v>cukup</v>
      </c>
      <c r="BK44" s="287" t="str">
        <f t="shared" si="37"/>
        <v>cukup</v>
      </c>
      <c r="BL44" s="286" t="e">
        <f t="shared" si="38"/>
        <v>#N/A</v>
      </c>
      <c r="BM44" s="288" t="e">
        <f t="shared" si="39"/>
        <v>#N/A</v>
      </c>
      <c r="BN44" s="289" t="str">
        <f t="shared" si="40"/>
        <v/>
      </c>
      <c r="BO44" s="67"/>
    </row>
    <row r="45" spans="1:67" ht="33" customHeight="1">
      <c r="A45" s="67"/>
      <c r="B45" s="272">
        <f t="shared" si="23"/>
        <v>32</v>
      </c>
      <c r="C45" s="273">
        <f>IF(Data!F36="","",Data!F36)</f>
        <v>0</v>
      </c>
      <c r="D45" s="274" t="str">
        <f>IF(Data!H36="","",Data!H36)</f>
        <v>Stevi Otnial Loemnanu</v>
      </c>
      <c r="E45" s="275" t="str">
        <f>IF(Data!I36="","",Data!I36)</f>
        <v>L</v>
      </c>
      <c r="F45" s="276"/>
      <c r="G45" s="277"/>
      <c r="H45" s="277"/>
      <c r="I45" s="277"/>
      <c r="J45" s="277"/>
      <c r="K45" s="277"/>
      <c r="L45" s="277"/>
      <c r="M45" s="280"/>
      <c r="N45" s="277"/>
      <c r="O45" s="278"/>
      <c r="P45" s="279" t="str">
        <f t="shared" si="24"/>
        <v/>
      </c>
      <c r="Q45" s="277"/>
      <c r="R45" s="280"/>
      <c r="S45" s="281" t="str">
        <f t="shared" si="25"/>
        <v/>
      </c>
      <c r="T45" s="295" t="str">
        <f t="shared" si="26"/>
        <v/>
      </c>
      <c r="U45" s="1215" t="str">
        <f t="shared" si="41"/>
        <v/>
      </c>
      <c r="V45" s="1216" t="str">
        <f t="shared" si="41"/>
        <v/>
      </c>
      <c r="W45" s="1216" t="str">
        <f t="shared" si="41"/>
        <v/>
      </c>
      <c r="X45" s="1216" t="str">
        <f t="shared" si="41"/>
        <v/>
      </c>
      <c r="Y45" s="1216" t="str">
        <f t="shared" si="41"/>
        <v/>
      </c>
      <c r="Z45" s="1216" t="str">
        <f t="shared" si="41"/>
        <v/>
      </c>
      <c r="AA45" s="1216" t="str">
        <f t="shared" si="41"/>
        <v/>
      </c>
      <c r="AB45" s="1217" t="str">
        <f t="shared" si="41"/>
        <v/>
      </c>
      <c r="AC45" s="1216" t="str">
        <f t="shared" si="41"/>
        <v/>
      </c>
      <c r="AD45" s="1218" t="str">
        <f t="shared" si="41"/>
        <v/>
      </c>
      <c r="AE45" s="1219">
        <f t="shared" si="27"/>
        <v>0</v>
      </c>
      <c r="AF45" s="282">
        <f t="shared" si="28"/>
        <v>0</v>
      </c>
      <c r="AG45" s="282" t="str">
        <f t="shared" si="29"/>
        <v>cukup</v>
      </c>
      <c r="AH45" s="282" t="str">
        <f t="shared" si="29"/>
        <v>cukup</v>
      </c>
      <c r="AI45" s="282" t="str">
        <f t="shared" si="30"/>
        <v/>
      </c>
      <c r="AJ45" s="283" t="str">
        <f t="shared" si="31"/>
        <v/>
      </c>
      <c r="AK45" s="284" t="str">
        <f t="shared" si="32"/>
        <v/>
      </c>
      <c r="AL45" s="276"/>
      <c r="AM45" s="277"/>
      <c r="AN45" s="277"/>
      <c r="AO45" s="277"/>
      <c r="AP45" s="277"/>
      <c r="AQ45" s="277"/>
      <c r="AR45" s="277"/>
      <c r="AS45" s="280"/>
      <c r="AT45" s="277"/>
      <c r="AU45" s="278"/>
      <c r="AV45" s="285" t="str">
        <f t="shared" si="33"/>
        <v/>
      </c>
      <c r="AW45" s="296" t="str">
        <f t="shared" si="34"/>
        <v/>
      </c>
      <c r="AX45" s="1220" t="str">
        <f t="shared" si="42"/>
        <v/>
      </c>
      <c r="AY45" s="1221" t="str">
        <f t="shared" si="42"/>
        <v/>
      </c>
      <c r="AZ45" s="1221" t="str">
        <f t="shared" si="42"/>
        <v/>
      </c>
      <c r="BA45" s="1221" t="str">
        <f t="shared" si="42"/>
        <v/>
      </c>
      <c r="BB45" s="1221" t="str">
        <f t="shared" si="42"/>
        <v/>
      </c>
      <c r="BC45" s="1221" t="str">
        <f t="shared" si="42"/>
        <v/>
      </c>
      <c r="BD45" s="1221" t="str">
        <f t="shared" si="42"/>
        <v/>
      </c>
      <c r="BE45" s="1222" t="str">
        <f t="shared" si="42"/>
        <v/>
      </c>
      <c r="BF45" s="1221" t="str">
        <f t="shared" si="42"/>
        <v/>
      </c>
      <c r="BG45" s="1223" t="str">
        <f t="shared" si="42"/>
        <v/>
      </c>
      <c r="BH45" s="286">
        <f t="shared" si="35"/>
        <v>0</v>
      </c>
      <c r="BI45" s="286">
        <f t="shared" si="36"/>
        <v>0</v>
      </c>
      <c r="BJ45" s="287" t="str">
        <f t="shared" si="37"/>
        <v>cukup</v>
      </c>
      <c r="BK45" s="287" t="str">
        <f t="shared" si="37"/>
        <v>cukup</v>
      </c>
      <c r="BL45" s="286" t="e">
        <f t="shared" si="38"/>
        <v>#N/A</v>
      </c>
      <c r="BM45" s="288" t="e">
        <f t="shared" si="39"/>
        <v>#N/A</v>
      </c>
      <c r="BN45" s="289" t="str">
        <f t="shared" si="40"/>
        <v/>
      </c>
      <c r="BO45" s="67"/>
    </row>
    <row r="46" spans="1:67" ht="33" customHeight="1">
      <c r="A46" s="67"/>
      <c r="B46" s="272">
        <f t="shared" si="23"/>
        <v>33</v>
      </c>
      <c r="C46" s="273">
        <f>IF(Data!F37="","",Data!F37)</f>
        <v>0</v>
      </c>
      <c r="D46" s="274" t="str">
        <f>IF(Data!H37="","",Data!H37)</f>
        <v>Venciani Sefrianti Sufnera</v>
      </c>
      <c r="E46" s="275" t="str">
        <f>IF(Data!I37="","",Data!I37)</f>
        <v>P</v>
      </c>
      <c r="F46" s="276"/>
      <c r="G46" s="277"/>
      <c r="H46" s="277"/>
      <c r="I46" s="277"/>
      <c r="J46" s="277"/>
      <c r="K46" s="277"/>
      <c r="L46" s="277"/>
      <c r="M46" s="280"/>
      <c r="N46" s="277"/>
      <c r="O46" s="278"/>
      <c r="P46" s="279" t="str">
        <f t="shared" si="24"/>
        <v/>
      </c>
      <c r="Q46" s="277"/>
      <c r="R46" s="280"/>
      <c r="S46" s="281" t="str">
        <f t="shared" si="25"/>
        <v/>
      </c>
      <c r="T46" s="295" t="str">
        <f t="shared" si="26"/>
        <v/>
      </c>
      <c r="U46" s="1215" t="str">
        <f t="shared" si="41"/>
        <v/>
      </c>
      <c r="V46" s="1216" t="str">
        <f t="shared" si="41"/>
        <v/>
      </c>
      <c r="W46" s="1216" t="str">
        <f t="shared" si="41"/>
        <v/>
      </c>
      <c r="X46" s="1216" t="str">
        <f t="shared" si="41"/>
        <v/>
      </c>
      <c r="Y46" s="1216" t="str">
        <f t="shared" si="41"/>
        <v/>
      </c>
      <c r="Z46" s="1216" t="str">
        <f t="shared" si="41"/>
        <v/>
      </c>
      <c r="AA46" s="1216" t="str">
        <f t="shared" si="41"/>
        <v/>
      </c>
      <c r="AB46" s="1217" t="str">
        <f t="shared" si="41"/>
        <v/>
      </c>
      <c r="AC46" s="1216" t="str">
        <f t="shared" si="41"/>
        <v/>
      </c>
      <c r="AD46" s="1218" t="str">
        <f t="shared" si="41"/>
        <v/>
      </c>
      <c r="AE46" s="1219">
        <f t="shared" si="27"/>
        <v>0</v>
      </c>
      <c r="AF46" s="282">
        <f t="shared" si="28"/>
        <v>0</v>
      </c>
      <c r="AG46" s="282" t="str">
        <f t="shared" si="29"/>
        <v>cukup</v>
      </c>
      <c r="AH46" s="282" t="str">
        <f t="shared" si="29"/>
        <v>cukup</v>
      </c>
      <c r="AI46" s="282" t="str">
        <f t="shared" si="30"/>
        <v/>
      </c>
      <c r="AJ46" s="283" t="str">
        <f t="shared" si="31"/>
        <v/>
      </c>
      <c r="AK46" s="284" t="str">
        <f t="shared" si="32"/>
        <v/>
      </c>
      <c r="AL46" s="276"/>
      <c r="AM46" s="277"/>
      <c r="AN46" s="277"/>
      <c r="AO46" s="277"/>
      <c r="AP46" s="277"/>
      <c r="AQ46" s="277"/>
      <c r="AR46" s="277"/>
      <c r="AS46" s="280"/>
      <c r="AT46" s="277"/>
      <c r="AU46" s="278"/>
      <c r="AV46" s="285" t="str">
        <f t="shared" si="33"/>
        <v/>
      </c>
      <c r="AW46" s="296" t="str">
        <f t="shared" si="34"/>
        <v/>
      </c>
      <c r="AX46" s="1220" t="str">
        <f t="shared" si="42"/>
        <v/>
      </c>
      <c r="AY46" s="1221" t="str">
        <f t="shared" si="42"/>
        <v/>
      </c>
      <c r="AZ46" s="1221" t="str">
        <f t="shared" si="42"/>
        <v/>
      </c>
      <c r="BA46" s="1221" t="str">
        <f t="shared" si="42"/>
        <v/>
      </c>
      <c r="BB46" s="1221" t="str">
        <f t="shared" si="42"/>
        <v/>
      </c>
      <c r="BC46" s="1221" t="str">
        <f t="shared" si="42"/>
        <v/>
      </c>
      <c r="BD46" s="1221" t="str">
        <f t="shared" si="42"/>
        <v/>
      </c>
      <c r="BE46" s="1222" t="str">
        <f t="shared" si="42"/>
        <v/>
      </c>
      <c r="BF46" s="1221" t="str">
        <f t="shared" si="42"/>
        <v/>
      </c>
      <c r="BG46" s="1223" t="str">
        <f t="shared" si="42"/>
        <v/>
      </c>
      <c r="BH46" s="286">
        <f t="shared" si="35"/>
        <v>0</v>
      </c>
      <c r="BI46" s="286">
        <f t="shared" si="36"/>
        <v>0</v>
      </c>
      <c r="BJ46" s="287" t="str">
        <f t="shared" si="37"/>
        <v>cukup</v>
      </c>
      <c r="BK46" s="287" t="str">
        <f t="shared" si="37"/>
        <v>cukup</v>
      </c>
      <c r="BL46" s="286" t="e">
        <f t="shared" si="38"/>
        <v>#N/A</v>
      </c>
      <c r="BM46" s="288" t="e">
        <f t="shared" si="39"/>
        <v>#N/A</v>
      </c>
      <c r="BN46" s="289" t="str">
        <f t="shared" si="40"/>
        <v/>
      </c>
      <c r="BO46" s="67"/>
    </row>
    <row r="47" spans="1:67" ht="33" customHeight="1">
      <c r="A47" s="67"/>
      <c r="B47" s="272">
        <f t="shared" si="23"/>
        <v>34</v>
      </c>
      <c r="C47" s="273">
        <f>IF(Data!F38="","",Data!F38)</f>
        <v>0</v>
      </c>
      <c r="D47" s="274" t="str">
        <f>IF(Data!H38="","",Data!H38)</f>
        <v>Yangres Nitti</v>
      </c>
      <c r="E47" s="275" t="str">
        <f>IF(Data!I38="","",Data!I38)</f>
        <v>L</v>
      </c>
      <c r="F47" s="276"/>
      <c r="G47" s="277"/>
      <c r="H47" s="277"/>
      <c r="I47" s="277"/>
      <c r="J47" s="277"/>
      <c r="K47" s="277"/>
      <c r="L47" s="277"/>
      <c r="M47" s="280"/>
      <c r="N47" s="277"/>
      <c r="O47" s="278"/>
      <c r="P47" s="279" t="str">
        <f t="shared" si="24"/>
        <v/>
      </c>
      <c r="Q47" s="277"/>
      <c r="R47" s="280"/>
      <c r="S47" s="281" t="str">
        <f t="shared" si="25"/>
        <v/>
      </c>
      <c r="T47" s="295" t="str">
        <f t="shared" si="26"/>
        <v/>
      </c>
      <c r="U47" s="1215" t="str">
        <f t="shared" si="41"/>
        <v/>
      </c>
      <c r="V47" s="1216" t="str">
        <f t="shared" si="41"/>
        <v/>
      </c>
      <c r="W47" s="1216" t="str">
        <f t="shared" si="41"/>
        <v/>
      </c>
      <c r="X47" s="1216" t="str">
        <f t="shared" si="41"/>
        <v/>
      </c>
      <c r="Y47" s="1216" t="str">
        <f t="shared" si="41"/>
        <v/>
      </c>
      <c r="Z47" s="1216" t="str">
        <f t="shared" si="41"/>
        <v/>
      </c>
      <c r="AA47" s="1216" t="str">
        <f t="shared" si="41"/>
        <v/>
      </c>
      <c r="AB47" s="1217" t="str">
        <f t="shared" si="41"/>
        <v/>
      </c>
      <c r="AC47" s="1216" t="str">
        <f t="shared" si="41"/>
        <v/>
      </c>
      <c r="AD47" s="1218" t="str">
        <f t="shared" si="41"/>
        <v/>
      </c>
      <c r="AE47" s="1219">
        <f t="shared" si="27"/>
        <v>0</v>
      </c>
      <c r="AF47" s="282">
        <f t="shared" si="28"/>
        <v>0</v>
      </c>
      <c r="AG47" s="282" t="str">
        <f t="shared" si="29"/>
        <v>cukup</v>
      </c>
      <c r="AH47" s="282" t="str">
        <f t="shared" si="29"/>
        <v>cukup</v>
      </c>
      <c r="AI47" s="282" t="str">
        <f t="shared" si="30"/>
        <v/>
      </c>
      <c r="AJ47" s="283" t="str">
        <f t="shared" si="31"/>
        <v/>
      </c>
      <c r="AK47" s="284" t="str">
        <f t="shared" si="32"/>
        <v/>
      </c>
      <c r="AL47" s="276"/>
      <c r="AM47" s="277"/>
      <c r="AN47" s="277"/>
      <c r="AO47" s="277"/>
      <c r="AP47" s="277"/>
      <c r="AQ47" s="277"/>
      <c r="AR47" s="277"/>
      <c r="AS47" s="280"/>
      <c r="AT47" s="277"/>
      <c r="AU47" s="278"/>
      <c r="AV47" s="285" t="str">
        <f t="shared" si="33"/>
        <v/>
      </c>
      <c r="AW47" s="296" t="str">
        <f t="shared" si="34"/>
        <v/>
      </c>
      <c r="AX47" s="1220" t="str">
        <f t="shared" si="42"/>
        <v/>
      </c>
      <c r="AY47" s="1221" t="str">
        <f t="shared" si="42"/>
        <v/>
      </c>
      <c r="AZ47" s="1221" t="str">
        <f t="shared" si="42"/>
        <v/>
      </c>
      <c r="BA47" s="1221" t="str">
        <f t="shared" si="42"/>
        <v/>
      </c>
      <c r="BB47" s="1221" t="str">
        <f t="shared" si="42"/>
        <v/>
      </c>
      <c r="BC47" s="1221" t="str">
        <f t="shared" si="42"/>
        <v/>
      </c>
      <c r="BD47" s="1221" t="str">
        <f t="shared" si="42"/>
        <v/>
      </c>
      <c r="BE47" s="1222" t="str">
        <f t="shared" si="42"/>
        <v/>
      </c>
      <c r="BF47" s="1221" t="str">
        <f t="shared" si="42"/>
        <v/>
      </c>
      <c r="BG47" s="1223" t="str">
        <f t="shared" si="42"/>
        <v/>
      </c>
      <c r="BH47" s="286">
        <f t="shared" si="35"/>
        <v>0</v>
      </c>
      <c r="BI47" s="286">
        <f t="shared" si="36"/>
        <v>0</v>
      </c>
      <c r="BJ47" s="287" t="str">
        <f t="shared" si="37"/>
        <v>cukup</v>
      </c>
      <c r="BK47" s="287" t="str">
        <f t="shared" si="37"/>
        <v>cukup</v>
      </c>
      <c r="BL47" s="286" t="e">
        <f t="shared" si="38"/>
        <v>#N/A</v>
      </c>
      <c r="BM47" s="288" t="e">
        <f t="shared" si="39"/>
        <v>#N/A</v>
      </c>
      <c r="BN47" s="289" t="str">
        <f t="shared" si="40"/>
        <v/>
      </c>
      <c r="BO47" s="67"/>
    </row>
    <row r="48" spans="1:67" ht="33" customHeight="1">
      <c r="A48" s="67"/>
      <c r="B48" s="272">
        <f t="shared" si="23"/>
        <v>35</v>
      </c>
      <c r="C48" s="273">
        <f>IF(Data!F39="","",Data!F39)</f>
        <v>0</v>
      </c>
      <c r="D48" s="274" t="str">
        <f>IF(Data!H39="","",Data!H39)</f>
        <v>Yefta Trianus Mau</v>
      </c>
      <c r="E48" s="275" t="str">
        <f>IF(Data!I39="","",Data!I39)</f>
        <v>L</v>
      </c>
      <c r="F48" s="276"/>
      <c r="G48" s="277"/>
      <c r="H48" s="277"/>
      <c r="I48" s="277"/>
      <c r="J48" s="277"/>
      <c r="K48" s="277"/>
      <c r="L48" s="277"/>
      <c r="M48" s="280"/>
      <c r="N48" s="277"/>
      <c r="O48" s="278"/>
      <c r="P48" s="279" t="str">
        <f t="shared" si="24"/>
        <v/>
      </c>
      <c r="Q48" s="277"/>
      <c r="R48" s="280"/>
      <c r="S48" s="281" t="str">
        <f t="shared" si="25"/>
        <v/>
      </c>
      <c r="T48" s="295" t="str">
        <f t="shared" si="26"/>
        <v/>
      </c>
      <c r="U48" s="1215" t="str">
        <f t="shared" si="41"/>
        <v/>
      </c>
      <c r="V48" s="1216" t="str">
        <f t="shared" si="41"/>
        <v/>
      </c>
      <c r="W48" s="1216" t="str">
        <f t="shared" si="41"/>
        <v/>
      </c>
      <c r="X48" s="1216" t="str">
        <f t="shared" si="41"/>
        <v/>
      </c>
      <c r="Y48" s="1216" t="str">
        <f t="shared" si="41"/>
        <v/>
      </c>
      <c r="Z48" s="1216" t="str">
        <f t="shared" si="41"/>
        <v/>
      </c>
      <c r="AA48" s="1216" t="str">
        <f t="shared" si="41"/>
        <v/>
      </c>
      <c r="AB48" s="1217" t="str">
        <f t="shared" si="41"/>
        <v/>
      </c>
      <c r="AC48" s="1216" t="str">
        <f t="shared" si="41"/>
        <v/>
      </c>
      <c r="AD48" s="1218" t="str">
        <f t="shared" si="41"/>
        <v/>
      </c>
      <c r="AE48" s="1219">
        <f t="shared" si="27"/>
        <v>0</v>
      </c>
      <c r="AF48" s="282">
        <f t="shared" si="28"/>
        <v>0</v>
      </c>
      <c r="AG48" s="282" t="str">
        <f t="shared" si="29"/>
        <v>cukup</v>
      </c>
      <c r="AH48" s="282" t="str">
        <f t="shared" si="29"/>
        <v>cukup</v>
      </c>
      <c r="AI48" s="282" t="str">
        <f t="shared" si="30"/>
        <v/>
      </c>
      <c r="AJ48" s="283" t="str">
        <f t="shared" si="31"/>
        <v/>
      </c>
      <c r="AK48" s="284" t="str">
        <f t="shared" si="32"/>
        <v/>
      </c>
      <c r="AL48" s="276"/>
      <c r="AM48" s="277"/>
      <c r="AN48" s="277"/>
      <c r="AO48" s="277"/>
      <c r="AP48" s="277"/>
      <c r="AQ48" s="277"/>
      <c r="AR48" s="277"/>
      <c r="AS48" s="280"/>
      <c r="AT48" s="277"/>
      <c r="AU48" s="278"/>
      <c r="AV48" s="285" t="str">
        <f t="shared" si="33"/>
        <v/>
      </c>
      <c r="AW48" s="296" t="str">
        <f t="shared" si="34"/>
        <v/>
      </c>
      <c r="AX48" s="1220" t="str">
        <f t="shared" si="42"/>
        <v/>
      </c>
      <c r="AY48" s="1221" t="str">
        <f t="shared" si="42"/>
        <v/>
      </c>
      <c r="AZ48" s="1221" t="str">
        <f t="shared" si="42"/>
        <v/>
      </c>
      <c r="BA48" s="1221" t="str">
        <f t="shared" si="42"/>
        <v/>
      </c>
      <c r="BB48" s="1221" t="str">
        <f t="shared" si="42"/>
        <v/>
      </c>
      <c r="BC48" s="1221" t="str">
        <f t="shared" si="42"/>
        <v/>
      </c>
      <c r="BD48" s="1221" t="str">
        <f t="shared" si="42"/>
        <v/>
      </c>
      <c r="BE48" s="1222" t="str">
        <f t="shared" si="42"/>
        <v/>
      </c>
      <c r="BF48" s="1221" t="str">
        <f t="shared" si="42"/>
        <v/>
      </c>
      <c r="BG48" s="1223" t="str">
        <f t="shared" si="42"/>
        <v/>
      </c>
      <c r="BH48" s="286">
        <f t="shared" si="35"/>
        <v>0</v>
      </c>
      <c r="BI48" s="286">
        <f t="shared" si="36"/>
        <v>0</v>
      </c>
      <c r="BJ48" s="287" t="str">
        <f t="shared" si="37"/>
        <v>cukup</v>
      </c>
      <c r="BK48" s="287" t="str">
        <f t="shared" si="37"/>
        <v>cukup</v>
      </c>
      <c r="BL48" s="286" t="e">
        <f t="shared" si="38"/>
        <v>#N/A</v>
      </c>
      <c r="BM48" s="288" t="e">
        <f t="shared" si="39"/>
        <v>#N/A</v>
      </c>
      <c r="BN48" s="289" t="str">
        <f t="shared" si="40"/>
        <v/>
      </c>
      <c r="BO48" s="67"/>
    </row>
    <row r="49" spans="1:67" ht="33" customHeight="1">
      <c r="A49" s="67"/>
      <c r="B49" s="272">
        <f t="shared" si="23"/>
        <v>36</v>
      </c>
      <c r="C49" s="273">
        <f>IF(Data!F40="","",Data!F40)</f>
        <v>0</v>
      </c>
      <c r="D49" s="274" t="str">
        <f>IF(Data!H40="","",Data!H40)</f>
        <v>Yuliana Febriyanti Nggeon</v>
      </c>
      <c r="E49" s="275" t="str">
        <f>IF(Data!I40="","",Data!I40)</f>
        <v>P</v>
      </c>
      <c r="F49" s="276"/>
      <c r="G49" s="277"/>
      <c r="H49" s="277"/>
      <c r="I49" s="277"/>
      <c r="J49" s="277"/>
      <c r="K49" s="277"/>
      <c r="L49" s="277"/>
      <c r="M49" s="280"/>
      <c r="N49" s="277"/>
      <c r="O49" s="278"/>
      <c r="P49" s="279" t="str">
        <f t="shared" si="24"/>
        <v/>
      </c>
      <c r="Q49" s="277"/>
      <c r="R49" s="280"/>
      <c r="S49" s="281" t="str">
        <f t="shared" si="25"/>
        <v/>
      </c>
      <c r="T49" s="295" t="str">
        <f t="shared" si="26"/>
        <v/>
      </c>
      <c r="U49" s="1215" t="str">
        <f t="shared" si="41"/>
        <v/>
      </c>
      <c r="V49" s="1216" t="str">
        <f t="shared" si="41"/>
        <v/>
      </c>
      <c r="W49" s="1216" t="str">
        <f t="shared" si="41"/>
        <v/>
      </c>
      <c r="X49" s="1216" t="str">
        <f t="shared" si="41"/>
        <v/>
      </c>
      <c r="Y49" s="1216" t="str">
        <f t="shared" si="41"/>
        <v/>
      </c>
      <c r="Z49" s="1216" t="str">
        <f t="shared" si="41"/>
        <v/>
      </c>
      <c r="AA49" s="1216" t="str">
        <f t="shared" si="41"/>
        <v/>
      </c>
      <c r="AB49" s="1217" t="str">
        <f t="shared" si="41"/>
        <v/>
      </c>
      <c r="AC49" s="1216" t="str">
        <f t="shared" si="41"/>
        <v/>
      </c>
      <c r="AD49" s="1218" t="str">
        <f t="shared" si="41"/>
        <v/>
      </c>
      <c r="AE49" s="1219">
        <f t="shared" si="27"/>
        <v>0</v>
      </c>
      <c r="AF49" s="282">
        <f t="shared" si="28"/>
        <v>0</v>
      </c>
      <c r="AG49" s="282" t="str">
        <f t="shared" si="29"/>
        <v>cukup</v>
      </c>
      <c r="AH49" s="282" t="str">
        <f t="shared" si="29"/>
        <v>cukup</v>
      </c>
      <c r="AI49" s="282" t="str">
        <f t="shared" si="30"/>
        <v/>
      </c>
      <c r="AJ49" s="283" t="str">
        <f t="shared" si="31"/>
        <v/>
      </c>
      <c r="AK49" s="284" t="str">
        <f t="shared" si="32"/>
        <v/>
      </c>
      <c r="AL49" s="276"/>
      <c r="AM49" s="277"/>
      <c r="AN49" s="277"/>
      <c r="AO49" s="277"/>
      <c r="AP49" s="277"/>
      <c r="AQ49" s="277"/>
      <c r="AR49" s="277"/>
      <c r="AS49" s="280"/>
      <c r="AT49" s="277"/>
      <c r="AU49" s="278"/>
      <c r="AV49" s="285" t="str">
        <f t="shared" si="33"/>
        <v/>
      </c>
      <c r="AW49" s="296" t="str">
        <f t="shared" si="34"/>
        <v/>
      </c>
      <c r="AX49" s="1220" t="str">
        <f t="shared" si="42"/>
        <v/>
      </c>
      <c r="AY49" s="1221" t="str">
        <f t="shared" si="42"/>
        <v/>
      </c>
      <c r="AZ49" s="1221" t="str">
        <f t="shared" si="42"/>
        <v/>
      </c>
      <c r="BA49" s="1221" t="str">
        <f t="shared" si="42"/>
        <v/>
      </c>
      <c r="BB49" s="1221" t="str">
        <f t="shared" si="42"/>
        <v/>
      </c>
      <c r="BC49" s="1221" t="str">
        <f t="shared" si="42"/>
        <v/>
      </c>
      <c r="BD49" s="1221" t="str">
        <f t="shared" si="42"/>
        <v/>
      </c>
      <c r="BE49" s="1222" t="str">
        <f t="shared" si="42"/>
        <v/>
      </c>
      <c r="BF49" s="1221" t="str">
        <f t="shared" si="42"/>
        <v/>
      </c>
      <c r="BG49" s="1223" t="str">
        <f t="shared" si="42"/>
        <v/>
      </c>
      <c r="BH49" s="286">
        <f t="shared" si="35"/>
        <v>0</v>
      </c>
      <c r="BI49" s="286">
        <f t="shared" si="36"/>
        <v>0</v>
      </c>
      <c r="BJ49" s="287" t="str">
        <f t="shared" si="37"/>
        <v>cukup</v>
      </c>
      <c r="BK49" s="287" t="str">
        <f t="shared" si="37"/>
        <v>cukup</v>
      </c>
      <c r="BL49" s="286" t="e">
        <f t="shared" si="38"/>
        <v>#N/A</v>
      </c>
      <c r="BM49" s="288" t="e">
        <f t="shared" si="39"/>
        <v>#N/A</v>
      </c>
      <c r="BN49" s="289" t="str">
        <f t="shared" si="40"/>
        <v/>
      </c>
      <c r="BO49" s="67"/>
    </row>
    <row r="50" spans="1:67" ht="33" customHeight="1">
      <c r="A50" s="67"/>
      <c r="B50" s="272">
        <f t="shared" si="23"/>
        <v>37</v>
      </c>
      <c r="C50" s="273">
        <f>IF(Data!F41="","",Data!F41)</f>
        <v>0</v>
      </c>
      <c r="D50" s="274" t="str">
        <f>IF(Data!H41="","",Data!H41)</f>
        <v>Yuninda Pono</v>
      </c>
      <c r="E50" s="275" t="str">
        <f>IF(Data!I41="","",Data!I41)</f>
        <v>P</v>
      </c>
      <c r="F50" s="276"/>
      <c r="G50" s="277"/>
      <c r="H50" s="277"/>
      <c r="I50" s="277"/>
      <c r="J50" s="277"/>
      <c r="K50" s="277"/>
      <c r="L50" s="277"/>
      <c r="M50" s="280"/>
      <c r="N50" s="277"/>
      <c r="O50" s="278"/>
      <c r="P50" s="279" t="str">
        <f t="shared" si="24"/>
        <v/>
      </c>
      <c r="Q50" s="277"/>
      <c r="R50" s="280"/>
      <c r="S50" s="281" t="str">
        <f t="shared" si="25"/>
        <v/>
      </c>
      <c r="T50" s="295" t="str">
        <f t="shared" si="26"/>
        <v/>
      </c>
      <c r="U50" s="1215" t="str">
        <f t="shared" si="41"/>
        <v/>
      </c>
      <c r="V50" s="1216" t="str">
        <f t="shared" si="41"/>
        <v/>
      </c>
      <c r="W50" s="1216" t="str">
        <f t="shared" si="41"/>
        <v/>
      </c>
      <c r="X50" s="1216" t="str">
        <f t="shared" si="41"/>
        <v/>
      </c>
      <c r="Y50" s="1216" t="str">
        <f t="shared" si="41"/>
        <v/>
      </c>
      <c r="Z50" s="1216" t="str">
        <f t="shared" si="41"/>
        <v/>
      </c>
      <c r="AA50" s="1216" t="str">
        <f t="shared" si="41"/>
        <v/>
      </c>
      <c r="AB50" s="1217" t="str">
        <f t="shared" si="41"/>
        <v/>
      </c>
      <c r="AC50" s="1216" t="str">
        <f t="shared" si="41"/>
        <v/>
      </c>
      <c r="AD50" s="1218" t="str">
        <f t="shared" si="41"/>
        <v/>
      </c>
      <c r="AE50" s="1219">
        <f t="shared" si="27"/>
        <v>0</v>
      </c>
      <c r="AF50" s="282">
        <f t="shared" si="28"/>
        <v>0</v>
      </c>
      <c r="AG50" s="282" t="str">
        <f t="shared" si="29"/>
        <v>cukup</v>
      </c>
      <c r="AH50" s="282" t="str">
        <f t="shared" si="29"/>
        <v>cukup</v>
      </c>
      <c r="AI50" s="282" t="str">
        <f t="shared" si="30"/>
        <v/>
      </c>
      <c r="AJ50" s="283" t="str">
        <f t="shared" si="31"/>
        <v/>
      </c>
      <c r="AK50" s="284" t="str">
        <f t="shared" si="32"/>
        <v/>
      </c>
      <c r="AL50" s="276"/>
      <c r="AM50" s="277"/>
      <c r="AN50" s="277"/>
      <c r="AO50" s="277"/>
      <c r="AP50" s="277"/>
      <c r="AQ50" s="277"/>
      <c r="AR50" s="277"/>
      <c r="AS50" s="280"/>
      <c r="AT50" s="277"/>
      <c r="AU50" s="278"/>
      <c r="AV50" s="285" t="str">
        <f t="shared" si="33"/>
        <v/>
      </c>
      <c r="AW50" s="296" t="str">
        <f t="shared" si="34"/>
        <v/>
      </c>
      <c r="AX50" s="1220" t="str">
        <f t="shared" si="42"/>
        <v/>
      </c>
      <c r="AY50" s="1221" t="str">
        <f t="shared" si="42"/>
        <v/>
      </c>
      <c r="AZ50" s="1221" t="str">
        <f t="shared" si="42"/>
        <v/>
      </c>
      <c r="BA50" s="1221" t="str">
        <f t="shared" si="42"/>
        <v/>
      </c>
      <c r="BB50" s="1221" t="str">
        <f t="shared" si="42"/>
        <v/>
      </c>
      <c r="BC50" s="1221" t="str">
        <f t="shared" si="42"/>
        <v/>
      </c>
      <c r="BD50" s="1221" t="str">
        <f t="shared" si="42"/>
        <v/>
      </c>
      <c r="BE50" s="1222" t="str">
        <f t="shared" si="42"/>
        <v/>
      </c>
      <c r="BF50" s="1221" t="str">
        <f t="shared" si="42"/>
        <v/>
      </c>
      <c r="BG50" s="1223" t="str">
        <f t="shared" si="42"/>
        <v/>
      </c>
      <c r="BH50" s="286">
        <f t="shared" si="35"/>
        <v>0</v>
      </c>
      <c r="BI50" s="286">
        <f t="shared" si="36"/>
        <v>0</v>
      </c>
      <c r="BJ50" s="287" t="str">
        <f t="shared" si="37"/>
        <v>cukup</v>
      </c>
      <c r="BK50" s="287" t="str">
        <f t="shared" si="37"/>
        <v>cukup</v>
      </c>
      <c r="BL50" s="286" t="e">
        <f t="shared" si="38"/>
        <v>#N/A</v>
      </c>
      <c r="BM50" s="288" t="e">
        <f t="shared" si="39"/>
        <v>#N/A</v>
      </c>
      <c r="BN50" s="289" t="str">
        <f t="shared" si="40"/>
        <v/>
      </c>
      <c r="BO50" s="67"/>
    </row>
    <row r="51" spans="1:67" ht="33" customHeight="1">
      <c r="A51" s="67"/>
      <c r="B51" s="272" t="str">
        <f t="shared" si="23"/>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cukup</v>
      </c>
      <c r="AH51" s="282" t="str">
        <f t="shared" si="29"/>
        <v>cukup</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cukup</v>
      </c>
      <c r="BK51" s="287" t="str">
        <f t="shared" si="37"/>
        <v>cukup</v>
      </c>
      <c r="BL51" s="286" t="e">
        <f t="shared" si="38"/>
        <v>#N/A</v>
      </c>
      <c r="BM51" s="288" t="e">
        <f t="shared" si="39"/>
        <v>#N/A</v>
      </c>
      <c r="BN51" s="289" t="str">
        <f t="shared" si="40"/>
        <v/>
      </c>
      <c r="BO51" s="67"/>
    </row>
    <row r="52" spans="1:67" ht="33" customHeight="1">
      <c r="A52" s="67"/>
      <c r="B52" s="272" t="str">
        <f t="shared" si="23"/>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cukup</v>
      </c>
      <c r="AH52" s="282" t="str">
        <f t="shared" si="29"/>
        <v>cukup</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cukup</v>
      </c>
      <c r="BK52" s="287" t="str">
        <f t="shared" si="37"/>
        <v>cukup</v>
      </c>
      <c r="BL52" s="286" t="e">
        <f t="shared" si="38"/>
        <v>#N/A</v>
      </c>
      <c r="BM52" s="288" t="e">
        <f t="shared" si="39"/>
        <v>#N/A</v>
      </c>
      <c r="BN52" s="289" t="str">
        <f t="shared" si="40"/>
        <v/>
      </c>
      <c r="BO52" s="67"/>
    </row>
    <row r="53" spans="1:67" ht="33" customHeight="1">
      <c r="A53" s="67"/>
      <c r="B53" s="272" t="str">
        <f t="shared" si="23"/>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cukup</v>
      </c>
      <c r="AH53" s="282" t="str">
        <f t="shared" si="29"/>
        <v>cukup</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cukup</v>
      </c>
      <c r="BK53" s="287" t="str">
        <f t="shared" si="37"/>
        <v>cukup</v>
      </c>
      <c r="BL53" s="286" t="e">
        <f t="shared" si="38"/>
        <v>#N/A</v>
      </c>
      <c r="BM53" s="288" t="e">
        <f t="shared" si="39"/>
        <v>#N/A</v>
      </c>
      <c r="BN53" s="289" t="str">
        <f t="shared" si="40"/>
        <v/>
      </c>
      <c r="BO53" s="67"/>
    </row>
    <row r="54" spans="1:67" ht="33" customHeight="1">
      <c r="A54" s="67"/>
      <c r="B54" s="272" t="str">
        <f t="shared" si="23"/>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cukup</v>
      </c>
      <c r="AH54" s="282" t="str">
        <f t="shared" si="29"/>
        <v>cukup</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cukup</v>
      </c>
      <c r="BK54" s="287" t="str">
        <f t="shared" si="37"/>
        <v>cukup</v>
      </c>
      <c r="BL54" s="286" t="e">
        <f t="shared" si="38"/>
        <v>#N/A</v>
      </c>
      <c r="BM54" s="288" t="e">
        <f t="shared" si="39"/>
        <v>#N/A</v>
      </c>
      <c r="BN54" s="289" t="str">
        <f t="shared" si="40"/>
        <v/>
      </c>
      <c r="BO54" s="67"/>
    </row>
    <row r="55" spans="1:67" ht="33" customHeight="1">
      <c r="A55" s="67"/>
      <c r="B55" s="272" t="str">
        <f t="shared" si="23"/>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3">IF(K55="","",K55+Z$13)</f>
        <v/>
      </c>
      <c r="AA55" s="1216" t="str">
        <f t="shared" si="43"/>
        <v/>
      </c>
      <c r="AB55" s="1217" t="str">
        <f t="shared" si="43"/>
        <v/>
      </c>
      <c r="AC55" s="1216" t="str">
        <f t="shared" si="43"/>
        <v/>
      </c>
      <c r="AD55" s="1218" t="str">
        <f t="shared" si="43"/>
        <v/>
      </c>
      <c r="AE55" s="1219">
        <f t="shared" si="27"/>
        <v>0</v>
      </c>
      <c r="AF55" s="282">
        <f t="shared" si="28"/>
        <v>0</v>
      </c>
      <c r="AG55" s="282" t="str">
        <f t="shared" si="29"/>
        <v>cukup</v>
      </c>
      <c r="AH55" s="282" t="str">
        <f t="shared" si="29"/>
        <v>cukup</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4">IF(AQ55="","",AQ55+BC$12)</f>
        <v/>
      </c>
      <c r="BD55" s="1221" t="str">
        <f t="shared" si="44"/>
        <v/>
      </c>
      <c r="BE55" s="1222" t="str">
        <f t="shared" si="44"/>
        <v/>
      </c>
      <c r="BF55" s="1221" t="str">
        <f t="shared" si="44"/>
        <v/>
      </c>
      <c r="BG55" s="1223" t="str">
        <f t="shared" si="44"/>
        <v/>
      </c>
      <c r="BH55" s="286">
        <f t="shared" si="35"/>
        <v>0</v>
      </c>
      <c r="BI55" s="286">
        <f t="shared" si="36"/>
        <v>0</v>
      </c>
      <c r="BJ55" s="287" t="str">
        <f t="shared" si="37"/>
        <v>cukup</v>
      </c>
      <c r="BK55" s="287" t="str">
        <f t="shared" si="37"/>
        <v>cukup</v>
      </c>
      <c r="BL55" s="286" t="e">
        <f t="shared" si="38"/>
        <v>#N/A</v>
      </c>
      <c r="BM55" s="288" t="e">
        <f t="shared" si="39"/>
        <v>#N/A</v>
      </c>
      <c r="BN55" s="289" t="str">
        <f t="shared" si="40"/>
        <v/>
      </c>
      <c r="BO55" s="67"/>
    </row>
    <row r="56" spans="1:67" ht="33" customHeight="1">
      <c r="A56" s="67"/>
      <c r="B56" s="272" t="str">
        <f t="shared" si="23"/>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5">IF(F56="","",F56+U$13)</f>
        <v/>
      </c>
      <c r="V56" s="1216" t="str">
        <f t="shared" si="45"/>
        <v/>
      </c>
      <c r="W56" s="1216" t="str">
        <f t="shared" si="45"/>
        <v/>
      </c>
      <c r="X56" s="1216" t="str">
        <f t="shared" si="45"/>
        <v/>
      </c>
      <c r="Y56" s="1216" t="str">
        <f t="shared" si="45"/>
        <v/>
      </c>
      <c r="Z56" s="1216" t="str">
        <f t="shared" si="43"/>
        <v/>
      </c>
      <c r="AA56" s="1216" t="str">
        <f t="shared" si="43"/>
        <v/>
      </c>
      <c r="AB56" s="1217" t="str">
        <f t="shared" si="43"/>
        <v/>
      </c>
      <c r="AC56" s="1216" t="str">
        <f t="shared" si="43"/>
        <v/>
      </c>
      <c r="AD56" s="1218" t="str">
        <f t="shared" si="43"/>
        <v/>
      </c>
      <c r="AE56" s="1219">
        <f t="shared" si="27"/>
        <v>0</v>
      </c>
      <c r="AF56" s="282">
        <f t="shared" si="28"/>
        <v>0</v>
      </c>
      <c r="AG56" s="282" t="str">
        <f t="shared" si="29"/>
        <v>cukup</v>
      </c>
      <c r="AH56" s="282" t="str">
        <f t="shared" si="29"/>
        <v>cukup</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6">IF(AL56="","",AL56+AX$12)</f>
        <v/>
      </c>
      <c r="AY56" s="1221" t="str">
        <f t="shared" si="46"/>
        <v/>
      </c>
      <c r="AZ56" s="1221" t="str">
        <f t="shared" si="46"/>
        <v/>
      </c>
      <c r="BA56" s="1221" t="str">
        <f t="shared" si="46"/>
        <v/>
      </c>
      <c r="BB56" s="1221" t="str">
        <f t="shared" si="46"/>
        <v/>
      </c>
      <c r="BC56" s="1221" t="str">
        <f t="shared" si="44"/>
        <v/>
      </c>
      <c r="BD56" s="1221" t="str">
        <f t="shared" si="44"/>
        <v/>
      </c>
      <c r="BE56" s="1222" t="str">
        <f t="shared" si="44"/>
        <v/>
      </c>
      <c r="BF56" s="1221" t="str">
        <f t="shared" si="44"/>
        <v/>
      </c>
      <c r="BG56" s="1223" t="str">
        <f t="shared" si="44"/>
        <v/>
      </c>
      <c r="BH56" s="286">
        <f t="shared" si="35"/>
        <v>0</v>
      </c>
      <c r="BI56" s="286">
        <f t="shared" si="36"/>
        <v>0</v>
      </c>
      <c r="BJ56" s="287" t="str">
        <f t="shared" si="37"/>
        <v>cukup</v>
      </c>
      <c r="BK56" s="287" t="str">
        <f t="shared" si="37"/>
        <v>cukup</v>
      </c>
      <c r="BL56" s="286" t="e">
        <f t="shared" si="38"/>
        <v>#N/A</v>
      </c>
      <c r="BM56" s="288" t="e">
        <f t="shared" si="39"/>
        <v>#N/A</v>
      </c>
      <c r="BN56" s="289" t="str">
        <f t="shared" si="40"/>
        <v/>
      </c>
      <c r="BO56" s="67"/>
    </row>
    <row r="57" spans="1:67" ht="33" customHeight="1">
      <c r="A57" s="67"/>
      <c r="B57" s="272" t="str">
        <f t="shared" si="23"/>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5"/>
        <v/>
      </c>
      <c r="V57" s="1216" t="str">
        <f t="shared" si="45"/>
        <v/>
      </c>
      <c r="W57" s="1216" t="str">
        <f t="shared" si="45"/>
        <v/>
      </c>
      <c r="X57" s="1216" t="str">
        <f t="shared" si="45"/>
        <v/>
      </c>
      <c r="Y57" s="1216" t="str">
        <f t="shared" si="45"/>
        <v/>
      </c>
      <c r="Z57" s="1216" t="str">
        <f t="shared" si="43"/>
        <v/>
      </c>
      <c r="AA57" s="1216" t="str">
        <f t="shared" si="43"/>
        <v/>
      </c>
      <c r="AB57" s="1217" t="str">
        <f t="shared" si="43"/>
        <v/>
      </c>
      <c r="AC57" s="1216" t="str">
        <f t="shared" si="43"/>
        <v/>
      </c>
      <c r="AD57" s="1218" t="str">
        <f t="shared" si="43"/>
        <v/>
      </c>
      <c r="AE57" s="1219">
        <f t="shared" si="27"/>
        <v>0</v>
      </c>
      <c r="AF57" s="282">
        <f t="shared" si="28"/>
        <v>0</v>
      </c>
      <c r="AG57" s="282" t="str">
        <f t="shared" si="29"/>
        <v>cukup</v>
      </c>
      <c r="AH57" s="282" t="str">
        <f t="shared" si="29"/>
        <v>cukup</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6"/>
        <v/>
      </c>
      <c r="AY57" s="1221" t="str">
        <f t="shared" si="46"/>
        <v/>
      </c>
      <c r="AZ57" s="1221" t="str">
        <f t="shared" si="46"/>
        <v/>
      </c>
      <c r="BA57" s="1221" t="str">
        <f t="shared" si="46"/>
        <v/>
      </c>
      <c r="BB57" s="1221" t="str">
        <f t="shared" si="46"/>
        <v/>
      </c>
      <c r="BC57" s="1221" t="str">
        <f t="shared" si="44"/>
        <v/>
      </c>
      <c r="BD57" s="1221" t="str">
        <f t="shared" si="44"/>
        <v/>
      </c>
      <c r="BE57" s="1222" t="str">
        <f t="shared" si="44"/>
        <v/>
      </c>
      <c r="BF57" s="1221" t="str">
        <f t="shared" si="44"/>
        <v/>
      </c>
      <c r="BG57" s="1223" t="str">
        <f t="shared" si="44"/>
        <v/>
      </c>
      <c r="BH57" s="286">
        <f t="shared" si="35"/>
        <v>0</v>
      </c>
      <c r="BI57" s="286">
        <f t="shared" si="36"/>
        <v>0</v>
      </c>
      <c r="BJ57" s="287" t="str">
        <f t="shared" si="37"/>
        <v>cukup</v>
      </c>
      <c r="BK57" s="287" t="str">
        <f t="shared" si="37"/>
        <v>cukup</v>
      </c>
      <c r="BL57" s="286" t="e">
        <f t="shared" si="38"/>
        <v>#N/A</v>
      </c>
      <c r="BM57" s="288" t="e">
        <f t="shared" si="39"/>
        <v>#N/A</v>
      </c>
      <c r="BN57" s="289" t="str">
        <f t="shared" si="40"/>
        <v/>
      </c>
      <c r="BO57" s="67"/>
    </row>
    <row r="58" spans="1:67" ht="33" customHeight="1">
      <c r="A58" s="67"/>
      <c r="B58" s="272" t="str">
        <f t="shared" si="23"/>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5"/>
        <v/>
      </c>
      <c r="V58" s="1216" t="str">
        <f t="shared" si="45"/>
        <v/>
      </c>
      <c r="W58" s="1216" t="str">
        <f t="shared" si="45"/>
        <v/>
      </c>
      <c r="X58" s="1216" t="str">
        <f t="shared" si="45"/>
        <v/>
      </c>
      <c r="Y58" s="1216" t="str">
        <f t="shared" si="45"/>
        <v/>
      </c>
      <c r="Z58" s="1216" t="str">
        <f t="shared" si="43"/>
        <v/>
      </c>
      <c r="AA58" s="1216" t="str">
        <f t="shared" si="43"/>
        <v/>
      </c>
      <c r="AB58" s="1217" t="str">
        <f t="shared" si="43"/>
        <v/>
      </c>
      <c r="AC58" s="1216" t="str">
        <f t="shared" si="43"/>
        <v/>
      </c>
      <c r="AD58" s="1218" t="str">
        <f t="shared" si="43"/>
        <v/>
      </c>
      <c r="AE58" s="1219">
        <f t="shared" si="27"/>
        <v>0</v>
      </c>
      <c r="AF58" s="282">
        <f t="shared" si="28"/>
        <v>0</v>
      </c>
      <c r="AG58" s="282" t="str">
        <f t="shared" si="29"/>
        <v>cukup</v>
      </c>
      <c r="AH58" s="282" t="str">
        <f t="shared" si="29"/>
        <v>cukup</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6"/>
        <v/>
      </c>
      <c r="AY58" s="1221" t="str">
        <f t="shared" si="46"/>
        <v/>
      </c>
      <c r="AZ58" s="1221" t="str">
        <f t="shared" si="46"/>
        <v/>
      </c>
      <c r="BA58" s="1221" t="str">
        <f t="shared" si="46"/>
        <v/>
      </c>
      <c r="BB58" s="1221" t="str">
        <f t="shared" si="46"/>
        <v/>
      </c>
      <c r="BC58" s="1221" t="str">
        <f t="shared" si="44"/>
        <v/>
      </c>
      <c r="BD58" s="1221" t="str">
        <f t="shared" si="44"/>
        <v/>
      </c>
      <c r="BE58" s="1222" t="str">
        <f t="shared" si="44"/>
        <v/>
      </c>
      <c r="BF58" s="1221" t="str">
        <f t="shared" si="44"/>
        <v/>
      </c>
      <c r="BG58" s="1223" t="str">
        <f t="shared" si="44"/>
        <v/>
      </c>
      <c r="BH58" s="286">
        <f t="shared" si="35"/>
        <v>0</v>
      </c>
      <c r="BI58" s="286">
        <f t="shared" si="36"/>
        <v>0</v>
      </c>
      <c r="BJ58" s="287" t="str">
        <f t="shared" si="37"/>
        <v>cukup</v>
      </c>
      <c r="BK58" s="287" t="str">
        <f t="shared" si="37"/>
        <v>cukup</v>
      </c>
      <c r="BL58" s="286" t="e">
        <f t="shared" si="38"/>
        <v>#N/A</v>
      </c>
      <c r="BM58" s="288" t="e">
        <f t="shared" si="39"/>
        <v>#N/A</v>
      </c>
      <c r="BN58" s="289" t="str">
        <f t="shared" si="40"/>
        <v/>
      </c>
      <c r="BO58" s="67"/>
    </row>
    <row r="59" spans="1:67" ht="33" customHeight="1">
      <c r="A59" s="67"/>
      <c r="B59" s="272" t="str">
        <f t="shared" si="23"/>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5"/>
        <v/>
      </c>
      <c r="V59" s="1216" t="str">
        <f t="shared" si="45"/>
        <v/>
      </c>
      <c r="W59" s="1216" t="str">
        <f t="shared" si="45"/>
        <v/>
      </c>
      <c r="X59" s="1216" t="str">
        <f t="shared" si="45"/>
        <v/>
      </c>
      <c r="Y59" s="1216" t="str">
        <f t="shared" si="45"/>
        <v/>
      </c>
      <c r="Z59" s="1216" t="str">
        <f t="shared" si="43"/>
        <v/>
      </c>
      <c r="AA59" s="1216" t="str">
        <f t="shared" si="43"/>
        <v/>
      </c>
      <c r="AB59" s="1217" t="str">
        <f t="shared" si="43"/>
        <v/>
      </c>
      <c r="AC59" s="1216" t="str">
        <f t="shared" si="43"/>
        <v/>
      </c>
      <c r="AD59" s="1218" t="str">
        <f t="shared" si="43"/>
        <v/>
      </c>
      <c r="AE59" s="1219">
        <f t="shared" si="27"/>
        <v>0</v>
      </c>
      <c r="AF59" s="282">
        <f t="shared" si="28"/>
        <v>0</v>
      </c>
      <c r="AG59" s="282" t="str">
        <f t="shared" si="29"/>
        <v>cukup</v>
      </c>
      <c r="AH59" s="282" t="str">
        <f t="shared" si="29"/>
        <v>cukup</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6"/>
        <v/>
      </c>
      <c r="AY59" s="1221" t="str">
        <f t="shared" si="46"/>
        <v/>
      </c>
      <c r="AZ59" s="1221" t="str">
        <f t="shared" si="46"/>
        <v/>
      </c>
      <c r="BA59" s="1221" t="str">
        <f t="shared" si="46"/>
        <v/>
      </c>
      <c r="BB59" s="1221" t="str">
        <f t="shared" si="46"/>
        <v/>
      </c>
      <c r="BC59" s="1221" t="str">
        <f t="shared" si="44"/>
        <v/>
      </c>
      <c r="BD59" s="1221" t="str">
        <f t="shared" si="44"/>
        <v/>
      </c>
      <c r="BE59" s="1222" t="str">
        <f t="shared" si="44"/>
        <v/>
      </c>
      <c r="BF59" s="1221" t="str">
        <f t="shared" si="44"/>
        <v/>
      </c>
      <c r="BG59" s="1223" t="str">
        <f t="shared" si="44"/>
        <v/>
      </c>
      <c r="BH59" s="286">
        <f t="shared" si="35"/>
        <v>0</v>
      </c>
      <c r="BI59" s="286">
        <f t="shared" si="36"/>
        <v>0</v>
      </c>
      <c r="BJ59" s="287" t="str">
        <f t="shared" si="37"/>
        <v>cukup</v>
      </c>
      <c r="BK59" s="287" t="str">
        <f t="shared" si="37"/>
        <v>cukup</v>
      </c>
      <c r="BL59" s="286" t="e">
        <f t="shared" si="38"/>
        <v>#N/A</v>
      </c>
      <c r="BM59" s="288" t="e">
        <f t="shared" si="39"/>
        <v>#N/A</v>
      </c>
      <c r="BN59" s="289" t="str">
        <f t="shared" si="40"/>
        <v/>
      </c>
      <c r="BO59" s="67"/>
    </row>
    <row r="60" spans="1:67" ht="33" customHeight="1">
      <c r="A60" s="67"/>
      <c r="B60" s="272" t="str">
        <f t="shared" si="23"/>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5"/>
        <v/>
      </c>
      <c r="V60" s="1216" t="str">
        <f t="shared" si="45"/>
        <v/>
      </c>
      <c r="W60" s="1216" t="str">
        <f t="shared" si="45"/>
        <v/>
      </c>
      <c r="X60" s="1216" t="str">
        <f t="shared" si="45"/>
        <v/>
      </c>
      <c r="Y60" s="1216" t="str">
        <f t="shared" si="45"/>
        <v/>
      </c>
      <c r="Z60" s="1216" t="str">
        <f t="shared" si="43"/>
        <v/>
      </c>
      <c r="AA60" s="1216" t="str">
        <f t="shared" si="43"/>
        <v/>
      </c>
      <c r="AB60" s="1217" t="str">
        <f t="shared" si="43"/>
        <v/>
      </c>
      <c r="AC60" s="1216" t="str">
        <f t="shared" si="43"/>
        <v/>
      </c>
      <c r="AD60" s="1218" t="str">
        <f t="shared" si="43"/>
        <v/>
      </c>
      <c r="AE60" s="1219">
        <f t="shared" si="27"/>
        <v>0</v>
      </c>
      <c r="AF60" s="282">
        <f t="shared" si="28"/>
        <v>0</v>
      </c>
      <c r="AG60" s="282" t="str">
        <f t="shared" si="29"/>
        <v>cukup</v>
      </c>
      <c r="AH60" s="282" t="str">
        <f t="shared" si="29"/>
        <v>cukup</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6"/>
        <v/>
      </c>
      <c r="AY60" s="1221" t="str">
        <f t="shared" si="46"/>
        <v/>
      </c>
      <c r="AZ60" s="1221" t="str">
        <f t="shared" si="46"/>
        <v/>
      </c>
      <c r="BA60" s="1221" t="str">
        <f t="shared" si="46"/>
        <v/>
      </c>
      <c r="BB60" s="1221" t="str">
        <f t="shared" si="46"/>
        <v/>
      </c>
      <c r="BC60" s="1221" t="str">
        <f t="shared" si="44"/>
        <v/>
      </c>
      <c r="BD60" s="1221" t="str">
        <f t="shared" si="44"/>
        <v/>
      </c>
      <c r="BE60" s="1222" t="str">
        <f t="shared" si="44"/>
        <v/>
      </c>
      <c r="BF60" s="1221" t="str">
        <f t="shared" si="44"/>
        <v/>
      </c>
      <c r="BG60" s="1223" t="str">
        <f t="shared" si="44"/>
        <v/>
      </c>
      <c r="BH60" s="286">
        <f t="shared" si="35"/>
        <v>0</v>
      </c>
      <c r="BI60" s="286">
        <f t="shared" si="36"/>
        <v>0</v>
      </c>
      <c r="BJ60" s="287" t="str">
        <f t="shared" si="37"/>
        <v>cukup</v>
      </c>
      <c r="BK60" s="287" t="str">
        <f t="shared" si="37"/>
        <v>cukup</v>
      </c>
      <c r="BL60" s="286" t="e">
        <f t="shared" si="38"/>
        <v>#N/A</v>
      </c>
      <c r="BM60" s="288" t="e">
        <f t="shared" si="39"/>
        <v>#N/A</v>
      </c>
      <c r="BN60" s="289" t="str">
        <f t="shared" si="40"/>
        <v/>
      </c>
      <c r="BO60" s="67"/>
    </row>
    <row r="61" spans="1:67" ht="33" customHeight="1">
      <c r="A61" s="67"/>
      <c r="B61" s="272" t="str">
        <f t="shared" si="23"/>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5"/>
        <v/>
      </c>
      <c r="V61" s="1216" t="str">
        <f t="shared" si="45"/>
        <v/>
      </c>
      <c r="W61" s="1216" t="str">
        <f t="shared" si="45"/>
        <v/>
      </c>
      <c r="X61" s="1216" t="str">
        <f t="shared" si="45"/>
        <v/>
      </c>
      <c r="Y61" s="1216" t="str">
        <f t="shared" si="45"/>
        <v/>
      </c>
      <c r="Z61" s="1216" t="str">
        <f t="shared" si="43"/>
        <v/>
      </c>
      <c r="AA61" s="1216" t="str">
        <f t="shared" si="43"/>
        <v/>
      </c>
      <c r="AB61" s="1217" t="str">
        <f t="shared" si="43"/>
        <v/>
      </c>
      <c r="AC61" s="1216" t="str">
        <f t="shared" si="43"/>
        <v/>
      </c>
      <c r="AD61" s="1218" t="str">
        <f t="shared" si="43"/>
        <v/>
      </c>
      <c r="AE61" s="1219">
        <f t="shared" si="27"/>
        <v>0</v>
      </c>
      <c r="AF61" s="282">
        <f t="shared" si="28"/>
        <v>0</v>
      </c>
      <c r="AG61" s="282" t="str">
        <f t="shared" si="29"/>
        <v>cukup</v>
      </c>
      <c r="AH61" s="282" t="str">
        <f t="shared" si="29"/>
        <v>cukup</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6"/>
        <v/>
      </c>
      <c r="AY61" s="1221" t="str">
        <f t="shared" si="46"/>
        <v/>
      </c>
      <c r="AZ61" s="1221" t="str">
        <f t="shared" si="46"/>
        <v/>
      </c>
      <c r="BA61" s="1221" t="str">
        <f t="shared" si="46"/>
        <v/>
      </c>
      <c r="BB61" s="1221" t="str">
        <f t="shared" si="46"/>
        <v/>
      </c>
      <c r="BC61" s="1221" t="str">
        <f t="shared" si="44"/>
        <v/>
      </c>
      <c r="BD61" s="1221" t="str">
        <f t="shared" si="44"/>
        <v/>
      </c>
      <c r="BE61" s="1222" t="str">
        <f t="shared" si="44"/>
        <v/>
      </c>
      <c r="BF61" s="1221" t="str">
        <f t="shared" si="44"/>
        <v/>
      </c>
      <c r="BG61" s="1223" t="str">
        <f t="shared" si="44"/>
        <v/>
      </c>
      <c r="BH61" s="286">
        <f t="shared" si="35"/>
        <v>0</v>
      </c>
      <c r="BI61" s="286">
        <f t="shared" si="36"/>
        <v>0</v>
      </c>
      <c r="BJ61" s="287" t="str">
        <f t="shared" si="37"/>
        <v>cukup</v>
      </c>
      <c r="BK61" s="287" t="str">
        <f t="shared" si="37"/>
        <v>cukup</v>
      </c>
      <c r="BL61" s="286" t="e">
        <f t="shared" si="38"/>
        <v>#N/A</v>
      </c>
      <c r="BM61" s="288" t="e">
        <f t="shared" si="39"/>
        <v>#N/A</v>
      </c>
      <c r="BN61" s="289" t="str">
        <f t="shared" si="40"/>
        <v/>
      </c>
      <c r="BO61" s="67"/>
    </row>
    <row r="62" spans="1:67" ht="33" customHeight="1">
      <c r="A62" s="67"/>
      <c r="B62" s="272" t="str">
        <f t="shared" si="23"/>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5"/>
        <v/>
      </c>
      <c r="V62" s="1216" t="str">
        <f t="shared" si="45"/>
        <v/>
      </c>
      <c r="W62" s="1216" t="str">
        <f t="shared" si="45"/>
        <v/>
      </c>
      <c r="X62" s="1216" t="str">
        <f t="shared" si="45"/>
        <v/>
      </c>
      <c r="Y62" s="1216" t="str">
        <f t="shared" si="45"/>
        <v/>
      </c>
      <c r="Z62" s="1216" t="str">
        <f t="shared" si="43"/>
        <v/>
      </c>
      <c r="AA62" s="1216" t="str">
        <f t="shared" si="43"/>
        <v/>
      </c>
      <c r="AB62" s="1217" t="str">
        <f t="shared" si="43"/>
        <v/>
      </c>
      <c r="AC62" s="1216" t="str">
        <f t="shared" si="43"/>
        <v/>
      </c>
      <c r="AD62" s="1218" t="str">
        <f t="shared" si="43"/>
        <v/>
      </c>
      <c r="AE62" s="1219">
        <f t="shared" si="27"/>
        <v>0</v>
      </c>
      <c r="AF62" s="282">
        <f t="shared" si="28"/>
        <v>0</v>
      </c>
      <c r="AG62" s="282" t="str">
        <f t="shared" si="29"/>
        <v>cukup</v>
      </c>
      <c r="AH62" s="282" t="str">
        <f t="shared" si="29"/>
        <v>cukup</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6"/>
        <v/>
      </c>
      <c r="AY62" s="1221" t="str">
        <f t="shared" si="46"/>
        <v/>
      </c>
      <c r="AZ62" s="1221" t="str">
        <f t="shared" si="46"/>
        <v/>
      </c>
      <c r="BA62" s="1221" t="str">
        <f t="shared" si="46"/>
        <v/>
      </c>
      <c r="BB62" s="1221" t="str">
        <f t="shared" si="46"/>
        <v/>
      </c>
      <c r="BC62" s="1221" t="str">
        <f t="shared" si="44"/>
        <v/>
      </c>
      <c r="BD62" s="1221" t="str">
        <f t="shared" si="44"/>
        <v/>
      </c>
      <c r="BE62" s="1222" t="str">
        <f t="shared" si="44"/>
        <v/>
      </c>
      <c r="BF62" s="1221" t="str">
        <f t="shared" si="44"/>
        <v/>
      </c>
      <c r="BG62" s="1223" t="str">
        <f t="shared" si="44"/>
        <v/>
      </c>
      <c r="BH62" s="286">
        <f t="shared" si="35"/>
        <v>0</v>
      </c>
      <c r="BI62" s="286">
        <f t="shared" si="36"/>
        <v>0</v>
      </c>
      <c r="BJ62" s="287" t="str">
        <f t="shared" si="37"/>
        <v>cukup</v>
      </c>
      <c r="BK62" s="287" t="str">
        <f t="shared" si="37"/>
        <v>cukup</v>
      </c>
      <c r="BL62" s="286" t="e">
        <f t="shared" si="38"/>
        <v>#N/A</v>
      </c>
      <c r="BM62" s="288" t="e">
        <f t="shared" si="39"/>
        <v>#N/A</v>
      </c>
      <c r="BN62" s="289" t="str">
        <f t="shared" si="40"/>
        <v/>
      </c>
      <c r="BO62" s="67"/>
    </row>
    <row r="63" spans="1:67" ht="33" customHeight="1">
      <c r="A63" s="67"/>
      <c r="B63" s="272" t="str">
        <f t="shared" si="23"/>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5"/>
        <v/>
      </c>
      <c r="V63" s="1216" t="str">
        <f t="shared" si="45"/>
        <v/>
      </c>
      <c r="W63" s="1216" t="str">
        <f t="shared" si="45"/>
        <v/>
      </c>
      <c r="X63" s="1216" t="str">
        <f t="shared" si="45"/>
        <v/>
      </c>
      <c r="Y63" s="1216" t="str">
        <f t="shared" si="45"/>
        <v/>
      </c>
      <c r="Z63" s="1216" t="str">
        <f t="shared" si="43"/>
        <v/>
      </c>
      <c r="AA63" s="1216" t="str">
        <f t="shared" si="43"/>
        <v/>
      </c>
      <c r="AB63" s="1217" t="str">
        <f t="shared" si="43"/>
        <v/>
      </c>
      <c r="AC63" s="1216" t="str">
        <f t="shared" si="43"/>
        <v/>
      </c>
      <c r="AD63" s="1218" t="str">
        <f t="shared" si="43"/>
        <v/>
      </c>
      <c r="AE63" s="1219">
        <f t="shared" si="27"/>
        <v>0</v>
      </c>
      <c r="AF63" s="282">
        <f t="shared" si="28"/>
        <v>0</v>
      </c>
      <c r="AG63" s="282" t="str">
        <f t="shared" si="29"/>
        <v>cukup</v>
      </c>
      <c r="AH63" s="282" t="str">
        <f t="shared" si="29"/>
        <v>cukup</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6"/>
        <v/>
      </c>
      <c r="AY63" s="1221" t="str">
        <f t="shared" si="46"/>
        <v/>
      </c>
      <c r="AZ63" s="1221" t="str">
        <f t="shared" si="46"/>
        <v/>
      </c>
      <c r="BA63" s="1221" t="str">
        <f t="shared" si="46"/>
        <v/>
      </c>
      <c r="BB63" s="1221" t="str">
        <f t="shared" si="46"/>
        <v/>
      </c>
      <c r="BC63" s="1221" t="str">
        <f t="shared" si="44"/>
        <v/>
      </c>
      <c r="BD63" s="1221" t="str">
        <f t="shared" si="44"/>
        <v/>
      </c>
      <c r="BE63" s="1222" t="str">
        <f t="shared" si="44"/>
        <v/>
      </c>
      <c r="BF63" s="1221" t="str">
        <f t="shared" si="44"/>
        <v/>
      </c>
      <c r="BG63" s="1223" t="str">
        <f t="shared" si="44"/>
        <v/>
      </c>
      <c r="BH63" s="286">
        <f t="shared" si="35"/>
        <v>0</v>
      </c>
      <c r="BI63" s="286">
        <f t="shared" si="36"/>
        <v>0</v>
      </c>
      <c r="BJ63" s="287" t="str">
        <f t="shared" si="37"/>
        <v>cukup</v>
      </c>
      <c r="BK63" s="287" t="str">
        <f t="shared" si="37"/>
        <v>cukup</v>
      </c>
      <c r="BL63" s="286" t="e">
        <f t="shared" si="38"/>
        <v>#N/A</v>
      </c>
      <c r="BM63" s="288" t="e">
        <f t="shared" si="39"/>
        <v>#N/A</v>
      </c>
      <c r="BN63" s="289" t="str">
        <f t="shared" si="40"/>
        <v/>
      </c>
      <c r="BO63" s="67"/>
    </row>
    <row r="64" spans="1:67">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68</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7">F68</f>
        <v>68</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34</v>
      </c>
      <c r="G69" s="348" t="s">
        <v>5</v>
      </c>
      <c r="H69" s="347">
        <f>ROUNDDOWN(F69+(H68-F69)/2,0)</f>
        <v>67</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7"/>
        <v>34</v>
      </c>
      <c r="AM69" s="349" t="s">
        <v>5</v>
      </c>
      <c r="AN69" s="347">
        <f t="shared" ref="AN69" si="48">H69</f>
        <v>67</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Data2!G20</f>
        <v>0</v>
      </c>
      <c r="G70" s="348" t="s">
        <v>5</v>
      </c>
      <c r="H70" s="347">
        <f>ROUNDDOWN(F70+(H68-F70)/3,0)</f>
        <v>33</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0</v>
      </c>
      <c r="AM70" s="349" t="s">
        <v>5</v>
      </c>
      <c r="AN70" s="347">
        <f>H70</f>
        <v>33</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-1</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49">H71</f>
        <v>-1</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68</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68</v>
      </c>
      <c r="AM75" s="7" t="s">
        <v>5</v>
      </c>
      <c r="AN75" s="9">
        <f>H75</f>
        <v>100</v>
      </c>
      <c r="AO75" s="1357" t="str">
        <f t="shared" ref="AO75" si="50">I75</f>
        <v>sangat baik</v>
      </c>
      <c r="AP75" s="1358"/>
      <c r="AQ75" s="1358"/>
      <c r="AR75" s="1358"/>
      <c r="AS75" s="1358"/>
      <c r="AT75" s="1358"/>
      <c r="AU75" s="1359"/>
      <c r="AV75" s="9" t="str">
        <f>Data2!L12</f>
        <v>A</v>
      </c>
    </row>
    <row r="76" spans="1:67" ht="12.75" hidden="1" customHeight="1">
      <c r="C76" s="2"/>
      <c r="F76" s="1360">
        <f>IF($F$65="KKM TUNGGAL",Data2!I7,F69)</f>
        <v>34</v>
      </c>
      <c r="G76" s="1361" t="s">
        <v>5</v>
      </c>
      <c r="H76" s="1360">
        <f>IF($F$65="KKM TUNGGAL",Data2!K7,H69)+0.5</f>
        <v>67.5</v>
      </c>
      <c r="I76" s="1697" t="str">
        <f>IF($F$65="KKM TUNGGAL",Data2!L7,I69)</f>
        <v>baik</v>
      </c>
      <c r="J76" s="1698"/>
      <c r="K76" s="1698"/>
      <c r="L76" s="1698"/>
      <c r="M76" s="1698"/>
      <c r="N76" s="1698"/>
      <c r="O76" s="1698"/>
      <c r="P76" s="1699"/>
      <c r="Q76" s="9" t="str">
        <f>Data2!L13</f>
        <v>B</v>
      </c>
      <c r="AL76" s="9">
        <f t="shared" ref="AL76:AN78" si="51">F76</f>
        <v>34</v>
      </c>
      <c r="AM76" s="7" t="s">
        <v>5</v>
      </c>
      <c r="AN76" s="9">
        <f t="shared" si="51"/>
        <v>67.5</v>
      </c>
      <c r="AO76" s="1357" t="str">
        <f>I76</f>
        <v>baik</v>
      </c>
      <c r="AP76" s="1358"/>
      <c r="AQ76" s="1358"/>
      <c r="AR76" s="1358"/>
      <c r="AS76" s="1358"/>
      <c r="AT76" s="1358"/>
      <c r="AU76" s="1359"/>
      <c r="AV76" s="9" t="str">
        <f>Data2!L13</f>
        <v>B</v>
      </c>
    </row>
    <row r="77" spans="1:67" ht="12.75" hidden="1" customHeight="1">
      <c r="C77" s="2"/>
      <c r="F77" s="1360">
        <f>IF($F$65="KKM TUNGGAL",Data2!I8,F70)</f>
        <v>0</v>
      </c>
      <c r="G77" s="1361" t="s">
        <v>5</v>
      </c>
      <c r="H77" s="1360">
        <f>IF($F$65="KKM TUNGGAL",Data2!K8,H70)+0.5</f>
        <v>33.5</v>
      </c>
      <c r="I77" s="1697" t="str">
        <f>IF($F$65="KKM TUNGGAL",Data2!L8,I70)</f>
        <v>cukup</v>
      </c>
      <c r="J77" s="1698"/>
      <c r="K77" s="1698"/>
      <c r="L77" s="1698"/>
      <c r="M77" s="1698"/>
      <c r="N77" s="1698"/>
      <c r="O77" s="1698"/>
      <c r="P77" s="1699"/>
      <c r="Q77" s="9" t="str">
        <f>Data2!L14</f>
        <v>C</v>
      </c>
      <c r="AL77" s="9">
        <f t="shared" si="51"/>
        <v>0</v>
      </c>
      <c r="AM77" s="7" t="s">
        <v>5</v>
      </c>
      <c r="AN77" s="9">
        <f t="shared" si="51"/>
        <v>33.5</v>
      </c>
      <c r="AO77" s="1357" t="str">
        <f t="shared" ref="AO77:AO78" si="52">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-0.5</v>
      </c>
      <c r="I78" s="1697" t="str">
        <f>IF($F$65="KKM TUNGGAL",Data2!L9,I71)</f>
        <v>perlu dimaksimalkan</v>
      </c>
      <c r="J78" s="1698"/>
      <c r="K78" s="1698"/>
      <c r="L78" s="1698"/>
      <c r="M78" s="1698"/>
      <c r="N78" s="1698"/>
      <c r="O78" s="1698"/>
      <c r="P78" s="1699"/>
      <c r="Q78" s="9" t="str">
        <f>Data2!L15</f>
        <v>D</v>
      </c>
      <c r="AL78" s="9">
        <f t="shared" si="51"/>
        <v>0</v>
      </c>
      <c r="AM78" s="7" t="s">
        <v>5</v>
      </c>
      <c r="AN78" s="9">
        <f t="shared" si="51"/>
        <v>-0.5</v>
      </c>
      <c r="AO78" s="1357" t="str">
        <f t="shared" si="52"/>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75" hidden="1" customHeight="1">
      <c r="C84" s="2"/>
      <c r="AL84" s="10"/>
      <c r="AM84" s="8"/>
      <c r="AN84" s="10"/>
      <c r="AO84" s="512"/>
      <c r="AP84" s="512"/>
      <c r="AQ84" s="512"/>
      <c r="AR84" s="1159"/>
      <c r="AS84" s="1159"/>
      <c r="AT84" s="512"/>
      <c r="AU84" s="512"/>
      <c r="AV84" s="512"/>
    </row>
    <row r="85" spans="3:48" ht="12.75" hidden="1" customHeight="1">
      <c r="C85" s="2"/>
      <c r="AL85" s="10"/>
      <c r="AM85" s="8"/>
      <c r="AN85" s="10"/>
      <c r="AO85" s="512"/>
      <c r="AP85" s="512"/>
      <c r="AQ85" s="512"/>
      <c r="AR85" s="1159"/>
      <c r="AS85" s="1159"/>
      <c r="AT85" s="512"/>
      <c r="AU85" s="512"/>
      <c r="AV85" s="512"/>
    </row>
    <row r="86" spans="3:48" ht="12" hidden="1" customHeight="1"/>
    <row r="87" spans="3:48" ht="12" hidden="1" customHeight="1"/>
    <row r="88" spans="3:48" ht="12" hidden="1" customHeight="1"/>
    <row r="89" spans="3:48" ht="12" hidden="1" customHeight="1"/>
    <row r="90" spans="3:48" ht="12" hidden="1" customHeight="1"/>
    <row r="91" spans="3:48" ht="12" hidden="1" customHeight="1">
      <c r="C91" s="2"/>
      <c r="F91" s="2"/>
      <c r="G91" s="2"/>
      <c r="H91" s="2"/>
      <c r="I91" s="2"/>
      <c r="J91" s="2"/>
      <c r="K91" s="2"/>
      <c r="L91" s="2"/>
      <c r="M91" s="2"/>
      <c r="S91" s="2"/>
      <c r="AL91" s="2"/>
      <c r="AM91" s="2"/>
      <c r="AN91" s="2"/>
      <c r="AO91" s="2"/>
      <c r="AP91" s="2"/>
      <c r="AQ91" s="2"/>
      <c r="AR91" s="2"/>
      <c r="AS91" s="2"/>
    </row>
    <row r="92" spans="3:48" ht="12" hidden="1" customHeight="1">
      <c r="C92" s="2"/>
      <c r="F92" s="2"/>
      <c r="G92" s="2"/>
      <c r="H92" s="2"/>
      <c r="I92" s="2"/>
      <c r="J92" s="2"/>
      <c r="K92" s="2"/>
      <c r="L92" s="2"/>
      <c r="M92" s="2"/>
      <c r="S92" s="2"/>
      <c r="AL92" s="2"/>
      <c r="AM92" s="2"/>
      <c r="AN92" s="2"/>
      <c r="AO92" s="2"/>
      <c r="AP92" s="2"/>
      <c r="AQ92" s="2"/>
      <c r="AR92" s="2"/>
      <c r="AS92" s="2"/>
    </row>
    <row r="93" spans="3:48" hidden="1"/>
    <row r="94" spans="3:48" hidden="1"/>
    <row r="95" spans="3:48" hidden="1"/>
    <row r="96" spans="3:48" hidden="1"/>
    <row r="97" hidden="1"/>
    <row r="98" hidden="1"/>
    <row r="99" hidden="1"/>
    <row r="100" hidden="1"/>
    <row r="101" hidden="1"/>
    <row r="102" hidden="1"/>
    <row r="103" hidden="1"/>
  </sheetData>
  <mergeCells count="70">
    <mergeCell ref="D1:E2"/>
    <mergeCell ref="B3:C4"/>
    <mergeCell ref="D3:E6"/>
    <mergeCell ref="B6:C6"/>
    <mergeCell ref="B7:C7"/>
    <mergeCell ref="D7:E9"/>
    <mergeCell ref="B8:C8"/>
    <mergeCell ref="B9:C9"/>
    <mergeCell ref="B1:C2"/>
    <mergeCell ref="F3:F6"/>
    <mergeCell ref="G3:R6"/>
    <mergeCell ref="AL4:AL5"/>
    <mergeCell ref="AM4:AU5"/>
    <mergeCell ref="AL6:AL7"/>
    <mergeCell ref="AM6:AU7"/>
    <mergeCell ref="F7:F10"/>
    <mergeCell ref="G7:R10"/>
    <mergeCell ref="AL8:AL11"/>
    <mergeCell ref="AM8:AU11"/>
    <mergeCell ref="G11:R11"/>
    <mergeCell ref="G1:R1"/>
    <mergeCell ref="AM1:AU1"/>
    <mergeCell ref="G2:R2"/>
    <mergeCell ref="AL2:AL3"/>
    <mergeCell ref="AM2:AU3"/>
    <mergeCell ref="I78:P78"/>
    <mergeCell ref="AO82:AV82"/>
    <mergeCell ref="AO83:AV83"/>
    <mergeCell ref="I75:P75"/>
    <mergeCell ref="I76:P76"/>
    <mergeCell ref="I77:P77"/>
    <mergeCell ref="I71:Q71"/>
    <mergeCell ref="AO71:AV71"/>
    <mergeCell ref="F73:Q73"/>
    <mergeCell ref="AL73:AV73"/>
    <mergeCell ref="F74:H74"/>
    <mergeCell ref="I74:Q74"/>
    <mergeCell ref="AL74:AN74"/>
    <mergeCell ref="AO74:AV74"/>
    <mergeCell ref="I68:Q68"/>
    <mergeCell ref="AO68:AV68"/>
    <mergeCell ref="I69:Q69"/>
    <mergeCell ref="AO69:AV69"/>
    <mergeCell ref="I70:Q70"/>
    <mergeCell ref="AO70:AV70"/>
    <mergeCell ref="F65:Q65"/>
    <mergeCell ref="AL65:AV65"/>
    <mergeCell ref="F66:Q66"/>
    <mergeCell ref="AL66:AV66"/>
    <mergeCell ref="F67:H67"/>
    <mergeCell ref="I67:Q67"/>
    <mergeCell ref="AL67:AN67"/>
    <mergeCell ref="AO67:AV67"/>
    <mergeCell ref="BN12:BN13"/>
    <mergeCell ref="AG13:AH13"/>
    <mergeCell ref="AI13:AJ13"/>
    <mergeCell ref="BJ13:BK13"/>
    <mergeCell ref="BL13:BM13"/>
    <mergeCell ref="AV12:AV13"/>
    <mergeCell ref="AW12:AW13"/>
    <mergeCell ref="B10:C11"/>
    <mergeCell ref="D10:E11"/>
    <mergeCell ref="S12:S13"/>
    <mergeCell ref="T12:T13"/>
    <mergeCell ref="AK12:AK13"/>
    <mergeCell ref="B12:B13"/>
    <mergeCell ref="C12:C13"/>
    <mergeCell ref="D12:D13"/>
    <mergeCell ref="E12:E13"/>
    <mergeCell ref="F12:O12"/>
  </mergeCells>
  <conditionalFormatting sqref="B14:E63">
    <cfRule type="expression" dxfId="2188" priority="235">
      <formula>AND($B14&lt;&gt;"",$B15="")</formula>
    </cfRule>
    <cfRule type="expression" dxfId="2187" priority="236">
      <formula>$B14=""</formula>
    </cfRule>
  </conditionalFormatting>
  <conditionalFormatting sqref="B56:E56">
    <cfRule type="expression" dxfId="2186" priority="237">
      <formula>AND($B56&lt;&gt;"",$B63="")</formula>
    </cfRule>
    <cfRule type="expression" dxfId="2185" priority="238">
      <formula>$B56=""</formula>
    </cfRule>
  </conditionalFormatting>
  <conditionalFormatting sqref="B50:E50">
    <cfRule type="expression" dxfId="2184" priority="239">
      <formula>AND($B50&lt;&gt;"",$B63="")</formula>
    </cfRule>
    <cfRule type="expression" dxfId="2183" priority="240">
      <formula>$B50=""</formula>
    </cfRule>
  </conditionalFormatting>
  <conditionalFormatting sqref="B43:E44">
    <cfRule type="expression" dxfId="2182" priority="241">
      <formula>AND($B43&lt;&gt;"",$B62="")</formula>
    </cfRule>
    <cfRule type="expression" dxfId="2181" priority="242">
      <formula>$B43=""</formula>
    </cfRule>
  </conditionalFormatting>
  <conditionalFormatting sqref="B63:E63">
    <cfRule type="expression" dxfId="2180" priority="243">
      <formula>AND($B63&lt;&gt;"",#REF!="")</formula>
    </cfRule>
    <cfRule type="expression" dxfId="2179" priority="244">
      <formula>$B63=""</formula>
    </cfRule>
  </conditionalFormatting>
  <conditionalFormatting sqref="B61:E61">
    <cfRule type="expression" dxfId="2178" priority="245">
      <formula>AND($B61&lt;&gt;"",$B64="")</formula>
    </cfRule>
    <cfRule type="expression" dxfId="2177" priority="246">
      <formula>$B61=""</formula>
    </cfRule>
  </conditionalFormatting>
  <conditionalFormatting sqref="B57:E60">
    <cfRule type="expression" dxfId="2176" priority="247">
      <formula>AND($B57&lt;&gt;"",#REF!="")</formula>
    </cfRule>
    <cfRule type="expression" dxfId="2175" priority="248">
      <formula>$B57=""</formula>
    </cfRule>
  </conditionalFormatting>
  <conditionalFormatting sqref="B55:E55">
    <cfRule type="expression" dxfId="2174" priority="249">
      <formula>AND($B55&lt;&gt;"",$B64="")</formula>
    </cfRule>
    <cfRule type="expression" dxfId="2173" priority="250">
      <formula>$B55=""</formula>
    </cfRule>
  </conditionalFormatting>
  <conditionalFormatting sqref="B51:E54">
    <cfRule type="expression" dxfId="2172" priority="251">
      <formula>AND($B51&lt;&gt;"",#REF!="")</formula>
    </cfRule>
    <cfRule type="expression" dxfId="2171" priority="252">
      <formula>$B51=""</formula>
    </cfRule>
  </conditionalFormatting>
  <conditionalFormatting sqref="B49:E49">
    <cfRule type="expression" dxfId="2170" priority="253">
      <formula>AND($B49&lt;&gt;"",$B64="")</formula>
    </cfRule>
    <cfRule type="expression" dxfId="2169" priority="254">
      <formula>$B49=""</formula>
    </cfRule>
  </conditionalFormatting>
  <conditionalFormatting sqref="B45:E63">
    <cfRule type="expression" dxfId="2168" priority="255">
      <formula>AND($B45&lt;&gt;"",#REF!="")</formula>
    </cfRule>
    <cfRule type="expression" dxfId="2167" priority="256">
      <formula>$B45=""</formula>
    </cfRule>
  </conditionalFormatting>
  <conditionalFormatting sqref="R70 F66:Q71">
    <cfRule type="expression" dxfId="2166" priority="257">
      <formula>$F$65="SAMA DENGAN DATA"</formula>
    </cfRule>
  </conditionalFormatting>
  <conditionalFormatting sqref="F66:Q71">
    <cfRule type="expression" dxfId="2165" priority="258">
      <formula>$F$65="kkm tunggal"</formula>
    </cfRule>
  </conditionalFormatting>
  <conditionalFormatting sqref="AW70:BG70 AL66:AV71">
    <cfRule type="expression" dxfId="2164" priority="259">
      <formula>$AL$65="SAMA DENGAN DATA"</formula>
    </cfRule>
  </conditionalFormatting>
  <conditionalFormatting sqref="AL66:AV71">
    <cfRule type="expression" dxfId="2163" priority="260">
      <formula>$AL$65="KKM TUNGGAL"</formula>
    </cfRule>
  </conditionalFormatting>
  <conditionalFormatting sqref="B61:E63">
    <cfRule type="expression" dxfId="2162" priority="2646">
      <formula>AND($B61&lt;&gt;"",$B65="")</formula>
    </cfRule>
    <cfRule type="expression" dxfId="2161" priority="2647">
      <formula>$B61=""</formula>
    </cfRule>
  </conditionalFormatting>
  <conditionalFormatting sqref="B50:E60">
    <cfRule type="expression" dxfId="2160" priority="2648">
      <formula>AND($B50&lt;&gt;"",#REF!="")</formula>
    </cfRule>
    <cfRule type="expression" dxfId="2159" priority="2649">
      <formula>$B50=""</formula>
    </cfRule>
  </conditionalFormatting>
  <conditionalFormatting sqref="U14:AB63 P14:S63 AV14:BE63 AE14:AK63 BH14:BN63">
    <cfRule type="expression" dxfId="2158" priority="148">
      <formula>AND($B14&lt;&gt;"",$B15="")</formula>
    </cfRule>
    <cfRule type="expression" dxfId="2157" priority="149">
      <formula>$B14=""</formula>
    </cfRule>
  </conditionalFormatting>
  <conditionalFormatting sqref="T14:T63">
    <cfRule type="expression" dxfId="2156" priority="146">
      <formula>AND($B14&lt;&gt;"",$B15="")</formula>
    </cfRule>
    <cfRule type="expression" dxfId="2155" priority="147">
      <formula>$B14=""</formula>
    </cfRule>
  </conditionalFormatting>
  <conditionalFormatting sqref="AV14">
    <cfRule type="expression" dxfId="2154" priority="144">
      <formula>AND($B14&lt;&gt;"",$B15="")</formula>
    </cfRule>
    <cfRule type="expression" dxfId="2153" priority="145">
      <formula>$B14=""</formula>
    </cfRule>
  </conditionalFormatting>
  <conditionalFormatting sqref="P56:S56 U56:AB56 BH56:BN56 AE56:AK56 AV56:BE56">
    <cfRule type="expression" dxfId="2152" priority="150">
      <formula>AND($B56&lt;&gt;"",$B63="")</formula>
    </cfRule>
    <cfRule type="expression" dxfId="2151" priority="151">
      <formula>$B56=""</formula>
    </cfRule>
  </conditionalFormatting>
  <conditionalFormatting sqref="P50:S50 U50:AB50 BH50:BN50 AE50:AK50 AV50:BE50">
    <cfRule type="expression" dxfId="2150" priority="152">
      <formula>AND($B50&lt;&gt;"",$B63="")</formula>
    </cfRule>
    <cfRule type="expression" dxfId="2149" priority="153">
      <formula>$B50=""</formula>
    </cfRule>
  </conditionalFormatting>
  <conditionalFormatting sqref="P43:S44 U43:AB44 BH43:BN44 AE43:AK44 AV43:BE44">
    <cfRule type="expression" dxfId="2148" priority="154">
      <formula>AND($B43&lt;&gt;"",$B62="")</formula>
    </cfRule>
    <cfRule type="expression" dxfId="2147" priority="155">
      <formula>$B43=""</formula>
    </cfRule>
  </conditionalFormatting>
  <conditionalFormatting sqref="P63:S63 U63:AB63 BH63:BN63 AE63:AK63 AV63:BE63">
    <cfRule type="expression" dxfId="2146" priority="156">
      <formula>AND($B63&lt;&gt;"",#REF!="")</formula>
    </cfRule>
    <cfRule type="expression" dxfId="2145" priority="157">
      <formula>$B63=""</formula>
    </cfRule>
  </conditionalFormatting>
  <conditionalFormatting sqref="P61:S61 U61:AB61 BH61:BN61 AE61:AK61 AV61:BE61">
    <cfRule type="expression" dxfId="2144" priority="158">
      <formula>AND($B61&lt;&gt;"",$B64="")</formula>
    </cfRule>
    <cfRule type="expression" dxfId="2143" priority="159">
      <formula>$B61=""</formula>
    </cfRule>
  </conditionalFormatting>
  <conditionalFormatting sqref="P57:S60 U57:AB60 BH57:BN60 AE57:AK60 AV57:BE60">
    <cfRule type="expression" dxfId="2142" priority="160">
      <formula>AND($B57&lt;&gt;"",#REF!="")</formula>
    </cfRule>
    <cfRule type="expression" dxfId="2141" priority="161">
      <formula>$B57=""</formula>
    </cfRule>
  </conditionalFormatting>
  <conditionalFormatting sqref="P55:S55 U55:AB55 BH55:BN55 AE55:AK55 AV55:BE55">
    <cfRule type="expression" dxfId="2140" priority="162">
      <formula>AND($B55&lt;&gt;"",$B64="")</formula>
    </cfRule>
    <cfRule type="expression" dxfId="2139" priority="163">
      <formula>$B55=""</formula>
    </cfRule>
  </conditionalFormatting>
  <conditionalFormatting sqref="P51:S54 U51:AB54 BH51:BN54 AE51:AK54 AV51:BE54">
    <cfRule type="expression" dxfId="2138" priority="164">
      <formula>AND($B51&lt;&gt;"",#REF!="")</formula>
    </cfRule>
    <cfRule type="expression" dxfId="2137" priority="165">
      <formula>$B51=""</formula>
    </cfRule>
  </conditionalFormatting>
  <conditionalFormatting sqref="F49:S49 U49:BN49">
    <cfRule type="expression" dxfId="2136" priority="166">
      <formula>AND($B49&lt;&gt;"",$B64="")</formula>
    </cfRule>
    <cfRule type="expression" dxfId="2135" priority="167">
      <formula>$B49=""</formula>
    </cfRule>
  </conditionalFormatting>
  <conditionalFormatting sqref="P45:S63 U45:AB63 BH45:BN63 AE45:AK63 AV45:BE63">
    <cfRule type="expression" dxfId="2134" priority="168">
      <formula>AND($B45&lt;&gt;"",#REF!="")</formula>
    </cfRule>
    <cfRule type="expression" dxfId="2133" priority="169">
      <formula>$B45=""</formula>
    </cfRule>
  </conditionalFormatting>
  <conditionalFormatting sqref="T16:T63">
    <cfRule type="expression" dxfId="2132" priority="142">
      <formula>AND($B16&lt;&gt;"",$B17="")</formula>
    </cfRule>
    <cfRule type="expression" dxfId="2131" priority="143">
      <formula>$B16=""</formula>
    </cfRule>
  </conditionalFormatting>
  <conditionalFormatting sqref="U13:AB13 AX12:BG12">
    <cfRule type="expression" dxfId="2130" priority="141">
      <formula>COUNTA(U$14:U$63)&gt;0</formula>
    </cfRule>
  </conditionalFormatting>
  <conditionalFormatting sqref="F14:M63">
    <cfRule type="expression" dxfId="2129" priority="120">
      <formula>AND($B14&lt;&gt;"",$B15="")</formula>
    </cfRule>
    <cfRule type="expression" dxfId="2128" priority="121">
      <formula>$B14=""</formula>
    </cfRule>
  </conditionalFormatting>
  <conditionalFormatting sqref="F56:M56">
    <cfRule type="expression" dxfId="2127" priority="122">
      <formula>AND($B56&lt;&gt;"",$B63="")</formula>
    </cfRule>
    <cfRule type="expression" dxfId="2126" priority="123">
      <formula>$B56=""</formula>
    </cfRule>
  </conditionalFormatting>
  <conditionalFormatting sqref="F50:M50">
    <cfRule type="expression" dxfId="2125" priority="124">
      <formula>AND($B50&lt;&gt;"",$B63="")</formula>
    </cfRule>
    <cfRule type="expression" dxfId="2124" priority="125">
      <formula>$B50=""</formula>
    </cfRule>
  </conditionalFormatting>
  <conditionalFormatting sqref="F43:M44">
    <cfRule type="expression" dxfId="2123" priority="126">
      <formula>AND($B43&lt;&gt;"",$B62="")</formula>
    </cfRule>
    <cfRule type="expression" dxfId="2122" priority="127">
      <formula>$B43=""</formula>
    </cfRule>
  </conditionalFormatting>
  <conditionalFormatting sqref="F63:M63">
    <cfRule type="expression" dxfId="2121" priority="128">
      <formula>AND($B63&lt;&gt;"",#REF!="")</formula>
    </cfRule>
    <cfRule type="expression" dxfId="2120" priority="129">
      <formula>$B63=""</formula>
    </cfRule>
  </conditionalFormatting>
  <conditionalFormatting sqref="F61:M61">
    <cfRule type="expression" dxfId="2119" priority="130">
      <formula>AND($B61&lt;&gt;"",$B64="")</formula>
    </cfRule>
    <cfRule type="expression" dxfId="2118" priority="131">
      <formula>$B61=""</formula>
    </cfRule>
  </conditionalFormatting>
  <conditionalFormatting sqref="F57:M60">
    <cfRule type="expression" dxfId="2117" priority="132">
      <formula>AND($B57&lt;&gt;"",#REF!="")</formula>
    </cfRule>
    <cfRule type="expression" dxfId="2116" priority="133">
      <formula>$B57=""</formula>
    </cfRule>
  </conditionalFormatting>
  <conditionalFormatting sqref="F55:M55">
    <cfRule type="expression" dxfId="2115" priority="134">
      <formula>AND($B55&lt;&gt;"",$B64="")</formula>
    </cfRule>
    <cfRule type="expression" dxfId="2114" priority="135">
      <formula>$B55=""</formula>
    </cfRule>
  </conditionalFormatting>
  <conditionalFormatting sqref="F51:M54">
    <cfRule type="expression" dxfId="2113" priority="136">
      <formula>AND($B51&lt;&gt;"",#REF!="")</formula>
    </cfRule>
    <cfRule type="expression" dxfId="2112" priority="137">
      <formula>$B51=""</formula>
    </cfRule>
  </conditionalFormatting>
  <conditionalFormatting sqref="F45:M63">
    <cfRule type="expression" dxfId="2111" priority="138">
      <formula>AND($B45&lt;&gt;"",#REF!="")</formula>
    </cfRule>
    <cfRule type="expression" dxfId="2110" priority="139">
      <formula>$B45=""</formula>
    </cfRule>
  </conditionalFormatting>
  <conditionalFormatting sqref="F13:M13">
    <cfRule type="expression" dxfId="2109" priority="119">
      <formula>COUNTA(F$14:F$63)&gt;0</formula>
    </cfRule>
  </conditionalFormatting>
  <conditionalFormatting sqref="F14:M63">
    <cfRule type="expression" dxfId="2108" priority="140">
      <formula>COUNTIF($U14:$AB14,F14)&gt;1</formula>
    </cfRule>
  </conditionalFormatting>
  <conditionalFormatting sqref="AC14:AD63">
    <cfRule type="expression" dxfId="2107" priority="99">
      <formula>AND($B14&lt;&gt;"",$B15="")</formula>
    </cfRule>
    <cfRule type="expression" dxfId="2106" priority="100">
      <formula>$B14=""</formula>
    </cfRule>
  </conditionalFormatting>
  <conditionalFormatting sqref="AC56:AD56">
    <cfRule type="expression" dxfId="2105" priority="101">
      <formula>AND($B56&lt;&gt;"",$B63="")</formula>
    </cfRule>
    <cfRule type="expression" dxfId="2104" priority="102">
      <formula>$B56=""</formula>
    </cfRule>
  </conditionalFormatting>
  <conditionalFormatting sqref="AC50:AD50">
    <cfRule type="expression" dxfId="2103" priority="103">
      <formula>AND($B50&lt;&gt;"",$B63="")</formula>
    </cfRule>
    <cfRule type="expression" dxfId="2102" priority="104">
      <formula>$B50=""</formula>
    </cfRule>
  </conditionalFormatting>
  <conditionalFormatting sqref="AC43:AD44">
    <cfRule type="expression" dxfId="2101" priority="105">
      <formula>AND($B43&lt;&gt;"",$B62="")</formula>
    </cfRule>
    <cfRule type="expression" dxfId="2100" priority="106">
      <formula>$B43=""</formula>
    </cfRule>
  </conditionalFormatting>
  <conditionalFormatting sqref="AC63:AD63">
    <cfRule type="expression" dxfId="2099" priority="107">
      <formula>AND($B63&lt;&gt;"",#REF!="")</formula>
    </cfRule>
    <cfRule type="expression" dxfId="2098" priority="108">
      <formula>$B63=""</formula>
    </cfRule>
  </conditionalFormatting>
  <conditionalFormatting sqref="AC61:AD61">
    <cfRule type="expression" dxfId="2097" priority="109">
      <formula>AND($B61&lt;&gt;"",$B64="")</formula>
    </cfRule>
    <cfRule type="expression" dxfId="2096" priority="110">
      <formula>$B61=""</formula>
    </cfRule>
  </conditionalFormatting>
  <conditionalFormatting sqref="AC57:AD60">
    <cfRule type="expression" dxfId="2095" priority="111">
      <formula>AND($B57&lt;&gt;"",#REF!="")</formula>
    </cfRule>
    <cfRule type="expression" dxfId="2094" priority="112">
      <formula>$B57=""</formula>
    </cfRule>
  </conditionalFormatting>
  <conditionalFormatting sqref="AC55:AD55">
    <cfRule type="expression" dxfId="2093" priority="113">
      <formula>AND($B55&lt;&gt;"",$B64="")</formula>
    </cfRule>
    <cfRule type="expression" dxfId="2092" priority="114">
      <formula>$B55=""</formula>
    </cfRule>
  </conditionalFormatting>
  <conditionalFormatting sqref="AC51:AD54">
    <cfRule type="expression" dxfId="2091" priority="115">
      <formula>AND($B51&lt;&gt;"",#REF!="")</formula>
    </cfRule>
    <cfRule type="expression" dxfId="2090" priority="116">
      <formula>$B51=""</formula>
    </cfRule>
  </conditionalFormatting>
  <conditionalFormatting sqref="AC45:AD63">
    <cfRule type="expression" dxfId="2089" priority="117">
      <formula>AND($B45&lt;&gt;"",#REF!="")</formula>
    </cfRule>
    <cfRule type="expression" dxfId="2088" priority="118">
      <formula>$B45=""</formula>
    </cfRule>
  </conditionalFormatting>
  <conditionalFormatting sqref="AC13:AD13">
    <cfRule type="expression" dxfId="2087" priority="98">
      <formula>COUNTA(AC$14:AC$63)&gt;0</formula>
    </cfRule>
  </conditionalFormatting>
  <conditionalFormatting sqref="N14:O63">
    <cfRule type="expression" dxfId="2086" priority="77">
      <formula>AND($B14&lt;&gt;"",$B15="")</formula>
    </cfRule>
    <cfRule type="expression" dxfId="2085" priority="78">
      <formula>$B14=""</formula>
    </cfRule>
  </conditionalFormatting>
  <conditionalFormatting sqref="N56:O56">
    <cfRule type="expression" dxfId="2084" priority="79">
      <formula>AND($B56&lt;&gt;"",$B63="")</formula>
    </cfRule>
    <cfRule type="expression" dxfId="2083" priority="80">
      <formula>$B56=""</formula>
    </cfRule>
  </conditionalFormatting>
  <conditionalFormatting sqref="N50:O50">
    <cfRule type="expression" dxfId="2082" priority="81">
      <formula>AND($B50&lt;&gt;"",$B63="")</formula>
    </cfRule>
    <cfRule type="expression" dxfId="2081" priority="82">
      <formula>$B50=""</formula>
    </cfRule>
  </conditionalFormatting>
  <conditionalFormatting sqref="N43:O44">
    <cfRule type="expression" dxfId="2080" priority="83">
      <formula>AND($B43&lt;&gt;"",$B62="")</formula>
    </cfRule>
    <cfRule type="expression" dxfId="2079" priority="84">
      <formula>$B43=""</formula>
    </cfRule>
  </conditionalFormatting>
  <conditionalFormatting sqref="N63:O63">
    <cfRule type="expression" dxfId="2078" priority="85">
      <formula>AND($B63&lt;&gt;"",#REF!="")</formula>
    </cfRule>
    <cfRule type="expression" dxfId="2077" priority="86">
      <formula>$B63=""</formula>
    </cfRule>
  </conditionalFormatting>
  <conditionalFormatting sqref="N61:O61">
    <cfRule type="expression" dxfId="2076" priority="87">
      <formula>AND($B61&lt;&gt;"",$B64="")</formula>
    </cfRule>
    <cfRule type="expression" dxfId="2075" priority="88">
      <formula>$B61=""</formula>
    </cfRule>
  </conditionalFormatting>
  <conditionalFormatting sqref="N57:O60">
    <cfRule type="expression" dxfId="2074" priority="89">
      <formula>AND($B57&lt;&gt;"",#REF!="")</formula>
    </cfRule>
    <cfRule type="expression" dxfId="2073" priority="90">
      <formula>$B57=""</formula>
    </cfRule>
  </conditionalFormatting>
  <conditionalFormatting sqref="N55:O55">
    <cfRule type="expression" dxfId="2072" priority="91">
      <formula>AND($B55&lt;&gt;"",$B64="")</formula>
    </cfRule>
    <cfRule type="expression" dxfId="2071" priority="92">
      <formula>$B55=""</formula>
    </cfRule>
  </conditionalFormatting>
  <conditionalFormatting sqref="N51:O54">
    <cfRule type="expression" dxfId="2070" priority="93">
      <formula>AND($B51&lt;&gt;"",#REF!="")</formula>
    </cfRule>
    <cfRule type="expression" dxfId="2069" priority="94">
      <formula>$B51=""</formula>
    </cfRule>
  </conditionalFormatting>
  <conditionalFormatting sqref="N45:O63">
    <cfRule type="expression" dxfId="2068" priority="95">
      <formula>AND($B45&lt;&gt;"",#REF!="")</formula>
    </cfRule>
    <cfRule type="expression" dxfId="2067" priority="96">
      <formula>$B45=""</formula>
    </cfRule>
  </conditionalFormatting>
  <conditionalFormatting sqref="N13:O13">
    <cfRule type="expression" dxfId="2066" priority="76">
      <formula>COUNTA(N$14:N$63)&gt;0</formula>
    </cfRule>
  </conditionalFormatting>
  <conditionalFormatting sqref="N14:O63">
    <cfRule type="expression" dxfId="2065" priority="97">
      <formula>COUNTIF($U14:$AB14,N14)&gt;1</formula>
    </cfRule>
  </conditionalFormatting>
  <conditionalFormatting sqref="BF14:BG63">
    <cfRule type="expression" dxfId="2064" priority="56">
      <formula>AND($B14&lt;&gt;"",$B15="")</formula>
    </cfRule>
    <cfRule type="expression" dxfId="2063" priority="57">
      <formula>$B14=""</formula>
    </cfRule>
  </conditionalFormatting>
  <conditionalFormatting sqref="BF56:BG56">
    <cfRule type="expression" dxfId="2062" priority="58">
      <formula>AND($B56&lt;&gt;"",$B63="")</formula>
    </cfRule>
    <cfRule type="expression" dxfId="2061" priority="59">
      <formula>$B56=""</formula>
    </cfRule>
  </conditionalFormatting>
  <conditionalFormatting sqref="BF50:BG50">
    <cfRule type="expression" dxfId="2060" priority="60">
      <formula>AND($B50&lt;&gt;"",$B63="")</formula>
    </cfRule>
    <cfRule type="expression" dxfId="2059" priority="61">
      <formula>$B50=""</formula>
    </cfRule>
  </conditionalFormatting>
  <conditionalFormatting sqref="BF43:BG44">
    <cfRule type="expression" dxfId="2058" priority="62">
      <formula>AND($B43&lt;&gt;"",$B62="")</formula>
    </cfRule>
    <cfRule type="expression" dxfId="2057" priority="63">
      <formula>$B43=""</formula>
    </cfRule>
  </conditionalFormatting>
  <conditionalFormatting sqref="BF63:BG63">
    <cfRule type="expression" dxfId="2056" priority="64">
      <formula>AND($B63&lt;&gt;"",#REF!="")</formula>
    </cfRule>
    <cfRule type="expression" dxfId="2055" priority="65">
      <formula>$B63=""</formula>
    </cfRule>
  </conditionalFormatting>
  <conditionalFormatting sqref="BF61:BG61">
    <cfRule type="expression" dxfId="2054" priority="66">
      <formula>AND($B61&lt;&gt;"",$B64="")</formula>
    </cfRule>
    <cfRule type="expression" dxfId="2053" priority="67">
      <formula>$B61=""</formula>
    </cfRule>
  </conditionalFormatting>
  <conditionalFormatting sqref="BF57:BG60">
    <cfRule type="expression" dxfId="2052" priority="68">
      <formula>AND($B57&lt;&gt;"",#REF!="")</formula>
    </cfRule>
    <cfRule type="expression" dxfId="2051" priority="69">
      <formula>$B57=""</formula>
    </cfRule>
  </conditionalFormatting>
  <conditionalFormatting sqref="BF55:BG55">
    <cfRule type="expression" dxfId="2050" priority="70">
      <formula>AND($B55&lt;&gt;"",$B64="")</formula>
    </cfRule>
    <cfRule type="expression" dxfId="2049" priority="71">
      <formula>$B55=""</formula>
    </cfRule>
  </conditionalFormatting>
  <conditionalFormatting sqref="BF51:BG54">
    <cfRule type="expression" dxfId="2048" priority="72">
      <formula>AND($B51&lt;&gt;"",#REF!="")</formula>
    </cfRule>
    <cfRule type="expression" dxfId="2047" priority="73">
      <formula>$B51=""</formula>
    </cfRule>
  </conditionalFormatting>
  <conditionalFormatting sqref="BF45:BG63">
    <cfRule type="expression" dxfId="2046" priority="74">
      <formula>AND($B45&lt;&gt;"",#REF!="")</formula>
    </cfRule>
    <cfRule type="expression" dxfId="2045" priority="75">
      <formula>$B45=""</formula>
    </cfRule>
  </conditionalFormatting>
  <conditionalFormatting sqref="AL14:AS63">
    <cfRule type="expression" dxfId="2044" priority="35">
      <formula>AND($B14&lt;&gt;"",$B15="")</formula>
    </cfRule>
    <cfRule type="expression" dxfId="2043" priority="36">
      <formula>$B14=""</formula>
    </cfRule>
  </conditionalFormatting>
  <conditionalFormatting sqref="AL56:AS56">
    <cfRule type="expression" dxfId="2042" priority="37">
      <formula>AND($B56&lt;&gt;"",$B63="")</formula>
    </cfRule>
    <cfRule type="expression" dxfId="2041" priority="38">
      <formula>$B56=""</formula>
    </cfRule>
  </conditionalFormatting>
  <conditionalFormatting sqref="AL50:AS50">
    <cfRule type="expression" dxfId="2040" priority="39">
      <formula>AND($B50&lt;&gt;"",$B63="")</formula>
    </cfRule>
    <cfRule type="expression" dxfId="2039" priority="40">
      <formula>$B50=""</formula>
    </cfRule>
  </conditionalFormatting>
  <conditionalFormatting sqref="AL43:AS44">
    <cfRule type="expression" dxfId="2038" priority="41">
      <formula>AND($B43&lt;&gt;"",$B62="")</formula>
    </cfRule>
    <cfRule type="expression" dxfId="2037" priority="42">
      <formula>$B43=""</formula>
    </cfRule>
  </conditionalFormatting>
  <conditionalFormatting sqref="AL63:AS63">
    <cfRule type="expression" dxfId="2036" priority="43">
      <formula>AND($B63&lt;&gt;"",#REF!="")</formula>
    </cfRule>
    <cfRule type="expression" dxfId="2035" priority="44">
      <formula>$B63=""</formula>
    </cfRule>
  </conditionalFormatting>
  <conditionalFormatting sqref="AL61:AS61">
    <cfRule type="expression" dxfId="2034" priority="45">
      <formula>AND($B61&lt;&gt;"",$B64="")</formula>
    </cfRule>
    <cfRule type="expression" dxfId="2033" priority="46">
      <formula>$B61=""</formula>
    </cfRule>
  </conditionalFormatting>
  <conditionalFormatting sqref="AL57:AS60">
    <cfRule type="expression" dxfId="2032" priority="47">
      <formula>AND($B57&lt;&gt;"",#REF!="")</formula>
    </cfRule>
    <cfRule type="expression" dxfId="2031" priority="48">
      <formula>$B57=""</formula>
    </cfRule>
  </conditionalFormatting>
  <conditionalFormatting sqref="AL55:AS55">
    <cfRule type="expression" dxfId="2030" priority="49">
      <formula>AND($B55&lt;&gt;"",$B64="")</formula>
    </cfRule>
    <cfRule type="expression" dxfId="2029" priority="50">
      <formula>$B55=""</formula>
    </cfRule>
  </conditionalFormatting>
  <conditionalFormatting sqref="AL51:AS54">
    <cfRule type="expression" dxfId="2028" priority="51">
      <formula>AND($B51&lt;&gt;"",#REF!="")</formula>
    </cfRule>
    <cfRule type="expression" dxfId="2027" priority="52">
      <formula>$B51=""</formula>
    </cfRule>
  </conditionalFormatting>
  <conditionalFormatting sqref="AL45:AS63">
    <cfRule type="expression" dxfId="2026" priority="53">
      <formula>AND($B45&lt;&gt;"",#REF!="")</formula>
    </cfRule>
    <cfRule type="expression" dxfId="2025" priority="54">
      <formula>$B45=""</formula>
    </cfRule>
  </conditionalFormatting>
  <conditionalFormatting sqref="AL12:AU12">
    <cfRule type="expression" dxfId="2024" priority="34">
      <formula>COUNTA(AL$14:AL$63)&gt;0</formula>
    </cfRule>
  </conditionalFormatting>
  <conditionalFormatting sqref="AT14:AU63">
    <cfRule type="expression" dxfId="2023" priority="14">
      <formula>AND($B14&lt;&gt;"",$B15="")</formula>
    </cfRule>
    <cfRule type="expression" dxfId="2022" priority="15">
      <formula>$B14=""</formula>
    </cfRule>
  </conditionalFormatting>
  <conditionalFormatting sqref="AT56:AU56">
    <cfRule type="expression" dxfId="2021" priority="16">
      <formula>AND($B56&lt;&gt;"",$B63="")</formula>
    </cfRule>
    <cfRule type="expression" dxfId="2020" priority="17">
      <formula>$B56=""</formula>
    </cfRule>
  </conditionalFormatting>
  <conditionalFormatting sqref="AT50:AU50">
    <cfRule type="expression" dxfId="2019" priority="18">
      <formula>AND($B50&lt;&gt;"",$B63="")</formula>
    </cfRule>
    <cfRule type="expression" dxfId="2018" priority="19">
      <formula>$B50=""</formula>
    </cfRule>
  </conditionalFormatting>
  <conditionalFormatting sqref="AT43:AU44">
    <cfRule type="expression" dxfId="2017" priority="20">
      <formula>AND($B43&lt;&gt;"",$B62="")</formula>
    </cfRule>
    <cfRule type="expression" dxfId="2016" priority="21">
      <formula>$B43=""</formula>
    </cfRule>
  </conditionalFormatting>
  <conditionalFormatting sqref="AT63:AU63">
    <cfRule type="expression" dxfId="2015" priority="22">
      <formula>AND($B63&lt;&gt;"",#REF!="")</formula>
    </cfRule>
    <cfRule type="expression" dxfId="2014" priority="23">
      <formula>$B63=""</formula>
    </cfRule>
  </conditionalFormatting>
  <conditionalFormatting sqref="AT61:AU61">
    <cfRule type="expression" dxfId="2013" priority="24">
      <formula>AND($B61&lt;&gt;"",$B64="")</formula>
    </cfRule>
    <cfRule type="expression" dxfId="2012" priority="25">
      <formula>$B61=""</formula>
    </cfRule>
  </conditionalFormatting>
  <conditionalFormatting sqref="AT57:AU60">
    <cfRule type="expression" dxfId="2011" priority="26">
      <formula>AND($B57&lt;&gt;"",#REF!="")</formula>
    </cfRule>
    <cfRule type="expression" dxfId="2010" priority="27">
      <formula>$B57=""</formula>
    </cfRule>
  </conditionalFormatting>
  <conditionalFormatting sqref="AT55:AU55">
    <cfRule type="expression" dxfId="2009" priority="28">
      <formula>AND($B55&lt;&gt;"",$B64="")</formula>
    </cfRule>
    <cfRule type="expression" dxfId="2008" priority="29">
      <formula>$B55=""</formula>
    </cfRule>
  </conditionalFormatting>
  <conditionalFormatting sqref="AT51:AU54">
    <cfRule type="expression" dxfId="2007" priority="30">
      <formula>AND($B51&lt;&gt;"",#REF!="")</formula>
    </cfRule>
    <cfRule type="expression" dxfId="2006" priority="31">
      <formula>$B51=""</formula>
    </cfRule>
  </conditionalFormatting>
  <conditionalFormatting sqref="AT45:AU63">
    <cfRule type="expression" dxfId="2005" priority="32">
      <formula>AND($B45&lt;&gt;"",#REF!="")</formula>
    </cfRule>
    <cfRule type="expression" dxfId="2004" priority="33">
      <formula>$B45=""</formula>
    </cfRule>
  </conditionalFormatting>
  <conditionalFormatting sqref="AL14:AU63">
    <cfRule type="expression" dxfId="2003" priority="55">
      <formula>COUNTIF($AX14:$BE14,AL14)&gt;1</formula>
    </cfRule>
  </conditionalFormatting>
  <conditionalFormatting sqref="F61:S63 U61:BN63">
    <cfRule type="expression" dxfId="2002" priority="170">
      <formula>AND($B61&lt;&gt;"",$B65="")</formula>
    </cfRule>
    <cfRule type="expression" dxfId="2001" priority="171">
      <formula>$B61=""</formula>
    </cfRule>
  </conditionalFormatting>
  <conditionalFormatting sqref="F50:S60 U50:BN60">
    <cfRule type="expression" dxfId="2000" priority="172">
      <formula>AND($B50&lt;&gt;"",#REF!="")</formula>
    </cfRule>
    <cfRule type="expression" dxfId="1999" priority="173">
      <formula>$B50=""</formula>
    </cfRule>
  </conditionalFormatting>
  <conditionalFormatting sqref="T2">
    <cfRule type="expression" dxfId="1998" priority="13">
      <formula>COUNTA(F$14:F$63)&gt;0</formula>
    </cfRule>
  </conditionalFormatting>
  <conditionalFormatting sqref="T3">
    <cfRule type="expression" dxfId="1997" priority="174">
      <formula>COUNTA(G$14:G$63)&gt;0</formula>
    </cfRule>
  </conditionalFormatting>
  <conditionalFormatting sqref="T4">
    <cfRule type="expression" dxfId="1996" priority="175">
      <formula>COUNTA(H$14:H$63)&gt;0</formula>
    </cfRule>
  </conditionalFormatting>
  <conditionalFormatting sqref="T5">
    <cfRule type="expression" dxfId="1995" priority="176">
      <formula>COUNTA(I$14:I$63)&gt;0</formula>
    </cfRule>
  </conditionalFormatting>
  <conditionalFormatting sqref="T7">
    <cfRule type="expression" dxfId="1994" priority="12">
      <formula>COUNTA(K$14:K$63)&gt;0</formula>
    </cfRule>
  </conditionalFormatting>
  <conditionalFormatting sqref="T11">
    <cfRule type="expression" dxfId="1993" priority="177">
      <formula>COUNTA(O$14:O$63)&gt;0</formula>
    </cfRule>
  </conditionalFormatting>
  <conditionalFormatting sqref="T10">
    <cfRule type="expression" dxfId="1992" priority="178">
      <formula>COUNTA(N$14:N$63)&gt;0</formula>
    </cfRule>
  </conditionalFormatting>
  <conditionalFormatting sqref="T9">
    <cfRule type="expression" dxfId="1991" priority="179">
      <formula>COUNTA(M$14:M$63)&gt;0</formula>
    </cfRule>
  </conditionalFormatting>
  <conditionalFormatting sqref="T8">
    <cfRule type="expression" dxfId="1990" priority="180">
      <formula>COUNTA(L$14:L$63)&gt;0</formula>
    </cfRule>
  </conditionalFormatting>
  <conditionalFormatting sqref="T6">
    <cfRule type="expression" dxfId="1989" priority="11">
      <formula>COUNTA(J$14:J$63)&gt;0</formula>
    </cfRule>
  </conditionalFormatting>
  <conditionalFormatting sqref="AW2">
    <cfRule type="expression" dxfId="1988" priority="10">
      <formula>COUNTA(AL$14:AL$63)&gt;0</formula>
    </cfRule>
  </conditionalFormatting>
  <conditionalFormatting sqref="AW3">
    <cfRule type="expression" dxfId="1987" priority="9">
      <formula>COUNTA(AM$14:AM$63)&gt;0</formula>
    </cfRule>
  </conditionalFormatting>
  <conditionalFormatting sqref="AW4">
    <cfRule type="expression" dxfId="1986" priority="8">
      <formula>COUNTA(AN$14:AN$63)&gt;0</formula>
    </cfRule>
  </conditionalFormatting>
  <conditionalFormatting sqref="AW5">
    <cfRule type="expression" dxfId="1985" priority="7">
      <formula>COUNTA(AO$14:AO$63)&gt;0</formula>
    </cfRule>
  </conditionalFormatting>
  <conditionalFormatting sqref="AW6">
    <cfRule type="expression" dxfId="1984" priority="6">
      <formula>COUNTA(AP$14:AP$63)&gt;0</formula>
    </cfRule>
  </conditionalFormatting>
  <conditionalFormatting sqref="AW7">
    <cfRule type="expression" dxfId="1983" priority="5">
      <formula>COUNTA(AQ$14:AQ$63)&gt;0</formula>
    </cfRule>
  </conditionalFormatting>
  <conditionalFormatting sqref="AW8">
    <cfRule type="expression" dxfId="1982" priority="4">
      <formula>COUNTA(AR$14:AR$63)&gt;0</formula>
    </cfRule>
  </conditionalFormatting>
  <conditionalFormatting sqref="AW9">
    <cfRule type="expression" dxfId="1981" priority="3">
      <formula>COUNTA(AS$14:AS$63)&gt;0</formula>
    </cfRule>
  </conditionalFormatting>
  <conditionalFormatting sqref="AW10">
    <cfRule type="expression" dxfId="1980" priority="2">
      <formula>COUNTA(AT$14:AT$63)&gt;0</formula>
    </cfRule>
  </conditionalFormatting>
  <conditionalFormatting sqref="AW11">
    <cfRule type="expression" dxfId="1979" priority="1">
      <formula>COUNTA(AU$14:AU$63)&gt;0</formula>
    </cfRule>
  </conditionalFormatting>
  <dataValidations count="6">
    <dataValidation allowBlank="1" showInputMessage="1" showErrorMessage="1" prompt="KKM" sqref="H69:H70"/>
    <dataValidation type="whole" allowBlank="1" showInputMessage="1" showErrorMessage="1" errorTitle="Petunjuk" error="Nilai 0-100" sqref="Q14:R63 F14:O63 AL14:AU63">
      <formula1>0</formula1>
      <formula2>100</formula2>
    </dataValidation>
    <dataValidation allowBlank="1" showInputMessage="1" showErrorMessage="1" prompt="Rata-rata Harian" sqref="P12 AV12"/>
    <dataValidation allowBlank="1" showInputMessage="1" showErrorMessage="1" promptTitle="Tulis Bobot Nilai" prompt="Berupa Nilai Praktik, Portofolio atau Proyek._x000a_Bobot Praktik disarankan lebih tinggi" sqref="AL13:AU13 AX13:BG13"/>
    <dataValidation allowBlank="1" showInputMessage="1" showErrorMessage="1" prompt="Bobot Nilai" sqref="P13:R13 BH11 AE12:AF12"/>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0000FF"/>
  </sheetPr>
  <dimension ref="A1:DG103"/>
  <sheetViews>
    <sheetView showGridLines="0" showRowColHeaders="0" workbookViewId="0">
      <pane xSplit="5" ySplit="13" topLeftCell="F47" activePane="bottomRight" state="frozen"/>
      <selection activeCell="AW5" sqref="AW5:BN7"/>
      <selection pane="topRight" activeCell="AW5" sqref="AW5:BN7"/>
      <selection pane="bottomLeft" activeCell="AW5" sqref="AW5:BN7"/>
      <selection pane="bottomRight" activeCell="AL14" sqref="AL14:AO50"/>
    </sheetView>
  </sheetViews>
  <sheetFormatPr defaultColWidth="0" defaultRowHeight="12" customHeight="1"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t="str">
        <f>Data2!C21</f>
        <v>Biologi</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490" t="s">
        <v>1676</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492" t="s">
        <v>1680</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491" t="s">
        <v>1677</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493" t="s">
        <v>1681</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491" t="s">
        <v>1678</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493" t="s">
        <v>1682</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491" t="s">
        <v>1679</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493" t="s">
        <v>1683</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1070</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1198</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1071</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1199</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1072</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1200</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1073</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1201</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1074</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1202</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1075</v>
      </c>
      <c r="AL11" s="1800"/>
      <c r="AM11" s="1803"/>
      <c r="AN11" s="1803"/>
      <c r="AO11" s="1803"/>
      <c r="AP11" s="1803"/>
      <c r="AQ11" s="1803"/>
      <c r="AR11" s="1803"/>
      <c r="AS11" s="1803"/>
      <c r="AT11" s="1803"/>
      <c r="AU11" s="1804"/>
      <c r="AV11" s="1196">
        <v>10</v>
      </c>
      <c r="AW11" s="1197" t="s">
        <v>929</v>
      </c>
      <c r="AX11" s="1198">
        <f t="shared" ref="AX11:BG11" si="1">IF(COUNT(AX14:AX63)&gt;0,AX13,"")</f>
        <v>1</v>
      </c>
      <c r="AY11" s="1198">
        <f t="shared" si="1"/>
        <v>1</v>
      </c>
      <c r="AZ11" s="1198">
        <f t="shared" si="1"/>
        <v>1</v>
      </c>
      <c r="BA11" s="1198">
        <f t="shared" si="1"/>
        <v>1</v>
      </c>
      <c r="BB11" s="1198" t="str">
        <f t="shared" si="1"/>
        <v/>
      </c>
      <c r="BC11" s="1198" t="str">
        <f t="shared" si="1"/>
        <v/>
      </c>
      <c r="BD11" s="1198" t="str">
        <f t="shared" si="1"/>
        <v/>
      </c>
      <c r="BE11" s="1198" t="str">
        <f t="shared" si="1"/>
        <v/>
      </c>
      <c r="BF11" s="1198" t="str">
        <f t="shared" si="1"/>
        <v/>
      </c>
      <c r="BG11" s="1198" t="str">
        <f t="shared" si="1"/>
        <v/>
      </c>
      <c r="BH11" s="1198">
        <f>SUM(AX11:BG11)</f>
        <v>4</v>
      </c>
      <c r="BI11" s="1199"/>
      <c r="BJ11" s="1199"/>
      <c r="BK11" s="1199"/>
      <c r="BL11" s="1199"/>
      <c r="BM11" s="1199"/>
      <c r="BN11" s="1186" t="s">
        <v>1203</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f t="shared" ref="U12:AD12" si="2">IF(COUNT(U14:U63)&gt;0,1,"")</f>
        <v>1</v>
      </c>
      <c r="V12" s="1201">
        <f t="shared" si="2"/>
        <v>1</v>
      </c>
      <c r="W12" s="1201">
        <f t="shared" si="2"/>
        <v>1</v>
      </c>
      <c r="X12" s="1201">
        <f t="shared" si="2"/>
        <v>1</v>
      </c>
      <c r="Y12" s="1201" t="str">
        <f t="shared" si="2"/>
        <v/>
      </c>
      <c r="Z12" s="1201" t="str">
        <f t="shared" si="2"/>
        <v/>
      </c>
      <c r="AA12" s="1201" t="str">
        <f t="shared" si="2"/>
        <v/>
      </c>
      <c r="AB12" s="1201" t="str">
        <f t="shared" si="2"/>
        <v/>
      </c>
      <c r="AC12" s="1201" t="str">
        <f t="shared" si="2"/>
        <v/>
      </c>
      <c r="AD12" s="1201" t="str">
        <f t="shared" si="2"/>
        <v/>
      </c>
      <c r="AE12" s="1202">
        <f>SUM(U12:AD12)</f>
        <v>4</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1494">
        <v>81</v>
      </c>
      <c r="G14" s="1495">
        <v>80</v>
      </c>
      <c r="H14" s="1495">
        <v>81</v>
      </c>
      <c r="I14" s="1495">
        <v>80</v>
      </c>
      <c r="J14" s="277"/>
      <c r="K14" s="277"/>
      <c r="L14" s="277"/>
      <c r="M14" s="280"/>
      <c r="N14" s="277"/>
      <c r="O14" s="278"/>
      <c r="P14" s="279">
        <f t="shared" ref="P14" si="4">IF(COUNT(U14:AD14)&lt;2,"",ROUND(SUM(U14:AD14)/$AE$12,0))</f>
        <v>81</v>
      </c>
      <c r="Q14" s="1496">
        <v>81</v>
      </c>
      <c r="R14" s="1497">
        <v>80</v>
      </c>
      <c r="S14" s="281">
        <f t="shared" ref="S14" si="5">IFERROR(ROUND(((P14*$P$13)+(Q14*$Q$13)+(R14*$R$13))/$AF$12,0),"")</f>
        <v>81</v>
      </c>
      <c r="T14" s="295" t="str">
        <f t="shared" ref="T14" si="6">IF(S14="","",IF(S14&gt;$H$76,$Q$75,IF(S14&gt;$H$77,$Q$76,IF(S14&gt;$H$78,$Q$77,$Q$78))))</f>
        <v>C</v>
      </c>
      <c r="U14" s="1215">
        <f t="shared" ref="U14:AD29" si="7">IF(F14="","",F14+U$13)</f>
        <v>81.010000000000005</v>
      </c>
      <c r="V14" s="1216">
        <f t="shared" si="7"/>
        <v>80.02</v>
      </c>
      <c r="W14" s="1216">
        <f t="shared" si="7"/>
        <v>81.03</v>
      </c>
      <c r="X14" s="1216">
        <f t="shared" si="7"/>
        <v>80.040000000000006</v>
      </c>
      <c r="Y14" s="1216" t="str">
        <f t="shared" si="7"/>
        <v/>
      </c>
      <c r="Z14" s="1216" t="str">
        <f t="shared" si="7"/>
        <v/>
      </c>
      <c r="AA14" s="1216" t="str">
        <f t="shared" si="7"/>
        <v/>
      </c>
      <c r="AB14" s="1217" t="str">
        <f t="shared" si="7"/>
        <v/>
      </c>
      <c r="AC14" s="1216" t="str">
        <f t="shared" si="7"/>
        <v/>
      </c>
      <c r="AD14" s="1218" t="str">
        <f t="shared" si="7"/>
        <v/>
      </c>
      <c r="AE14" s="1219">
        <f t="shared" ref="AE14" si="8">MAX(U14:AD14)</f>
        <v>81.03</v>
      </c>
      <c r="AF14" s="282">
        <f t="shared" ref="AF14" si="9">MIN(U14:AD14)</f>
        <v>80.02</v>
      </c>
      <c r="AG14" s="282" t="str">
        <f t="shared" ref="AG14:AH29" si="10">IF(AE14&gt;$H$76,$I$75,IF(AE14&gt;$H$77,$I$76,IF(AE14&gt;$H$78,$I$77,$I$78)))</f>
        <v>cukup</v>
      </c>
      <c r="AH14" s="282" t="str">
        <f t="shared" si="10"/>
        <v>cukup</v>
      </c>
      <c r="AI14" s="282">
        <f t="shared" ref="AI14" si="11">IFERROR(MATCH(AE14,U14:AD14,0),"")</f>
        <v>3</v>
      </c>
      <c r="AJ14" s="283">
        <f t="shared" ref="AJ14" si="12">IFERROR(MATCH(AF14,U14:AD14,0),"")</f>
        <v>2</v>
      </c>
      <c r="AK14" s="284" t="str">
        <f t="shared" ref="AK14" si="13">IF(S14="","",IFERROR("Memiliki kemampuan "&amp;IF(AG14=AH14,AG14&amp;" dalam "&amp;VLOOKUP(AI14,$S$2:$AK$11,19)&amp;" dan "&amp;VLOOKUP(AJ14,$S$2:$AK$11,19),AG14&amp;" dalam "&amp;VLOOKUP(AI14,$S$2:$AK$11,19)&amp;", "&amp;AH14&amp;" kemampuan dalam "&amp;VLOOKUP(AJ14,$S$2:$AK$11,19)),""))</f>
        <v>Memiliki kemampuan cukup dalam mengenal berbagai jenis hewan berdasarkan filum dan mengelompokkan tumbuhan dalam divisio berdasarkan ciri dan peranan</v>
      </c>
      <c r="AL14" s="1494">
        <v>81</v>
      </c>
      <c r="AM14" s="1495">
        <v>81</v>
      </c>
      <c r="AN14" s="1495">
        <v>81</v>
      </c>
      <c r="AO14" s="1495">
        <v>80</v>
      </c>
      <c r="AP14" s="277"/>
      <c r="AQ14" s="277"/>
      <c r="AR14" s="277"/>
      <c r="AS14" s="280"/>
      <c r="AT14" s="277"/>
      <c r="AU14" s="278"/>
      <c r="AV14" s="285">
        <f t="shared" ref="AV14" si="14">IF(COUNT(AL14:AU14)&lt;2,"",ROUND(((AL14*$AX$13)+(AM14*$AY$13)+(AN14*$AZ$13)+(AO14*$BA$13)+(AP14*$BB$13)+(AQ14*$BC$13)+(AR14*$BD$13)+(AS14*$BE$13)+(AT14*$BF$13)+(AU14*$BG$13))/$BH$11,0))</f>
        <v>81</v>
      </c>
      <c r="AW14" s="296" t="str">
        <f t="shared" ref="AW14" si="15">IF(AV14="","",IF(AV14&gt;$AN$76,$AV$75,IF(AV14&gt;$AN$77,$AV$76,IF(AV14&gt;$AN$78,$AV$77,$AV$78))))</f>
        <v>C</v>
      </c>
      <c r="AX14" s="1220">
        <f t="shared" ref="AX14:BG29" si="16">IF(AL14="","",AL14+AX$12)</f>
        <v>81.010000000000005</v>
      </c>
      <c r="AY14" s="1221">
        <f t="shared" si="16"/>
        <v>81.02</v>
      </c>
      <c r="AZ14" s="1221">
        <f t="shared" si="16"/>
        <v>81.03</v>
      </c>
      <c r="BA14" s="1221">
        <f t="shared" si="16"/>
        <v>80.040000000000006</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81.03</v>
      </c>
      <c r="BI14" s="286">
        <f t="shared" ref="BI14" si="18">MIN(AX14:BG14)</f>
        <v>80.040000000000006</v>
      </c>
      <c r="BJ14" s="287" t="str">
        <f t="shared" ref="BJ14:BK14" si="19">IF(BH14&gt;$H$76,$AO$75,IF(BH14&gt;$H$77,$AO$76,IF(BH14&gt;$H$78,$AO$77,$AO$78)))</f>
        <v>cukup</v>
      </c>
      <c r="BK14" s="287" t="str">
        <f t="shared" si="19"/>
        <v>cukup</v>
      </c>
      <c r="BL14" s="286">
        <f t="shared" ref="BL14" si="20">MATCH(BH14,AX14:BG14,0)</f>
        <v>3</v>
      </c>
      <c r="BM14" s="288">
        <f t="shared" ref="BM14" si="21">MATCH(BI14,AX14:BG14,0)</f>
        <v>4</v>
      </c>
      <c r="BN14" s="289" t="str">
        <f t="shared" ref="BN14" si="22">IF(AV14="","",IFERROR("Memiliki keterampilan "&amp;IF(BJ14=BK14,BJ14&amp;" dalam "&amp;VLOOKUP(BL14,$AV$2:$BN$11,19)&amp;" dan "&amp;VLOOKUP(BM14,$AV$2:$BN$11,19),BJ14&amp;" dalam "&amp;VLOOKUP(BL14,$AV$2:$BN$11,19)&amp;", "&amp;BK14&amp;" keterampilan dalam "&amp;VLOOKUP(BM14,$AV$2:$BN$11,19)),""))</f>
        <v>Memiliki keterampilan cukup dalam menjelaskan kelompok hewan berdasarkan ciri, reproduksi dan peran dan menyajikan hasil pengamatan jenis hewan di lingkunagn sekitar</v>
      </c>
      <c r="BO14" s="67"/>
    </row>
    <row r="15" spans="1:67" ht="33" customHeight="1">
      <c r="A15" s="67"/>
      <c r="B15" s="272">
        <f>IF(D15="","",B14+1)</f>
        <v>2</v>
      </c>
      <c r="C15" s="273">
        <f>IF(Data!F6="","",Data!F6)</f>
        <v>0</v>
      </c>
      <c r="D15" s="274" t="str">
        <f>IF(Data!H6="","",Data!H6)</f>
        <v>Aprianus Bira</v>
      </c>
      <c r="E15" s="275" t="str">
        <f>IF(Data!I6="","",Data!I6)</f>
        <v>L</v>
      </c>
      <c r="F15" s="1494">
        <v>79</v>
      </c>
      <c r="G15" s="1495">
        <v>79</v>
      </c>
      <c r="H15" s="1495">
        <v>77</v>
      </c>
      <c r="I15" s="1495">
        <v>77</v>
      </c>
      <c r="J15" s="277"/>
      <c r="K15" s="277"/>
      <c r="L15" s="277"/>
      <c r="M15" s="280"/>
      <c r="N15" s="277"/>
      <c r="O15" s="278"/>
      <c r="P15" s="279">
        <f>IF(COUNT(U15:AD15)&lt;2,"",ROUND(SUM(U15:AD15)/$AE$12,0))</f>
        <v>78</v>
      </c>
      <c r="Q15" s="1495">
        <v>79</v>
      </c>
      <c r="R15" s="1498">
        <v>79</v>
      </c>
      <c r="S15" s="281">
        <f>IFERROR(ROUND(((P15*$P$13)+(Q15*$Q$13)+(R15*$R$13))/$AF$12,0),"")</f>
        <v>79</v>
      </c>
      <c r="T15" s="295" t="str">
        <f>IF(S15="","",IF(S15&gt;$H$76,$Q$75,IF(S15&gt;$H$77,$Q$76,IF(S15&gt;$H$78,$Q$77,$Q$78))))</f>
        <v>C</v>
      </c>
      <c r="U15" s="1215">
        <f t="shared" si="7"/>
        <v>79.010000000000005</v>
      </c>
      <c r="V15" s="1216">
        <f t="shared" si="7"/>
        <v>79.02</v>
      </c>
      <c r="W15" s="1216">
        <f t="shared" si="7"/>
        <v>77.03</v>
      </c>
      <c r="X15" s="1216">
        <f t="shared" si="7"/>
        <v>77.040000000000006</v>
      </c>
      <c r="Y15" s="1216" t="str">
        <f t="shared" si="7"/>
        <v/>
      </c>
      <c r="Z15" s="1216" t="str">
        <f t="shared" si="7"/>
        <v/>
      </c>
      <c r="AA15" s="1216" t="str">
        <f t="shared" si="7"/>
        <v/>
      </c>
      <c r="AB15" s="1217" t="str">
        <f t="shared" si="7"/>
        <v/>
      </c>
      <c r="AC15" s="1216" t="str">
        <f t="shared" si="7"/>
        <v/>
      </c>
      <c r="AD15" s="1218" t="str">
        <f t="shared" si="7"/>
        <v/>
      </c>
      <c r="AE15" s="1219">
        <f>MAX(U15:AD15)</f>
        <v>79.02</v>
      </c>
      <c r="AF15" s="282">
        <f>MIN(U15:AD15)</f>
        <v>77.03</v>
      </c>
      <c r="AG15" s="282" t="str">
        <f>IF(AE15&gt;$H$76,$I$75,IF(AE15&gt;$H$77,$I$76,IF(AE15&gt;$H$78,$I$77,$I$78)))</f>
        <v>cukup</v>
      </c>
      <c r="AH15" s="282" t="str">
        <f t="shared" si="10"/>
        <v>cukup</v>
      </c>
      <c r="AI15" s="282">
        <f>IFERROR(MATCH(AE15,U15:AD15,0),"")</f>
        <v>2</v>
      </c>
      <c r="AJ15" s="283">
        <f>IFERROR(MATCH(AF15,U15:AD15,0),"")</f>
        <v>3</v>
      </c>
      <c r="AK15" s="284" t="str">
        <f>IF(S15="","",IFERROR("Memiliki kemampuan "&amp;IF(AG15=AH15,AG15&amp;" dalam "&amp;VLOOKUP(AI15,$S$2:$AK$11,19)&amp;" dan "&amp;VLOOKUP(AJ15,$S$2:$AK$11,19),AG15&amp;" dalam "&amp;VLOOKUP(AI15,$S$2:$AK$11,19)&amp;", "&amp;AH15&amp;" kemampuan dalam "&amp;VLOOKUP(AJ15,$S$2:$AK$11,19)),""))</f>
        <v>Memiliki kemampuan cukup dalam mengelompokkan tumbuhan dalam divisio berdasarkan ciri dan peranan dan mengenal berbagai jenis hewan berdasarkan filum</v>
      </c>
      <c r="AL15" s="1494">
        <v>79</v>
      </c>
      <c r="AM15" s="1495">
        <v>79</v>
      </c>
      <c r="AN15" s="1495">
        <v>77</v>
      </c>
      <c r="AO15" s="1495">
        <v>77</v>
      </c>
      <c r="AP15" s="277"/>
      <c r="AQ15" s="277"/>
      <c r="AR15" s="277"/>
      <c r="AS15" s="280"/>
      <c r="AT15" s="277"/>
      <c r="AU15" s="278"/>
      <c r="AV15" s="285">
        <f>IF(COUNT(AL15:AU15)&lt;2,"",ROUND(((AL15*$AX$13)+(AM15*$AY$13)+(AN15*$AZ$13)+(AO15*$BA$13)+(AP15*$BB$13)+(AQ15*$BC$13)+(AR15*$BD$13)+(AS15*$BE$13)+(AT15*$BF$13)+(AU15*$BG$13))/$BH$11,0))</f>
        <v>78</v>
      </c>
      <c r="AW15" s="296" t="str">
        <f>IF(AV15="","",IF(AV15&gt;$AN$76,$AV$75,IF(AV15&gt;$AN$77,$AV$76,IF(AV15&gt;$AN$78,$AV$77,$AV$78))))</f>
        <v>C</v>
      </c>
      <c r="AX15" s="1220">
        <f t="shared" si="16"/>
        <v>79.010000000000005</v>
      </c>
      <c r="AY15" s="1221">
        <f t="shared" si="16"/>
        <v>79.02</v>
      </c>
      <c r="AZ15" s="1221">
        <f>IF(AN15="","",AN15+AZ$12)</f>
        <v>77.03</v>
      </c>
      <c r="BA15" s="1221">
        <f t="shared" si="16"/>
        <v>77.040000000000006</v>
      </c>
      <c r="BB15" s="1221" t="str">
        <f t="shared" si="16"/>
        <v/>
      </c>
      <c r="BC15" s="1221" t="str">
        <f t="shared" si="16"/>
        <v/>
      </c>
      <c r="BD15" s="1221" t="str">
        <f t="shared" si="16"/>
        <v/>
      </c>
      <c r="BE15" s="1222" t="str">
        <f t="shared" si="16"/>
        <v/>
      </c>
      <c r="BF15" s="1221" t="str">
        <f t="shared" si="16"/>
        <v/>
      </c>
      <c r="BG15" s="1223" t="str">
        <f t="shared" si="16"/>
        <v/>
      </c>
      <c r="BH15" s="286">
        <f>MAX(AX15:BG15)</f>
        <v>79.02</v>
      </c>
      <c r="BI15" s="286">
        <f>MIN(AX15:BG15)</f>
        <v>77.03</v>
      </c>
      <c r="BJ15" s="287" t="str">
        <f>IF(BH15&gt;$H$76,$AO$75,IF(BH15&gt;$H$77,$AO$76,IF(BH15&gt;$H$78,$AO$77,$AO$78)))</f>
        <v>cukup</v>
      </c>
      <c r="BK15" s="287" t="str">
        <f>IF(BI15&gt;$H$76,$AO$75,IF(BI15&gt;$H$77,$AO$76,IF(BI15&gt;$H$78,$AO$77,$AO$78)))</f>
        <v>cukup</v>
      </c>
      <c r="BL15" s="286">
        <f>MATCH(BH15,AX15:BG15,0)</f>
        <v>2</v>
      </c>
      <c r="BM15" s="288">
        <f>MATCH(BI15,AX15:BG15,0)</f>
        <v>3</v>
      </c>
      <c r="BN15" s="289" t="str">
        <f>IF(AV15="","",IFERROR("Memiliki keterampilan "&amp;IF(BJ15=BK15,BJ15&amp;" dalam "&amp;VLOOKUP(BL15,$AV$2:$BN$11,19)&amp;" dan "&amp;VLOOKUP(BM15,$AV$2:$BN$11,19),BJ15&amp;" dalam "&amp;VLOOKUP(BL15,$AV$2:$BN$11,19)&amp;", "&amp;BK15&amp;" keterampilan dalam "&amp;VLOOKUP(BM15,$AV$2:$BN$11,19)),""))</f>
        <v>Memiliki keterampilan cukup dalam menemukan jenis tumbuhan berdasarkan divisiso dan menjelaskan kelompok hewan berdasarkan ciri, reproduksi dan peran</v>
      </c>
      <c r="BO15" s="67"/>
    </row>
    <row r="16" spans="1:67" ht="33" customHeight="1">
      <c r="A16" s="67"/>
      <c r="B16" s="272">
        <f t="shared" ref="B16:B63" si="23">IF(D16="","",B15+1)</f>
        <v>3</v>
      </c>
      <c r="C16" s="273">
        <f>IF(Data!F7="","",Data!F7)</f>
        <v>0</v>
      </c>
      <c r="D16" s="274" t="str">
        <f>IF(Data!H7="","",Data!H7)</f>
        <v>Asri Aldina Baksuni</v>
      </c>
      <c r="E16" s="275" t="str">
        <f>IF(Data!I7="","",Data!I7)</f>
        <v>P</v>
      </c>
      <c r="F16" s="1494">
        <v>80</v>
      </c>
      <c r="G16" s="1495">
        <v>79</v>
      </c>
      <c r="H16" s="1495">
        <v>79</v>
      </c>
      <c r="I16" s="1495">
        <v>79</v>
      </c>
      <c r="J16" s="277"/>
      <c r="K16" s="277"/>
      <c r="L16" s="277"/>
      <c r="M16" s="280"/>
      <c r="N16" s="277"/>
      <c r="O16" s="278"/>
      <c r="P16" s="279">
        <f t="shared" ref="P16:P63" si="24">IF(COUNT(U16:AD16)&lt;2,"",ROUND(SUM(U16:AD16)/$AE$12,0))</f>
        <v>79</v>
      </c>
      <c r="Q16" s="1495">
        <v>79</v>
      </c>
      <c r="R16" s="1498">
        <v>79</v>
      </c>
      <c r="S16" s="281">
        <f t="shared" ref="S16:S63" si="25">IFERROR(ROUND(((P16*$P$13)+(Q16*$Q$13)+(R16*$R$13))/$AF$12,0),"")</f>
        <v>79</v>
      </c>
      <c r="T16" s="295" t="str">
        <f t="shared" ref="T16:T63" si="26">IF(S16="","",IF(S16&gt;$H$76,$Q$75,IF(S16&gt;$H$77,$Q$76,IF(S16&gt;$H$78,$Q$77,$Q$78))))</f>
        <v>C</v>
      </c>
      <c r="U16" s="1215">
        <f t="shared" si="7"/>
        <v>80.010000000000005</v>
      </c>
      <c r="V16" s="1216">
        <f t="shared" si="7"/>
        <v>79.02</v>
      </c>
      <c r="W16" s="1216">
        <f t="shared" si="7"/>
        <v>79.03</v>
      </c>
      <c r="X16" s="1216">
        <f t="shared" si="7"/>
        <v>79.040000000000006</v>
      </c>
      <c r="Y16" s="1216" t="str">
        <f t="shared" si="7"/>
        <v/>
      </c>
      <c r="Z16" s="1216" t="str">
        <f t="shared" si="7"/>
        <v/>
      </c>
      <c r="AA16" s="1216" t="str">
        <f t="shared" si="7"/>
        <v/>
      </c>
      <c r="AB16" s="1217" t="str">
        <f t="shared" si="7"/>
        <v/>
      </c>
      <c r="AC16" s="1216" t="str">
        <f t="shared" si="7"/>
        <v/>
      </c>
      <c r="AD16" s="1218" t="str">
        <f t="shared" si="7"/>
        <v/>
      </c>
      <c r="AE16" s="1219">
        <f t="shared" ref="AE16:AE63" si="27">MAX(U16:AD16)</f>
        <v>80.010000000000005</v>
      </c>
      <c r="AF16" s="282">
        <f t="shared" ref="AF16:AF63" si="28">MIN(U16:AD16)</f>
        <v>79.02</v>
      </c>
      <c r="AG16" s="282" t="str">
        <f t="shared" ref="AG16:AH63" si="29">IF(AE16&gt;$H$76,$I$75,IF(AE16&gt;$H$77,$I$76,IF(AE16&gt;$H$78,$I$77,$I$78)))</f>
        <v>cukup</v>
      </c>
      <c r="AH16" s="282" t="str">
        <f t="shared" si="10"/>
        <v>cukup</v>
      </c>
      <c r="AI16" s="282">
        <f t="shared" ref="AI16:AI63" si="30">IFERROR(MATCH(AE16,U16:AD16,0),"")</f>
        <v>1</v>
      </c>
      <c r="AJ16" s="283">
        <f t="shared" ref="AJ16:AJ63" si="31">IFERROR(MATCH(AF16,U16:AD16,0),"")</f>
        <v>2</v>
      </c>
      <c r="AK16" s="284" t="str">
        <f t="shared" ref="AK16:AK63" si="32">IF(S16="","",IFERROR("Memiliki kemampuan "&amp;IF(AG16=AH16,AG16&amp;" dalam "&amp;VLOOKUP(AI16,$S$2:$AK$11,19)&amp;" dan "&amp;VLOOKUP(AJ16,$S$2:$AK$11,19),AG16&amp;" dalam "&amp;VLOOKUP(AI16,$S$2:$AK$11,19)&amp;", "&amp;AH16&amp;" kemampuan dalam "&amp;VLOOKUP(AJ16,$S$2:$AK$11,19)),""))</f>
        <v>Memiliki kemampuan cukup dalam mengelompokkan jamur berdasarkan ciri, reproduksi dan peranannya dan mengelompokkan tumbuhan dalam divisio berdasarkan ciri dan peranan</v>
      </c>
      <c r="AL16" s="1494">
        <v>79</v>
      </c>
      <c r="AM16" s="1495">
        <v>77</v>
      </c>
      <c r="AN16" s="1495">
        <v>79</v>
      </c>
      <c r="AO16" s="1495">
        <v>79</v>
      </c>
      <c r="AP16" s="277"/>
      <c r="AQ16" s="277"/>
      <c r="AR16" s="277"/>
      <c r="AS16" s="280"/>
      <c r="AT16" s="277"/>
      <c r="AU16" s="278"/>
      <c r="AV16" s="285">
        <f t="shared" ref="AV16:AV63" si="33">IF(COUNT(AL16:AU16)&lt;2,"",ROUND(((AL16*$AX$13)+(AM16*$AY$13)+(AN16*$AZ$13)+(AO16*$BA$13)+(AP16*$BB$13)+(AQ16*$BC$13)+(AR16*$BD$13)+(AS16*$BE$13)+(AT16*$BF$13)+(AU16*$BG$13))/$BH$11,0))</f>
        <v>79</v>
      </c>
      <c r="AW16" s="296" t="str">
        <f t="shared" ref="AW16:AW63" si="34">IF(AV16="","",IF(AV16&gt;$AN$76,$AV$75,IF(AV16&gt;$AN$77,$AV$76,IF(AV16&gt;$AN$78,$AV$77,$AV$78))))</f>
        <v>C</v>
      </c>
      <c r="AX16" s="1220">
        <f t="shared" si="16"/>
        <v>79.010000000000005</v>
      </c>
      <c r="AY16" s="1221">
        <f t="shared" si="16"/>
        <v>77.02</v>
      </c>
      <c r="AZ16" s="1221">
        <f t="shared" si="16"/>
        <v>79.03</v>
      </c>
      <c r="BA16" s="1221">
        <f t="shared" si="16"/>
        <v>79.040000000000006</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79.040000000000006</v>
      </c>
      <c r="BI16" s="286">
        <f t="shared" ref="BI16:BI63" si="36">MIN(AX16:BG16)</f>
        <v>77.02</v>
      </c>
      <c r="BJ16" s="287" t="str">
        <f t="shared" ref="BJ16:BK63" si="37">IF(BH16&gt;$H$76,$AO$75,IF(BH16&gt;$H$77,$AO$76,IF(BH16&gt;$H$78,$AO$77,$AO$78)))</f>
        <v>cukup</v>
      </c>
      <c r="BK16" s="287" t="str">
        <f t="shared" si="37"/>
        <v>cukup</v>
      </c>
      <c r="BL16" s="286">
        <f t="shared" ref="BL16:BL63" si="38">MATCH(BH16,AX16:BG16,0)</f>
        <v>4</v>
      </c>
      <c r="BM16" s="288">
        <f t="shared" ref="BM16:BM63" si="39">MATCH(BI16,AX16:BG16,0)</f>
        <v>2</v>
      </c>
      <c r="BN16" s="289" t="str">
        <f t="shared" ref="BN16:BN63" si="40">IF(AV16="","",IFERROR("Memiliki keterampilan "&amp;IF(BJ16=BK16,BJ16&amp;" dalam "&amp;VLOOKUP(BL16,$AV$2:$BN$11,19)&amp;" dan "&amp;VLOOKUP(BM16,$AV$2:$BN$11,19),BJ16&amp;" dalam "&amp;VLOOKUP(BL16,$AV$2:$BN$11,19)&amp;", "&amp;BK16&amp;" keterampilan dalam "&amp;VLOOKUP(BM16,$AV$2:$BN$11,19)),""))</f>
        <v>Memiliki keterampilan cukup dalam menyajikan hasil pengamatan jenis hewan di lingkunagn sekitar dan menemukan jenis tumbuhan berdasarkan divisiso</v>
      </c>
      <c r="BO16" s="67"/>
    </row>
    <row r="17" spans="1:67" ht="33" customHeight="1">
      <c r="A17" s="67"/>
      <c r="B17" s="272">
        <f t="shared" si="23"/>
        <v>4</v>
      </c>
      <c r="C17" s="273">
        <f>IF(Data!F8="","",Data!F8)</f>
        <v>0</v>
      </c>
      <c r="D17" s="274" t="str">
        <f>IF(Data!H8="","",Data!H8)</f>
        <v>Asti Welmince Welkis</v>
      </c>
      <c r="E17" s="275" t="str">
        <f>IF(Data!I8="","",Data!I8)</f>
        <v>P</v>
      </c>
      <c r="F17" s="1494">
        <v>81</v>
      </c>
      <c r="G17" s="1495">
        <v>80</v>
      </c>
      <c r="H17" s="1495">
        <v>80</v>
      </c>
      <c r="I17" s="1495">
        <v>80</v>
      </c>
      <c r="J17" s="277"/>
      <c r="K17" s="277"/>
      <c r="L17" s="277"/>
      <c r="M17" s="280"/>
      <c r="N17" s="277"/>
      <c r="O17" s="278"/>
      <c r="P17" s="279">
        <f t="shared" si="24"/>
        <v>80</v>
      </c>
      <c r="Q17" s="1495">
        <v>80</v>
      </c>
      <c r="R17" s="1498">
        <v>80</v>
      </c>
      <c r="S17" s="281">
        <f t="shared" si="25"/>
        <v>80</v>
      </c>
      <c r="T17" s="295" t="str">
        <f t="shared" si="26"/>
        <v>C</v>
      </c>
      <c r="U17" s="1215">
        <f t="shared" si="7"/>
        <v>81.010000000000005</v>
      </c>
      <c r="V17" s="1216">
        <f t="shared" si="7"/>
        <v>80.02</v>
      </c>
      <c r="W17" s="1216">
        <f t="shared" si="7"/>
        <v>80.03</v>
      </c>
      <c r="X17" s="1216">
        <f t="shared" si="7"/>
        <v>80.040000000000006</v>
      </c>
      <c r="Y17" s="1216" t="str">
        <f t="shared" si="7"/>
        <v/>
      </c>
      <c r="Z17" s="1216" t="str">
        <f t="shared" si="7"/>
        <v/>
      </c>
      <c r="AA17" s="1216" t="str">
        <f t="shared" si="7"/>
        <v/>
      </c>
      <c r="AB17" s="1217" t="str">
        <f t="shared" si="7"/>
        <v/>
      </c>
      <c r="AC17" s="1216" t="str">
        <f t="shared" si="7"/>
        <v/>
      </c>
      <c r="AD17" s="1218" t="str">
        <f t="shared" si="7"/>
        <v/>
      </c>
      <c r="AE17" s="1219">
        <f t="shared" si="27"/>
        <v>81.010000000000005</v>
      </c>
      <c r="AF17" s="282">
        <f t="shared" si="28"/>
        <v>80.02</v>
      </c>
      <c r="AG17" s="282" t="str">
        <f t="shared" si="29"/>
        <v>cukup</v>
      </c>
      <c r="AH17" s="282" t="str">
        <f t="shared" si="10"/>
        <v>cukup</v>
      </c>
      <c r="AI17" s="282">
        <f t="shared" si="30"/>
        <v>1</v>
      </c>
      <c r="AJ17" s="283">
        <f t="shared" si="31"/>
        <v>2</v>
      </c>
      <c r="AK17" s="284" t="str">
        <f t="shared" si="32"/>
        <v>Memiliki kemampuan cukup dalam mengelompokkan jamur berdasarkan ciri, reproduksi dan peranannya dan mengelompokkan tumbuhan dalam divisio berdasarkan ciri dan peranan</v>
      </c>
      <c r="AL17" s="1494">
        <v>80</v>
      </c>
      <c r="AM17" s="1495">
        <v>80</v>
      </c>
      <c r="AN17" s="1495">
        <v>77</v>
      </c>
      <c r="AO17" s="1495">
        <v>80</v>
      </c>
      <c r="AP17" s="277"/>
      <c r="AQ17" s="277"/>
      <c r="AR17" s="277"/>
      <c r="AS17" s="280"/>
      <c r="AT17" s="277"/>
      <c r="AU17" s="278"/>
      <c r="AV17" s="285">
        <f t="shared" si="33"/>
        <v>79</v>
      </c>
      <c r="AW17" s="296" t="str">
        <f t="shared" si="34"/>
        <v>C</v>
      </c>
      <c r="AX17" s="1220">
        <f t="shared" si="16"/>
        <v>80.010000000000005</v>
      </c>
      <c r="AY17" s="1221">
        <f t="shared" si="16"/>
        <v>80.02</v>
      </c>
      <c r="AZ17" s="1221">
        <f t="shared" si="16"/>
        <v>77.03</v>
      </c>
      <c r="BA17" s="1221">
        <f t="shared" si="16"/>
        <v>80.040000000000006</v>
      </c>
      <c r="BB17" s="1221" t="str">
        <f t="shared" si="16"/>
        <v/>
      </c>
      <c r="BC17" s="1221" t="str">
        <f t="shared" si="16"/>
        <v/>
      </c>
      <c r="BD17" s="1221" t="str">
        <f t="shared" si="16"/>
        <v/>
      </c>
      <c r="BE17" s="1222" t="str">
        <f t="shared" si="16"/>
        <v/>
      </c>
      <c r="BF17" s="1221" t="str">
        <f t="shared" si="16"/>
        <v/>
      </c>
      <c r="BG17" s="1223" t="str">
        <f t="shared" si="16"/>
        <v/>
      </c>
      <c r="BH17" s="286">
        <f t="shared" si="35"/>
        <v>80.040000000000006</v>
      </c>
      <c r="BI17" s="286">
        <f t="shared" si="36"/>
        <v>77.03</v>
      </c>
      <c r="BJ17" s="287" t="str">
        <f t="shared" si="37"/>
        <v>cukup</v>
      </c>
      <c r="BK17" s="287" t="str">
        <f t="shared" si="37"/>
        <v>cukup</v>
      </c>
      <c r="BL17" s="286">
        <f t="shared" si="38"/>
        <v>4</v>
      </c>
      <c r="BM17" s="288">
        <f t="shared" si="39"/>
        <v>3</v>
      </c>
      <c r="BN17" s="289" t="str">
        <f t="shared" si="40"/>
        <v>Memiliki keterampilan cukup dalam menyajikan hasil pengamatan jenis hewan di lingkunagn sekitar dan menjelaskan kelompok hewan berdasarkan ciri, reproduksi dan peran</v>
      </c>
      <c r="BO17" s="67"/>
    </row>
    <row r="18" spans="1:67" ht="33" customHeight="1">
      <c r="A18" s="67"/>
      <c r="B18" s="272">
        <f t="shared" si="23"/>
        <v>5</v>
      </c>
      <c r="C18" s="273">
        <f>IF(Data!F9="","",Data!F9)</f>
        <v>0</v>
      </c>
      <c r="D18" s="274" t="str">
        <f>IF(Data!H9="","",Data!H9)</f>
        <v>Aulya Noviyanti Mbura</v>
      </c>
      <c r="E18" s="275" t="str">
        <f>IF(Data!I9="","",Data!I9)</f>
        <v>P</v>
      </c>
      <c r="F18" s="1494">
        <v>82</v>
      </c>
      <c r="G18" s="1495">
        <v>82</v>
      </c>
      <c r="H18" s="1495">
        <v>80</v>
      </c>
      <c r="I18" s="1495">
        <v>80</v>
      </c>
      <c r="J18" s="277"/>
      <c r="K18" s="277"/>
      <c r="L18" s="277"/>
      <c r="M18" s="280"/>
      <c r="N18" s="277"/>
      <c r="O18" s="278"/>
      <c r="P18" s="279">
        <f t="shared" si="24"/>
        <v>81</v>
      </c>
      <c r="Q18" s="1495">
        <v>80</v>
      </c>
      <c r="R18" s="1498">
        <v>80</v>
      </c>
      <c r="S18" s="281">
        <f t="shared" si="25"/>
        <v>81</v>
      </c>
      <c r="T18" s="295" t="str">
        <f t="shared" si="26"/>
        <v>C</v>
      </c>
      <c r="U18" s="1215">
        <f t="shared" si="7"/>
        <v>82.01</v>
      </c>
      <c r="V18" s="1216">
        <f t="shared" si="7"/>
        <v>82.02</v>
      </c>
      <c r="W18" s="1216">
        <f t="shared" si="7"/>
        <v>80.03</v>
      </c>
      <c r="X18" s="1216">
        <f t="shared" si="7"/>
        <v>80.040000000000006</v>
      </c>
      <c r="Y18" s="1216" t="str">
        <f t="shared" si="7"/>
        <v/>
      </c>
      <c r="Z18" s="1216" t="str">
        <f t="shared" si="7"/>
        <v/>
      </c>
      <c r="AA18" s="1216" t="str">
        <f t="shared" si="7"/>
        <v/>
      </c>
      <c r="AB18" s="1217" t="str">
        <f t="shared" si="7"/>
        <v/>
      </c>
      <c r="AC18" s="1216" t="str">
        <f t="shared" si="7"/>
        <v/>
      </c>
      <c r="AD18" s="1218" t="str">
        <f t="shared" si="7"/>
        <v/>
      </c>
      <c r="AE18" s="1219">
        <f t="shared" si="27"/>
        <v>82.02</v>
      </c>
      <c r="AF18" s="282">
        <f t="shared" si="28"/>
        <v>80.03</v>
      </c>
      <c r="AG18" s="282" t="str">
        <f t="shared" si="29"/>
        <v>cukup</v>
      </c>
      <c r="AH18" s="282" t="str">
        <f t="shared" si="10"/>
        <v>cukup</v>
      </c>
      <c r="AI18" s="282">
        <f t="shared" si="30"/>
        <v>2</v>
      </c>
      <c r="AJ18" s="283">
        <f t="shared" si="31"/>
        <v>3</v>
      </c>
      <c r="AK18" s="284" t="str">
        <f t="shared" si="32"/>
        <v>Memiliki kemampuan cukup dalam mengelompokkan tumbuhan dalam divisio berdasarkan ciri dan peranan dan mengenal berbagai jenis hewan berdasarkan filum</v>
      </c>
      <c r="AL18" s="1494">
        <v>80</v>
      </c>
      <c r="AM18" s="1495">
        <v>82</v>
      </c>
      <c r="AN18" s="1495">
        <v>82</v>
      </c>
      <c r="AO18" s="1495">
        <v>80</v>
      </c>
      <c r="AP18" s="277"/>
      <c r="AQ18" s="277"/>
      <c r="AR18" s="277"/>
      <c r="AS18" s="280"/>
      <c r="AT18" s="277"/>
      <c r="AU18" s="278"/>
      <c r="AV18" s="285">
        <f t="shared" si="33"/>
        <v>81</v>
      </c>
      <c r="AW18" s="296" t="str">
        <f t="shared" si="34"/>
        <v>C</v>
      </c>
      <c r="AX18" s="1220">
        <f t="shared" si="16"/>
        <v>80.010000000000005</v>
      </c>
      <c r="AY18" s="1221">
        <f t="shared" si="16"/>
        <v>82.02</v>
      </c>
      <c r="AZ18" s="1221">
        <f t="shared" si="16"/>
        <v>82.03</v>
      </c>
      <c r="BA18" s="1221">
        <f t="shared" si="16"/>
        <v>80.040000000000006</v>
      </c>
      <c r="BB18" s="1221" t="str">
        <f t="shared" si="16"/>
        <v/>
      </c>
      <c r="BC18" s="1221" t="str">
        <f t="shared" si="16"/>
        <v/>
      </c>
      <c r="BD18" s="1221" t="str">
        <f t="shared" si="16"/>
        <v/>
      </c>
      <c r="BE18" s="1222" t="str">
        <f t="shared" si="16"/>
        <v/>
      </c>
      <c r="BF18" s="1221" t="str">
        <f t="shared" si="16"/>
        <v/>
      </c>
      <c r="BG18" s="1223" t="str">
        <f t="shared" si="16"/>
        <v/>
      </c>
      <c r="BH18" s="286">
        <f t="shared" si="35"/>
        <v>82.03</v>
      </c>
      <c r="BI18" s="286">
        <f t="shared" si="36"/>
        <v>80.010000000000005</v>
      </c>
      <c r="BJ18" s="287" t="str">
        <f t="shared" si="37"/>
        <v>cukup</v>
      </c>
      <c r="BK18" s="287" t="str">
        <f t="shared" si="37"/>
        <v>cukup</v>
      </c>
      <c r="BL18" s="286">
        <f t="shared" si="38"/>
        <v>3</v>
      </c>
      <c r="BM18" s="288">
        <f t="shared" si="39"/>
        <v>1</v>
      </c>
      <c r="BN18" s="289" t="str">
        <f t="shared" si="40"/>
        <v>Memiliki keterampilan cukup dalam menjelaskan kelompok hewan berdasarkan ciri, reproduksi dan peran dan menjelaskan kelompok jamur berdasarkan ciri, reproduksi dan peran</v>
      </c>
      <c r="BO18" s="67"/>
    </row>
    <row r="19" spans="1:67" ht="33" customHeight="1">
      <c r="A19" s="67"/>
      <c r="B19" s="272">
        <f t="shared" si="23"/>
        <v>6</v>
      </c>
      <c r="C19" s="273">
        <f>IF(Data!F10="","",Data!F10)</f>
        <v>0</v>
      </c>
      <c r="D19" s="274" t="str">
        <f>IF(Data!H10="","",Data!H10)</f>
        <v>Ayu Oliberta Ranboki</v>
      </c>
      <c r="E19" s="275" t="str">
        <f>IF(Data!I10="","",Data!I10)</f>
        <v>P</v>
      </c>
      <c r="F19" s="1494">
        <v>82</v>
      </c>
      <c r="G19" s="1495">
        <v>82</v>
      </c>
      <c r="H19" s="1495">
        <v>80</v>
      </c>
      <c r="I19" s="1495">
        <v>80</v>
      </c>
      <c r="J19" s="277"/>
      <c r="K19" s="277"/>
      <c r="L19" s="277"/>
      <c r="M19" s="280"/>
      <c r="N19" s="277"/>
      <c r="O19" s="278"/>
      <c r="P19" s="279">
        <f t="shared" si="24"/>
        <v>81</v>
      </c>
      <c r="Q19" s="1495">
        <v>80</v>
      </c>
      <c r="R19" s="1498">
        <v>79</v>
      </c>
      <c r="S19" s="281">
        <f t="shared" si="25"/>
        <v>80</v>
      </c>
      <c r="T19" s="295" t="str">
        <f t="shared" si="26"/>
        <v>C</v>
      </c>
      <c r="U19" s="1215">
        <f t="shared" si="7"/>
        <v>82.01</v>
      </c>
      <c r="V19" s="1216">
        <f t="shared" si="7"/>
        <v>82.02</v>
      </c>
      <c r="W19" s="1216">
        <f t="shared" si="7"/>
        <v>80.03</v>
      </c>
      <c r="X19" s="1216">
        <f t="shared" si="7"/>
        <v>80.040000000000006</v>
      </c>
      <c r="Y19" s="1216" t="str">
        <f t="shared" si="7"/>
        <v/>
      </c>
      <c r="Z19" s="1216" t="str">
        <f t="shared" si="7"/>
        <v/>
      </c>
      <c r="AA19" s="1216" t="str">
        <f t="shared" si="7"/>
        <v/>
      </c>
      <c r="AB19" s="1217" t="str">
        <f t="shared" si="7"/>
        <v/>
      </c>
      <c r="AC19" s="1216" t="str">
        <f t="shared" si="7"/>
        <v/>
      </c>
      <c r="AD19" s="1218" t="str">
        <f t="shared" si="7"/>
        <v/>
      </c>
      <c r="AE19" s="1219">
        <f t="shared" si="27"/>
        <v>82.02</v>
      </c>
      <c r="AF19" s="282">
        <f t="shared" si="28"/>
        <v>80.03</v>
      </c>
      <c r="AG19" s="282" t="str">
        <f t="shared" si="29"/>
        <v>cukup</v>
      </c>
      <c r="AH19" s="282" t="str">
        <f t="shared" si="10"/>
        <v>cukup</v>
      </c>
      <c r="AI19" s="282">
        <f t="shared" si="30"/>
        <v>2</v>
      </c>
      <c r="AJ19" s="283">
        <f t="shared" si="31"/>
        <v>3</v>
      </c>
      <c r="AK19" s="284" t="str">
        <f t="shared" si="32"/>
        <v>Memiliki kemampuan cukup dalam mengelompokkan tumbuhan dalam divisio berdasarkan ciri dan peranan dan mengenal berbagai jenis hewan berdasarkan filum</v>
      </c>
      <c r="AL19" s="1494">
        <v>80</v>
      </c>
      <c r="AM19" s="1495">
        <v>81</v>
      </c>
      <c r="AN19" s="1495">
        <v>81</v>
      </c>
      <c r="AO19" s="1495">
        <v>80</v>
      </c>
      <c r="AP19" s="277"/>
      <c r="AQ19" s="277"/>
      <c r="AR19" s="277"/>
      <c r="AS19" s="280"/>
      <c r="AT19" s="277"/>
      <c r="AU19" s="278"/>
      <c r="AV19" s="285">
        <f t="shared" si="33"/>
        <v>81</v>
      </c>
      <c r="AW19" s="296" t="str">
        <f t="shared" si="34"/>
        <v>C</v>
      </c>
      <c r="AX19" s="1220">
        <f t="shared" si="16"/>
        <v>80.010000000000005</v>
      </c>
      <c r="AY19" s="1221">
        <f t="shared" si="16"/>
        <v>81.02</v>
      </c>
      <c r="AZ19" s="1221">
        <f t="shared" si="16"/>
        <v>81.03</v>
      </c>
      <c r="BA19" s="1221">
        <f t="shared" si="16"/>
        <v>80.040000000000006</v>
      </c>
      <c r="BB19" s="1221" t="str">
        <f t="shared" si="16"/>
        <v/>
      </c>
      <c r="BC19" s="1221" t="str">
        <f t="shared" si="16"/>
        <v/>
      </c>
      <c r="BD19" s="1221" t="str">
        <f t="shared" si="16"/>
        <v/>
      </c>
      <c r="BE19" s="1222" t="str">
        <f t="shared" si="16"/>
        <v/>
      </c>
      <c r="BF19" s="1221" t="str">
        <f t="shared" si="16"/>
        <v/>
      </c>
      <c r="BG19" s="1223" t="str">
        <f t="shared" si="16"/>
        <v/>
      </c>
      <c r="BH19" s="286">
        <f t="shared" si="35"/>
        <v>81.03</v>
      </c>
      <c r="BI19" s="286">
        <f t="shared" si="36"/>
        <v>80.010000000000005</v>
      </c>
      <c r="BJ19" s="287" t="str">
        <f t="shared" si="37"/>
        <v>cukup</v>
      </c>
      <c r="BK19" s="287" t="str">
        <f t="shared" si="37"/>
        <v>cukup</v>
      </c>
      <c r="BL19" s="286">
        <f t="shared" si="38"/>
        <v>3</v>
      </c>
      <c r="BM19" s="288">
        <f t="shared" si="39"/>
        <v>1</v>
      </c>
      <c r="BN19" s="289" t="str">
        <f t="shared" si="40"/>
        <v>Memiliki keterampilan cukup dalam menjelaskan kelompok hewan berdasarkan ciri, reproduksi dan peran dan menjelaskan kelompok jamur berdasarkan ciri, reproduksi dan peran</v>
      </c>
      <c r="BO19" s="67"/>
    </row>
    <row r="20" spans="1:67" ht="33" customHeight="1">
      <c r="A20" s="67"/>
      <c r="B20" s="272">
        <f t="shared" si="23"/>
        <v>7</v>
      </c>
      <c r="C20" s="273">
        <f>IF(Data!F11="","",Data!F11)</f>
        <v>0</v>
      </c>
      <c r="D20" s="274" t="str">
        <f>IF(Data!H11="","",Data!H11)</f>
        <v>Benediktus Faot</v>
      </c>
      <c r="E20" s="275" t="str">
        <f>IF(Data!I11="","",Data!I11)</f>
        <v>L</v>
      </c>
      <c r="F20" s="1494">
        <v>80</v>
      </c>
      <c r="G20" s="1495">
        <v>79</v>
      </c>
      <c r="H20" s="1495">
        <v>79</v>
      </c>
      <c r="I20" s="1495">
        <v>79</v>
      </c>
      <c r="J20" s="277"/>
      <c r="K20" s="277"/>
      <c r="L20" s="277"/>
      <c r="M20" s="280"/>
      <c r="N20" s="277"/>
      <c r="O20" s="278"/>
      <c r="P20" s="279">
        <f t="shared" si="24"/>
        <v>79</v>
      </c>
      <c r="Q20" s="1495">
        <v>79</v>
      </c>
      <c r="R20" s="1498">
        <v>79</v>
      </c>
      <c r="S20" s="281">
        <f t="shared" si="25"/>
        <v>79</v>
      </c>
      <c r="T20" s="295" t="str">
        <f t="shared" si="26"/>
        <v>C</v>
      </c>
      <c r="U20" s="1215">
        <f t="shared" si="7"/>
        <v>80.010000000000005</v>
      </c>
      <c r="V20" s="1216">
        <f t="shared" si="7"/>
        <v>79.02</v>
      </c>
      <c r="W20" s="1216">
        <f t="shared" si="7"/>
        <v>79.03</v>
      </c>
      <c r="X20" s="1216">
        <f t="shared" si="7"/>
        <v>79.040000000000006</v>
      </c>
      <c r="Y20" s="1216" t="str">
        <f t="shared" si="7"/>
        <v/>
      </c>
      <c r="Z20" s="1216" t="str">
        <f t="shared" si="7"/>
        <v/>
      </c>
      <c r="AA20" s="1216" t="str">
        <f t="shared" si="7"/>
        <v/>
      </c>
      <c r="AB20" s="1217" t="str">
        <f t="shared" si="7"/>
        <v/>
      </c>
      <c r="AC20" s="1216" t="str">
        <f t="shared" si="7"/>
        <v/>
      </c>
      <c r="AD20" s="1218" t="str">
        <f t="shared" si="7"/>
        <v/>
      </c>
      <c r="AE20" s="1219">
        <f t="shared" si="27"/>
        <v>80.010000000000005</v>
      </c>
      <c r="AF20" s="282">
        <f t="shared" si="28"/>
        <v>79.02</v>
      </c>
      <c r="AG20" s="282" t="str">
        <f t="shared" si="29"/>
        <v>cukup</v>
      </c>
      <c r="AH20" s="282" t="str">
        <f t="shared" si="10"/>
        <v>cukup</v>
      </c>
      <c r="AI20" s="282">
        <f t="shared" si="30"/>
        <v>1</v>
      </c>
      <c r="AJ20" s="283">
        <f t="shared" si="31"/>
        <v>2</v>
      </c>
      <c r="AK20" s="284" t="str">
        <f t="shared" si="32"/>
        <v>Memiliki kemampuan cukup dalam mengelompokkan jamur berdasarkan ciri, reproduksi dan peranannya dan mengelompokkan tumbuhan dalam divisio berdasarkan ciri dan peranan</v>
      </c>
      <c r="AL20" s="1494">
        <v>80</v>
      </c>
      <c r="AM20" s="1495">
        <v>79</v>
      </c>
      <c r="AN20" s="1495">
        <v>80</v>
      </c>
      <c r="AO20" s="1495">
        <v>80</v>
      </c>
      <c r="AP20" s="277"/>
      <c r="AQ20" s="277"/>
      <c r="AR20" s="277"/>
      <c r="AS20" s="280"/>
      <c r="AT20" s="277"/>
      <c r="AU20" s="278"/>
      <c r="AV20" s="285">
        <f t="shared" si="33"/>
        <v>80</v>
      </c>
      <c r="AW20" s="296" t="str">
        <f t="shared" si="34"/>
        <v>C</v>
      </c>
      <c r="AX20" s="1220">
        <f t="shared" si="16"/>
        <v>80.010000000000005</v>
      </c>
      <c r="AY20" s="1221">
        <f t="shared" si="16"/>
        <v>79.02</v>
      </c>
      <c r="AZ20" s="1221">
        <f t="shared" si="16"/>
        <v>80.03</v>
      </c>
      <c r="BA20" s="1221">
        <f t="shared" si="16"/>
        <v>80.040000000000006</v>
      </c>
      <c r="BB20" s="1221" t="str">
        <f t="shared" si="16"/>
        <v/>
      </c>
      <c r="BC20" s="1221" t="str">
        <f t="shared" si="16"/>
        <v/>
      </c>
      <c r="BD20" s="1221" t="str">
        <f t="shared" si="16"/>
        <v/>
      </c>
      <c r="BE20" s="1222" t="str">
        <f t="shared" si="16"/>
        <v/>
      </c>
      <c r="BF20" s="1221" t="str">
        <f t="shared" si="16"/>
        <v/>
      </c>
      <c r="BG20" s="1223" t="str">
        <f t="shared" si="16"/>
        <v/>
      </c>
      <c r="BH20" s="286">
        <f t="shared" si="35"/>
        <v>80.040000000000006</v>
      </c>
      <c r="BI20" s="286">
        <f t="shared" si="36"/>
        <v>79.02</v>
      </c>
      <c r="BJ20" s="287" t="str">
        <f t="shared" si="37"/>
        <v>cukup</v>
      </c>
      <c r="BK20" s="287" t="str">
        <f t="shared" si="37"/>
        <v>cukup</v>
      </c>
      <c r="BL20" s="286">
        <f t="shared" si="38"/>
        <v>4</v>
      </c>
      <c r="BM20" s="288">
        <f t="shared" si="39"/>
        <v>2</v>
      </c>
      <c r="BN20" s="289" t="str">
        <f t="shared" si="40"/>
        <v>Memiliki keterampilan cukup dalam menyajikan hasil pengamatan jenis hewan di lingkunagn sekitar dan menemukan jenis tumbuhan berdasarkan divisiso</v>
      </c>
      <c r="BO20" s="67"/>
    </row>
    <row r="21" spans="1:67" ht="33" customHeight="1">
      <c r="A21" s="67"/>
      <c r="B21" s="272">
        <f t="shared" si="23"/>
        <v>8</v>
      </c>
      <c r="C21" s="273">
        <f>IF(Data!F12="","",Data!F12)</f>
        <v>0</v>
      </c>
      <c r="D21" s="274" t="str">
        <f>IF(Data!H12="","",Data!H12)</f>
        <v>Betron Imanuel Kuni</v>
      </c>
      <c r="E21" s="275" t="str">
        <f>IF(Data!I12="","",Data!I12)</f>
        <v>L</v>
      </c>
      <c r="F21" s="1494">
        <v>79</v>
      </c>
      <c r="G21" s="1495">
        <v>77</v>
      </c>
      <c r="H21" s="1495">
        <v>79</v>
      </c>
      <c r="I21" s="1495">
        <v>79</v>
      </c>
      <c r="J21" s="277"/>
      <c r="K21" s="277"/>
      <c r="L21" s="277"/>
      <c r="M21" s="280"/>
      <c r="N21" s="277"/>
      <c r="O21" s="278"/>
      <c r="P21" s="279">
        <f t="shared" si="24"/>
        <v>79</v>
      </c>
      <c r="Q21" s="1495">
        <v>77</v>
      </c>
      <c r="R21" s="1498">
        <v>77</v>
      </c>
      <c r="S21" s="281">
        <f t="shared" si="25"/>
        <v>78</v>
      </c>
      <c r="T21" s="295" t="str">
        <f t="shared" si="26"/>
        <v>C</v>
      </c>
      <c r="U21" s="1215">
        <f t="shared" si="7"/>
        <v>79.010000000000005</v>
      </c>
      <c r="V21" s="1216">
        <f t="shared" si="7"/>
        <v>77.02</v>
      </c>
      <c r="W21" s="1216">
        <f t="shared" si="7"/>
        <v>79.03</v>
      </c>
      <c r="X21" s="1216">
        <f t="shared" si="7"/>
        <v>79.040000000000006</v>
      </c>
      <c r="Y21" s="1216" t="str">
        <f t="shared" si="7"/>
        <v/>
      </c>
      <c r="Z21" s="1216" t="str">
        <f t="shared" si="7"/>
        <v/>
      </c>
      <c r="AA21" s="1216" t="str">
        <f t="shared" si="7"/>
        <v/>
      </c>
      <c r="AB21" s="1217" t="str">
        <f t="shared" si="7"/>
        <v/>
      </c>
      <c r="AC21" s="1216" t="str">
        <f t="shared" si="7"/>
        <v/>
      </c>
      <c r="AD21" s="1218" t="str">
        <f t="shared" si="7"/>
        <v/>
      </c>
      <c r="AE21" s="1219">
        <f t="shared" si="27"/>
        <v>79.040000000000006</v>
      </c>
      <c r="AF21" s="282">
        <f t="shared" si="28"/>
        <v>77.02</v>
      </c>
      <c r="AG21" s="282" t="str">
        <f t="shared" si="29"/>
        <v>cukup</v>
      </c>
      <c r="AH21" s="282" t="str">
        <f t="shared" si="10"/>
        <v>cukup</v>
      </c>
      <c r="AI21" s="282">
        <f t="shared" si="30"/>
        <v>4</v>
      </c>
      <c r="AJ21" s="283">
        <f t="shared" si="31"/>
        <v>2</v>
      </c>
      <c r="AK21" s="284" t="str">
        <f t="shared" si="32"/>
        <v>Memiliki kemampuan cukup dalam menyajikan hasil pengamatan dari berbagai jenis hewan di lingkungan dan mengelompokkan tumbuhan dalam divisio berdasarkan ciri dan peranan</v>
      </c>
      <c r="AL21" s="1494">
        <v>75</v>
      </c>
      <c r="AM21" s="1495">
        <v>77</v>
      </c>
      <c r="AN21" s="1495">
        <v>70</v>
      </c>
      <c r="AO21" s="1495">
        <v>70</v>
      </c>
      <c r="AP21" s="277"/>
      <c r="AQ21" s="277"/>
      <c r="AR21" s="277"/>
      <c r="AS21" s="280"/>
      <c r="AT21" s="277"/>
      <c r="AU21" s="278"/>
      <c r="AV21" s="285">
        <f t="shared" si="33"/>
        <v>73</v>
      </c>
      <c r="AW21" s="296" t="str">
        <f t="shared" si="34"/>
        <v>D</v>
      </c>
      <c r="AX21" s="1220">
        <f t="shared" si="16"/>
        <v>75.010000000000005</v>
      </c>
      <c r="AY21" s="1221">
        <f t="shared" si="16"/>
        <v>77.02</v>
      </c>
      <c r="AZ21" s="1221">
        <f t="shared" si="16"/>
        <v>70.03</v>
      </c>
      <c r="BA21" s="1221">
        <f t="shared" si="16"/>
        <v>70.040000000000006</v>
      </c>
      <c r="BB21" s="1221" t="str">
        <f t="shared" si="16"/>
        <v/>
      </c>
      <c r="BC21" s="1221" t="str">
        <f t="shared" si="16"/>
        <v/>
      </c>
      <c r="BD21" s="1221" t="str">
        <f t="shared" si="16"/>
        <v/>
      </c>
      <c r="BE21" s="1222" t="str">
        <f t="shared" si="16"/>
        <v/>
      </c>
      <c r="BF21" s="1221" t="str">
        <f t="shared" si="16"/>
        <v/>
      </c>
      <c r="BG21" s="1223" t="str">
        <f t="shared" si="16"/>
        <v/>
      </c>
      <c r="BH21" s="286">
        <f t="shared" si="35"/>
        <v>77.02</v>
      </c>
      <c r="BI21" s="286">
        <f t="shared" si="36"/>
        <v>70.03</v>
      </c>
      <c r="BJ21" s="287" t="str">
        <f t="shared" si="37"/>
        <v>cukup</v>
      </c>
      <c r="BK21" s="287" t="str">
        <f t="shared" si="37"/>
        <v>perlu dimaksimalkan</v>
      </c>
      <c r="BL21" s="286">
        <f t="shared" si="38"/>
        <v>2</v>
      </c>
      <c r="BM21" s="288">
        <f t="shared" si="39"/>
        <v>3</v>
      </c>
      <c r="BN21" s="289" t="str">
        <f t="shared" si="40"/>
        <v>Memiliki keterampilan cukup dalam menemukan jenis tumbuhan berdasarkan divisiso, perlu dimaksimalkan keterampilan dalam menjelaskan kelompok hewan berdasarkan ciri, reproduksi dan peran</v>
      </c>
      <c r="BO21" s="67"/>
    </row>
    <row r="22" spans="1:67" ht="33" customHeight="1">
      <c r="A22" s="67"/>
      <c r="B22" s="272">
        <f t="shared" si="23"/>
        <v>9</v>
      </c>
      <c r="C22" s="273">
        <f>IF(Data!F13="","",Data!F13)</f>
        <v>0</v>
      </c>
      <c r="D22" s="274" t="str">
        <f>IF(Data!H13="","",Data!H13)</f>
        <v>Demrianus Ton</v>
      </c>
      <c r="E22" s="275" t="str">
        <f>IF(Data!I13="","",Data!I13)</f>
        <v>L</v>
      </c>
      <c r="F22" s="1494">
        <v>75</v>
      </c>
      <c r="G22" s="1495">
        <v>75</v>
      </c>
      <c r="H22" s="1495">
        <v>72</v>
      </c>
      <c r="I22" s="1495">
        <v>72</v>
      </c>
      <c r="J22" s="277"/>
      <c r="K22" s="277"/>
      <c r="L22" s="277"/>
      <c r="M22" s="280"/>
      <c r="N22" s="277"/>
      <c r="O22" s="278"/>
      <c r="P22" s="279">
        <f t="shared" si="24"/>
        <v>74</v>
      </c>
      <c r="Q22" s="1495">
        <v>75</v>
      </c>
      <c r="R22" s="1498">
        <v>77</v>
      </c>
      <c r="S22" s="281">
        <f t="shared" si="25"/>
        <v>75</v>
      </c>
      <c r="T22" s="295" t="str">
        <f t="shared" si="26"/>
        <v>D</v>
      </c>
      <c r="U22" s="1215">
        <f t="shared" si="7"/>
        <v>75.010000000000005</v>
      </c>
      <c r="V22" s="1216">
        <f t="shared" si="7"/>
        <v>75.02</v>
      </c>
      <c r="W22" s="1216">
        <f t="shared" si="7"/>
        <v>72.03</v>
      </c>
      <c r="X22" s="1216">
        <f t="shared" si="7"/>
        <v>72.040000000000006</v>
      </c>
      <c r="Y22" s="1216" t="str">
        <f t="shared" si="7"/>
        <v/>
      </c>
      <c r="Z22" s="1216" t="str">
        <f t="shared" si="7"/>
        <v/>
      </c>
      <c r="AA22" s="1216" t="str">
        <f t="shared" si="7"/>
        <v/>
      </c>
      <c r="AB22" s="1217" t="str">
        <f t="shared" si="7"/>
        <v/>
      </c>
      <c r="AC22" s="1216" t="str">
        <f t="shared" si="7"/>
        <v/>
      </c>
      <c r="AD22" s="1218" t="str">
        <f t="shared" si="7"/>
        <v/>
      </c>
      <c r="AE22" s="1219">
        <f t="shared" si="27"/>
        <v>75.02</v>
      </c>
      <c r="AF22" s="282">
        <f t="shared" si="28"/>
        <v>72.03</v>
      </c>
      <c r="AG22" s="282" t="str">
        <f t="shared" si="29"/>
        <v>perlu dimaksimalkan</v>
      </c>
      <c r="AH22" s="282" t="str">
        <f t="shared" si="10"/>
        <v>perlu dimaksimalkan</v>
      </c>
      <c r="AI22" s="282">
        <f t="shared" si="30"/>
        <v>2</v>
      </c>
      <c r="AJ22" s="283">
        <f t="shared" si="31"/>
        <v>3</v>
      </c>
      <c r="AK22" s="284" t="str">
        <f t="shared" si="32"/>
        <v>Memiliki kemampuan perlu dimaksimalkan dalam mengelompokkan tumbuhan dalam divisio berdasarkan ciri dan peranan dan mengenal berbagai jenis hewan berdasarkan filum</v>
      </c>
      <c r="AL22" s="1494">
        <v>70</v>
      </c>
      <c r="AM22" s="1495">
        <v>70</v>
      </c>
      <c r="AN22" s="1495">
        <v>65</v>
      </c>
      <c r="AO22" s="1495">
        <v>65</v>
      </c>
      <c r="AP22" s="277"/>
      <c r="AQ22" s="277"/>
      <c r="AR22" s="277"/>
      <c r="AS22" s="280"/>
      <c r="AT22" s="277"/>
      <c r="AU22" s="278"/>
      <c r="AV22" s="285">
        <f t="shared" si="33"/>
        <v>68</v>
      </c>
      <c r="AW22" s="296" t="str">
        <f t="shared" si="34"/>
        <v>D</v>
      </c>
      <c r="AX22" s="1220">
        <f t="shared" si="16"/>
        <v>70.010000000000005</v>
      </c>
      <c r="AY22" s="1221">
        <f t="shared" si="16"/>
        <v>70.02</v>
      </c>
      <c r="AZ22" s="1221">
        <f t="shared" si="16"/>
        <v>65.03</v>
      </c>
      <c r="BA22" s="1221">
        <f t="shared" si="16"/>
        <v>65.040000000000006</v>
      </c>
      <c r="BB22" s="1221" t="str">
        <f t="shared" si="16"/>
        <v/>
      </c>
      <c r="BC22" s="1221" t="str">
        <f t="shared" si="16"/>
        <v/>
      </c>
      <c r="BD22" s="1221" t="str">
        <f t="shared" si="16"/>
        <v/>
      </c>
      <c r="BE22" s="1222" t="str">
        <f t="shared" si="16"/>
        <v/>
      </c>
      <c r="BF22" s="1221" t="str">
        <f t="shared" si="16"/>
        <v/>
      </c>
      <c r="BG22" s="1223" t="str">
        <f t="shared" si="16"/>
        <v/>
      </c>
      <c r="BH22" s="286">
        <f t="shared" si="35"/>
        <v>70.02</v>
      </c>
      <c r="BI22" s="286">
        <f t="shared" si="36"/>
        <v>65.03</v>
      </c>
      <c r="BJ22" s="287" t="str">
        <f t="shared" si="37"/>
        <v>perlu dimaksimalkan</v>
      </c>
      <c r="BK22" s="287" t="str">
        <f t="shared" si="37"/>
        <v>perlu dimaksimalkan</v>
      </c>
      <c r="BL22" s="286">
        <f t="shared" si="38"/>
        <v>2</v>
      </c>
      <c r="BM22" s="288">
        <f t="shared" si="39"/>
        <v>3</v>
      </c>
      <c r="BN22" s="289" t="str">
        <f t="shared" si="40"/>
        <v>Memiliki keterampilan perlu dimaksimalkan dalam menemukan jenis tumbuhan berdasarkan divisiso dan menjelaskan kelompok hewan berdasarkan ciri, reproduksi dan peran</v>
      </c>
      <c r="BO22" s="67"/>
    </row>
    <row r="23" spans="1:67" ht="33" customHeight="1">
      <c r="A23" s="67"/>
      <c r="B23" s="272">
        <f t="shared" si="23"/>
        <v>10</v>
      </c>
      <c r="C23" s="273">
        <f>IF(Data!F14="","",Data!F14)</f>
        <v>0</v>
      </c>
      <c r="D23" s="274" t="str">
        <f>IF(Data!H14="","",Data!H14)</f>
        <v>Desti Manggoa</v>
      </c>
      <c r="E23" s="275" t="str">
        <f>IF(Data!I14="","",Data!I14)</f>
        <v>P</v>
      </c>
      <c r="F23" s="1494">
        <v>80</v>
      </c>
      <c r="G23" s="1495">
        <v>80</v>
      </c>
      <c r="H23" s="1495">
        <v>79</v>
      </c>
      <c r="I23" s="1495">
        <v>79</v>
      </c>
      <c r="J23" s="277"/>
      <c r="K23" s="277"/>
      <c r="L23" s="277"/>
      <c r="M23" s="280"/>
      <c r="N23" s="277"/>
      <c r="O23" s="278"/>
      <c r="P23" s="279">
        <f t="shared" si="24"/>
        <v>80</v>
      </c>
      <c r="Q23" s="1495">
        <v>77</v>
      </c>
      <c r="R23" s="1498">
        <v>79</v>
      </c>
      <c r="S23" s="281">
        <f t="shared" si="25"/>
        <v>79</v>
      </c>
      <c r="T23" s="295" t="str">
        <f t="shared" si="26"/>
        <v>C</v>
      </c>
      <c r="U23" s="1215">
        <f t="shared" si="7"/>
        <v>80.010000000000005</v>
      </c>
      <c r="V23" s="1216">
        <f t="shared" si="7"/>
        <v>80.02</v>
      </c>
      <c r="W23" s="1216">
        <f t="shared" si="7"/>
        <v>79.03</v>
      </c>
      <c r="X23" s="1216">
        <f t="shared" si="7"/>
        <v>79.040000000000006</v>
      </c>
      <c r="Y23" s="1216" t="str">
        <f t="shared" si="7"/>
        <v/>
      </c>
      <c r="Z23" s="1216" t="str">
        <f t="shared" si="7"/>
        <v/>
      </c>
      <c r="AA23" s="1216" t="str">
        <f t="shared" si="7"/>
        <v/>
      </c>
      <c r="AB23" s="1217" t="str">
        <f t="shared" si="7"/>
        <v/>
      </c>
      <c r="AC23" s="1216" t="str">
        <f t="shared" si="7"/>
        <v/>
      </c>
      <c r="AD23" s="1218" t="str">
        <f t="shared" si="7"/>
        <v/>
      </c>
      <c r="AE23" s="1219">
        <f t="shared" si="27"/>
        <v>80.02</v>
      </c>
      <c r="AF23" s="282">
        <f t="shared" si="28"/>
        <v>79.03</v>
      </c>
      <c r="AG23" s="282" t="str">
        <f t="shared" si="29"/>
        <v>cukup</v>
      </c>
      <c r="AH23" s="282" t="str">
        <f t="shared" si="10"/>
        <v>cukup</v>
      </c>
      <c r="AI23" s="282">
        <f t="shared" si="30"/>
        <v>2</v>
      </c>
      <c r="AJ23" s="283">
        <f t="shared" si="31"/>
        <v>3</v>
      </c>
      <c r="AK23" s="284" t="str">
        <f t="shared" si="32"/>
        <v>Memiliki kemampuan cukup dalam mengelompokkan tumbuhan dalam divisio berdasarkan ciri dan peranan dan mengenal berbagai jenis hewan berdasarkan filum</v>
      </c>
      <c r="AL23" s="1494">
        <v>79</v>
      </c>
      <c r="AM23" s="1495">
        <v>77</v>
      </c>
      <c r="AN23" s="1495">
        <v>77</v>
      </c>
      <c r="AO23" s="1495">
        <v>79</v>
      </c>
      <c r="AP23" s="277"/>
      <c r="AQ23" s="277"/>
      <c r="AR23" s="277"/>
      <c r="AS23" s="280"/>
      <c r="AT23" s="277"/>
      <c r="AU23" s="278"/>
      <c r="AV23" s="285">
        <f t="shared" si="33"/>
        <v>78</v>
      </c>
      <c r="AW23" s="296" t="str">
        <f t="shared" si="34"/>
        <v>C</v>
      </c>
      <c r="AX23" s="1220">
        <f t="shared" si="16"/>
        <v>79.010000000000005</v>
      </c>
      <c r="AY23" s="1221">
        <f t="shared" si="16"/>
        <v>77.02</v>
      </c>
      <c r="AZ23" s="1221">
        <f t="shared" si="16"/>
        <v>77.03</v>
      </c>
      <c r="BA23" s="1221">
        <f t="shared" si="16"/>
        <v>79.040000000000006</v>
      </c>
      <c r="BB23" s="1221" t="str">
        <f t="shared" si="16"/>
        <v/>
      </c>
      <c r="BC23" s="1221" t="str">
        <f t="shared" si="16"/>
        <v/>
      </c>
      <c r="BD23" s="1221" t="str">
        <f t="shared" si="16"/>
        <v/>
      </c>
      <c r="BE23" s="1222" t="str">
        <f t="shared" si="16"/>
        <v/>
      </c>
      <c r="BF23" s="1221" t="str">
        <f t="shared" si="16"/>
        <v/>
      </c>
      <c r="BG23" s="1223" t="str">
        <f t="shared" si="16"/>
        <v/>
      </c>
      <c r="BH23" s="286">
        <f t="shared" si="35"/>
        <v>79.040000000000006</v>
      </c>
      <c r="BI23" s="286">
        <f t="shared" si="36"/>
        <v>77.02</v>
      </c>
      <c r="BJ23" s="287" t="str">
        <f t="shared" si="37"/>
        <v>cukup</v>
      </c>
      <c r="BK23" s="287" t="str">
        <f t="shared" si="37"/>
        <v>cukup</v>
      </c>
      <c r="BL23" s="286">
        <f t="shared" si="38"/>
        <v>4</v>
      </c>
      <c r="BM23" s="288">
        <f t="shared" si="39"/>
        <v>2</v>
      </c>
      <c r="BN23" s="289" t="str">
        <f t="shared" si="40"/>
        <v>Memiliki keterampilan cukup dalam menyajikan hasil pengamatan jenis hewan di lingkunagn sekitar dan menemukan jenis tumbuhan berdasarkan divisiso</v>
      </c>
      <c r="BO23" s="67"/>
    </row>
    <row r="24" spans="1:67" ht="33" customHeight="1">
      <c r="A24" s="67"/>
      <c r="B24" s="272">
        <f t="shared" si="23"/>
        <v>11</v>
      </c>
      <c r="C24" s="273">
        <f>IF(Data!F15="","",Data!F15)</f>
        <v>0</v>
      </c>
      <c r="D24" s="274" t="str">
        <f>IF(Data!H15="","",Data!H15)</f>
        <v>Dorkas Meliana Talita Kesnay</v>
      </c>
      <c r="E24" s="275" t="str">
        <f>IF(Data!I15="","",Data!I15)</f>
        <v>P</v>
      </c>
      <c r="F24" s="1494">
        <v>79</v>
      </c>
      <c r="G24" s="1495">
        <v>79</v>
      </c>
      <c r="H24" s="1495">
        <v>80</v>
      </c>
      <c r="I24" s="1495">
        <v>79</v>
      </c>
      <c r="J24" s="277"/>
      <c r="K24" s="277"/>
      <c r="L24" s="277"/>
      <c r="M24" s="280"/>
      <c r="N24" s="277"/>
      <c r="O24" s="278"/>
      <c r="P24" s="279">
        <f t="shared" si="24"/>
        <v>79</v>
      </c>
      <c r="Q24" s="1495">
        <v>79</v>
      </c>
      <c r="R24" s="1498">
        <v>79</v>
      </c>
      <c r="S24" s="281">
        <f t="shared" si="25"/>
        <v>79</v>
      </c>
      <c r="T24" s="295" t="str">
        <f t="shared" si="26"/>
        <v>C</v>
      </c>
      <c r="U24" s="1215">
        <f t="shared" si="7"/>
        <v>79.010000000000005</v>
      </c>
      <c r="V24" s="1216">
        <f t="shared" si="7"/>
        <v>79.02</v>
      </c>
      <c r="W24" s="1216">
        <f t="shared" si="7"/>
        <v>80.03</v>
      </c>
      <c r="X24" s="1216">
        <f t="shared" si="7"/>
        <v>79.040000000000006</v>
      </c>
      <c r="Y24" s="1216" t="str">
        <f t="shared" si="7"/>
        <v/>
      </c>
      <c r="Z24" s="1216" t="str">
        <f t="shared" si="7"/>
        <v/>
      </c>
      <c r="AA24" s="1216" t="str">
        <f t="shared" si="7"/>
        <v/>
      </c>
      <c r="AB24" s="1217" t="str">
        <f t="shared" si="7"/>
        <v/>
      </c>
      <c r="AC24" s="1216" t="str">
        <f t="shared" si="7"/>
        <v/>
      </c>
      <c r="AD24" s="1218" t="str">
        <f t="shared" si="7"/>
        <v/>
      </c>
      <c r="AE24" s="1219">
        <f t="shared" si="27"/>
        <v>80.03</v>
      </c>
      <c r="AF24" s="282">
        <f t="shared" si="28"/>
        <v>79.010000000000005</v>
      </c>
      <c r="AG24" s="282" t="str">
        <f t="shared" si="29"/>
        <v>cukup</v>
      </c>
      <c r="AH24" s="282" t="str">
        <f t="shared" si="10"/>
        <v>cukup</v>
      </c>
      <c r="AI24" s="282">
        <f t="shared" si="30"/>
        <v>3</v>
      </c>
      <c r="AJ24" s="283">
        <f t="shared" si="31"/>
        <v>1</v>
      </c>
      <c r="AK24" s="284" t="str">
        <f t="shared" si="32"/>
        <v>Memiliki kemampuan cukup dalam mengenal berbagai jenis hewan berdasarkan filum dan mengelompokkan jamur berdasarkan ciri, reproduksi dan peranannya</v>
      </c>
      <c r="AL24" s="1494">
        <v>80</v>
      </c>
      <c r="AM24" s="1495">
        <v>77</v>
      </c>
      <c r="AN24" s="1495">
        <v>79</v>
      </c>
      <c r="AO24" s="1495">
        <v>79</v>
      </c>
      <c r="AP24" s="277"/>
      <c r="AQ24" s="277"/>
      <c r="AR24" s="277"/>
      <c r="AS24" s="280"/>
      <c r="AT24" s="277"/>
      <c r="AU24" s="278"/>
      <c r="AV24" s="285">
        <f t="shared" si="33"/>
        <v>79</v>
      </c>
      <c r="AW24" s="296" t="str">
        <f t="shared" si="34"/>
        <v>C</v>
      </c>
      <c r="AX24" s="1220">
        <f t="shared" si="16"/>
        <v>80.010000000000005</v>
      </c>
      <c r="AY24" s="1221">
        <f t="shared" si="16"/>
        <v>77.02</v>
      </c>
      <c r="AZ24" s="1221">
        <f t="shared" si="16"/>
        <v>79.03</v>
      </c>
      <c r="BA24" s="1221">
        <f t="shared" si="16"/>
        <v>79.040000000000006</v>
      </c>
      <c r="BB24" s="1221" t="str">
        <f t="shared" si="16"/>
        <v/>
      </c>
      <c r="BC24" s="1221" t="str">
        <f t="shared" si="16"/>
        <v/>
      </c>
      <c r="BD24" s="1221" t="str">
        <f t="shared" si="16"/>
        <v/>
      </c>
      <c r="BE24" s="1222" t="str">
        <f t="shared" si="16"/>
        <v/>
      </c>
      <c r="BF24" s="1221" t="str">
        <f t="shared" si="16"/>
        <v/>
      </c>
      <c r="BG24" s="1223" t="str">
        <f t="shared" si="16"/>
        <v/>
      </c>
      <c r="BH24" s="286">
        <f t="shared" si="35"/>
        <v>80.010000000000005</v>
      </c>
      <c r="BI24" s="286">
        <f t="shared" si="36"/>
        <v>77.02</v>
      </c>
      <c r="BJ24" s="287" t="str">
        <f t="shared" si="37"/>
        <v>cukup</v>
      </c>
      <c r="BK24" s="287" t="str">
        <f t="shared" si="37"/>
        <v>cukup</v>
      </c>
      <c r="BL24" s="286">
        <f t="shared" si="38"/>
        <v>1</v>
      </c>
      <c r="BM24" s="288">
        <f t="shared" si="39"/>
        <v>2</v>
      </c>
      <c r="BN24" s="289" t="str">
        <f t="shared" si="40"/>
        <v>Memiliki keterampilan cukup dalam menjelaskan kelompok jamur berdasarkan ciri, reproduksi dan peran dan menemukan jenis tumbuhan berdasarkan divisiso</v>
      </c>
      <c r="BO24" s="67"/>
    </row>
    <row r="25" spans="1:67" ht="33" customHeight="1">
      <c r="A25" s="67"/>
      <c r="B25" s="272">
        <f t="shared" si="23"/>
        <v>12</v>
      </c>
      <c r="C25" s="273">
        <f>IF(Data!F16="","",Data!F16)</f>
        <v>0</v>
      </c>
      <c r="D25" s="274" t="str">
        <f>IF(Data!H16="","",Data!H16)</f>
        <v>Erto Seprianto Leukune</v>
      </c>
      <c r="E25" s="275" t="str">
        <f>IF(Data!I16="","",Data!I16)</f>
        <v>L</v>
      </c>
      <c r="F25" s="1494">
        <v>77</v>
      </c>
      <c r="G25" s="1495">
        <v>77</v>
      </c>
      <c r="H25" s="1495">
        <v>79</v>
      </c>
      <c r="I25" s="1495">
        <v>77</v>
      </c>
      <c r="J25" s="277"/>
      <c r="K25" s="277"/>
      <c r="L25" s="277"/>
      <c r="M25" s="280"/>
      <c r="N25" s="277"/>
      <c r="O25" s="278"/>
      <c r="P25" s="279">
        <f t="shared" si="24"/>
        <v>78</v>
      </c>
      <c r="Q25" s="1495">
        <v>79</v>
      </c>
      <c r="R25" s="1498">
        <v>79</v>
      </c>
      <c r="S25" s="281">
        <f t="shared" si="25"/>
        <v>79</v>
      </c>
      <c r="T25" s="295" t="str">
        <f t="shared" si="26"/>
        <v>C</v>
      </c>
      <c r="U25" s="1215">
        <f t="shared" si="7"/>
        <v>77.010000000000005</v>
      </c>
      <c r="V25" s="1216">
        <f t="shared" si="7"/>
        <v>77.02</v>
      </c>
      <c r="W25" s="1216">
        <f t="shared" si="7"/>
        <v>79.03</v>
      </c>
      <c r="X25" s="1216">
        <f t="shared" si="7"/>
        <v>77.040000000000006</v>
      </c>
      <c r="Y25" s="1216" t="str">
        <f t="shared" si="7"/>
        <v/>
      </c>
      <c r="Z25" s="1216" t="str">
        <f t="shared" si="7"/>
        <v/>
      </c>
      <c r="AA25" s="1216" t="str">
        <f t="shared" si="7"/>
        <v/>
      </c>
      <c r="AB25" s="1217" t="str">
        <f t="shared" si="7"/>
        <v/>
      </c>
      <c r="AC25" s="1216" t="str">
        <f t="shared" si="7"/>
        <v/>
      </c>
      <c r="AD25" s="1218" t="str">
        <f t="shared" si="7"/>
        <v/>
      </c>
      <c r="AE25" s="1219">
        <f t="shared" si="27"/>
        <v>79.03</v>
      </c>
      <c r="AF25" s="282">
        <f t="shared" si="28"/>
        <v>77.010000000000005</v>
      </c>
      <c r="AG25" s="282" t="str">
        <f t="shared" si="29"/>
        <v>cukup</v>
      </c>
      <c r="AH25" s="282" t="str">
        <f t="shared" si="10"/>
        <v>cukup</v>
      </c>
      <c r="AI25" s="282">
        <f t="shared" si="30"/>
        <v>3</v>
      </c>
      <c r="AJ25" s="283">
        <f t="shared" si="31"/>
        <v>1</v>
      </c>
      <c r="AK25" s="284" t="str">
        <f t="shared" si="32"/>
        <v>Memiliki kemampuan cukup dalam mengenal berbagai jenis hewan berdasarkan filum dan mengelompokkan jamur berdasarkan ciri, reproduksi dan peranannya</v>
      </c>
      <c r="AL25" s="1494">
        <v>77</v>
      </c>
      <c r="AM25" s="1495">
        <v>77</v>
      </c>
      <c r="AN25" s="1495">
        <v>79</v>
      </c>
      <c r="AO25" s="1495">
        <v>77</v>
      </c>
      <c r="AP25" s="277"/>
      <c r="AQ25" s="277"/>
      <c r="AR25" s="277"/>
      <c r="AS25" s="280"/>
      <c r="AT25" s="277"/>
      <c r="AU25" s="278"/>
      <c r="AV25" s="285">
        <f t="shared" si="33"/>
        <v>78</v>
      </c>
      <c r="AW25" s="296" t="str">
        <f t="shared" si="34"/>
        <v>C</v>
      </c>
      <c r="AX25" s="1220">
        <f t="shared" si="16"/>
        <v>77.010000000000005</v>
      </c>
      <c r="AY25" s="1221">
        <f t="shared" si="16"/>
        <v>77.02</v>
      </c>
      <c r="AZ25" s="1221">
        <f t="shared" si="16"/>
        <v>79.03</v>
      </c>
      <c r="BA25" s="1221">
        <f t="shared" si="16"/>
        <v>77.040000000000006</v>
      </c>
      <c r="BB25" s="1221" t="str">
        <f t="shared" si="16"/>
        <v/>
      </c>
      <c r="BC25" s="1221" t="str">
        <f t="shared" si="16"/>
        <v/>
      </c>
      <c r="BD25" s="1221" t="str">
        <f t="shared" si="16"/>
        <v/>
      </c>
      <c r="BE25" s="1222" t="str">
        <f t="shared" si="16"/>
        <v/>
      </c>
      <c r="BF25" s="1221" t="str">
        <f t="shared" si="16"/>
        <v/>
      </c>
      <c r="BG25" s="1223" t="str">
        <f t="shared" si="16"/>
        <v/>
      </c>
      <c r="BH25" s="286">
        <f t="shared" si="35"/>
        <v>79.03</v>
      </c>
      <c r="BI25" s="286">
        <f t="shared" si="36"/>
        <v>77.010000000000005</v>
      </c>
      <c r="BJ25" s="287" t="str">
        <f t="shared" si="37"/>
        <v>cukup</v>
      </c>
      <c r="BK25" s="287" t="str">
        <f t="shared" si="37"/>
        <v>cukup</v>
      </c>
      <c r="BL25" s="286">
        <f t="shared" si="38"/>
        <v>3</v>
      </c>
      <c r="BM25" s="288">
        <f t="shared" si="39"/>
        <v>1</v>
      </c>
      <c r="BN25" s="289" t="str">
        <f t="shared" si="40"/>
        <v>Memiliki keterampilan cukup dalam menjelaskan kelompok hewan berdasarkan ciri, reproduksi dan peran dan menjelaskan kelompok jamur berdasarkan ciri, reproduksi dan peran</v>
      </c>
      <c r="BO25" s="67"/>
    </row>
    <row r="26" spans="1:67" ht="33" customHeight="1">
      <c r="A26" s="67"/>
      <c r="B26" s="272">
        <f t="shared" si="23"/>
        <v>13</v>
      </c>
      <c r="C26" s="273">
        <f>IF(Data!F17="","",Data!F17)</f>
        <v>0</v>
      </c>
      <c r="D26" s="274" t="str">
        <f>IF(Data!H17="","",Data!H17)</f>
        <v>Feli Tipnoni</v>
      </c>
      <c r="E26" s="275" t="str">
        <f>IF(Data!I17="","",Data!I17)</f>
        <v>P</v>
      </c>
      <c r="F26" s="1494">
        <v>80</v>
      </c>
      <c r="G26" s="1495">
        <v>77</v>
      </c>
      <c r="H26" s="1495">
        <v>79</v>
      </c>
      <c r="I26" s="1495">
        <v>79</v>
      </c>
      <c r="J26" s="277"/>
      <c r="K26" s="277"/>
      <c r="L26" s="277"/>
      <c r="M26" s="280"/>
      <c r="N26" s="277"/>
      <c r="O26" s="278"/>
      <c r="P26" s="279">
        <f t="shared" si="24"/>
        <v>79</v>
      </c>
      <c r="Q26" s="1495">
        <v>77</v>
      </c>
      <c r="R26" s="1498">
        <v>77</v>
      </c>
      <c r="S26" s="281">
        <f t="shared" si="25"/>
        <v>78</v>
      </c>
      <c r="T26" s="295" t="str">
        <f t="shared" si="26"/>
        <v>C</v>
      </c>
      <c r="U26" s="1215">
        <f t="shared" si="7"/>
        <v>80.010000000000005</v>
      </c>
      <c r="V26" s="1216">
        <f t="shared" si="7"/>
        <v>77.02</v>
      </c>
      <c r="W26" s="1216">
        <f t="shared" si="7"/>
        <v>79.03</v>
      </c>
      <c r="X26" s="1216">
        <f t="shared" si="7"/>
        <v>79.040000000000006</v>
      </c>
      <c r="Y26" s="1216" t="str">
        <f t="shared" si="7"/>
        <v/>
      </c>
      <c r="Z26" s="1216" t="str">
        <f t="shared" si="7"/>
        <v/>
      </c>
      <c r="AA26" s="1216" t="str">
        <f t="shared" si="7"/>
        <v/>
      </c>
      <c r="AB26" s="1217" t="str">
        <f t="shared" si="7"/>
        <v/>
      </c>
      <c r="AC26" s="1216" t="str">
        <f t="shared" si="7"/>
        <v/>
      </c>
      <c r="AD26" s="1218" t="str">
        <f t="shared" si="7"/>
        <v/>
      </c>
      <c r="AE26" s="1219">
        <f t="shared" si="27"/>
        <v>80.010000000000005</v>
      </c>
      <c r="AF26" s="282">
        <f t="shared" si="28"/>
        <v>77.02</v>
      </c>
      <c r="AG26" s="282" t="str">
        <f t="shared" si="29"/>
        <v>cukup</v>
      </c>
      <c r="AH26" s="282" t="str">
        <f t="shared" si="10"/>
        <v>cukup</v>
      </c>
      <c r="AI26" s="282">
        <f t="shared" si="30"/>
        <v>1</v>
      </c>
      <c r="AJ26" s="283">
        <f t="shared" si="31"/>
        <v>2</v>
      </c>
      <c r="AK26" s="284" t="str">
        <f t="shared" si="32"/>
        <v>Memiliki kemampuan cukup dalam mengelompokkan jamur berdasarkan ciri, reproduksi dan peranannya dan mengelompokkan tumbuhan dalam divisio berdasarkan ciri dan peranan</v>
      </c>
      <c r="AL26" s="1494">
        <v>79</v>
      </c>
      <c r="AM26" s="1495">
        <v>80</v>
      </c>
      <c r="AN26" s="1495">
        <v>79</v>
      </c>
      <c r="AO26" s="1495">
        <v>77</v>
      </c>
      <c r="AP26" s="277"/>
      <c r="AQ26" s="277"/>
      <c r="AR26" s="277"/>
      <c r="AS26" s="280"/>
      <c r="AT26" s="277"/>
      <c r="AU26" s="278"/>
      <c r="AV26" s="285">
        <f t="shared" si="33"/>
        <v>79</v>
      </c>
      <c r="AW26" s="296" t="str">
        <f t="shared" si="34"/>
        <v>C</v>
      </c>
      <c r="AX26" s="1220">
        <f t="shared" si="16"/>
        <v>79.010000000000005</v>
      </c>
      <c r="AY26" s="1221">
        <f t="shared" si="16"/>
        <v>80.02</v>
      </c>
      <c r="AZ26" s="1221">
        <f t="shared" si="16"/>
        <v>79.03</v>
      </c>
      <c r="BA26" s="1221">
        <f t="shared" si="16"/>
        <v>77.040000000000006</v>
      </c>
      <c r="BB26" s="1221" t="str">
        <f t="shared" si="16"/>
        <v/>
      </c>
      <c r="BC26" s="1221" t="str">
        <f t="shared" si="16"/>
        <v/>
      </c>
      <c r="BD26" s="1221" t="str">
        <f t="shared" si="16"/>
        <v/>
      </c>
      <c r="BE26" s="1222" t="str">
        <f t="shared" si="16"/>
        <v/>
      </c>
      <c r="BF26" s="1221" t="str">
        <f t="shared" si="16"/>
        <v/>
      </c>
      <c r="BG26" s="1223" t="str">
        <f t="shared" si="16"/>
        <v/>
      </c>
      <c r="BH26" s="286">
        <f t="shared" si="35"/>
        <v>80.02</v>
      </c>
      <c r="BI26" s="286">
        <f t="shared" si="36"/>
        <v>77.040000000000006</v>
      </c>
      <c r="BJ26" s="287" t="str">
        <f t="shared" si="37"/>
        <v>cukup</v>
      </c>
      <c r="BK26" s="287" t="str">
        <f t="shared" si="37"/>
        <v>cukup</v>
      </c>
      <c r="BL26" s="286">
        <f t="shared" si="38"/>
        <v>2</v>
      </c>
      <c r="BM26" s="288">
        <f t="shared" si="39"/>
        <v>4</v>
      </c>
      <c r="BN26" s="289" t="str">
        <f t="shared" si="40"/>
        <v>Memiliki keterampilan cukup dalam menemukan jenis tumbuhan berdasarkan divisiso dan menyajikan hasil pengamatan jenis hewan di lingkunagn sekitar</v>
      </c>
      <c r="BO26" s="67"/>
    </row>
    <row r="27" spans="1:67" ht="33" customHeight="1">
      <c r="A27" s="67"/>
      <c r="B27" s="272">
        <f t="shared" si="23"/>
        <v>14</v>
      </c>
      <c r="C27" s="273">
        <f>IF(Data!F18="","",Data!F18)</f>
        <v>0</v>
      </c>
      <c r="D27" s="274" t="str">
        <f>IF(Data!H18="","",Data!H18)</f>
        <v xml:space="preserve">Ferdinandes Sakbana </v>
      </c>
      <c r="E27" s="275" t="str">
        <f>IF(Data!I18="","",Data!I18)</f>
        <v>L</v>
      </c>
      <c r="F27" s="1494">
        <v>75</v>
      </c>
      <c r="G27" s="1495">
        <v>75</v>
      </c>
      <c r="H27" s="1495">
        <v>75</v>
      </c>
      <c r="I27" s="1495">
        <v>77</v>
      </c>
      <c r="J27" s="277"/>
      <c r="K27" s="277"/>
      <c r="L27" s="277"/>
      <c r="M27" s="280"/>
      <c r="N27" s="277"/>
      <c r="O27" s="278"/>
      <c r="P27" s="279">
        <f t="shared" si="24"/>
        <v>76</v>
      </c>
      <c r="Q27" s="1495">
        <v>75</v>
      </c>
      <c r="R27" s="1498">
        <v>70</v>
      </c>
      <c r="S27" s="281">
        <f t="shared" si="25"/>
        <v>74</v>
      </c>
      <c r="T27" s="295" t="str">
        <f t="shared" si="26"/>
        <v>D</v>
      </c>
      <c r="U27" s="1215">
        <f t="shared" si="7"/>
        <v>75.010000000000005</v>
      </c>
      <c r="V27" s="1216">
        <f t="shared" si="7"/>
        <v>75.02</v>
      </c>
      <c r="W27" s="1216">
        <f t="shared" si="7"/>
        <v>75.03</v>
      </c>
      <c r="X27" s="1216">
        <f t="shared" si="7"/>
        <v>77.040000000000006</v>
      </c>
      <c r="Y27" s="1216" t="str">
        <f t="shared" si="7"/>
        <v/>
      </c>
      <c r="Z27" s="1216" t="str">
        <f t="shared" si="7"/>
        <v/>
      </c>
      <c r="AA27" s="1216" t="str">
        <f t="shared" si="7"/>
        <v/>
      </c>
      <c r="AB27" s="1217" t="str">
        <f t="shared" si="7"/>
        <v/>
      </c>
      <c r="AC27" s="1216" t="str">
        <f t="shared" si="7"/>
        <v/>
      </c>
      <c r="AD27" s="1218" t="str">
        <f t="shared" si="7"/>
        <v/>
      </c>
      <c r="AE27" s="1219">
        <f t="shared" si="27"/>
        <v>77.040000000000006</v>
      </c>
      <c r="AF27" s="282">
        <f t="shared" si="28"/>
        <v>75.010000000000005</v>
      </c>
      <c r="AG27" s="282" t="str">
        <f t="shared" si="29"/>
        <v>cukup</v>
      </c>
      <c r="AH27" s="282" t="str">
        <f t="shared" si="10"/>
        <v>perlu dimaksimalkan</v>
      </c>
      <c r="AI27" s="282">
        <f t="shared" si="30"/>
        <v>4</v>
      </c>
      <c r="AJ27" s="283">
        <f t="shared" si="31"/>
        <v>1</v>
      </c>
      <c r="AK27" s="284" t="str">
        <f t="shared" si="32"/>
        <v>Memiliki kemampuan cukup dalam menyajikan hasil pengamatan dari berbagai jenis hewan di lingkungan, perlu dimaksimalkan kemampuan dalam mengelompokkan jamur berdasarkan ciri, reproduksi dan peranannya</v>
      </c>
      <c r="AL27" s="1494">
        <v>77</v>
      </c>
      <c r="AM27" s="1495">
        <v>75</v>
      </c>
      <c r="AN27" s="1495">
        <v>77</v>
      </c>
      <c r="AO27" s="1495">
        <v>70</v>
      </c>
      <c r="AP27" s="277"/>
      <c r="AQ27" s="277"/>
      <c r="AR27" s="277"/>
      <c r="AS27" s="280"/>
      <c r="AT27" s="277"/>
      <c r="AU27" s="278"/>
      <c r="AV27" s="285">
        <f t="shared" si="33"/>
        <v>75</v>
      </c>
      <c r="AW27" s="296" t="str">
        <f t="shared" si="34"/>
        <v>D</v>
      </c>
      <c r="AX27" s="1220">
        <f t="shared" si="16"/>
        <v>77.010000000000005</v>
      </c>
      <c r="AY27" s="1221">
        <f t="shared" si="16"/>
        <v>75.02</v>
      </c>
      <c r="AZ27" s="1221">
        <f t="shared" si="16"/>
        <v>77.03</v>
      </c>
      <c r="BA27" s="1221">
        <f t="shared" si="16"/>
        <v>70.040000000000006</v>
      </c>
      <c r="BB27" s="1221" t="str">
        <f t="shared" si="16"/>
        <v/>
      </c>
      <c r="BC27" s="1221" t="str">
        <f t="shared" si="16"/>
        <v/>
      </c>
      <c r="BD27" s="1221" t="str">
        <f t="shared" si="16"/>
        <v/>
      </c>
      <c r="BE27" s="1222" t="str">
        <f t="shared" si="16"/>
        <v/>
      </c>
      <c r="BF27" s="1221" t="str">
        <f t="shared" si="16"/>
        <v/>
      </c>
      <c r="BG27" s="1223" t="str">
        <f t="shared" si="16"/>
        <v/>
      </c>
      <c r="BH27" s="286">
        <f t="shared" si="35"/>
        <v>77.03</v>
      </c>
      <c r="BI27" s="286">
        <f t="shared" si="36"/>
        <v>70.040000000000006</v>
      </c>
      <c r="BJ27" s="287" t="str">
        <f t="shared" si="37"/>
        <v>cukup</v>
      </c>
      <c r="BK27" s="287" t="str">
        <f t="shared" si="37"/>
        <v>perlu dimaksimalkan</v>
      </c>
      <c r="BL27" s="286">
        <f t="shared" si="38"/>
        <v>3</v>
      </c>
      <c r="BM27" s="288">
        <f t="shared" si="39"/>
        <v>4</v>
      </c>
      <c r="BN27" s="289" t="str">
        <f t="shared" si="40"/>
        <v>Memiliki keterampilan cukup dalam menjelaskan kelompok hewan berdasarkan ciri, reproduksi dan peran, perlu dimaksimalkan keterampilan dalam menyajikan hasil pengamatan jenis hewan di lingkunagn sekitar</v>
      </c>
      <c r="BO27" s="67"/>
    </row>
    <row r="28" spans="1:67" ht="33" customHeight="1">
      <c r="A28" s="67"/>
      <c r="B28" s="272">
        <f t="shared" si="23"/>
        <v>15</v>
      </c>
      <c r="C28" s="273">
        <f>IF(Data!F19="","",Data!F19)</f>
        <v>0</v>
      </c>
      <c r="D28" s="274" t="str">
        <f>IF(Data!H19="","",Data!H19)</f>
        <v>Fitri Novani Nitbani</v>
      </c>
      <c r="E28" s="275" t="str">
        <f>IF(Data!I19="","",Data!I19)</f>
        <v>P</v>
      </c>
      <c r="F28" s="1494">
        <v>79</v>
      </c>
      <c r="G28" s="1495">
        <v>80</v>
      </c>
      <c r="H28" s="1495">
        <v>80</v>
      </c>
      <c r="I28" s="1495">
        <v>79</v>
      </c>
      <c r="J28" s="277"/>
      <c r="K28" s="277"/>
      <c r="L28" s="277"/>
      <c r="M28" s="280"/>
      <c r="N28" s="277"/>
      <c r="O28" s="278"/>
      <c r="P28" s="279">
        <f t="shared" si="24"/>
        <v>80</v>
      </c>
      <c r="Q28" s="1495">
        <v>79</v>
      </c>
      <c r="R28" s="1498">
        <v>79</v>
      </c>
      <c r="S28" s="281">
        <f t="shared" si="25"/>
        <v>80</v>
      </c>
      <c r="T28" s="295" t="str">
        <f t="shared" si="26"/>
        <v>C</v>
      </c>
      <c r="U28" s="1215">
        <f t="shared" si="7"/>
        <v>79.010000000000005</v>
      </c>
      <c r="V28" s="1216">
        <f t="shared" si="7"/>
        <v>80.02</v>
      </c>
      <c r="W28" s="1216">
        <f t="shared" si="7"/>
        <v>80.03</v>
      </c>
      <c r="X28" s="1216">
        <f t="shared" si="7"/>
        <v>79.040000000000006</v>
      </c>
      <c r="Y28" s="1216" t="str">
        <f t="shared" si="7"/>
        <v/>
      </c>
      <c r="Z28" s="1216" t="str">
        <f t="shared" si="7"/>
        <v/>
      </c>
      <c r="AA28" s="1216" t="str">
        <f t="shared" si="7"/>
        <v/>
      </c>
      <c r="AB28" s="1217" t="str">
        <f t="shared" si="7"/>
        <v/>
      </c>
      <c r="AC28" s="1216" t="str">
        <f t="shared" si="7"/>
        <v/>
      </c>
      <c r="AD28" s="1218" t="str">
        <f t="shared" si="7"/>
        <v/>
      </c>
      <c r="AE28" s="1219">
        <f t="shared" si="27"/>
        <v>80.03</v>
      </c>
      <c r="AF28" s="282">
        <f t="shared" si="28"/>
        <v>79.010000000000005</v>
      </c>
      <c r="AG28" s="282" t="str">
        <f t="shared" si="29"/>
        <v>cukup</v>
      </c>
      <c r="AH28" s="282" t="str">
        <f t="shared" si="10"/>
        <v>cukup</v>
      </c>
      <c r="AI28" s="282">
        <f t="shared" si="30"/>
        <v>3</v>
      </c>
      <c r="AJ28" s="283">
        <f t="shared" si="31"/>
        <v>1</v>
      </c>
      <c r="AK28" s="284" t="str">
        <f t="shared" si="32"/>
        <v>Memiliki kemampuan cukup dalam mengenal berbagai jenis hewan berdasarkan filum dan mengelompokkan jamur berdasarkan ciri, reproduksi dan peranannya</v>
      </c>
      <c r="AL28" s="1494">
        <v>80</v>
      </c>
      <c r="AM28" s="1495">
        <v>80</v>
      </c>
      <c r="AN28" s="1495">
        <v>77</v>
      </c>
      <c r="AO28" s="1495">
        <v>77</v>
      </c>
      <c r="AP28" s="277"/>
      <c r="AQ28" s="277"/>
      <c r="AR28" s="277"/>
      <c r="AS28" s="280"/>
      <c r="AT28" s="277"/>
      <c r="AU28" s="278"/>
      <c r="AV28" s="285">
        <f t="shared" si="33"/>
        <v>79</v>
      </c>
      <c r="AW28" s="296" t="str">
        <f t="shared" si="34"/>
        <v>C</v>
      </c>
      <c r="AX28" s="1220">
        <f t="shared" si="16"/>
        <v>80.010000000000005</v>
      </c>
      <c r="AY28" s="1221">
        <f t="shared" si="16"/>
        <v>80.02</v>
      </c>
      <c r="AZ28" s="1221">
        <f t="shared" si="16"/>
        <v>77.03</v>
      </c>
      <c r="BA28" s="1221">
        <f t="shared" si="16"/>
        <v>77.040000000000006</v>
      </c>
      <c r="BB28" s="1221" t="str">
        <f t="shared" si="16"/>
        <v/>
      </c>
      <c r="BC28" s="1221" t="str">
        <f t="shared" si="16"/>
        <v/>
      </c>
      <c r="BD28" s="1221" t="str">
        <f t="shared" si="16"/>
        <v/>
      </c>
      <c r="BE28" s="1222" t="str">
        <f t="shared" si="16"/>
        <v/>
      </c>
      <c r="BF28" s="1221" t="str">
        <f t="shared" si="16"/>
        <v/>
      </c>
      <c r="BG28" s="1223" t="str">
        <f t="shared" si="16"/>
        <v/>
      </c>
      <c r="BH28" s="286">
        <f t="shared" si="35"/>
        <v>80.02</v>
      </c>
      <c r="BI28" s="286">
        <f t="shared" si="36"/>
        <v>77.03</v>
      </c>
      <c r="BJ28" s="287" t="str">
        <f t="shared" si="37"/>
        <v>cukup</v>
      </c>
      <c r="BK28" s="287" t="str">
        <f t="shared" si="37"/>
        <v>cukup</v>
      </c>
      <c r="BL28" s="286">
        <f t="shared" si="38"/>
        <v>2</v>
      </c>
      <c r="BM28" s="288">
        <f t="shared" si="39"/>
        <v>3</v>
      </c>
      <c r="BN28" s="289" t="str">
        <f t="shared" si="40"/>
        <v>Memiliki keterampilan cukup dalam menemukan jenis tumbuhan berdasarkan divisiso dan menjelaskan kelompok hewan berdasarkan ciri, reproduksi dan peran</v>
      </c>
      <c r="BO28" s="67"/>
    </row>
    <row r="29" spans="1:67" ht="33" customHeight="1">
      <c r="A29" s="67"/>
      <c r="B29" s="272">
        <f t="shared" si="23"/>
        <v>16</v>
      </c>
      <c r="C29" s="273">
        <f>IF(Data!F20="","",Data!F20)</f>
        <v>0</v>
      </c>
      <c r="D29" s="274" t="str">
        <f>IF(Data!H20="","",Data!H20)</f>
        <v>Helsina Benu</v>
      </c>
      <c r="E29" s="275" t="str">
        <f>IF(Data!I20="","",Data!I20)</f>
        <v>P</v>
      </c>
      <c r="F29" s="1494">
        <v>80</v>
      </c>
      <c r="G29" s="1495">
        <v>79</v>
      </c>
      <c r="H29" s="1495">
        <v>80</v>
      </c>
      <c r="I29" s="1495">
        <v>80</v>
      </c>
      <c r="J29" s="277"/>
      <c r="K29" s="277"/>
      <c r="L29" s="277"/>
      <c r="M29" s="280"/>
      <c r="N29" s="277"/>
      <c r="O29" s="278"/>
      <c r="P29" s="279">
        <f t="shared" si="24"/>
        <v>80</v>
      </c>
      <c r="Q29" s="1495">
        <v>80</v>
      </c>
      <c r="R29" s="1498">
        <v>80</v>
      </c>
      <c r="S29" s="281">
        <f t="shared" si="25"/>
        <v>80</v>
      </c>
      <c r="T29" s="295" t="str">
        <f t="shared" si="26"/>
        <v>C</v>
      </c>
      <c r="U29" s="1215">
        <f t="shared" si="7"/>
        <v>80.010000000000005</v>
      </c>
      <c r="V29" s="1216">
        <f t="shared" si="7"/>
        <v>79.02</v>
      </c>
      <c r="W29" s="1216">
        <f t="shared" si="7"/>
        <v>80.03</v>
      </c>
      <c r="X29" s="1216">
        <f t="shared" si="7"/>
        <v>80.040000000000006</v>
      </c>
      <c r="Y29" s="1216" t="str">
        <f t="shared" si="7"/>
        <v/>
      </c>
      <c r="Z29" s="1216" t="str">
        <f t="shared" si="7"/>
        <v/>
      </c>
      <c r="AA29" s="1216" t="str">
        <f t="shared" si="7"/>
        <v/>
      </c>
      <c r="AB29" s="1217" t="str">
        <f t="shared" si="7"/>
        <v/>
      </c>
      <c r="AC29" s="1216" t="str">
        <f t="shared" si="7"/>
        <v/>
      </c>
      <c r="AD29" s="1218" t="str">
        <f t="shared" si="7"/>
        <v/>
      </c>
      <c r="AE29" s="1219">
        <f t="shared" si="27"/>
        <v>80.040000000000006</v>
      </c>
      <c r="AF29" s="282">
        <f t="shared" si="28"/>
        <v>79.02</v>
      </c>
      <c r="AG29" s="282" t="str">
        <f t="shared" si="29"/>
        <v>cukup</v>
      </c>
      <c r="AH29" s="282" t="str">
        <f t="shared" si="10"/>
        <v>cukup</v>
      </c>
      <c r="AI29" s="282">
        <f t="shared" si="30"/>
        <v>4</v>
      </c>
      <c r="AJ29" s="283">
        <f t="shared" si="31"/>
        <v>2</v>
      </c>
      <c r="AK29" s="284" t="str">
        <f t="shared" si="32"/>
        <v>Memiliki kemampuan cukup dalam menyajikan hasil pengamatan dari berbagai jenis hewan di lingkungan dan mengelompokkan tumbuhan dalam divisio berdasarkan ciri dan peranan</v>
      </c>
      <c r="AL29" s="1494">
        <v>80</v>
      </c>
      <c r="AM29" s="1495">
        <v>80</v>
      </c>
      <c r="AN29" s="1495">
        <v>80</v>
      </c>
      <c r="AO29" s="1495">
        <v>80</v>
      </c>
      <c r="AP29" s="277"/>
      <c r="AQ29" s="277"/>
      <c r="AR29" s="277"/>
      <c r="AS29" s="280"/>
      <c r="AT29" s="277"/>
      <c r="AU29" s="278"/>
      <c r="AV29" s="285">
        <f t="shared" si="33"/>
        <v>80</v>
      </c>
      <c r="AW29" s="296" t="str">
        <f t="shared" si="34"/>
        <v>C</v>
      </c>
      <c r="AX29" s="1220">
        <f t="shared" si="16"/>
        <v>80.010000000000005</v>
      </c>
      <c r="AY29" s="1221">
        <f t="shared" si="16"/>
        <v>80.02</v>
      </c>
      <c r="AZ29" s="1221">
        <f t="shared" si="16"/>
        <v>80.03</v>
      </c>
      <c r="BA29" s="1221">
        <f t="shared" si="16"/>
        <v>80.040000000000006</v>
      </c>
      <c r="BB29" s="1221" t="str">
        <f t="shared" si="16"/>
        <v/>
      </c>
      <c r="BC29" s="1221" t="str">
        <f t="shared" si="16"/>
        <v/>
      </c>
      <c r="BD29" s="1221" t="str">
        <f t="shared" si="16"/>
        <v/>
      </c>
      <c r="BE29" s="1222" t="str">
        <f t="shared" si="16"/>
        <v/>
      </c>
      <c r="BF29" s="1221" t="str">
        <f t="shared" si="16"/>
        <v/>
      </c>
      <c r="BG29" s="1223" t="str">
        <f t="shared" si="16"/>
        <v/>
      </c>
      <c r="BH29" s="286">
        <f t="shared" si="35"/>
        <v>80.040000000000006</v>
      </c>
      <c r="BI29" s="286">
        <f t="shared" si="36"/>
        <v>80.010000000000005</v>
      </c>
      <c r="BJ29" s="287" t="str">
        <f t="shared" si="37"/>
        <v>cukup</v>
      </c>
      <c r="BK29" s="287" t="str">
        <f t="shared" si="37"/>
        <v>cukup</v>
      </c>
      <c r="BL29" s="286">
        <f t="shared" si="38"/>
        <v>4</v>
      </c>
      <c r="BM29" s="288">
        <f t="shared" si="39"/>
        <v>1</v>
      </c>
      <c r="BN29" s="289" t="str">
        <f t="shared" si="40"/>
        <v>Memiliki keterampilan cukup dalam menyajikan hasil pengamatan jenis hewan di lingkunagn sekitar dan menjelaskan kelompok jamur berdasarkan ciri, reproduksi dan peran</v>
      </c>
      <c r="BO29" s="67"/>
    </row>
    <row r="30" spans="1:67" ht="33" customHeight="1">
      <c r="A30" s="67"/>
      <c r="B30" s="272">
        <f t="shared" si="23"/>
        <v>17</v>
      </c>
      <c r="C30" s="273">
        <f>IF(Data!F21="","",Data!F21)</f>
        <v>0</v>
      </c>
      <c r="D30" s="274" t="str">
        <f>IF(Data!H21="","",Data!H21)</f>
        <v xml:space="preserve">Hezron Nubatonis </v>
      </c>
      <c r="E30" s="275" t="str">
        <f>IF(Data!I21="","",Data!I21)</f>
        <v>L</v>
      </c>
      <c r="F30" s="1494">
        <v>75</v>
      </c>
      <c r="G30" s="1495">
        <v>75</v>
      </c>
      <c r="H30" s="1495">
        <v>77</v>
      </c>
      <c r="I30" s="1495">
        <v>77</v>
      </c>
      <c r="J30" s="277"/>
      <c r="K30" s="277"/>
      <c r="L30" s="277"/>
      <c r="M30" s="280"/>
      <c r="N30" s="277"/>
      <c r="O30" s="278"/>
      <c r="P30" s="279">
        <f t="shared" si="24"/>
        <v>76</v>
      </c>
      <c r="Q30" s="1495">
        <v>75</v>
      </c>
      <c r="R30" s="1498">
        <v>75</v>
      </c>
      <c r="S30" s="281">
        <f t="shared" si="25"/>
        <v>76</v>
      </c>
      <c r="T30" s="295" t="str">
        <f t="shared" si="26"/>
        <v>C</v>
      </c>
      <c r="U30" s="1215">
        <f t="shared" ref="U30:AD55" si="41">IF(F30="","",F30+U$13)</f>
        <v>75.010000000000005</v>
      </c>
      <c r="V30" s="1216">
        <f t="shared" si="41"/>
        <v>75.02</v>
      </c>
      <c r="W30" s="1216">
        <f t="shared" si="41"/>
        <v>77.03</v>
      </c>
      <c r="X30" s="1216">
        <f t="shared" si="41"/>
        <v>77.040000000000006</v>
      </c>
      <c r="Y30" s="1216" t="str">
        <f t="shared" si="41"/>
        <v/>
      </c>
      <c r="Z30" s="1216" t="str">
        <f t="shared" si="41"/>
        <v/>
      </c>
      <c r="AA30" s="1216" t="str">
        <f t="shared" si="41"/>
        <v/>
      </c>
      <c r="AB30" s="1217" t="str">
        <f t="shared" si="41"/>
        <v/>
      </c>
      <c r="AC30" s="1216" t="str">
        <f t="shared" si="41"/>
        <v/>
      </c>
      <c r="AD30" s="1218" t="str">
        <f t="shared" si="41"/>
        <v/>
      </c>
      <c r="AE30" s="1219">
        <f t="shared" si="27"/>
        <v>77.040000000000006</v>
      </c>
      <c r="AF30" s="282">
        <f t="shared" si="28"/>
        <v>75.010000000000005</v>
      </c>
      <c r="AG30" s="282" t="str">
        <f t="shared" si="29"/>
        <v>cukup</v>
      </c>
      <c r="AH30" s="282" t="str">
        <f t="shared" si="29"/>
        <v>perlu dimaksimalkan</v>
      </c>
      <c r="AI30" s="282">
        <f t="shared" si="30"/>
        <v>4</v>
      </c>
      <c r="AJ30" s="283">
        <f t="shared" si="31"/>
        <v>1</v>
      </c>
      <c r="AK30" s="284" t="str">
        <f t="shared" si="32"/>
        <v>Memiliki kemampuan cukup dalam menyajikan hasil pengamatan dari berbagai jenis hewan di lingkungan, perlu dimaksimalkan kemampuan dalam mengelompokkan jamur berdasarkan ciri, reproduksi dan peranannya</v>
      </c>
      <c r="AL30" s="1494">
        <v>77</v>
      </c>
      <c r="AM30" s="1495">
        <v>70</v>
      </c>
      <c r="AN30" s="1495">
        <v>77</v>
      </c>
      <c r="AO30" s="1495">
        <v>70</v>
      </c>
      <c r="AP30" s="277"/>
      <c r="AQ30" s="277"/>
      <c r="AR30" s="277"/>
      <c r="AS30" s="280"/>
      <c r="AT30" s="277"/>
      <c r="AU30" s="278"/>
      <c r="AV30" s="285">
        <f t="shared" si="33"/>
        <v>74</v>
      </c>
      <c r="AW30" s="296" t="str">
        <f t="shared" si="34"/>
        <v>D</v>
      </c>
      <c r="AX30" s="1220">
        <f t="shared" ref="AX30:BG55" si="42">IF(AL30="","",AL30+AX$12)</f>
        <v>77.010000000000005</v>
      </c>
      <c r="AY30" s="1221">
        <f t="shared" si="42"/>
        <v>70.02</v>
      </c>
      <c r="AZ30" s="1221">
        <f t="shared" si="42"/>
        <v>77.03</v>
      </c>
      <c r="BA30" s="1221">
        <f t="shared" si="42"/>
        <v>70.040000000000006</v>
      </c>
      <c r="BB30" s="1221" t="str">
        <f t="shared" si="42"/>
        <v/>
      </c>
      <c r="BC30" s="1221" t="str">
        <f t="shared" si="42"/>
        <v/>
      </c>
      <c r="BD30" s="1221" t="str">
        <f t="shared" si="42"/>
        <v/>
      </c>
      <c r="BE30" s="1222" t="str">
        <f t="shared" si="42"/>
        <v/>
      </c>
      <c r="BF30" s="1221" t="str">
        <f t="shared" si="42"/>
        <v/>
      </c>
      <c r="BG30" s="1223" t="str">
        <f t="shared" si="42"/>
        <v/>
      </c>
      <c r="BH30" s="286">
        <f t="shared" si="35"/>
        <v>77.03</v>
      </c>
      <c r="BI30" s="286">
        <f t="shared" si="36"/>
        <v>70.02</v>
      </c>
      <c r="BJ30" s="287" t="str">
        <f t="shared" si="37"/>
        <v>cukup</v>
      </c>
      <c r="BK30" s="287" t="str">
        <f t="shared" si="37"/>
        <v>perlu dimaksimalkan</v>
      </c>
      <c r="BL30" s="286">
        <f t="shared" si="38"/>
        <v>3</v>
      </c>
      <c r="BM30" s="288">
        <f t="shared" si="39"/>
        <v>2</v>
      </c>
      <c r="BN30" s="289" t="str">
        <f t="shared" si="40"/>
        <v>Memiliki keterampilan cukup dalam menjelaskan kelompok hewan berdasarkan ciri, reproduksi dan peran, perlu dimaksimalkan keterampilan dalam menemukan jenis tumbuhan berdasarkan divisiso</v>
      </c>
      <c r="BO30" s="67"/>
    </row>
    <row r="31" spans="1:67" ht="33" customHeight="1">
      <c r="A31" s="67"/>
      <c r="B31" s="272">
        <f t="shared" si="23"/>
        <v>18</v>
      </c>
      <c r="C31" s="273">
        <f>IF(Data!F22="","",Data!F22)</f>
        <v>0</v>
      </c>
      <c r="D31" s="274" t="str">
        <f>IF(Data!H22="","",Data!H22)</f>
        <v>Jelita Anita Boimau</v>
      </c>
      <c r="E31" s="275" t="str">
        <f>IF(Data!I22="","",Data!I22)</f>
        <v>P</v>
      </c>
      <c r="F31" s="1494">
        <v>80</v>
      </c>
      <c r="G31" s="1495">
        <v>80</v>
      </c>
      <c r="H31" s="1495">
        <v>77</v>
      </c>
      <c r="I31" s="1495">
        <v>77</v>
      </c>
      <c r="J31" s="277"/>
      <c r="K31" s="277"/>
      <c r="L31" s="277"/>
      <c r="M31" s="280"/>
      <c r="N31" s="277"/>
      <c r="O31" s="278"/>
      <c r="P31" s="279">
        <f t="shared" si="24"/>
        <v>79</v>
      </c>
      <c r="Q31" s="1495">
        <v>80</v>
      </c>
      <c r="R31" s="1498">
        <v>80</v>
      </c>
      <c r="S31" s="281">
        <f t="shared" si="25"/>
        <v>80</v>
      </c>
      <c r="T31" s="295" t="str">
        <f t="shared" si="26"/>
        <v>C</v>
      </c>
      <c r="U31" s="1215">
        <f t="shared" si="41"/>
        <v>80.010000000000005</v>
      </c>
      <c r="V31" s="1216">
        <f t="shared" si="41"/>
        <v>80.02</v>
      </c>
      <c r="W31" s="1216">
        <f t="shared" si="41"/>
        <v>77.03</v>
      </c>
      <c r="X31" s="1216">
        <f t="shared" si="41"/>
        <v>77.040000000000006</v>
      </c>
      <c r="Y31" s="1216" t="str">
        <f t="shared" si="41"/>
        <v/>
      </c>
      <c r="Z31" s="1216" t="str">
        <f t="shared" si="41"/>
        <v/>
      </c>
      <c r="AA31" s="1216" t="str">
        <f t="shared" si="41"/>
        <v/>
      </c>
      <c r="AB31" s="1217" t="str">
        <f t="shared" si="41"/>
        <v/>
      </c>
      <c r="AC31" s="1216" t="str">
        <f t="shared" si="41"/>
        <v/>
      </c>
      <c r="AD31" s="1218" t="str">
        <f t="shared" si="41"/>
        <v/>
      </c>
      <c r="AE31" s="1219">
        <f t="shared" si="27"/>
        <v>80.02</v>
      </c>
      <c r="AF31" s="282">
        <f t="shared" si="28"/>
        <v>77.03</v>
      </c>
      <c r="AG31" s="282" t="str">
        <f t="shared" si="29"/>
        <v>cukup</v>
      </c>
      <c r="AH31" s="282" t="str">
        <f t="shared" si="29"/>
        <v>cukup</v>
      </c>
      <c r="AI31" s="282">
        <f t="shared" si="30"/>
        <v>2</v>
      </c>
      <c r="AJ31" s="283">
        <f t="shared" si="31"/>
        <v>3</v>
      </c>
      <c r="AK31" s="284" t="str">
        <f t="shared" si="32"/>
        <v>Memiliki kemampuan cukup dalam mengelompokkan tumbuhan dalam divisio berdasarkan ciri dan peranan dan mengenal berbagai jenis hewan berdasarkan filum</v>
      </c>
      <c r="AL31" s="1494">
        <v>80</v>
      </c>
      <c r="AM31" s="1495">
        <v>79</v>
      </c>
      <c r="AN31" s="1495">
        <v>80</v>
      </c>
      <c r="AO31" s="1495">
        <v>79</v>
      </c>
      <c r="AP31" s="277"/>
      <c r="AQ31" s="277"/>
      <c r="AR31" s="277"/>
      <c r="AS31" s="280"/>
      <c r="AT31" s="277"/>
      <c r="AU31" s="278"/>
      <c r="AV31" s="285">
        <f t="shared" si="33"/>
        <v>80</v>
      </c>
      <c r="AW31" s="296" t="str">
        <f t="shared" si="34"/>
        <v>C</v>
      </c>
      <c r="AX31" s="1220">
        <f t="shared" si="42"/>
        <v>80.010000000000005</v>
      </c>
      <c r="AY31" s="1221">
        <f t="shared" si="42"/>
        <v>79.02</v>
      </c>
      <c r="AZ31" s="1221">
        <f t="shared" si="42"/>
        <v>80.03</v>
      </c>
      <c r="BA31" s="1221">
        <f t="shared" si="42"/>
        <v>79.040000000000006</v>
      </c>
      <c r="BB31" s="1221" t="str">
        <f t="shared" si="42"/>
        <v/>
      </c>
      <c r="BC31" s="1221" t="str">
        <f t="shared" si="42"/>
        <v/>
      </c>
      <c r="BD31" s="1221" t="str">
        <f t="shared" si="42"/>
        <v/>
      </c>
      <c r="BE31" s="1222" t="str">
        <f t="shared" si="42"/>
        <v/>
      </c>
      <c r="BF31" s="1221" t="str">
        <f t="shared" si="42"/>
        <v/>
      </c>
      <c r="BG31" s="1223" t="str">
        <f t="shared" si="42"/>
        <v/>
      </c>
      <c r="BH31" s="286">
        <f t="shared" si="35"/>
        <v>80.03</v>
      </c>
      <c r="BI31" s="286">
        <f t="shared" si="36"/>
        <v>79.02</v>
      </c>
      <c r="BJ31" s="287" t="str">
        <f t="shared" si="37"/>
        <v>cukup</v>
      </c>
      <c r="BK31" s="287" t="str">
        <f t="shared" si="37"/>
        <v>cukup</v>
      </c>
      <c r="BL31" s="286">
        <f t="shared" si="38"/>
        <v>3</v>
      </c>
      <c r="BM31" s="288">
        <f t="shared" si="39"/>
        <v>2</v>
      </c>
      <c r="BN31" s="289" t="str">
        <f t="shared" si="40"/>
        <v>Memiliki keterampilan cukup dalam menjelaskan kelompok hewan berdasarkan ciri, reproduksi dan peran dan menemukan jenis tumbuhan berdasarkan divisiso</v>
      </c>
      <c r="BO31" s="67"/>
    </row>
    <row r="32" spans="1:67" ht="33" customHeight="1">
      <c r="A32" s="67"/>
      <c r="B32" s="272">
        <f t="shared" si="23"/>
        <v>19</v>
      </c>
      <c r="C32" s="273">
        <f>IF(Data!F23="","",Data!F23)</f>
        <v>0</v>
      </c>
      <c r="D32" s="274" t="str">
        <f>IF(Data!H23="","",Data!H23)</f>
        <v>Jidon Nubatonis</v>
      </c>
      <c r="E32" s="275" t="str">
        <f>IF(Data!I23="","",Data!I23)</f>
        <v>L</v>
      </c>
      <c r="F32" s="1494">
        <v>79</v>
      </c>
      <c r="G32" s="1495">
        <v>79</v>
      </c>
      <c r="H32" s="1495">
        <v>75</v>
      </c>
      <c r="I32" s="1495">
        <v>75</v>
      </c>
      <c r="J32" s="277"/>
      <c r="K32" s="277"/>
      <c r="L32" s="277"/>
      <c r="M32" s="280"/>
      <c r="N32" s="277"/>
      <c r="O32" s="278"/>
      <c r="P32" s="279">
        <f t="shared" si="24"/>
        <v>77</v>
      </c>
      <c r="Q32" s="1495">
        <v>77</v>
      </c>
      <c r="R32" s="1498">
        <v>77</v>
      </c>
      <c r="S32" s="281">
        <f t="shared" si="25"/>
        <v>77</v>
      </c>
      <c r="T32" s="295" t="str">
        <f t="shared" si="26"/>
        <v>C</v>
      </c>
      <c r="U32" s="1215">
        <f t="shared" si="41"/>
        <v>79.010000000000005</v>
      </c>
      <c r="V32" s="1216">
        <f t="shared" si="41"/>
        <v>79.02</v>
      </c>
      <c r="W32" s="1216">
        <f t="shared" si="41"/>
        <v>75.03</v>
      </c>
      <c r="X32" s="1216">
        <f t="shared" si="41"/>
        <v>75.040000000000006</v>
      </c>
      <c r="Y32" s="1216" t="str">
        <f t="shared" si="41"/>
        <v/>
      </c>
      <c r="Z32" s="1216" t="str">
        <f t="shared" si="41"/>
        <v/>
      </c>
      <c r="AA32" s="1216" t="str">
        <f t="shared" si="41"/>
        <v/>
      </c>
      <c r="AB32" s="1217" t="str">
        <f t="shared" si="41"/>
        <v/>
      </c>
      <c r="AC32" s="1216" t="str">
        <f t="shared" si="41"/>
        <v/>
      </c>
      <c r="AD32" s="1218" t="str">
        <f t="shared" si="41"/>
        <v/>
      </c>
      <c r="AE32" s="1219">
        <f t="shared" si="27"/>
        <v>79.02</v>
      </c>
      <c r="AF32" s="282">
        <f t="shared" si="28"/>
        <v>75.03</v>
      </c>
      <c r="AG32" s="282" t="str">
        <f t="shared" si="29"/>
        <v>cukup</v>
      </c>
      <c r="AH32" s="282" t="str">
        <f t="shared" si="29"/>
        <v>perlu dimaksimalkan</v>
      </c>
      <c r="AI32" s="282">
        <f t="shared" si="30"/>
        <v>2</v>
      </c>
      <c r="AJ32" s="283">
        <f t="shared" si="31"/>
        <v>3</v>
      </c>
      <c r="AK32" s="284" t="str">
        <f t="shared" si="32"/>
        <v>Memiliki kemampuan cukup dalam mengelompokkan tumbuhan dalam divisio berdasarkan ciri dan peranan, perlu dimaksimalkan kemampuan dalam mengenal berbagai jenis hewan berdasarkan filum</v>
      </c>
      <c r="AL32" s="1494">
        <v>77</v>
      </c>
      <c r="AM32" s="1495">
        <v>79</v>
      </c>
      <c r="AN32" s="1495">
        <v>79</v>
      </c>
      <c r="AO32" s="1495">
        <v>75</v>
      </c>
      <c r="AP32" s="277"/>
      <c r="AQ32" s="277"/>
      <c r="AR32" s="277"/>
      <c r="AS32" s="280"/>
      <c r="AT32" s="277"/>
      <c r="AU32" s="278"/>
      <c r="AV32" s="285">
        <f t="shared" si="33"/>
        <v>78</v>
      </c>
      <c r="AW32" s="296" t="str">
        <f t="shared" si="34"/>
        <v>C</v>
      </c>
      <c r="AX32" s="1220">
        <f t="shared" si="42"/>
        <v>77.010000000000005</v>
      </c>
      <c r="AY32" s="1221">
        <f t="shared" si="42"/>
        <v>79.02</v>
      </c>
      <c r="AZ32" s="1221">
        <f t="shared" si="42"/>
        <v>79.03</v>
      </c>
      <c r="BA32" s="1221">
        <f t="shared" si="42"/>
        <v>75.040000000000006</v>
      </c>
      <c r="BB32" s="1221" t="str">
        <f t="shared" si="42"/>
        <v/>
      </c>
      <c r="BC32" s="1221" t="str">
        <f t="shared" si="42"/>
        <v/>
      </c>
      <c r="BD32" s="1221" t="str">
        <f t="shared" si="42"/>
        <v/>
      </c>
      <c r="BE32" s="1222" t="str">
        <f t="shared" si="42"/>
        <v/>
      </c>
      <c r="BF32" s="1221" t="str">
        <f t="shared" si="42"/>
        <v/>
      </c>
      <c r="BG32" s="1223" t="str">
        <f t="shared" si="42"/>
        <v/>
      </c>
      <c r="BH32" s="286">
        <f t="shared" si="35"/>
        <v>79.03</v>
      </c>
      <c r="BI32" s="286">
        <f t="shared" si="36"/>
        <v>75.040000000000006</v>
      </c>
      <c r="BJ32" s="287" t="str">
        <f t="shared" si="37"/>
        <v>cukup</v>
      </c>
      <c r="BK32" s="287" t="str">
        <f t="shared" si="37"/>
        <v>perlu dimaksimalkan</v>
      </c>
      <c r="BL32" s="286">
        <f t="shared" si="38"/>
        <v>3</v>
      </c>
      <c r="BM32" s="288">
        <f t="shared" si="39"/>
        <v>4</v>
      </c>
      <c r="BN32" s="289" t="str">
        <f t="shared" si="40"/>
        <v>Memiliki keterampilan cukup dalam menjelaskan kelompok hewan berdasarkan ciri, reproduksi dan peran, perlu dimaksimalkan keterampilan dalam menyajikan hasil pengamatan jenis hewan di lingkunagn sekitar</v>
      </c>
      <c r="BO32" s="67"/>
    </row>
    <row r="33" spans="1:67" ht="33" customHeight="1">
      <c r="A33" s="67"/>
      <c r="B33" s="272">
        <f t="shared" si="23"/>
        <v>20</v>
      </c>
      <c r="C33" s="273">
        <f>IF(Data!F24="","",Data!F24)</f>
        <v>0</v>
      </c>
      <c r="D33" s="274" t="str">
        <f>IF(Data!H24="","",Data!H24)</f>
        <v>Jitro Andro Baran</v>
      </c>
      <c r="E33" s="275" t="str">
        <f>IF(Data!I24="","",Data!I24)</f>
        <v>L</v>
      </c>
      <c r="F33" s="1494">
        <v>80</v>
      </c>
      <c r="G33" s="1495">
        <v>77</v>
      </c>
      <c r="H33" s="1495">
        <v>77</v>
      </c>
      <c r="I33" s="1495">
        <v>77</v>
      </c>
      <c r="J33" s="277"/>
      <c r="K33" s="277"/>
      <c r="L33" s="277"/>
      <c r="M33" s="280"/>
      <c r="N33" s="277"/>
      <c r="O33" s="278"/>
      <c r="P33" s="279">
        <f t="shared" si="24"/>
        <v>78</v>
      </c>
      <c r="Q33" s="1495">
        <v>79</v>
      </c>
      <c r="R33" s="1498">
        <v>79</v>
      </c>
      <c r="S33" s="281">
        <f t="shared" si="25"/>
        <v>79</v>
      </c>
      <c r="T33" s="295" t="str">
        <f t="shared" si="26"/>
        <v>C</v>
      </c>
      <c r="U33" s="1215">
        <f t="shared" si="41"/>
        <v>80.010000000000005</v>
      </c>
      <c r="V33" s="1216">
        <f t="shared" si="41"/>
        <v>77.02</v>
      </c>
      <c r="W33" s="1216">
        <f t="shared" si="41"/>
        <v>77.03</v>
      </c>
      <c r="X33" s="1216">
        <f t="shared" si="41"/>
        <v>77.040000000000006</v>
      </c>
      <c r="Y33" s="1216" t="str">
        <f t="shared" si="41"/>
        <v/>
      </c>
      <c r="Z33" s="1216" t="str">
        <f t="shared" si="41"/>
        <v/>
      </c>
      <c r="AA33" s="1216" t="str">
        <f t="shared" si="41"/>
        <v/>
      </c>
      <c r="AB33" s="1217" t="str">
        <f t="shared" si="41"/>
        <v/>
      </c>
      <c r="AC33" s="1216" t="str">
        <f t="shared" si="41"/>
        <v/>
      </c>
      <c r="AD33" s="1218" t="str">
        <f t="shared" si="41"/>
        <v/>
      </c>
      <c r="AE33" s="1219">
        <f t="shared" si="27"/>
        <v>80.010000000000005</v>
      </c>
      <c r="AF33" s="282">
        <f t="shared" si="28"/>
        <v>77.02</v>
      </c>
      <c r="AG33" s="282" t="str">
        <f t="shared" si="29"/>
        <v>cukup</v>
      </c>
      <c r="AH33" s="282" t="str">
        <f t="shared" si="29"/>
        <v>cukup</v>
      </c>
      <c r="AI33" s="282">
        <f t="shared" si="30"/>
        <v>1</v>
      </c>
      <c r="AJ33" s="283">
        <f t="shared" si="31"/>
        <v>2</v>
      </c>
      <c r="AK33" s="284" t="str">
        <f t="shared" si="32"/>
        <v>Memiliki kemampuan cukup dalam mengelompokkan jamur berdasarkan ciri, reproduksi dan peranannya dan mengelompokkan tumbuhan dalam divisio berdasarkan ciri dan peranan</v>
      </c>
      <c r="AL33" s="1494">
        <v>79</v>
      </c>
      <c r="AM33" s="1495">
        <v>77</v>
      </c>
      <c r="AN33" s="1495">
        <v>75</v>
      </c>
      <c r="AO33" s="1495">
        <v>75</v>
      </c>
      <c r="AP33" s="277"/>
      <c r="AQ33" s="277"/>
      <c r="AR33" s="277"/>
      <c r="AS33" s="280"/>
      <c r="AT33" s="277"/>
      <c r="AU33" s="278"/>
      <c r="AV33" s="285">
        <f t="shared" si="33"/>
        <v>77</v>
      </c>
      <c r="AW33" s="296" t="str">
        <f t="shared" si="34"/>
        <v>C</v>
      </c>
      <c r="AX33" s="1220">
        <f t="shared" si="42"/>
        <v>79.010000000000005</v>
      </c>
      <c r="AY33" s="1221">
        <f t="shared" si="42"/>
        <v>77.02</v>
      </c>
      <c r="AZ33" s="1221">
        <f t="shared" si="42"/>
        <v>75.03</v>
      </c>
      <c r="BA33" s="1221">
        <f t="shared" si="42"/>
        <v>75.040000000000006</v>
      </c>
      <c r="BB33" s="1221" t="str">
        <f t="shared" si="42"/>
        <v/>
      </c>
      <c r="BC33" s="1221" t="str">
        <f t="shared" si="42"/>
        <v/>
      </c>
      <c r="BD33" s="1221" t="str">
        <f t="shared" si="42"/>
        <v/>
      </c>
      <c r="BE33" s="1222" t="str">
        <f t="shared" si="42"/>
        <v/>
      </c>
      <c r="BF33" s="1221" t="str">
        <f t="shared" si="42"/>
        <v/>
      </c>
      <c r="BG33" s="1223" t="str">
        <f t="shared" si="42"/>
        <v/>
      </c>
      <c r="BH33" s="286">
        <f t="shared" si="35"/>
        <v>79.010000000000005</v>
      </c>
      <c r="BI33" s="286">
        <f t="shared" si="36"/>
        <v>75.03</v>
      </c>
      <c r="BJ33" s="287" t="str">
        <f t="shared" si="37"/>
        <v>cukup</v>
      </c>
      <c r="BK33" s="287" t="str">
        <f t="shared" si="37"/>
        <v>perlu dimaksimalkan</v>
      </c>
      <c r="BL33" s="286">
        <f t="shared" si="38"/>
        <v>1</v>
      </c>
      <c r="BM33" s="288">
        <f t="shared" si="39"/>
        <v>3</v>
      </c>
      <c r="BN33" s="289" t="str">
        <f t="shared" si="40"/>
        <v>Memiliki keterampilan cukup dalam menjelaskan kelompok jamur berdasarkan ciri, reproduksi dan peran, perlu dimaksimalkan keterampilan dalam menjelaskan kelompok hewan berdasarkan ciri, reproduksi dan peran</v>
      </c>
      <c r="BO33" s="67"/>
    </row>
    <row r="34" spans="1:67" ht="33" customHeight="1">
      <c r="A34" s="67"/>
      <c r="B34" s="272">
        <f t="shared" si="23"/>
        <v>21</v>
      </c>
      <c r="C34" s="273">
        <f>IF(Data!F25="","",Data!F25)</f>
        <v>0</v>
      </c>
      <c r="D34" s="274" t="str">
        <f>IF(Data!H25="","",Data!H25)</f>
        <v>Juan Manuel Boys</v>
      </c>
      <c r="E34" s="275" t="str">
        <f>IF(Data!I25="","",Data!I25)</f>
        <v>L</v>
      </c>
      <c r="F34" s="1494">
        <v>80</v>
      </c>
      <c r="G34" s="1495">
        <v>80</v>
      </c>
      <c r="H34" s="1495">
        <v>77</v>
      </c>
      <c r="I34" s="1495">
        <v>77</v>
      </c>
      <c r="J34" s="277"/>
      <c r="K34" s="277"/>
      <c r="L34" s="277"/>
      <c r="M34" s="280"/>
      <c r="N34" s="277"/>
      <c r="O34" s="278"/>
      <c r="P34" s="279">
        <f t="shared" si="24"/>
        <v>79</v>
      </c>
      <c r="Q34" s="1495">
        <v>79</v>
      </c>
      <c r="R34" s="1498">
        <v>79</v>
      </c>
      <c r="S34" s="281">
        <f t="shared" si="25"/>
        <v>79</v>
      </c>
      <c r="T34" s="295" t="str">
        <f t="shared" si="26"/>
        <v>C</v>
      </c>
      <c r="U34" s="1215">
        <f t="shared" si="41"/>
        <v>80.010000000000005</v>
      </c>
      <c r="V34" s="1216">
        <f t="shared" si="41"/>
        <v>80.02</v>
      </c>
      <c r="W34" s="1216">
        <f t="shared" si="41"/>
        <v>77.03</v>
      </c>
      <c r="X34" s="1216">
        <f t="shared" si="41"/>
        <v>77.040000000000006</v>
      </c>
      <c r="Y34" s="1216" t="str">
        <f t="shared" si="41"/>
        <v/>
      </c>
      <c r="Z34" s="1216" t="str">
        <f t="shared" si="41"/>
        <v/>
      </c>
      <c r="AA34" s="1216" t="str">
        <f t="shared" si="41"/>
        <v/>
      </c>
      <c r="AB34" s="1217" t="str">
        <f t="shared" si="41"/>
        <v/>
      </c>
      <c r="AC34" s="1216" t="str">
        <f t="shared" si="41"/>
        <v/>
      </c>
      <c r="AD34" s="1218" t="str">
        <f t="shared" si="41"/>
        <v/>
      </c>
      <c r="AE34" s="1219">
        <f t="shared" si="27"/>
        <v>80.02</v>
      </c>
      <c r="AF34" s="282">
        <f t="shared" si="28"/>
        <v>77.03</v>
      </c>
      <c r="AG34" s="282" t="str">
        <f t="shared" si="29"/>
        <v>cukup</v>
      </c>
      <c r="AH34" s="282" t="str">
        <f t="shared" si="29"/>
        <v>cukup</v>
      </c>
      <c r="AI34" s="282">
        <f t="shared" si="30"/>
        <v>2</v>
      </c>
      <c r="AJ34" s="283">
        <f t="shared" si="31"/>
        <v>3</v>
      </c>
      <c r="AK34" s="284" t="str">
        <f t="shared" si="32"/>
        <v>Memiliki kemampuan cukup dalam mengelompokkan tumbuhan dalam divisio berdasarkan ciri dan peranan dan mengenal berbagai jenis hewan berdasarkan filum</v>
      </c>
      <c r="AL34" s="1494">
        <v>79</v>
      </c>
      <c r="AM34" s="1495">
        <v>79</v>
      </c>
      <c r="AN34" s="1495">
        <v>77</v>
      </c>
      <c r="AO34" s="1495">
        <v>72</v>
      </c>
      <c r="AP34" s="277"/>
      <c r="AQ34" s="277"/>
      <c r="AR34" s="277"/>
      <c r="AS34" s="280"/>
      <c r="AT34" s="277"/>
      <c r="AU34" s="278"/>
      <c r="AV34" s="285">
        <f t="shared" si="33"/>
        <v>77</v>
      </c>
      <c r="AW34" s="296" t="str">
        <f t="shared" si="34"/>
        <v>C</v>
      </c>
      <c r="AX34" s="1220">
        <f t="shared" si="42"/>
        <v>79.010000000000005</v>
      </c>
      <c r="AY34" s="1221">
        <f t="shared" si="42"/>
        <v>79.02</v>
      </c>
      <c r="AZ34" s="1221">
        <f t="shared" si="42"/>
        <v>77.03</v>
      </c>
      <c r="BA34" s="1221">
        <f t="shared" si="42"/>
        <v>72.040000000000006</v>
      </c>
      <c r="BB34" s="1221" t="str">
        <f t="shared" si="42"/>
        <v/>
      </c>
      <c r="BC34" s="1221" t="str">
        <f t="shared" si="42"/>
        <v/>
      </c>
      <c r="BD34" s="1221" t="str">
        <f t="shared" si="42"/>
        <v/>
      </c>
      <c r="BE34" s="1222" t="str">
        <f t="shared" si="42"/>
        <v/>
      </c>
      <c r="BF34" s="1221" t="str">
        <f t="shared" si="42"/>
        <v/>
      </c>
      <c r="BG34" s="1223" t="str">
        <f t="shared" si="42"/>
        <v/>
      </c>
      <c r="BH34" s="286">
        <f t="shared" si="35"/>
        <v>79.02</v>
      </c>
      <c r="BI34" s="286">
        <f t="shared" si="36"/>
        <v>72.040000000000006</v>
      </c>
      <c r="BJ34" s="287" t="str">
        <f t="shared" si="37"/>
        <v>cukup</v>
      </c>
      <c r="BK34" s="287" t="str">
        <f t="shared" si="37"/>
        <v>perlu dimaksimalkan</v>
      </c>
      <c r="BL34" s="286">
        <f t="shared" si="38"/>
        <v>2</v>
      </c>
      <c r="BM34" s="288">
        <f t="shared" si="39"/>
        <v>4</v>
      </c>
      <c r="BN34" s="289" t="str">
        <f t="shared" si="40"/>
        <v>Memiliki keterampilan cukup dalam menemukan jenis tumbuhan berdasarkan divisiso, perlu dimaksimalkan keterampilan dalam menyajikan hasil pengamatan jenis hewan di lingkunagn sekitar</v>
      </c>
      <c r="BO34" s="67"/>
    </row>
    <row r="35" spans="1:67" ht="33" customHeight="1">
      <c r="A35" s="67"/>
      <c r="B35" s="272">
        <f t="shared" si="23"/>
        <v>22</v>
      </c>
      <c r="C35" s="273">
        <f>IF(Data!F26="","",Data!F26)</f>
        <v>0</v>
      </c>
      <c r="D35" s="274" t="str">
        <f>IF(Data!H26="","",Data!H26)</f>
        <v>Krisyanti Ernela Kesnay</v>
      </c>
      <c r="E35" s="275" t="str">
        <f>IF(Data!I26="","",Data!I26)</f>
        <v>P</v>
      </c>
      <c r="F35" s="1494">
        <v>79</v>
      </c>
      <c r="G35" s="1495">
        <v>80</v>
      </c>
      <c r="H35" s="1495">
        <v>80</v>
      </c>
      <c r="I35" s="1495">
        <v>79</v>
      </c>
      <c r="J35" s="277"/>
      <c r="K35" s="277"/>
      <c r="L35" s="277"/>
      <c r="M35" s="280"/>
      <c r="N35" s="277"/>
      <c r="O35" s="278"/>
      <c r="P35" s="279">
        <f t="shared" si="24"/>
        <v>80</v>
      </c>
      <c r="Q35" s="1495">
        <v>78</v>
      </c>
      <c r="R35" s="1498">
        <v>78</v>
      </c>
      <c r="S35" s="281">
        <f t="shared" si="25"/>
        <v>79</v>
      </c>
      <c r="T35" s="295" t="str">
        <f t="shared" si="26"/>
        <v>C</v>
      </c>
      <c r="U35" s="1215">
        <f t="shared" si="41"/>
        <v>79.010000000000005</v>
      </c>
      <c r="V35" s="1216">
        <f t="shared" si="41"/>
        <v>80.02</v>
      </c>
      <c r="W35" s="1216">
        <f t="shared" si="41"/>
        <v>80.03</v>
      </c>
      <c r="X35" s="1216">
        <f t="shared" si="41"/>
        <v>79.040000000000006</v>
      </c>
      <c r="Y35" s="1216" t="str">
        <f t="shared" si="41"/>
        <v/>
      </c>
      <c r="Z35" s="1216" t="str">
        <f t="shared" si="41"/>
        <v/>
      </c>
      <c r="AA35" s="1216" t="str">
        <f t="shared" si="41"/>
        <v/>
      </c>
      <c r="AB35" s="1217" t="str">
        <f t="shared" si="41"/>
        <v/>
      </c>
      <c r="AC35" s="1216" t="str">
        <f t="shared" si="41"/>
        <v/>
      </c>
      <c r="AD35" s="1218" t="str">
        <f t="shared" si="41"/>
        <v/>
      </c>
      <c r="AE35" s="1219">
        <f t="shared" si="27"/>
        <v>80.03</v>
      </c>
      <c r="AF35" s="282">
        <f t="shared" si="28"/>
        <v>79.010000000000005</v>
      </c>
      <c r="AG35" s="282" t="str">
        <f t="shared" si="29"/>
        <v>cukup</v>
      </c>
      <c r="AH35" s="282" t="str">
        <f t="shared" si="29"/>
        <v>cukup</v>
      </c>
      <c r="AI35" s="282">
        <f t="shared" si="30"/>
        <v>3</v>
      </c>
      <c r="AJ35" s="283">
        <f t="shared" si="31"/>
        <v>1</v>
      </c>
      <c r="AK35" s="284" t="str">
        <f t="shared" si="32"/>
        <v>Memiliki kemampuan cukup dalam mengenal berbagai jenis hewan berdasarkan filum dan mengelompokkan jamur berdasarkan ciri, reproduksi dan peranannya</v>
      </c>
      <c r="AL35" s="1494">
        <v>80</v>
      </c>
      <c r="AM35" s="1495">
        <v>80</v>
      </c>
      <c r="AN35" s="1495">
        <v>77</v>
      </c>
      <c r="AO35" s="1495">
        <v>77</v>
      </c>
      <c r="AP35" s="277"/>
      <c r="AQ35" s="277"/>
      <c r="AR35" s="277"/>
      <c r="AS35" s="280"/>
      <c r="AT35" s="277"/>
      <c r="AU35" s="278"/>
      <c r="AV35" s="285">
        <f t="shared" si="33"/>
        <v>79</v>
      </c>
      <c r="AW35" s="296" t="str">
        <f t="shared" si="34"/>
        <v>C</v>
      </c>
      <c r="AX35" s="1220">
        <f t="shared" si="42"/>
        <v>80.010000000000005</v>
      </c>
      <c r="AY35" s="1221">
        <f t="shared" si="42"/>
        <v>80.02</v>
      </c>
      <c r="AZ35" s="1221">
        <f t="shared" si="42"/>
        <v>77.03</v>
      </c>
      <c r="BA35" s="1221">
        <f t="shared" si="42"/>
        <v>77.040000000000006</v>
      </c>
      <c r="BB35" s="1221" t="str">
        <f t="shared" si="42"/>
        <v/>
      </c>
      <c r="BC35" s="1221" t="str">
        <f t="shared" si="42"/>
        <v/>
      </c>
      <c r="BD35" s="1221" t="str">
        <f t="shared" si="42"/>
        <v/>
      </c>
      <c r="BE35" s="1222" t="str">
        <f t="shared" si="42"/>
        <v/>
      </c>
      <c r="BF35" s="1221" t="str">
        <f t="shared" si="42"/>
        <v/>
      </c>
      <c r="BG35" s="1223" t="str">
        <f t="shared" si="42"/>
        <v/>
      </c>
      <c r="BH35" s="286">
        <f t="shared" si="35"/>
        <v>80.02</v>
      </c>
      <c r="BI35" s="286">
        <f t="shared" si="36"/>
        <v>77.03</v>
      </c>
      <c r="BJ35" s="287" t="str">
        <f t="shared" si="37"/>
        <v>cukup</v>
      </c>
      <c r="BK35" s="287" t="str">
        <f t="shared" si="37"/>
        <v>cukup</v>
      </c>
      <c r="BL35" s="286">
        <f t="shared" si="38"/>
        <v>2</v>
      </c>
      <c r="BM35" s="288">
        <f t="shared" si="39"/>
        <v>3</v>
      </c>
      <c r="BN35" s="289" t="str">
        <f t="shared" si="40"/>
        <v>Memiliki keterampilan cukup dalam menemukan jenis tumbuhan berdasarkan divisiso dan menjelaskan kelompok hewan berdasarkan ciri, reproduksi dan peran</v>
      </c>
      <c r="BO35" s="67"/>
    </row>
    <row r="36" spans="1:67" ht="33" customHeight="1">
      <c r="A36" s="67"/>
      <c r="B36" s="272">
        <f t="shared" si="23"/>
        <v>23</v>
      </c>
      <c r="C36" s="273">
        <f>IF(Data!F27="","",Data!F27)</f>
        <v>0</v>
      </c>
      <c r="D36" s="274" t="str">
        <f>IF(Data!H27="","",Data!H27)</f>
        <v>Leni Aknesia Knoan</v>
      </c>
      <c r="E36" s="275" t="str">
        <f>IF(Data!I27="","",Data!I27)</f>
        <v>P</v>
      </c>
      <c r="F36" s="1494">
        <v>79</v>
      </c>
      <c r="G36" s="1495">
        <v>80</v>
      </c>
      <c r="H36" s="1495">
        <v>79</v>
      </c>
      <c r="I36" s="1495">
        <v>79</v>
      </c>
      <c r="J36" s="277"/>
      <c r="K36" s="277"/>
      <c r="L36" s="277"/>
      <c r="M36" s="280"/>
      <c r="N36" s="277"/>
      <c r="O36" s="278"/>
      <c r="P36" s="279">
        <f t="shared" si="24"/>
        <v>79</v>
      </c>
      <c r="Q36" s="1495">
        <v>79</v>
      </c>
      <c r="R36" s="1498">
        <v>79</v>
      </c>
      <c r="S36" s="281">
        <f t="shared" si="25"/>
        <v>79</v>
      </c>
      <c r="T36" s="295" t="str">
        <f t="shared" si="26"/>
        <v>C</v>
      </c>
      <c r="U36" s="1215">
        <f t="shared" si="41"/>
        <v>79.010000000000005</v>
      </c>
      <c r="V36" s="1216">
        <f t="shared" si="41"/>
        <v>80.02</v>
      </c>
      <c r="W36" s="1216">
        <f t="shared" si="41"/>
        <v>79.03</v>
      </c>
      <c r="X36" s="1216">
        <f t="shared" si="41"/>
        <v>79.040000000000006</v>
      </c>
      <c r="Y36" s="1216" t="str">
        <f t="shared" si="41"/>
        <v/>
      </c>
      <c r="Z36" s="1216" t="str">
        <f t="shared" si="41"/>
        <v/>
      </c>
      <c r="AA36" s="1216" t="str">
        <f t="shared" si="41"/>
        <v/>
      </c>
      <c r="AB36" s="1217" t="str">
        <f t="shared" si="41"/>
        <v/>
      </c>
      <c r="AC36" s="1216" t="str">
        <f t="shared" si="41"/>
        <v/>
      </c>
      <c r="AD36" s="1218" t="str">
        <f t="shared" si="41"/>
        <v/>
      </c>
      <c r="AE36" s="1219">
        <f t="shared" si="27"/>
        <v>80.02</v>
      </c>
      <c r="AF36" s="282">
        <f t="shared" si="28"/>
        <v>79.010000000000005</v>
      </c>
      <c r="AG36" s="282" t="str">
        <f t="shared" si="29"/>
        <v>cukup</v>
      </c>
      <c r="AH36" s="282" t="str">
        <f t="shared" si="29"/>
        <v>cukup</v>
      </c>
      <c r="AI36" s="282">
        <f t="shared" si="30"/>
        <v>2</v>
      </c>
      <c r="AJ36" s="283">
        <f t="shared" si="31"/>
        <v>1</v>
      </c>
      <c r="AK36" s="284" t="str">
        <f t="shared" si="32"/>
        <v>Memiliki kemampuan cukup dalam mengelompokkan tumbuhan dalam divisio berdasarkan ciri dan peranan dan mengelompokkan jamur berdasarkan ciri, reproduksi dan peranannya</v>
      </c>
      <c r="AL36" s="1494">
        <v>79</v>
      </c>
      <c r="AM36" s="1495">
        <v>77</v>
      </c>
      <c r="AN36" s="1495">
        <v>77</v>
      </c>
      <c r="AO36" s="1495">
        <v>77</v>
      </c>
      <c r="AP36" s="277"/>
      <c r="AQ36" s="277"/>
      <c r="AR36" s="277"/>
      <c r="AS36" s="280"/>
      <c r="AT36" s="277"/>
      <c r="AU36" s="278"/>
      <c r="AV36" s="285">
        <f t="shared" si="33"/>
        <v>78</v>
      </c>
      <c r="AW36" s="296" t="str">
        <f t="shared" si="34"/>
        <v>C</v>
      </c>
      <c r="AX36" s="1220">
        <f t="shared" si="42"/>
        <v>79.010000000000005</v>
      </c>
      <c r="AY36" s="1221">
        <f t="shared" si="42"/>
        <v>77.02</v>
      </c>
      <c r="AZ36" s="1221">
        <f t="shared" si="42"/>
        <v>77.03</v>
      </c>
      <c r="BA36" s="1221">
        <f t="shared" si="42"/>
        <v>77.040000000000006</v>
      </c>
      <c r="BB36" s="1221" t="str">
        <f t="shared" si="42"/>
        <v/>
      </c>
      <c r="BC36" s="1221" t="str">
        <f t="shared" si="42"/>
        <v/>
      </c>
      <c r="BD36" s="1221" t="str">
        <f t="shared" si="42"/>
        <v/>
      </c>
      <c r="BE36" s="1222" t="str">
        <f t="shared" si="42"/>
        <v/>
      </c>
      <c r="BF36" s="1221" t="str">
        <f t="shared" si="42"/>
        <v/>
      </c>
      <c r="BG36" s="1223" t="str">
        <f t="shared" si="42"/>
        <v/>
      </c>
      <c r="BH36" s="286">
        <f t="shared" si="35"/>
        <v>79.010000000000005</v>
      </c>
      <c r="BI36" s="286">
        <f t="shared" si="36"/>
        <v>77.02</v>
      </c>
      <c r="BJ36" s="287" t="str">
        <f t="shared" si="37"/>
        <v>cukup</v>
      </c>
      <c r="BK36" s="287" t="str">
        <f t="shared" si="37"/>
        <v>cukup</v>
      </c>
      <c r="BL36" s="286">
        <f t="shared" si="38"/>
        <v>1</v>
      </c>
      <c r="BM36" s="288">
        <f t="shared" si="39"/>
        <v>2</v>
      </c>
      <c r="BN36" s="289" t="str">
        <f t="shared" si="40"/>
        <v>Memiliki keterampilan cukup dalam menjelaskan kelompok jamur berdasarkan ciri, reproduksi dan peran dan menemukan jenis tumbuhan berdasarkan divisiso</v>
      </c>
      <c r="BO36" s="67"/>
    </row>
    <row r="37" spans="1:67" ht="33" customHeight="1">
      <c r="A37" s="67"/>
      <c r="B37" s="272">
        <f t="shared" si="23"/>
        <v>24</v>
      </c>
      <c r="C37" s="273">
        <f>IF(Data!F28="","",Data!F28)</f>
        <v>0</v>
      </c>
      <c r="D37" s="274" t="str">
        <f>IF(Data!H28="","",Data!H28)</f>
        <v>Marlon Dioninsius Lalus</v>
      </c>
      <c r="E37" s="275" t="str">
        <f>IF(Data!I28="","",Data!I28)</f>
        <v>L</v>
      </c>
      <c r="F37" s="1494">
        <v>79</v>
      </c>
      <c r="G37" s="1495">
        <v>79</v>
      </c>
      <c r="H37" s="1495">
        <v>77</v>
      </c>
      <c r="I37" s="1495">
        <v>77</v>
      </c>
      <c r="J37" s="277"/>
      <c r="K37" s="277"/>
      <c r="L37" s="277"/>
      <c r="M37" s="280"/>
      <c r="N37" s="277"/>
      <c r="O37" s="278"/>
      <c r="P37" s="279">
        <f t="shared" si="24"/>
        <v>78</v>
      </c>
      <c r="Q37" s="1495">
        <v>77</v>
      </c>
      <c r="R37" s="1498">
        <v>75</v>
      </c>
      <c r="S37" s="281">
        <f t="shared" si="25"/>
        <v>77</v>
      </c>
      <c r="T37" s="295" t="str">
        <f t="shared" si="26"/>
        <v>C</v>
      </c>
      <c r="U37" s="1215">
        <f t="shared" si="41"/>
        <v>79.010000000000005</v>
      </c>
      <c r="V37" s="1216">
        <f t="shared" si="41"/>
        <v>79.02</v>
      </c>
      <c r="W37" s="1216">
        <f t="shared" si="41"/>
        <v>77.03</v>
      </c>
      <c r="X37" s="1216">
        <f t="shared" si="41"/>
        <v>77.040000000000006</v>
      </c>
      <c r="Y37" s="1216" t="str">
        <f t="shared" si="41"/>
        <v/>
      </c>
      <c r="Z37" s="1216" t="str">
        <f t="shared" si="41"/>
        <v/>
      </c>
      <c r="AA37" s="1216" t="str">
        <f t="shared" si="41"/>
        <v/>
      </c>
      <c r="AB37" s="1217" t="str">
        <f t="shared" si="41"/>
        <v/>
      </c>
      <c r="AC37" s="1216" t="str">
        <f t="shared" si="41"/>
        <v/>
      </c>
      <c r="AD37" s="1218" t="str">
        <f t="shared" si="41"/>
        <v/>
      </c>
      <c r="AE37" s="1219">
        <f t="shared" si="27"/>
        <v>79.02</v>
      </c>
      <c r="AF37" s="282">
        <f t="shared" si="28"/>
        <v>77.03</v>
      </c>
      <c r="AG37" s="282" t="str">
        <f t="shared" si="29"/>
        <v>cukup</v>
      </c>
      <c r="AH37" s="282" t="str">
        <f t="shared" si="29"/>
        <v>cukup</v>
      </c>
      <c r="AI37" s="282">
        <f t="shared" si="30"/>
        <v>2</v>
      </c>
      <c r="AJ37" s="283">
        <f t="shared" si="31"/>
        <v>3</v>
      </c>
      <c r="AK37" s="284" t="str">
        <f t="shared" si="32"/>
        <v>Memiliki kemampuan cukup dalam mengelompokkan tumbuhan dalam divisio berdasarkan ciri dan peranan dan mengenal berbagai jenis hewan berdasarkan filum</v>
      </c>
      <c r="AL37" s="1494">
        <v>80</v>
      </c>
      <c r="AM37" s="1495">
        <v>79</v>
      </c>
      <c r="AN37" s="1495">
        <v>79</v>
      </c>
      <c r="AO37" s="1495">
        <v>80</v>
      </c>
      <c r="AP37" s="277"/>
      <c r="AQ37" s="277"/>
      <c r="AR37" s="277"/>
      <c r="AS37" s="280"/>
      <c r="AT37" s="277"/>
      <c r="AU37" s="278"/>
      <c r="AV37" s="285">
        <f t="shared" si="33"/>
        <v>80</v>
      </c>
      <c r="AW37" s="296" t="str">
        <f t="shared" si="34"/>
        <v>C</v>
      </c>
      <c r="AX37" s="1220">
        <f t="shared" si="42"/>
        <v>80.010000000000005</v>
      </c>
      <c r="AY37" s="1221">
        <f t="shared" si="42"/>
        <v>79.02</v>
      </c>
      <c r="AZ37" s="1221">
        <f t="shared" si="42"/>
        <v>79.03</v>
      </c>
      <c r="BA37" s="1221">
        <f t="shared" si="42"/>
        <v>80.040000000000006</v>
      </c>
      <c r="BB37" s="1221" t="str">
        <f t="shared" si="42"/>
        <v/>
      </c>
      <c r="BC37" s="1221" t="str">
        <f t="shared" si="42"/>
        <v/>
      </c>
      <c r="BD37" s="1221" t="str">
        <f t="shared" si="42"/>
        <v/>
      </c>
      <c r="BE37" s="1222" t="str">
        <f t="shared" si="42"/>
        <v/>
      </c>
      <c r="BF37" s="1221" t="str">
        <f t="shared" si="42"/>
        <v/>
      </c>
      <c r="BG37" s="1223" t="str">
        <f t="shared" si="42"/>
        <v/>
      </c>
      <c r="BH37" s="286">
        <f t="shared" si="35"/>
        <v>80.040000000000006</v>
      </c>
      <c r="BI37" s="286">
        <f t="shared" si="36"/>
        <v>79.02</v>
      </c>
      <c r="BJ37" s="287" t="str">
        <f t="shared" si="37"/>
        <v>cukup</v>
      </c>
      <c r="BK37" s="287" t="str">
        <f t="shared" si="37"/>
        <v>cukup</v>
      </c>
      <c r="BL37" s="286">
        <f t="shared" si="38"/>
        <v>4</v>
      </c>
      <c r="BM37" s="288">
        <f t="shared" si="39"/>
        <v>2</v>
      </c>
      <c r="BN37" s="289" t="str">
        <f t="shared" si="40"/>
        <v>Memiliki keterampilan cukup dalam menyajikan hasil pengamatan jenis hewan di lingkunagn sekitar dan menemukan jenis tumbuhan berdasarkan divisiso</v>
      </c>
      <c r="BO37" s="67"/>
    </row>
    <row r="38" spans="1:67" ht="33" customHeight="1">
      <c r="A38" s="67"/>
      <c r="B38" s="272">
        <f t="shared" si="23"/>
        <v>25</v>
      </c>
      <c r="C38" s="273">
        <f>IF(Data!F29="","",Data!F29)</f>
        <v>0</v>
      </c>
      <c r="D38" s="274" t="str">
        <f>IF(Data!H29="","",Data!H29)</f>
        <v>Maya Trifena Niobe</v>
      </c>
      <c r="E38" s="275" t="str">
        <f>IF(Data!I29="","",Data!I29)</f>
        <v>P</v>
      </c>
      <c r="F38" s="1494">
        <v>79</v>
      </c>
      <c r="G38" s="1495">
        <v>78</v>
      </c>
      <c r="H38" s="1495">
        <v>78</v>
      </c>
      <c r="I38" s="1495">
        <v>78</v>
      </c>
      <c r="J38" s="277"/>
      <c r="K38" s="277"/>
      <c r="L38" s="277"/>
      <c r="M38" s="280"/>
      <c r="N38" s="277"/>
      <c r="O38" s="278"/>
      <c r="P38" s="279">
        <f t="shared" si="24"/>
        <v>78</v>
      </c>
      <c r="Q38" s="1495">
        <v>78</v>
      </c>
      <c r="R38" s="1498">
        <v>78</v>
      </c>
      <c r="S38" s="281">
        <f t="shared" si="25"/>
        <v>78</v>
      </c>
      <c r="T38" s="295" t="str">
        <f t="shared" si="26"/>
        <v>C</v>
      </c>
      <c r="U38" s="1215">
        <f t="shared" si="41"/>
        <v>79.010000000000005</v>
      </c>
      <c r="V38" s="1216">
        <f t="shared" si="41"/>
        <v>78.02</v>
      </c>
      <c r="W38" s="1216">
        <f t="shared" si="41"/>
        <v>78.03</v>
      </c>
      <c r="X38" s="1216">
        <f t="shared" si="41"/>
        <v>78.040000000000006</v>
      </c>
      <c r="Y38" s="1216" t="str">
        <f t="shared" si="41"/>
        <v/>
      </c>
      <c r="Z38" s="1216" t="str">
        <f t="shared" si="41"/>
        <v/>
      </c>
      <c r="AA38" s="1216" t="str">
        <f t="shared" si="41"/>
        <v/>
      </c>
      <c r="AB38" s="1217" t="str">
        <f t="shared" si="41"/>
        <v/>
      </c>
      <c r="AC38" s="1216" t="str">
        <f t="shared" si="41"/>
        <v/>
      </c>
      <c r="AD38" s="1218" t="str">
        <f t="shared" si="41"/>
        <v/>
      </c>
      <c r="AE38" s="1219">
        <f t="shared" si="27"/>
        <v>79.010000000000005</v>
      </c>
      <c r="AF38" s="282">
        <f t="shared" si="28"/>
        <v>78.02</v>
      </c>
      <c r="AG38" s="282" t="str">
        <f t="shared" si="29"/>
        <v>cukup</v>
      </c>
      <c r="AH38" s="282" t="str">
        <f t="shared" si="29"/>
        <v>cukup</v>
      </c>
      <c r="AI38" s="282">
        <f t="shared" si="30"/>
        <v>1</v>
      </c>
      <c r="AJ38" s="283">
        <f t="shared" si="31"/>
        <v>2</v>
      </c>
      <c r="AK38" s="284" t="str">
        <f t="shared" si="32"/>
        <v>Memiliki kemampuan cukup dalam mengelompokkan jamur berdasarkan ciri, reproduksi dan peranannya dan mengelompokkan tumbuhan dalam divisio berdasarkan ciri dan peranan</v>
      </c>
      <c r="AL38" s="1494">
        <v>79</v>
      </c>
      <c r="AM38" s="1495">
        <v>79</v>
      </c>
      <c r="AN38" s="1495">
        <v>79</v>
      </c>
      <c r="AO38" s="1495">
        <v>79</v>
      </c>
      <c r="AP38" s="277"/>
      <c r="AQ38" s="277"/>
      <c r="AR38" s="277"/>
      <c r="AS38" s="280"/>
      <c r="AT38" s="277"/>
      <c r="AU38" s="278"/>
      <c r="AV38" s="285">
        <f t="shared" si="33"/>
        <v>79</v>
      </c>
      <c r="AW38" s="296" t="str">
        <f t="shared" si="34"/>
        <v>C</v>
      </c>
      <c r="AX38" s="1220">
        <f t="shared" si="42"/>
        <v>79.010000000000005</v>
      </c>
      <c r="AY38" s="1221">
        <f t="shared" si="42"/>
        <v>79.02</v>
      </c>
      <c r="AZ38" s="1221">
        <f t="shared" si="42"/>
        <v>79.03</v>
      </c>
      <c r="BA38" s="1221">
        <f t="shared" si="42"/>
        <v>79.040000000000006</v>
      </c>
      <c r="BB38" s="1221" t="str">
        <f t="shared" si="42"/>
        <v/>
      </c>
      <c r="BC38" s="1221" t="str">
        <f t="shared" si="42"/>
        <v/>
      </c>
      <c r="BD38" s="1221" t="str">
        <f t="shared" si="42"/>
        <v/>
      </c>
      <c r="BE38" s="1222" t="str">
        <f t="shared" si="42"/>
        <v/>
      </c>
      <c r="BF38" s="1221" t="str">
        <f t="shared" si="42"/>
        <v/>
      </c>
      <c r="BG38" s="1223" t="str">
        <f t="shared" si="42"/>
        <v/>
      </c>
      <c r="BH38" s="286">
        <f t="shared" si="35"/>
        <v>79.040000000000006</v>
      </c>
      <c r="BI38" s="286">
        <f t="shared" si="36"/>
        <v>79.010000000000005</v>
      </c>
      <c r="BJ38" s="287" t="str">
        <f t="shared" si="37"/>
        <v>cukup</v>
      </c>
      <c r="BK38" s="287" t="str">
        <f t="shared" si="37"/>
        <v>cukup</v>
      </c>
      <c r="BL38" s="286">
        <f t="shared" si="38"/>
        <v>4</v>
      </c>
      <c r="BM38" s="288">
        <f t="shared" si="39"/>
        <v>1</v>
      </c>
      <c r="BN38" s="289" t="str">
        <f t="shared" si="40"/>
        <v>Memiliki keterampilan cukup dalam menyajikan hasil pengamatan jenis hewan di lingkunagn sekitar dan menjelaskan kelompok jamur berdasarkan ciri, reproduksi dan peran</v>
      </c>
      <c r="BO38" s="67"/>
    </row>
    <row r="39" spans="1:67" ht="33" customHeight="1">
      <c r="A39" s="67"/>
      <c r="B39" s="272">
        <f t="shared" si="23"/>
        <v>26</v>
      </c>
      <c r="C39" s="273">
        <f>IF(Data!F30="","",Data!F30)</f>
        <v>0</v>
      </c>
      <c r="D39" s="274" t="str">
        <f>IF(Data!H30="","",Data!H30)</f>
        <v>Misel Miranda Sora</v>
      </c>
      <c r="E39" s="275" t="str">
        <f>IF(Data!I30="","",Data!I30)</f>
        <v>P</v>
      </c>
      <c r="F39" s="1494">
        <v>81</v>
      </c>
      <c r="G39" s="1495">
        <v>79</v>
      </c>
      <c r="H39" s="1495">
        <v>79</v>
      </c>
      <c r="I39" s="1495">
        <v>80</v>
      </c>
      <c r="J39" s="277"/>
      <c r="K39" s="277"/>
      <c r="L39" s="277"/>
      <c r="M39" s="280"/>
      <c r="N39" s="277"/>
      <c r="O39" s="278"/>
      <c r="P39" s="279">
        <f t="shared" si="24"/>
        <v>80</v>
      </c>
      <c r="Q39" s="1495">
        <v>80</v>
      </c>
      <c r="R39" s="1498">
        <v>79</v>
      </c>
      <c r="S39" s="281">
        <f t="shared" si="25"/>
        <v>80</v>
      </c>
      <c r="T39" s="295" t="str">
        <f t="shared" si="26"/>
        <v>C</v>
      </c>
      <c r="U39" s="1215">
        <f t="shared" si="41"/>
        <v>81.010000000000005</v>
      </c>
      <c r="V39" s="1216">
        <f t="shared" si="41"/>
        <v>79.02</v>
      </c>
      <c r="W39" s="1216">
        <f t="shared" si="41"/>
        <v>79.03</v>
      </c>
      <c r="X39" s="1216">
        <f t="shared" si="41"/>
        <v>80.040000000000006</v>
      </c>
      <c r="Y39" s="1216" t="str">
        <f t="shared" si="41"/>
        <v/>
      </c>
      <c r="Z39" s="1216" t="str">
        <f t="shared" si="41"/>
        <v/>
      </c>
      <c r="AA39" s="1216" t="str">
        <f t="shared" si="41"/>
        <v/>
      </c>
      <c r="AB39" s="1217" t="str">
        <f t="shared" si="41"/>
        <v/>
      </c>
      <c r="AC39" s="1216" t="str">
        <f t="shared" si="41"/>
        <v/>
      </c>
      <c r="AD39" s="1218" t="str">
        <f t="shared" si="41"/>
        <v/>
      </c>
      <c r="AE39" s="1219">
        <f t="shared" si="27"/>
        <v>81.010000000000005</v>
      </c>
      <c r="AF39" s="282">
        <f t="shared" si="28"/>
        <v>79.02</v>
      </c>
      <c r="AG39" s="282" t="str">
        <f t="shared" si="29"/>
        <v>cukup</v>
      </c>
      <c r="AH39" s="282" t="str">
        <f t="shared" si="29"/>
        <v>cukup</v>
      </c>
      <c r="AI39" s="282">
        <f t="shared" si="30"/>
        <v>1</v>
      </c>
      <c r="AJ39" s="283">
        <f t="shared" si="31"/>
        <v>2</v>
      </c>
      <c r="AK39" s="284" t="str">
        <f t="shared" si="32"/>
        <v>Memiliki kemampuan cukup dalam mengelompokkan jamur berdasarkan ciri, reproduksi dan peranannya dan mengelompokkan tumbuhan dalam divisio berdasarkan ciri dan peranan</v>
      </c>
      <c r="AL39" s="1494">
        <v>80</v>
      </c>
      <c r="AM39" s="1495">
        <v>79</v>
      </c>
      <c r="AN39" s="1495">
        <v>80</v>
      </c>
      <c r="AO39" s="1495">
        <v>80</v>
      </c>
      <c r="AP39" s="277"/>
      <c r="AQ39" s="277"/>
      <c r="AR39" s="277"/>
      <c r="AS39" s="280"/>
      <c r="AT39" s="277"/>
      <c r="AU39" s="278"/>
      <c r="AV39" s="285">
        <f t="shared" si="33"/>
        <v>80</v>
      </c>
      <c r="AW39" s="296" t="str">
        <f t="shared" si="34"/>
        <v>C</v>
      </c>
      <c r="AX39" s="1220">
        <f t="shared" si="42"/>
        <v>80.010000000000005</v>
      </c>
      <c r="AY39" s="1221">
        <f t="shared" si="42"/>
        <v>79.02</v>
      </c>
      <c r="AZ39" s="1221">
        <f t="shared" si="42"/>
        <v>80.03</v>
      </c>
      <c r="BA39" s="1221">
        <f t="shared" si="42"/>
        <v>80.040000000000006</v>
      </c>
      <c r="BB39" s="1221" t="str">
        <f t="shared" si="42"/>
        <v/>
      </c>
      <c r="BC39" s="1221" t="str">
        <f t="shared" si="42"/>
        <v/>
      </c>
      <c r="BD39" s="1221" t="str">
        <f t="shared" si="42"/>
        <v/>
      </c>
      <c r="BE39" s="1222" t="str">
        <f t="shared" si="42"/>
        <v/>
      </c>
      <c r="BF39" s="1221" t="str">
        <f t="shared" si="42"/>
        <v/>
      </c>
      <c r="BG39" s="1223" t="str">
        <f t="shared" si="42"/>
        <v/>
      </c>
      <c r="BH39" s="286">
        <f t="shared" si="35"/>
        <v>80.040000000000006</v>
      </c>
      <c r="BI39" s="286">
        <f t="shared" si="36"/>
        <v>79.02</v>
      </c>
      <c r="BJ39" s="287" t="str">
        <f t="shared" si="37"/>
        <v>cukup</v>
      </c>
      <c r="BK39" s="287" t="str">
        <f t="shared" si="37"/>
        <v>cukup</v>
      </c>
      <c r="BL39" s="286">
        <f t="shared" si="38"/>
        <v>4</v>
      </c>
      <c r="BM39" s="288">
        <f t="shared" si="39"/>
        <v>2</v>
      </c>
      <c r="BN39" s="289" t="str">
        <f t="shared" si="40"/>
        <v>Memiliki keterampilan cukup dalam menyajikan hasil pengamatan jenis hewan di lingkunagn sekitar dan menemukan jenis tumbuhan berdasarkan divisiso</v>
      </c>
      <c r="BO39" s="67"/>
    </row>
    <row r="40" spans="1:67" ht="33" customHeight="1">
      <c r="A40" s="67"/>
      <c r="B40" s="272">
        <f t="shared" si="23"/>
        <v>27</v>
      </c>
      <c r="C40" s="273">
        <f>IF(Data!F31="","",Data!F31)</f>
        <v>0</v>
      </c>
      <c r="D40" s="274" t="str">
        <f>IF(Data!H31="","",Data!H31)</f>
        <v>Nofianti Tainmeta</v>
      </c>
      <c r="E40" s="275" t="str">
        <f>IF(Data!I31="","",Data!I31)</f>
        <v>P</v>
      </c>
      <c r="F40" s="1494">
        <v>80</v>
      </c>
      <c r="G40" s="1495">
        <v>80</v>
      </c>
      <c r="H40" s="1495">
        <v>79</v>
      </c>
      <c r="I40" s="1495">
        <v>79</v>
      </c>
      <c r="J40" s="277"/>
      <c r="K40" s="277"/>
      <c r="L40" s="277"/>
      <c r="M40" s="280"/>
      <c r="N40" s="277"/>
      <c r="O40" s="278"/>
      <c r="P40" s="279">
        <f t="shared" si="24"/>
        <v>80</v>
      </c>
      <c r="Q40" s="1495">
        <v>80</v>
      </c>
      <c r="R40" s="1498">
        <v>80</v>
      </c>
      <c r="S40" s="281">
        <f t="shared" si="25"/>
        <v>80</v>
      </c>
      <c r="T40" s="295" t="str">
        <f t="shared" si="26"/>
        <v>C</v>
      </c>
      <c r="U40" s="1215">
        <f t="shared" si="41"/>
        <v>80.010000000000005</v>
      </c>
      <c r="V40" s="1216">
        <f t="shared" si="41"/>
        <v>80.02</v>
      </c>
      <c r="W40" s="1216">
        <f t="shared" si="41"/>
        <v>79.03</v>
      </c>
      <c r="X40" s="1216">
        <f t="shared" si="41"/>
        <v>79.040000000000006</v>
      </c>
      <c r="Y40" s="1216" t="str">
        <f t="shared" si="41"/>
        <v/>
      </c>
      <c r="Z40" s="1216" t="str">
        <f t="shared" si="41"/>
        <v/>
      </c>
      <c r="AA40" s="1216" t="str">
        <f t="shared" si="41"/>
        <v/>
      </c>
      <c r="AB40" s="1217" t="str">
        <f t="shared" si="41"/>
        <v/>
      </c>
      <c r="AC40" s="1216" t="str">
        <f t="shared" si="41"/>
        <v/>
      </c>
      <c r="AD40" s="1218" t="str">
        <f t="shared" si="41"/>
        <v/>
      </c>
      <c r="AE40" s="1219">
        <f t="shared" si="27"/>
        <v>80.02</v>
      </c>
      <c r="AF40" s="282">
        <f t="shared" si="28"/>
        <v>79.03</v>
      </c>
      <c r="AG40" s="282" t="str">
        <f t="shared" si="29"/>
        <v>cukup</v>
      </c>
      <c r="AH40" s="282" t="str">
        <f t="shared" si="29"/>
        <v>cukup</v>
      </c>
      <c r="AI40" s="282">
        <f t="shared" si="30"/>
        <v>2</v>
      </c>
      <c r="AJ40" s="283">
        <f t="shared" si="31"/>
        <v>3</v>
      </c>
      <c r="AK40" s="284" t="str">
        <f t="shared" si="32"/>
        <v>Memiliki kemampuan cukup dalam mengelompokkan tumbuhan dalam divisio berdasarkan ciri dan peranan dan mengenal berbagai jenis hewan berdasarkan filum</v>
      </c>
      <c r="AL40" s="1494">
        <v>81</v>
      </c>
      <c r="AM40" s="1495">
        <v>80</v>
      </c>
      <c r="AN40" s="1495">
        <v>79</v>
      </c>
      <c r="AO40" s="1495">
        <v>79</v>
      </c>
      <c r="AP40" s="277"/>
      <c r="AQ40" s="277"/>
      <c r="AR40" s="277"/>
      <c r="AS40" s="280"/>
      <c r="AT40" s="277"/>
      <c r="AU40" s="278"/>
      <c r="AV40" s="285">
        <f t="shared" si="33"/>
        <v>80</v>
      </c>
      <c r="AW40" s="296" t="str">
        <f t="shared" si="34"/>
        <v>C</v>
      </c>
      <c r="AX40" s="1220">
        <f t="shared" si="42"/>
        <v>81.010000000000005</v>
      </c>
      <c r="AY40" s="1221">
        <f t="shared" si="42"/>
        <v>80.02</v>
      </c>
      <c r="AZ40" s="1221">
        <f t="shared" si="42"/>
        <v>79.03</v>
      </c>
      <c r="BA40" s="1221">
        <f t="shared" si="42"/>
        <v>79.040000000000006</v>
      </c>
      <c r="BB40" s="1221" t="str">
        <f t="shared" si="42"/>
        <v/>
      </c>
      <c r="BC40" s="1221" t="str">
        <f t="shared" si="42"/>
        <v/>
      </c>
      <c r="BD40" s="1221" t="str">
        <f t="shared" si="42"/>
        <v/>
      </c>
      <c r="BE40" s="1222" t="str">
        <f t="shared" si="42"/>
        <v/>
      </c>
      <c r="BF40" s="1221" t="str">
        <f t="shared" si="42"/>
        <v/>
      </c>
      <c r="BG40" s="1223" t="str">
        <f t="shared" si="42"/>
        <v/>
      </c>
      <c r="BH40" s="286">
        <f t="shared" si="35"/>
        <v>81.010000000000005</v>
      </c>
      <c r="BI40" s="286">
        <f t="shared" si="36"/>
        <v>79.03</v>
      </c>
      <c r="BJ40" s="287" t="str">
        <f t="shared" si="37"/>
        <v>cukup</v>
      </c>
      <c r="BK40" s="287" t="str">
        <f t="shared" si="37"/>
        <v>cukup</v>
      </c>
      <c r="BL40" s="286">
        <f t="shared" si="38"/>
        <v>1</v>
      </c>
      <c r="BM40" s="288">
        <f t="shared" si="39"/>
        <v>3</v>
      </c>
      <c r="BN40" s="289" t="str">
        <f t="shared" si="40"/>
        <v>Memiliki keterampilan cukup dalam menjelaskan kelompok jamur berdasarkan ciri, reproduksi dan peran dan menjelaskan kelompok hewan berdasarkan ciri, reproduksi dan peran</v>
      </c>
      <c r="BO40" s="67"/>
    </row>
    <row r="41" spans="1:67" ht="33" customHeight="1">
      <c r="A41" s="67"/>
      <c r="B41" s="272">
        <f t="shared" si="23"/>
        <v>28</v>
      </c>
      <c r="C41" s="273">
        <f>IF(Data!F32="","",Data!F32)</f>
        <v>0</v>
      </c>
      <c r="D41" s="274" t="str">
        <f>IF(Data!H32="","",Data!H32)</f>
        <v>Ofni Antrikus Banun</v>
      </c>
      <c r="E41" s="275" t="str">
        <f>IF(Data!I32="","",Data!I32)</f>
        <v>L</v>
      </c>
      <c r="F41" s="1494">
        <v>75</v>
      </c>
      <c r="G41" s="1495">
        <v>75</v>
      </c>
      <c r="H41" s="1495">
        <v>70</v>
      </c>
      <c r="I41" s="1495">
        <v>70</v>
      </c>
      <c r="J41" s="277"/>
      <c r="K41" s="277"/>
      <c r="L41" s="277"/>
      <c r="M41" s="280"/>
      <c r="N41" s="277"/>
      <c r="O41" s="278"/>
      <c r="P41" s="279">
        <f t="shared" si="24"/>
        <v>73</v>
      </c>
      <c r="Q41" s="1495">
        <v>77</v>
      </c>
      <c r="R41" s="1498">
        <v>75</v>
      </c>
      <c r="S41" s="281">
        <f t="shared" si="25"/>
        <v>75</v>
      </c>
      <c r="T41" s="295" t="str">
        <f t="shared" si="26"/>
        <v>D</v>
      </c>
      <c r="U41" s="1215">
        <f t="shared" si="41"/>
        <v>75.010000000000005</v>
      </c>
      <c r="V41" s="1216">
        <f t="shared" si="41"/>
        <v>75.02</v>
      </c>
      <c r="W41" s="1216">
        <f t="shared" si="41"/>
        <v>70.03</v>
      </c>
      <c r="X41" s="1216">
        <f t="shared" si="41"/>
        <v>70.040000000000006</v>
      </c>
      <c r="Y41" s="1216" t="str">
        <f t="shared" si="41"/>
        <v/>
      </c>
      <c r="Z41" s="1216" t="str">
        <f t="shared" si="41"/>
        <v/>
      </c>
      <c r="AA41" s="1216" t="str">
        <f t="shared" si="41"/>
        <v/>
      </c>
      <c r="AB41" s="1217" t="str">
        <f t="shared" si="41"/>
        <v/>
      </c>
      <c r="AC41" s="1216" t="str">
        <f t="shared" si="41"/>
        <v/>
      </c>
      <c r="AD41" s="1218" t="str">
        <f t="shared" si="41"/>
        <v/>
      </c>
      <c r="AE41" s="1219">
        <f t="shared" si="27"/>
        <v>75.02</v>
      </c>
      <c r="AF41" s="282">
        <f t="shared" si="28"/>
        <v>70.03</v>
      </c>
      <c r="AG41" s="282" t="str">
        <f t="shared" si="29"/>
        <v>perlu dimaksimalkan</v>
      </c>
      <c r="AH41" s="282" t="str">
        <f t="shared" si="29"/>
        <v>perlu dimaksimalkan</v>
      </c>
      <c r="AI41" s="282">
        <f t="shared" si="30"/>
        <v>2</v>
      </c>
      <c r="AJ41" s="283">
        <f t="shared" si="31"/>
        <v>3</v>
      </c>
      <c r="AK41" s="284" t="str">
        <f t="shared" si="32"/>
        <v>Memiliki kemampuan perlu dimaksimalkan dalam mengelompokkan tumbuhan dalam divisio berdasarkan ciri dan peranan dan mengenal berbagai jenis hewan berdasarkan filum</v>
      </c>
      <c r="AL41" s="1494">
        <v>77</v>
      </c>
      <c r="AM41" s="1495">
        <v>77</v>
      </c>
      <c r="AN41" s="1495">
        <v>75</v>
      </c>
      <c r="AO41" s="1495">
        <v>70</v>
      </c>
      <c r="AP41" s="277"/>
      <c r="AQ41" s="277"/>
      <c r="AR41" s="277"/>
      <c r="AS41" s="280"/>
      <c r="AT41" s="277"/>
      <c r="AU41" s="278"/>
      <c r="AV41" s="285">
        <f t="shared" si="33"/>
        <v>75</v>
      </c>
      <c r="AW41" s="296" t="str">
        <f t="shared" si="34"/>
        <v>D</v>
      </c>
      <c r="AX41" s="1220">
        <f t="shared" si="42"/>
        <v>77.010000000000005</v>
      </c>
      <c r="AY41" s="1221">
        <f t="shared" si="42"/>
        <v>77.02</v>
      </c>
      <c r="AZ41" s="1221">
        <f t="shared" si="42"/>
        <v>75.03</v>
      </c>
      <c r="BA41" s="1221">
        <f t="shared" si="42"/>
        <v>70.040000000000006</v>
      </c>
      <c r="BB41" s="1221" t="str">
        <f t="shared" si="42"/>
        <v/>
      </c>
      <c r="BC41" s="1221" t="str">
        <f t="shared" si="42"/>
        <v/>
      </c>
      <c r="BD41" s="1221" t="str">
        <f t="shared" si="42"/>
        <v/>
      </c>
      <c r="BE41" s="1222" t="str">
        <f t="shared" si="42"/>
        <v/>
      </c>
      <c r="BF41" s="1221" t="str">
        <f t="shared" si="42"/>
        <v/>
      </c>
      <c r="BG41" s="1223" t="str">
        <f t="shared" si="42"/>
        <v/>
      </c>
      <c r="BH41" s="286">
        <f t="shared" si="35"/>
        <v>77.02</v>
      </c>
      <c r="BI41" s="286">
        <f t="shared" si="36"/>
        <v>70.040000000000006</v>
      </c>
      <c r="BJ41" s="287" t="str">
        <f t="shared" si="37"/>
        <v>cukup</v>
      </c>
      <c r="BK41" s="287" t="str">
        <f t="shared" si="37"/>
        <v>perlu dimaksimalkan</v>
      </c>
      <c r="BL41" s="286">
        <f t="shared" si="38"/>
        <v>2</v>
      </c>
      <c r="BM41" s="288">
        <f t="shared" si="39"/>
        <v>4</v>
      </c>
      <c r="BN41" s="289" t="str">
        <f t="shared" si="40"/>
        <v>Memiliki keterampilan cukup dalam menemukan jenis tumbuhan berdasarkan divisiso, perlu dimaksimalkan keterampilan dalam menyajikan hasil pengamatan jenis hewan di lingkunagn sekitar</v>
      </c>
      <c r="BO41" s="67"/>
    </row>
    <row r="42" spans="1:67" ht="33" customHeight="1">
      <c r="A42" s="67"/>
      <c r="B42" s="272">
        <f t="shared" si="23"/>
        <v>29</v>
      </c>
      <c r="C42" s="273">
        <f>IF(Data!F33="","",Data!F33)</f>
        <v>0</v>
      </c>
      <c r="D42" s="274" t="str">
        <f>IF(Data!H33="","",Data!H33)</f>
        <v>Roiyandi Saebesi</v>
      </c>
      <c r="E42" s="275" t="str">
        <f>IF(Data!I33="","",Data!I33)</f>
        <v>L</v>
      </c>
      <c r="F42" s="1494">
        <v>80</v>
      </c>
      <c r="G42" s="1495">
        <v>80</v>
      </c>
      <c r="H42" s="1495">
        <v>77</v>
      </c>
      <c r="I42" s="1495">
        <v>77</v>
      </c>
      <c r="J42" s="277"/>
      <c r="K42" s="277"/>
      <c r="L42" s="277"/>
      <c r="M42" s="280"/>
      <c r="N42" s="277"/>
      <c r="O42" s="278"/>
      <c r="P42" s="279">
        <f t="shared" si="24"/>
        <v>79</v>
      </c>
      <c r="Q42" s="1495">
        <v>79</v>
      </c>
      <c r="R42" s="1498">
        <v>80</v>
      </c>
      <c r="S42" s="281">
        <f t="shared" si="25"/>
        <v>79</v>
      </c>
      <c r="T42" s="295" t="str">
        <f t="shared" si="26"/>
        <v>C</v>
      </c>
      <c r="U42" s="1215">
        <f t="shared" si="41"/>
        <v>80.010000000000005</v>
      </c>
      <c r="V42" s="1216">
        <f t="shared" si="41"/>
        <v>80.02</v>
      </c>
      <c r="W42" s="1216">
        <f t="shared" si="41"/>
        <v>77.03</v>
      </c>
      <c r="X42" s="1216">
        <f t="shared" si="41"/>
        <v>77.040000000000006</v>
      </c>
      <c r="Y42" s="1216" t="str">
        <f t="shared" si="41"/>
        <v/>
      </c>
      <c r="Z42" s="1216" t="str">
        <f t="shared" si="41"/>
        <v/>
      </c>
      <c r="AA42" s="1216" t="str">
        <f t="shared" si="41"/>
        <v/>
      </c>
      <c r="AB42" s="1217" t="str">
        <f t="shared" si="41"/>
        <v/>
      </c>
      <c r="AC42" s="1216" t="str">
        <f t="shared" si="41"/>
        <v/>
      </c>
      <c r="AD42" s="1218" t="str">
        <f t="shared" si="41"/>
        <v/>
      </c>
      <c r="AE42" s="1219">
        <f t="shared" si="27"/>
        <v>80.02</v>
      </c>
      <c r="AF42" s="282">
        <f t="shared" si="28"/>
        <v>77.03</v>
      </c>
      <c r="AG42" s="282" t="str">
        <f t="shared" si="29"/>
        <v>cukup</v>
      </c>
      <c r="AH42" s="282" t="str">
        <f t="shared" si="29"/>
        <v>cukup</v>
      </c>
      <c r="AI42" s="282">
        <f t="shared" si="30"/>
        <v>2</v>
      </c>
      <c r="AJ42" s="283">
        <f t="shared" si="31"/>
        <v>3</v>
      </c>
      <c r="AK42" s="284" t="str">
        <f t="shared" si="32"/>
        <v>Memiliki kemampuan cukup dalam mengelompokkan tumbuhan dalam divisio berdasarkan ciri dan peranan dan mengenal berbagai jenis hewan berdasarkan filum</v>
      </c>
      <c r="AL42" s="1494">
        <v>80</v>
      </c>
      <c r="AM42" s="1495">
        <v>79</v>
      </c>
      <c r="AN42" s="1495">
        <v>79</v>
      </c>
      <c r="AO42" s="1495">
        <v>77</v>
      </c>
      <c r="AP42" s="277"/>
      <c r="AQ42" s="277"/>
      <c r="AR42" s="277"/>
      <c r="AS42" s="280"/>
      <c r="AT42" s="277"/>
      <c r="AU42" s="278"/>
      <c r="AV42" s="285">
        <f t="shared" si="33"/>
        <v>79</v>
      </c>
      <c r="AW42" s="296" t="str">
        <f t="shared" si="34"/>
        <v>C</v>
      </c>
      <c r="AX42" s="1220">
        <f t="shared" si="42"/>
        <v>80.010000000000005</v>
      </c>
      <c r="AY42" s="1221">
        <f t="shared" si="42"/>
        <v>79.02</v>
      </c>
      <c r="AZ42" s="1221">
        <f t="shared" si="42"/>
        <v>79.03</v>
      </c>
      <c r="BA42" s="1221">
        <f t="shared" si="42"/>
        <v>77.040000000000006</v>
      </c>
      <c r="BB42" s="1221" t="str">
        <f t="shared" si="42"/>
        <v/>
      </c>
      <c r="BC42" s="1221" t="str">
        <f t="shared" si="42"/>
        <v/>
      </c>
      <c r="BD42" s="1221" t="str">
        <f t="shared" si="42"/>
        <v/>
      </c>
      <c r="BE42" s="1222" t="str">
        <f t="shared" si="42"/>
        <v/>
      </c>
      <c r="BF42" s="1221" t="str">
        <f t="shared" si="42"/>
        <v/>
      </c>
      <c r="BG42" s="1223" t="str">
        <f t="shared" si="42"/>
        <v/>
      </c>
      <c r="BH42" s="286">
        <f t="shared" si="35"/>
        <v>80.010000000000005</v>
      </c>
      <c r="BI42" s="286">
        <f t="shared" si="36"/>
        <v>77.040000000000006</v>
      </c>
      <c r="BJ42" s="287" t="str">
        <f t="shared" si="37"/>
        <v>cukup</v>
      </c>
      <c r="BK42" s="287" t="str">
        <f t="shared" si="37"/>
        <v>cukup</v>
      </c>
      <c r="BL42" s="286">
        <f t="shared" si="38"/>
        <v>1</v>
      </c>
      <c r="BM42" s="288">
        <f t="shared" si="39"/>
        <v>4</v>
      </c>
      <c r="BN42" s="289" t="str">
        <f t="shared" si="40"/>
        <v>Memiliki keterampilan cukup dalam menjelaskan kelompok jamur berdasarkan ciri, reproduksi dan peran dan menyajikan hasil pengamatan jenis hewan di lingkunagn sekitar</v>
      </c>
      <c r="BO42" s="67"/>
    </row>
    <row r="43" spans="1:67" ht="33" customHeight="1">
      <c r="A43" s="67"/>
      <c r="B43" s="272">
        <f t="shared" si="23"/>
        <v>30</v>
      </c>
      <c r="C43" s="273">
        <f>IF(Data!F34="","",Data!F34)</f>
        <v>0</v>
      </c>
      <c r="D43" s="274" t="str">
        <f>IF(Data!H34="","",Data!H34)</f>
        <v>Roni Yohanis Bira</v>
      </c>
      <c r="E43" s="275" t="str">
        <f>IF(Data!I34="","",Data!I34)</f>
        <v>L</v>
      </c>
      <c r="F43" s="1494">
        <v>80</v>
      </c>
      <c r="G43" s="1495">
        <v>79</v>
      </c>
      <c r="H43" s="1495">
        <v>80</v>
      </c>
      <c r="I43" s="1495">
        <v>79</v>
      </c>
      <c r="J43" s="277"/>
      <c r="K43" s="277"/>
      <c r="L43" s="277"/>
      <c r="M43" s="280"/>
      <c r="N43" s="277"/>
      <c r="O43" s="278"/>
      <c r="P43" s="279">
        <f t="shared" si="24"/>
        <v>80</v>
      </c>
      <c r="Q43" s="1495">
        <v>79</v>
      </c>
      <c r="R43" s="1498">
        <v>79</v>
      </c>
      <c r="S43" s="281">
        <f t="shared" si="25"/>
        <v>80</v>
      </c>
      <c r="T43" s="295" t="str">
        <f t="shared" si="26"/>
        <v>C</v>
      </c>
      <c r="U43" s="1215">
        <f t="shared" si="41"/>
        <v>80.010000000000005</v>
      </c>
      <c r="V43" s="1216">
        <f t="shared" si="41"/>
        <v>79.02</v>
      </c>
      <c r="W43" s="1216">
        <f t="shared" si="41"/>
        <v>80.03</v>
      </c>
      <c r="X43" s="1216">
        <f t="shared" si="41"/>
        <v>79.040000000000006</v>
      </c>
      <c r="Y43" s="1216" t="str">
        <f t="shared" si="41"/>
        <v/>
      </c>
      <c r="Z43" s="1216" t="str">
        <f t="shared" si="41"/>
        <v/>
      </c>
      <c r="AA43" s="1216" t="str">
        <f t="shared" si="41"/>
        <v/>
      </c>
      <c r="AB43" s="1217" t="str">
        <f t="shared" si="41"/>
        <v/>
      </c>
      <c r="AC43" s="1216" t="str">
        <f t="shared" si="41"/>
        <v/>
      </c>
      <c r="AD43" s="1218" t="str">
        <f t="shared" si="41"/>
        <v/>
      </c>
      <c r="AE43" s="1219">
        <f t="shared" si="27"/>
        <v>80.03</v>
      </c>
      <c r="AF43" s="282">
        <f t="shared" si="28"/>
        <v>79.02</v>
      </c>
      <c r="AG43" s="282" t="str">
        <f t="shared" si="29"/>
        <v>cukup</v>
      </c>
      <c r="AH43" s="282" t="str">
        <f t="shared" si="29"/>
        <v>cukup</v>
      </c>
      <c r="AI43" s="282">
        <f t="shared" si="30"/>
        <v>3</v>
      </c>
      <c r="AJ43" s="283">
        <f t="shared" si="31"/>
        <v>2</v>
      </c>
      <c r="AK43" s="284" t="str">
        <f t="shared" si="32"/>
        <v>Memiliki kemampuan cukup dalam mengenal berbagai jenis hewan berdasarkan filum dan mengelompokkan tumbuhan dalam divisio berdasarkan ciri dan peranan</v>
      </c>
      <c r="AL43" s="1494">
        <v>80</v>
      </c>
      <c r="AM43" s="1495">
        <v>77</v>
      </c>
      <c r="AN43" s="1495">
        <v>79</v>
      </c>
      <c r="AO43" s="1495">
        <v>77</v>
      </c>
      <c r="AP43" s="277"/>
      <c r="AQ43" s="277"/>
      <c r="AR43" s="277"/>
      <c r="AS43" s="280"/>
      <c r="AT43" s="277"/>
      <c r="AU43" s="278"/>
      <c r="AV43" s="285">
        <f t="shared" si="33"/>
        <v>78</v>
      </c>
      <c r="AW43" s="296" t="str">
        <f t="shared" si="34"/>
        <v>C</v>
      </c>
      <c r="AX43" s="1220">
        <f t="shared" si="42"/>
        <v>80.010000000000005</v>
      </c>
      <c r="AY43" s="1221">
        <f t="shared" si="42"/>
        <v>77.02</v>
      </c>
      <c r="AZ43" s="1221">
        <f t="shared" si="42"/>
        <v>79.03</v>
      </c>
      <c r="BA43" s="1221">
        <f t="shared" si="42"/>
        <v>77.040000000000006</v>
      </c>
      <c r="BB43" s="1221" t="str">
        <f t="shared" si="42"/>
        <v/>
      </c>
      <c r="BC43" s="1221" t="str">
        <f t="shared" si="42"/>
        <v/>
      </c>
      <c r="BD43" s="1221" t="str">
        <f t="shared" si="42"/>
        <v/>
      </c>
      <c r="BE43" s="1222" t="str">
        <f t="shared" si="42"/>
        <v/>
      </c>
      <c r="BF43" s="1221" t="str">
        <f t="shared" si="42"/>
        <v/>
      </c>
      <c r="BG43" s="1223" t="str">
        <f t="shared" si="42"/>
        <v/>
      </c>
      <c r="BH43" s="286">
        <f t="shared" si="35"/>
        <v>80.010000000000005</v>
      </c>
      <c r="BI43" s="286">
        <f t="shared" si="36"/>
        <v>77.02</v>
      </c>
      <c r="BJ43" s="287" t="str">
        <f t="shared" si="37"/>
        <v>cukup</v>
      </c>
      <c r="BK43" s="287" t="str">
        <f t="shared" si="37"/>
        <v>cukup</v>
      </c>
      <c r="BL43" s="286">
        <f t="shared" si="38"/>
        <v>1</v>
      </c>
      <c r="BM43" s="288">
        <f t="shared" si="39"/>
        <v>2</v>
      </c>
      <c r="BN43" s="289" t="str">
        <f t="shared" si="40"/>
        <v>Memiliki keterampilan cukup dalam menjelaskan kelompok jamur berdasarkan ciri, reproduksi dan peran dan menemukan jenis tumbuhan berdasarkan divisiso</v>
      </c>
      <c r="BO43" s="67"/>
    </row>
    <row r="44" spans="1:67" ht="33" customHeight="1">
      <c r="A44" s="67"/>
      <c r="B44" s="272">
        <f t="shared" si="23"/>
        <v>31</v>
      </c>
      <c r="C44" s="273">
        <f>IF(Data!F35="","",Data!F35)</f>
        <v>0</v>
      </c>
      <c r="D44" s="274" t="str">
        <f>IF(Data!H35="","",Data!H35)</f>
        <v>Sinta Norliana Funan</v>
      </c>
      <c r="E44" s="275" t="str">
        <f>IF(Data!I35="","",Data!I35)</f>
        <v>P</v>
      </c>
      <c r="F44" s="1494">
        <v>80</v>
      </c>
      <c r="G44" s="1495">
        <v>80</v>
      </c>
      <c r="H44" s="1495">
        <v>79</v>
      </c>
      <c r="I44" s="1495">
        <v>79</v>
      </c>
      <c r="J44" s="277"/>
      <c r="K44" s="277"/>
      <c r="L44" s="277"/>
      <c r="M44" s="280"/>
      <c r="N44" s="277"/>
      <c r="O44" s="278"/>
      <c r="P44" s="279">
        <f t="shared" si="24"/>
        <v>80</v>
      </c>
      <c r="Q44" s="1495">
        <v>80</v>
      </c>
      <c r="R44" s="1498">
        <v>80</v>
      </c>
      <c r="S44" s="281">
        <f t="shared" si="25"/>
        <v>80</v>
      </c>
      <c r="T44" s="295" t="str">
        <f t="shared" si="26"/>
        <v>C</v>
      </c>
      <c r="U44" s="1215">
        <f t="shared" si="41"/>
        <v>80.010000000000005</v>
      </c>
      <c r="V44" s="1216">
        <f t="shared" si="41"/>
        <v>80.02</v>
      </c>
      <c r="W44" s="1216">
        <f t="shared" si="41"/>
        <v>79.03</v>
      </c>
      <c r="X44" s="1216">
        <f t="shared" si="41"/>
        <v>79.040000000000006</v>
      </c>
      <c r="Y44" s="1216" t="str">
        <f t="shared" si="41"/>
        <v/>
      </c>
      <c r="Z44" s="1216" t="str">
        <f t="shared" si="41"/>
        <v/>
      </c>
      <c r="AA44" s="1216" t="str">
        <f t="shared" si="41"/>
        <v/>
      </c>
      <c r="AB44" s="1217" t="str">
        <f t="shared" si="41"/>
        <v/>
      </c>
      <c r="AC44" s="1216" t="str">
        <f t="shared" si="41"/>
        <v/>
      </c>
      <c r="AD44" s="1218" t="str">
        <f t="shared" si="41"/>
        <v/>
      </c>
      <c r="AE44" s="1219">
        <f t="shared" si="27"/>
        <v>80.02</v>
      </c>
      <c r="AF44" s="282">
        <f t="shared" si="28"/>
        <v>79.03</v>
      </c>
      <c r="AG44" s="282" t="str">
        <f t="shared" si="29"/>
        <v>cukup</v>
      </c>
      <c r="AH44" s="282" t="str">
        <f t="shared" si="29"/>
        <v>cukup</v>
      </c>
      <c r="AI44" s="282">
        <f t="shared" si="30"/>
        <v>2</v>
      </c>
      <c r="AJ44" s="283">
        <f t="shared" si="31"/>
        <v>3</v>
      </c>
      <c r="AK44" s="284" t="str">
        <f t="shared" si="32"/>
        <v>Memiliki kemampuan cukup dalam mengelompokkan tumbuhan dalam divisio berdasarkan ciri dan peranan dan mengenal berbagai jenis hewan berdasarkan filum</v>
      </c>
      <c r="AL44" s="1494">
        <v>80</v>
      </c>
      <c r="AM44" s="1495">
        <v>80</v>
      </c>
      <c r="AN44" s="1495">
        <v>79</v>
      </c>
      <c r="AO44" s="1495">
        <v>79</v>
      </c>
      <c r="AP44" s="277"/>
      <c r="AQ44" s="277"/>
      <c r="AR44" s="277"/>
      <c r="AS44" s="280"/>
      <c r="AT44" s="277"/>
      <c r="AU44" s="278"/>
      <c r="AV44" s="285">
        <f t="shared" si="33"/>
        <v>80</v>
      </c>
      <c r="AW44" s="296" t="str">
        <f t="shared" si="34"/>
        <v>C</v>
      </c>
      <c r="AX44" s="1220">
        <f t="shared" si="42"/>
        <v>80.010000000000005</v>
      </c>
      <c r="AY44" s="1221">
        <f t="shared" si="42"/>
        <v>80.02</v>
      </c>
      <c r="AZ44" s="1221">
        <f t="shared" si="42"/>
        <v>79.03</v>
      </c>
      <c r="BA44" s="1221">
        <f t="shared" si="42"/>
        <v>79.040000000000006</v>
      </c>
      <c r="BB44" s="1221" t="str">
        <f t="shared" si="42"/>
        <v/>
      </c>
      <c r="BC44" s="1221" t="str">
        <f t="shared" si="42"/>
        <v/>
      </c>
      <c r="BD44" s="1221" t="str">
        <f t="shared" si="42"/>
        <v/>
      </c>
      <c r="BE44" s="1222" t="str">
        <f t="shared" si="42"/>
        <v/>
      </c>
      <c r="BF44" s="1221" t="str">
        <f t="shared" si="42"/>
        <v/>
      </c>
      <c r="BG44" s="1223" t="str">
        <f t="shared" si="42"/>
        <v/>
      </c>
      <c r="BH44" s="286">
        <f t="shared" si="35"/>
        <v>80.02</v>
      </c>
      <c r="BI44" s="286">
        <f t="shared" si="36"/>
        <v>79.03</v>
      </c>
      <c r="BJ44" s="287" t="str">
        <f t="shared" si="37"/>
        <v>cukup</v>
      </c>
      <c r="BK44" s="287" t="str">
        <f t="shared" si="37"/>
        <v>cukup</v>
      </c>
      <c r="BL44" s="286">
        <f t="shared" si="38"/>
        <v>2</v>
      </c>
      <c r="BM44" s="288">
        <f t="shared" si="39"/>
        <v>3</v>
      </c>
      <c r="BN44" s="289" t="str">
        <f t="shared" si="40"/>
        <v>Memiliki keterampilan cukup dalam menemukan jenis tumbuhan berdasarkan divisiso dan menjelaskan kelompok hewan berdasarkan ciri, reproduksi dan peran</v>
      </c>
      <c r="BO44" s="67"/>
    </row>
    <row r="45" spans="1:67" ht="33" customHeight="1">
      <c r="A45" s="67"/>
      <c r="B45" s="272">
        <f t="shared" si="23"/>
        <v>32</v>
      </c>
      <c r="C45" s="273">
        <f>IF(Data!F36="","",Data!F36)</f>
        <v>0</v>
      </c>
      <c r="D45" s="274" t="str">
        <f>IF(Data!H36="","",Data!H36)</f>
        <v>Stevi Otnial Loemnanu</v>
      </c>
      <c r="E45" s="275" t="str">
        <f>IF(Data!I36="","",Data!I36)</f>
        <v>L</v>
      </c>
      <c r="F45" s="1494">
        <v>80</v>
      </c>
      <c r="G45" s="1495">
        <v>77</v>
      </c>
      <c r="H45" s="1495">
        <v>77</v>
      </c>
      <c r="I45" s="1495">
        <v>79</v>
      </c>
      <c r="J45" s="277"/>
      <c r="K45" s="277"/>
      <c r="L45" s="277"/>
      <c r="M45" s="280"/>
      <c r="N45" s="277"/>
      <c r="O45" s="278"/>
      <c r="P45" s="279">
        <f t="shared" si="24"/>
        <v>78</v>
      </c>
      <c r="Q45" s="1495">
        <v>79</v>
      </c>
      <c r="R45" s="1498">
        <v>79</v>
      </c>
      <c r="S45" s="281">
        <f t="shared" si="25"/>
        <v>79</v>
      </c>
      <c r="T45" s="295" t="str">
        <f t="shared" si="26"/>
        <v>C</v>
      </c>
      <c r="U45" s="1215">
        <f t="shared" si="41"/>
        <v>80.010000000000005</v>
      </c>
      <c r="V45" s="1216">
        <f t="shared" si="41"/>
        <v>77.02</v>
      </c>
      <c r="W45" s="1216">
        <f t="shared" si="41"/>
        <v>77.03</v>
      </c>
      <c r="X45" s="1216">
        <f t="shared" si="41"/>
        <v>79.040000000000006</v>
      </c>
      <c r="Y45" s="1216" t="str">
        <f t="shared" si="41"/>
        <v/>
      </c>
      <c r="Z45" s="1216" t="str">
        <f t="shared" si="41"/>
        <v/>
      </c>
      <c r="AA45" s="1216" t="str">
        <f t="shared" si="41"/>
        <v/>
      </c>
      <c r="AB45" s="1217" t="str">
        <f t="shared" si="41"/>
        <v/>
      </c>
      <c r="AC45" s="1216" t="str">
        <f t="shared" si="41"/>
        <v/>
      </c>
      <c r="AD45" s="1218" t="str">
        <f t="shared" si="41"/>
        <v/>
      </c>
      <c r="AE45" s="1219">
        <f t="shared" si="27"/>
        <v>80.010000000000005</v>
      </c>
      <c r="AF45" s="282">
        <f t="shared" si="28"/>
        <v>77.02</v>
      </c>
      <c r="AG45" s="282" t="str">
        <f t="shared" si="29"/>
        <v>cukup</v>
      </c>
      <c r="AH45" s="282" t="str">
        <f t="shared" si="29"/>
        <v>cukup</v>
      </c>
      <c r="AI45" s="282">
        <f t="shared" si="30"/>
        <v>1</v>
      </c>
      <c r="AJ45" s="283">
        <f t="shared" si="31"/>
        <v>2</v>
      </c>
      <c r="AK45" s="284" t="str">
        <f t="shared" si="32"/>
        <v>Memiliki kemampuan cukup dalam mengelompokkan jamur berdasarkan ciri, reproduksi dan peranannya dan mengelompokkan tumbuhan dalam divisio berdasarkan ciri dan peranan</v>
      </c>
      <c r="AL45" s="1494">
        <v>79</v>
      </c>
      <c r="AM45" s="1495">
        <v>77</v>
      </c>
      <c r="AN45" s="1495">
        <v>79</v>
      </c>
      <c r="AO45" s="1495">
        <v>77</v>
      </c>
      <c r="AP45" s="277"/>
      <c r="AQ45" s="277"/>
      <c r="AR45" s="277"/>
      <c r="AS45" s="280"/>
      <c r="AT45" s="277"/>
      <c r="AU45" s="278"/>
      <c r="AV45" s="285">
        <f t="shared" si="33"/>
        <v>78</v>
      </c>
      <c r="AW45" s="296" t="str">
        <f t="shared" si="34"/>
        <v>C</v>
      </c>
      <c r="AX45" s="1220">
        <f t="shared" si="42"/>
        <v>79.010000000000005</v>
      </c>
      <c r="AY45" s="1221">
        <f t="shared" si="42"/>
        <v>77.02</v>
      </c>
      <c r="AZ45" s="1221">
        <f t="shared" si="42"/>
        <v>79.03</v>
      </c>
      <c r="BA45" s="1221">
        <f t="shared" si="42"/>
        <v>77.040000000000006</v>
      </c>
      <c r="BB45" s="1221" t="str">
        <f t="shared" si="42"/>
        <v/>
      </c>
      <c r="BC45" s="1221" t="str">
        <f t="shared" si="42"/>
        <v/>
      </c>
      <c r="BD45" s="1221" t="str">
        <f t="shared" si="42"/>
        <v/>
      </c>
      <c r="BE45" s="1222" t="str">
        <f t="shared" si="42"/>
        <v/>
      </c>
      <c r="BF45" s="1221" t="str">
        <f t="shared" si="42"/>
        <v/>
      </c>
      <c r="BG45" s="1223" t="str">
        <f t="shared" si="42"/>
        <v/>
      </c>
      <c r="BH45" s="286">
        <f t="shared" si="35"/>
        <v>79.03</v>
      </c>
      <c r="BI45" s="286">
        <f t="shared" si="36"/>
        <v>77.02</v>
      </c>
      <c r="BJ45" s="287" t="str">
        <f t="shared" si="37"/>
        <v>cukup</v>
      </c>
      <c r="BK45" s="287" t="str">
        <f t="shared" si="37"/>
        <v>cukup</v>
      </c>
      <c r="BL45" s="286">
        <f t="shared" si="38"/>
        <v>3</v>
      </c>
      <c r="BM45" s="288">
        <f t="shared" si="39"/>
        <v>2</v>
      </c>
      <c r="BN45" s="289" t="str">
        <f t="shared" si="40"/>
        <v>Memiliki keterampilan cukup dalam menjelaskan kelompok hewan berdasarkan ciri, reproduksi dan peran dan menemukan jenis tumbuhan berdasarkan divisiso</v>
      </c>
      <c r="BO45" s="67"/>
    </row>
    <row r="46" spans="1:67" ht="33" customHeight="1">
      <c r="A46" s="67"/>
      <c r="B46" s="272">
        <f t="shared" si="23"/>
        <v>33</v>
      </c>
      <c r="C46" s="273">
        <f>IF(Data!F37="","",Data!F37)</f>
        <v>0</v>
      </c>
      <c r="D46" s="274" t="str">
        <f>IF(Data!H37="","",Data!H37)</f>
        <v>Venciani Sefrianti Sufnera</v>
      </c>
      <c r="E46" s="275" t="str">
        <f>IF(Data!I37="","",Data!I37)</f>
        <v>P</v>
      </c>
      <c r="F46" s="1494">
        <v>79</v>
      </c>
      <c r="G46" s="1495">
        <v>79</v>
      </c>
      <c r="H46" s="1495">
        <v>77</v>
      </c>
      <c r="I46" s="1495">
        <v>79</v>
      </c>
      <c r="J46" s="277"/>
      <c r="K46" s="277"/>
      <c r="L46" s="277"/>
      <c r="M46" s="280"/>
      <c r="N46" s="277"/>
      <c r="O46" s="278"/>
      <c r="P46" s="279">
        <f t="shared" si="24"/>
        <v>79</v>
      </c>
      <c r="Q46" s="1495">
        <v>79</v>
      </c>
      <c r="R46" s="1498">
        <v>77</v>
      </c>
      <c r="S46" s="281">
        <f t="shared" si="25"/>
        <v>79</v>
      </c>
      <c r="T46" s="295" t="str">
        <f t="shared" si="26"/>
        <v>C</v>
      </c>
      <c r="U46" s="1215">
        <f t="shared" si="41"/>
        <v>79.010000000000005</v>
      </c>
      <c r="V46" s="1216">
        <f t="shared" si="41"/>
        <v>79.02</v>
      </c>
      <c r="W46" s="1216">
        <f t="shared" si="41"/>
        <v>77.03</v>
      </c>
      <c r="X46" s="1216">
        <f t="shared" si="41"/>
        <v>79.040000000000006</v>
      </c>
      <c r="Y46" s="1216" t="str">
        <f t="shared" si="41"/>
        <v/>
      </c>
      <c r="Z46" s="1216" t="str">
        <f t="shared" si="41"/>
        <v/>
      </c>
      <c r="AA46" s="1216" t="str">
        <f t="shared" si="41"/>
        <v/>
      </c>
      <c r="AB46" s="1217" t="str">
        <f t="shared" si="41"/>
        <v/>
      </c>
      <c r="AC46" s="1216" t="str">
        <f t="shared" si="41"/>
        <v/>
      </c>
      <c r="AD46" s="1218" t="str">
        <f t="shared" si="41"/>
        <v/>
      </c>
      <c r="AE46" s="1219">
        <f t="shared" si="27"/>
        <v>79.040000000000006</v>
      </c>
      <c r="AF46" s="282">
        <f t="shared" si="28"/>
        <v>77.03</v>
      </c>
      <c r="AG46" s="282" t="str">
        <f t="shared" si="29"/>
        <v>cukup</v>
      </c>
      <c r="AH46" s="282" t="str">
        <f t="shared" si="29"/>
        <v>cukup</v>
      </c>
      <c r="AI46" s="282">
        <f t="shared" si="30"/>
        <v>4</v>
      </c>
      <c r="AJ46" s="283">
        <f t="shared" si="31"/>
        <v>3</v>
      </c>
      <c r="AK46" s="284" t="str">
        <f t="shared" si="32"/>
        <v>Memiliki kemampuan cukup dalam menyajikan hasil pengamatan dari berbagai jenis hewan di lingkungan dan mengenal berbagai jenis hewan berdasarkan filum</v>
      </c>
      <c r="AL46" s="1494">
        <v>80</v>
      </c>
      <c r="AM46" s="1495">
        <v>79</v>
      </c>
      <c r="AN46" s="1495">
        <v>79</v>
      </c>
      <c r="AO46" s="1495">
        <v>77</v>
      </c>
      <c r="AP46" s="277"/>
      <c r="AQ46" s="277"/>
      <c r="AR46" s="277"/>
      <c r="AS46" s="280"/>
      <c r="AT46" s="277"/>
      <c r="AU46" s="278"/>
      <c r="AV46" s="285">
        <f t="shared" si="33"/>
        <v>79</v>
      </c>
      <c r="AW46" s="296" t="str">
        <f t="shared" si="34"/>
        <v>C</v>
      </c>
      <c r="AX46" s="1220">
        <f t="shared" si="42"/>
        <v>80.010000000000005</v>
      </c>
      <c r="AY46" s="1221">
        <f t="shared" si="42"/>
        <v>79.02</v>
      </c>
      <c r="AZ46" s="1221">
        <f t="shared" si="42"/>
        <v>79.03</v>
      </c>
      <c r="BA46" s="1221">
        <f t="shared" si="42"/>
        <v>77.040000000000006</v>
      </c>
      <c r="BB46" s="1221" t="str">
        <f t="shared" si="42"/>
        <v/>
      </c>
      <c r="BC46" s="1221" t="str">
        <f t="shared" si="42"/>
        <v/>
      </c>
      <c r="BD46" s="1221" t="str">
        <f t="shared" si="42"/>
        <v/>
      </c>
      <c r="BE46" s="1222" t="str">
        <f t="shared" si="42"/>
        <v/>
      </c>
      <c r="BF46" s="1221" t="str">
        <f t="shared" si="42"/>
        <v/>
      </c>
      <c r="BG46" s="1223" t="str">
        <f t="shared" si="42"/>
        <v/>
      </c>
      <c r="BH46" s="286">
        <f t="shared" si="35"/>
        <v>80.010000000000005</v>
      </c>
      <c r="BI46" s="286">
        <f t="shared" si="36"/>
        <v>77.040000000000006</v>
      </c>
      <c r="BJ46" s="287" t="str">
        <f t="shared" si="37"/>
        <v>cukup</v>
      </c>
      <c r="BK46" s="287" t="str">
        <f t="shared" si="37"/>
        <v>cukup</v>
      </c>
      <c r="BL46" s="286">
        <f t="shared" si="38"/>
        <v>1</v>
      </c>
      <c r="BM46" s="288">
        <f t="shared" si="39"/>
        <v>4</v>
      </c>
      <c r="BN46" s="289" t="str">
        <f t="shared" si="40"/>
        <v>Memiliki keterampilan cukup dalam menjelaskan kelompok jamur berdasarkan ciri, reproduksi dan peran dan menyajikan hasil pengamatan jenis hewan di lingkunagn sekitar</v>
      </c>
      <c r="BO46" s="67"/>
    </row>
    <row r="47" spans="1:67" ht="33" customHeight="1">
      <c r="A47" s="67"/>
      <c r="B47" s="272">
        <f t="shared" si="23"/>
        <v>34</v>
      </c>
      <c r="C47" s="273">
        <f>IF(Data!F38="","",Data!F38)</f>
        <v>0</v>
      </c>
      <c r="D47" s="274" t="str">
        <f>IF(Data!H38="","",Data!H38)</f>
        <v>Yangres Nitti</v>
      </c>
      <c r="E47" s="275" t="str">
        <f>IF(Data!I38="","",Data!I38)</f>
        <v>L</v>
      </c>
      <c r="F47" s="1494">
        <v>80</v>
      </c>
      <c r="G47" s="1495">
        <v>77</v>
      </c>
      <c r="H47" s="1495">
        <v>77</v>
      </c>
      <c r="I47" s="1495">
        <v>80</v>
      </c>
      <c r="J47" s="277"/>
      <c r="K47" s="277"/>
      <c r="L47" s="277"/>
      <c r="M47" s="280"/>
      <c r="N47" s="277"/>
      <c r="O47" s="278"/>
      <c r="P47" s="279">
        <f t="shared" si="24"/>
        <v>79</v>
      </c>
      <c r="Q47" s="1495">
        <v>79</v>
      </c>
      <c r="R47" s="1498">
        <v>77</v>
      </c>
      <c r="S47" s="281">
        <f t="shared" si="25"/>
        <v>79</v>
      </c>
      <c r="T47" s="295" t="str">
        <f t="shared" si="26"/>
        <v>C</v>
      </c>
      <c r="U47" s="1215">
        <f t="shared" si="41"/>
        <v>80.010000000000005</v>
      </c>
      <c r="V47" s="1216">
        <f t="shared" si="41"/>
        <v>77.02</v>
      </c>
      <c r="W47" s="1216">
        <f t="shared" si="41"/>
        <v>77.03</v>
      </c>
      <c r="X47" s="1216">
        <f t="shared" si="41"/>
        <v>80.040000000000006</v>
      </c>
      <c r="Y47" s="1216" t="str">
        <f t="shared" si="41"/>
        <v/>
      </c>
      <c r="Z47" s="1216" t="str">
        <f t="shared" si="41"/>
        <v/>
      </c>
      <c r="AA47" s="1216" t="str">
        <f t="shared" si="41"/>
        <v/>
      </c>
      <c r="AB47" s="1217" t="str">
        <f t="shared" si="41"/>
        <v/>
      </c>
      <c r="AC47" s="1216" t="str">
        <f t="shared" si="41"/>
        <v/>
      </c>
      <c r="AD47" s="1218" t="str">
        <f t="shared" si="41"/>
        <v/>
      </c>
      <c r="AE47" s="1219">
        <f t="shared" si="27"/>
        <v>80.040000000000006</v>
      </c>
      <c r="AF47" s="282">
        <f t="shared" si="28"/>
        <v>77.02</v>
      </c>
      <c r="AG47" s="282" t="str">
        <f t="shared" si="29"/>
        <v>cukup</v>
      </c>
      <c r="AH47" s="282" t="str">
        <f t="shared" si="29"/>
        <v>cukup</v>
      </c>
      <c r="AI47" s="282">
        <f t="shared" si="30"/>
        <v>4</v>
      </c>
      <c r="AJ47" s="283">
        <f t="shared" si="31"/>
        <v>2</v>
      </c>
      <c r="AK47" s="284" t="str">
        <f t="shared" si="32"/>
        <v>Memiliki kemampuan cukup dalam menyajikan hasil pengamatan dari berbagai jenis hewan di lingkungan dan mengelompokkan tumbuhan dalam divisio berdasarkan ciri dan peranan</v>
      </c>
      <c r="AL47" s="1494">
        <v>80</v>
      </c>
      <c r="AM47" s="1495">
        <v>79</v>
      </c>
      <c r="AN47" s="1495">
        <v>77</v>
      </c>
      <c r="AO47" s="1495">
        <v>77</v>
      </c>
      <c r="AP47" s="277"/>
      <c r="AQ47" s="277"/>
      <c r="AR47" s="277"/>
      <c r="AS47" s="280"/>
      <c r="AT47" s="277"/>
      <c r="AU47" s="278"/>
      <c r="AV47" s="285">
        <f t="shared" si="33"/>
        <v>78</v>
      </c>
      <c r="AW47" s="296" t="str">
        <f t="shared" si="34"/>
        <v>C</v>
      </c>
      <c r="AX47" s="1220">
        <f t="shared" si="42"/>
        <v>80.010000000000005</v>
      </c>
      <c r="AY47" s="1221">
        <f t="shared" si="42"/>
        <v>79.02</v>
      </c>
      <c r="AZ47" s="1221">
        <f t="shared" si="42"/>
        <v>77.03</v>
      </c>
      <c r="BA47" s="1221">
        <f t="shared" si="42"/>
        <v>77.040000000000006</v>
      </c>
      <c r="BB47" s="1221" t="str">
        <f t="shared" si="42"/>
        <v/>
      </c>
      <c r="BC47" s="1221" t="str">
        <f t="shared" si="42"/>
        <v/>
      </c>
      <c r="BD47" s="1221" t="str">
        <f t="shared" si="42"/>
        <v/>
      </c>
      <c r="BE47" s="1222" t="str">
        <f t="shared" si="42"/>
        <v/>
      </c>
      <c r="BF47" s="1221" t="str">
        <f t="shared" si="42"/>
        <v/>
      </c>
      <c r="BG47" s="1223" t="str">
        <f t="shared" si="42"/>
        <v/>
      </c>
      <c r="BH47" s="286">
        <f t="shared" si="35"/>
        <v>80.010000000000005</v>
      </c>
      <c r="BI47" s="286">
        <f t="shared" si="36"/>
        <v>77.03</v>
      </c>
      <c r="BJ47" s="287" t="str">
        <f t="shared" si="37"/>
        <v>cukup</v>
      </c>
      <c r="BK47" s="287" t="str">
        <f t="shared" si="37"/>
        <v>cukup</v>
      </c>
      <c r="BL47" s="286">
        <f t="shared" si="38"/>
        <v>1</v>
      </c>
      <c r="BM47" s="288">
        <f t="shared" si="39"/>
        <v>3</v>
      </c>
      <c r="BN47" s="289" t="str">
        <f t="shared" si="40"/>
        <v>Memiliki keterampilan cukup dalam menjelaskan kelompok jamur berdasarkan ciri, reproduksi dan peran dan menjelaskan kelompok hewan berdasarkan ciri, reproduksi dan peran</v>
      </c>
      <c r="BO47" s="67"/>
    </row>
    <row r="48" spans="1:67" ht="33" customHeight="1">
      <c r="A48" s="67"/>
      <c r="B48" s="272">
        <f t="shared" si="23"/>
        <v>35</v>
      </c>
      <c r="C48" s="273">
        <f>IF(Data!F39="","",Data!F39)</f>
        <v>0</v>
      </c>
      <c r="D48" s="274" t="str">
        <f>IF(Data!H39="","",Data!H39)</f>
        <v>Yefta Trianus Mau</v>
      </c>
      <c r="E48" s="275" t="str">
        <f>IF(Data!I39="","",Data!I39)</f>
        <v>L</v>
      </c>
      <c r="F48" s="1494">
        <v>80</v>
      </c>
      <c r="G48" s="1495">
        <v>80</v>
      </c>
      <c r="H48" s="1495">
        <v>82</v>
      </c>
      <c r="I48" s="1495">
        <v>82</v>
      </c>
      <c r="J48" s="277"/>
      <c r="K48" s="277"/>
      <c r="L48" s="277"/>
      <c r="M48" s="280"/>
      <c r="N48" s="277"/>
      <c r="O48" s="278"/>
      <c r="P48" s="279">
        <f t="shared" si="24"/>
        <v>81</v>
      </c>
      <c r="Q48" s="1495">
        <v>80</v>
      </c>
      <c r="R48" s="1498">
        <v>79</v>
      </c>
      <c r="S48" s="281">
        <f t="shared" si="25"/>
        <v>80</v>
      </c>
      <c r="T48" s="295" t="str">
        <f t="shared" si="26"/>
        <v>C</v>
      </c>
      <c r="U48" s="1215">
        <f t="shared" si="41"/>
        <v>80.010000000000005</v>
      </c>
      <c r="V48" s="1216">
        <f t="shared" si="41"/>
        <v>80.02</v>
      </c>
      <c r="W48" s="1216">
        <f t="shared" si="41"/>
        <v>82.03</v>
      </c>
      <c r="X48" s="1216">
        <f t="shared" si="41"/>
        <v>82.04</v>
      </c>
      <c r="Y48" s="1216" t="str">
        <f t="shared" si="41"/>
        <v/>
      </c>
      <c r="Z48" s="1216" t="str">
        <f t="shared" si="41"/>
        <v/>
      </c>
      <c r="AA48" s="1216" t="str">
        <f t="shared" si="41"/>
        <v/>
      </c>
      <c r="AB48" s="1217" t="str">
        <f t="shared" si="41"/>
        <v/>
      </c>
      <c r="AC48" s="1216" t="str">
        <f t="shared" si="41"/>
        <v/>
      </c>
      <c r="AD48" s="1218" t="str">
        <f t="shared" si="41"/>
        <v/>
      </c>
      <c r="AE48" s="1219">
        <f t="shared" si="27"/>
        <v>82.04</v>
      </c>
      <c r="AF48" s="282">
        <f t="shared" si="28"/>
        <v>80.010000000000005</v>
      </c>
      <c r="AG48" s="282" t="str">
        <f t="shared" si="29"/>
        <v>cukup</v>
      </c>
      <c r="AH48" s="282" t="str">
        <f t="shared" si="29"/>
        <v>cukup</v>
      </c>
      <c r="AI48" s="282">
        <f t="shared" si="30"/>
        <v>4</v>
      </c>
      <c r="AJ48" s="283">
        <f t="shared" si="31"/>
        <v>1</v>
      </c>
      <c r="AK48" s="284" t="str">
        <f t="shared" si="32"/>
        <v>Memiliki kemampuan cukup dalam menyajikan hasil pengamatan dari berbagai jenis hewan di lingkungan dan mengelompokkan jamur berdasarkan ciri, reproduksi dan peranannya</v>
      </c>
      <c r="AL48" s="1494">
        <v>80</v>
      </c>
      <c r="AM48" s="1495">
        <v>80</v>
      </c>
      <c r="AN48" s="1495">
        <v>79</v>
      </c>
      <c r="AO48" s="1495">
        <v>79</v>
      </c>
      <c r="AP48" s="277"/>
      <c r="AQ48" s="277"/>
      <c r="AR48" s="277"/>
      <c r="AS48" s="280"/>
      <c r="AT48" s="277"/>
      <c r="AU48" s="278"/>
      <c r="AV48" s="285">
        <f t="shared" si="33"/>
        <v>80</v>
      </c>
      <c r="AW48" s="296" t="str">
        <f t="shared" si="34"/>
        <v>C</v>
      </c>
      <c r="AX48" s="1220">
        <f t="shared" si="42"/>
        <v>80.010000000000005</v>
      </c>
      <c r="AY48" s="1221">
        <f t="shared" si="42"/>
        <v>80.02</v>
      </c>
      <c r="AZ48" s="1221">
        <f t="shared" si="42"/>
        <v>79.03</v>
      </c>
      <c r="BA48" s="1221">
        <f t="shared" si="42"/>
        <v>79.040000000000006</v>
      </c>
      <c r="BB48" s="1221" t="str">
        <f t="shared" si="42"/>
        <v/>
      </c>
      <c r="BC48" s="1221" t="str">
        <f t="shared" si="42"/>
        <v/>
      </c>
      <c r="BD48" s="1221" t="str">
        <f t="shared" si="42"/>
        <v/>
      </c>
      <c r="BE48" s="1222" t="str">
        <f t="shared" si="42"/>
        <v/>
      </c>
      <c r="BF48" s="1221" t="str">
        <f t="shared" si="42"/>
        <v/>
      </c>
      <c r="BG48" s="1223" t="str">
        <f t="shared" si="42"/>
        <v/>
      </c>
      <c r="BH48" s="286">
        <f t="shared" si="35"/>
        <v>80.02</v>
      </c>
      <c r="BI48" s="286">
        <f t="shared" si="36"/>
        <v>79.03</v>
      </c>
      <c r="BJ48" s="287" t="str">
        <f t="shared" si="37"/>
        <v>cukup</v>
      </c>
      <c r="BK48" s="287" t="str">
        <f t="shared" si="37"/>
        <v>cukup</v>
      </c>
      <c r="BL48" s="286">
        <f t="shared" si="38"/>
        <v>2</v>
      </c>
      <c r="BM48" s="288">
        <f t="shared" si="39"/>
        <v>3</v>
      </c>
      <c r="BN48" s="289" t="str">
        <f t="shared" si="40"/>
        <v>Memiliki keterampilan cukup dalam menemukan jenis tumbuhan berdasarkan divisiso dan menjelaskan kelompok hewan berdasarkan ciri, reproduksi dan peran</v>
      </c>
      <c r="BO48" s="67"/>
    </row>
    <row r="49" spans="1:67" ht="33" customHeight="1">
      <c r="A49" s="67"/>
      <c r="B49" s="272">
        <f t="shared" si="23"/>
        <v>36</v>
      </c>
      <c r="C49" s="273">
        <f>IF(Data!F40="","",Data!F40)</f>
        <v>0</v>
      </c>
      <c r="D49" s="274" t="str">
        <f>IF(Data!H40="","",Data!H40)</f>
        <v>Yuliana Febriyanti Nggeon</v>
      </c>
      <c r="E49" s="275" t="str">
        <f>IF(Data!I40="","",Data!I40)</f>
        <v>P</v>
      </c>
      <c r="F49" s="1494">
        <v>80</v>
      </c>
      <c r="G49" s="1495">
        <v>79</v>
      </c>
      <c r="H49" s="1495">
        <v>79</v>
      </c>
      <c r="I49" s="1495">
        <v>80</v>
      </c>
      <c r="J49" s="277"/>
      <c r="K49" s="277"/>
      <c r="L49" s="277"/>
      <c r="M49" s="280"/>
      <c r="N49" s="277"/>
      <c r="O49" s="278"/>
      <c r="P49" s="279">
        <f t="shared" si="24"/>
        <v>80</v>
      </c>
      <c r="Q49" s="1495">
        <v>79</v>
      </c>
      <c r="R49" s="1498">
        <v>80</v>
      </c>
      <c r="S49" s="281">
        <f t="shared" si="25"/>
        <v>80</v>
      </c>
      <c r="T49" s="295" t="str">
        <f t="shared" si="26"/>
        <v>C</v>
      </c>
      <c r="U49" s="1215">
        <f t="shared" si="41"/>
        <v>80.010000000000005</v>
      </c>
      <c r="V49" s="1216">
        <f t="shared" si="41"/>
        <v>79.02</v>
      </c>
      <c r="W49" s="1216">
        <f t="shared" si="41"/>
        <v>79.03</v>
      </c>
      <c r="X49" s="1216">
        <f t="shared" si="41"/>
        <v>80.040000000000006</v>
      </c>
      <c r="Y49" s="1216" t="str">
        <f t="shared" si="41"/>
        <v/>
      </c>
      <c r="Z49" s="1216" t="str">
        <f t="shared" si="41"/>
        <v/>
      </c>
      <c r="AA49" s="1216" t="str">
        <f t="shared" si="41"/>
        <v/>
      </c>
      <c r="AB49" s="1217" t="str">
        <f t="shared" si="41"/>
        <v/>
      </c>
      <c r="AC49" s="1216" t="str">
        <f t="shared" si="41"/>
        <v/>
      </c>
      <c r="AD49" s="1218" t="str">
        <f t="shared" si="41"/>
        <v/>
      </c>
      <c r="AE49" s="1219">
        <f t="shared" si="27"/>
        <v>80.040000000000006</v>
      </c>
      <c r="AF49" s="282">
        <f t="shared" si="28"/>
        <v>79.02</v>
      </c>
      <c r="AG49" s="282" t="str">
        <f t="shared" si="29"/>
        <v>cukup</v>
      </c>
      <c r="AH49" s="282" t="str">
        <f t="shared" si="29"/>
        <v>cukup</v>
      </c>
      <c r="AI49" s="282">
        <f t="shared" si="30"/>
        <v>4</v>
      </c>
      <c r="AJ49" s="283">
        <f t="shared" si="31"/>
        <v>2</v>
      </c>
      <c r="AK49" s="284" t="str">
        <f t="shared" si="32"/>
        <v>Memiliki kemampuan cukup dalam menyajikan hasil pengamatan dari berbagai jenis hewan di lingkungan dan mengelompokkan tumbuhan dalam divisio berdasarkan ciri dan peranan</v>
      </c>
      <c r="AL49" s="1494">
        <v>80</v>
      </c>
      <c r="AM49" s="1495">
        <v>79</v>
      </c>
      <c r="AN49" s="1495">
        <v>79</v>
      </c>
      <c r="AO49" s="1495">
        <v>77</v>
      </c>
      <c r="AP49" s="277"/>
      <c r="AQ49" s="277"/>
      <c r="AR49" s="277"/>
      <c r="AS49" s="280"/>
      <c r="AT49" s="277"/>
      <c r="AU49" s="278"/>
      <c r="AV49" s="285">
        <f t="shared" si="33"/>
        <v>79</v>
      </c>
      <c r="AW49" s="296" t="str">
        <f t="shared" si="34"/>
        <v>C</v>
      </c>
      <c r="AX49" s="1220">
        <f t="shared" si="42"/>
        <v>80.010000000000005</v>
      </c>
      <c r="AY49" s="1221">
        <f t="shared" si="42"/>
        <v>79.02</v>
      </c>
      <c r="AZ49" s="1221">
        <f t="shared" si="42"/>
        <v>79.03</v>
      </c>
      <c r="BA49" s="1221">
        <f t="shared" si="42"/>
        <v>77.040000000000006</v>
      </c>
      <c r="BB49" s="1221" t="str">
        <f t="shared" si="42"/>
        <v/>
      </c>
      <c r="BC49" s="1221" t="str">
        <f t="shared" si="42"/>
        <v/>
      </c>
      <c r="BD49" s="1221" t="str">
        <f t="shared" si="42"/>
        <v/>
      </c>
      <c r="BE49" s="1222" t="str">
        <f t="shared" si="42"/>
        <v/>
      </c>
      <c r="BF49" s="1221" t="str">
        <f t="shared" si="42"/>
        <v/>
      </c>
      <c r="BG49" s="1223" t="str">
        <f t="shared" si="42"/>
        <v/>
      </c>
      <c r="BH49" s="286">
        <f t="shared" si="35"/>
        <v>80.010000000000005</v>
      </c>
      <c r="BI49" s="286">
        <f t="shared" si="36"/>
        <v>77.040000000000006</v>
      </c>
      <c r="BJ49" s="287" t="str">
        <f t="shared" si="37"/>
        <v>cukup</v>
      </c>
      <c r="BK49" s="287" t="str">
        <f t="shared" si="37"/>
        <v>cukup</v>
      </c>
      <c r="BL49" s="286">
        <f t="shared" si="38"/>
        <v>1</v>
      </c>
      <c r="BM49" s="288">
        <f t="shared" si="39"/>
        <v>4</v>
      </c>
      <c r="BN49" s="289" t="str">
        <f t="shared" si="40"/>
        <v>Memiliki keterampilan cukup dalam menjelaskan kelompok jamur berdasarkan ciri, reproduksi dan peran dan menyajikan hasil pengamatan jenis hewan di lingkunagn sekitar</v>
      </c>
      <c r="BO49" s="67"/>
    </row>
    <row r="50" spans="1:67" ht="33" customHeight="1">
      <c r="A50" s="67"/>
      <c r="B50" s="272">
        <f t="shared" si="23"/>
        <v>37</v>
      </c>
      <c r="C50" s="273">
        <f>IF(Data!F41="","",Data!F41)</f>
        <v>0</v>
      </c>
      <c r="D50" s="274" t="str">
        <f>IF(Data!H41="","",Data!H41)</f>
        <v>Yuninda Pono</v>
      </c>
      <c r="E50" s="275" t="str">
        <f>IF(Data!I41="","",Data!I41)</f>
        <v>P</v>
      </c>
      <c r="F50" s="1494">
        <v>80</v>
      </c>
      <c r="G50" s="1495">
        <v>80</v>
      </c>
      <c r="H50" s="1495">
        <v>79</v>
      </c>
      <c r="I50" s="1495">
        <v>79</v>
      </c>
      <c r="J50" s="277"/>
      <c r="K50" s="277"/>
      <c r="L50" s="277"/>
      <c r="M50" s="280"/>
      <c r="N50" s="277"/>
      <c r="O50" s="278"/>
      <c r="P50" s="279">
        <f t="shared" si="24"/>
        <v>80</v>
      </c>
      <c r="Q50" s="1495">
        <v>79</v>
      </c>
      <c r="R50" s="1498">
        <v>77</v>
      </c>
      <c r="S50" s="281">
        <f t="shared" si="25"/>
        <v>79</v>
      </c>
      <c r="T50" s="295" t="str">
        <f t="shared" si="26"/>
        <v>C</v>
      </c>
      <c r="U50" s="1215">
        <f t="shared" si="41"/>
        <v>80.010000000000005</v>
      </c>
      <c r="V50" s="1216">
        <f t="shared" si="41"/>
        <v>80.02</v>
      </c>
      <c r="W50" s="1216">
        <f t="shared" si="41"/>
        <v>79.03</v>
      </c>
      <c r="X50" s="1216">
        <f t="shared" si="41"/>
        <v>79.040000000000006</v>
      </c>
      <c r="Y50" s="1216" t="str">
        <f t="shared" si="41"/>
        <v/>
      </c>
      <c r="Z50" s="1216" t="str">
        <f t="shared" si="41"/>
        <v/>
      </c>
      <c r="AA50" s="1216" t="str">
        <f t="shared" si="41"/>
        <v/>
      </c>
      <c r="AB50" s="1217" t="str">
        <f t="shared" si="41"/>
        <v/>
      </c>
      <c r="AC50" s="1216" t="str">
        <f t="shared" si="41"/>
        <v/>
      </c>
      <c r="AD50" s="1218" t="str">
        <f t="shared" si="41"/>
        <v/>
      </c>
      <c r="AE50" s="1219">
        <f t="shared" si="27"/>
        <v>80.02</v>
      </c>
      <c r="AF50" s="282">
        <f t="shared" si="28"/>
        <v>79.03</v>
      </c>
      <c r="AG50" s="282" t="str">
        <f t="shared" si="29"/>
        <v>cukup</v>
      </c>
      <c r="AH50" s="282" t="str">
        <f t="shared" si="29"/>
        <v>cukup</v>
      </c>
      <c r="AI50" s="282">
        <f t="shared" si="30"/>
        <v>2</v>
      </c>
      <c r="AJ50" s="283">
        <f t="shared" si="31"/>
        <v>3</v>
      </c>
      <c r="AK50" s="284" t="str">
        <f t="shared" si="32"/>
        <v>Memiliki kemampuan cukup dalam mengelompokkan tumbuhan dalam divisio berdasarkan ciri dan peranan dan mengenal berbagai jenis hewan berdasarkan filum</v>
      </c>
      <c r="AL50" s="1494">
        <v>80</v>
      </c>
      <c r="AM50" s="1495">
        <v>77</v>
      </c>
      <c r="AN50" s="1495">
        <v>77</v>
      </c>
      <c r="AO50" s="1495">
        <v>79</v>
      </c>
      <c r="AP50" s="277"/>
      <c r="AQ50" s="277"/>
      <c r="AR50" s="277"/>
      <c r="AS50" s="280"/>
      <c r="AT50" s="277"/>
      <c r="AU50" s="278"/>
      <c r="AV50" s="285">
        <f t="shared" si="33"/>
        <v>78</v>
      </c>
      <c r="AW50" s="296" t="str">
        <f t="shared" si="34"/>
        <v>C</v>
      </c>
      <c r="AX50" s="1220">
        <f t="shared" si="42"/>
        <v>80.010000000000005</v>
      </c>
      <c r="AY50" s="1221">
        <f t="shared" si="42"/>
        <v>77.02</v>
      </c>
      <c r="AZ50" s="1221">
        <f t="shared" si="42"/>
        <v>77.03</v>
      </c>
      <c r="BA50" s="1221">
        <f t="shared" si="42"/>
        <v>79.040000000000006</v>
      </c>
      <c r="BB50" s="1221" t="str">
        <f t="shared" si="42"/>
        <v/>
      </c>
      <c r="BC50" s="1221" t="str">
        <f t="shared" si="42"/>
        <v/>
      </c>
      <c r="BD50" s="1221" t="str">
        <f t="shared" si="42"/>
        <v/>
      </c>
      <c r="BE50" s="1222" t="str">
        <f t="shared" si="42"/>
        <v/>
      </c>
      <c r="BF50" s="1221" t="str">
        <f t="shared" si="42"/>
        <v/>
      </c>
      <c r="BG50" s="1223" t="str">
        <f t="shared" si="42"/>
        <v/>
      </c>
      <c r="BH50" s="286">
        <f t="shared" si="35"/>
        <v>80.010000000000005</v>
      </c>
      <c r="BI50" s="286">
        <f t="shared" si="36"/>
        <v>77.02</v>
      </c>
      <c r="BJ50" s="287" t="str">
        <f t="shared" si="37"/>
        <v>cukup</v>
      </c>
      <c r="BK50" s="287" t="str">
        <f t="shared" si="37"/>
        <v>cukup</v>
      </c>
      <c r="BL50" s="286">
        <f t="shared" si="38"/>
        <v>1</v>
      </c>
      <c r="BM50" s="288">
        <f t="shared" si="39"/>
        <v>2</v>
      </c>
      <c r="BN50" s="289" t="str">
        <f t="shared" si="40"/>
        <v>Memiliki keterampilan cukup dalam menjelaskan kelompok jamur berdasarkan ciri, reproduksi dan peran dan menemukan jenis tumbuhan berdasarkan divisiso</v>
      </c>
      <c r="BO50" s="67"/>
    </row>
    <row r="51" spans="1:67" ht="33" customHeight="1">
      <c r="A51" s="67"/>
      <c r="B51" s="272" t="str">
        <f t="shared" si="23"/>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23"/>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23"/>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23"/>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23"/>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3">IF(K55="","",K55+Z$13)</f>
        <v/>
      </c>
      <c r="AA55" s="1216" t="str">
        <f t="shared" si="43"/>
        <v/>
      </c>
      <c r="AB55" s="1217" t="str">
        <f t="shared" si="43"/>
        <v/>
      </c>
      <c r="AC55" s="1216" t="str">
        <f t="shared" si="43"/>
        <v/>
      </c>
      <c r="AD55" s="1218" t="str">
        <f t="shared" si="43"/>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4">IF(AQ55="","",AQ55+BC$12)</f>
        <v/>
      </c>
      <c r="BD55" s="1221" t="str">
        <f t="shared" si="44"/>
        <v/>
      </c>
      <c r="BE55" s="1222" t="str">
        <f t="shared" si="44"/>
        <v/>
      </c>
      <c r="BF55" s="1221" t="str">
        <f t="shared" si="44"/>
        <v/>
      </c>
      <c r="BG55" s="1223" t="str">
        <f t="shared" si="44"/>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23"/>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5">IF(F56="","",F56+U$13)</f>
        <v/>
      </c>
      <c r="V56" s="1216" t="str">
        <f t="shared" si="45"/>
        <v/>
      </c>
      <c r="W56" s="1216" t="str">
        <f t="shared" si="45"/>
        <v/>
      </c>
      <c r="X56" s="1216" t="str">
        <f t="shared" si="45"/>
        <v/>
      </c>
      <c r="Y56" s="1216" t="str">
        <f t="shared" si="45"/>
        <v/>
      </c>
      <c r="Z56" s="1216" t="str">
        <f t="shared" si="43"/>
        <v/>
      </c>
      <c r="AA56" s="1216" t="str">
        <f t="shared" si="43"/>
        <v/>
      </c>
      <c r="AB56" s="1217" t="str">
        <f t="shared" si="43"/>
        <v/>
      </c>
      <c r="AC56" s="1216" t="str">
        <f t="shared" si="43"/>
        <v/>
      </c>
      <c r="AD56" s="1218" t="str">
        <f t="shared" si="43"/>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6">IF(AL56="","",AL56+AX$12)</f>
        <v/>
      </c>
      <c r="AY56" s="1221" t="str">
        <f t="shared" si="46"/>
        <v/>
      </c>
      <c r="AZ56" s="1221" t="str">
        <f t="shared" si="46"/>
        <v/>
      </c>
      <c r="BA56" s="1221" t="str">
        <f t="shared" si="46"/>
        <v/>
      </c>
      <c r="BB56" s="1221" t="str">
        <f t="shared" si="46"/>
        <v/>
      </c>
      <c r="BC56" s="1221" t="str">
        <f t="shared" si="44"/>
        <v/>
      </c>
      <c r="BD56" s="1221" t="str">
        <f t="shared" si="44"/>
        <v/>
      </c>
      <c r="BE56" s="1222" t="str">
        <f t="shared" si="44"/>
        <v/>
      </c>
      <c r="BF56" s="1221" t="str">
        <f t="shared" si="44"/>
        <v/>
      </c>
      <c r="BG56" s="1223" t="str">
        <f t="shared" si="44"/>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23"/>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5"/>
        <v/>
      </c>
      <c r="V57" s="1216" t="str">
        <f t="shared" si="45"/>
        <v/>
      </c>
      <c r="W57" s="1216" t="str">
        <f t="shared" si="45"/>
        <v/>
      </c>
      <c r="X57" s="1216" t="str">
        <f t="shared" si="45"/>
        <v/>
      </c>
      <c r="Y57" s="1216" t="str">
        <f t="shared" si="45"/>
        <v/>
      </c>
      <c r="Z57" s="1216" t="str">
        <f t="shared" si="43"/>
        <v/>
      </c>
      <c r="AA57" s="1216" t="str">
        <f t="shared" si="43"/>
        <v/>
      </c>
      <c r="AB57" s="1217" t="str">
        <f t="shared" si="43"/>
        <v/>
      </c>
      <c r="AC57" s="1216" t="str">
        <f t="shared" si="43"/>
        <v/>
      </c>
      <c r="AD57" s="1218" t="str">
        <f t="shared" si="43"/>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6"/>
        <v/>
      </c>
      <c r="AY57" s="1221" t="str">
        <f t="shared" si="46"/>
        <v/>
      </c>
      <c r="AZ57" s="1221" t="str">
        <f t="shared" si="46"/>
        <v/>
      </c>
      <c r="BA57" s="1221" t="str">
        <f t="shared" si="46"/>
        <v/>
      </c>
      <c r="BB57" s="1221" t="str">
        <f t="shared" si="46"/>
        <v/>
      </c>
      <c r="BC57" s="1221" t="str">
        <f t="shared" si="44"/>
        <v/>
      </c>
      <c r="BD57" s="1221" t="str">
        <f t="shared" si="44"/>
        <v/>
      </c>
      <c r="BE57" s="1222" t="str">
        <f t="shared" si="44"/>
        <v/>
      </c>
      <c r="BF57" s="1221" t="str">
        <f t="shared" si="44"/>
        <v/>
      </c>
      <c r="BG57" s="1223" t="str">
        <f t="shared" si="44"/>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23"/>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5"/>
        <v/>
      </c>
      <c r="V58" s="1216" t="str">
        <f t="shared" si="45"/>
        <v/>
      </c>
      <c r="W58" s="1216" t="str">
        <f t="shared" si="45"/>
        <v/>
      </c>
      <c r="X58" s="1216" t="str">
        <f t="shared" si="45"/>
        <v/>
      </c>
      <c r="Y58" s="1216" t="str">
        <f t="shared" si="45"/>
        <v/>
      </c>
      <c r="Z58" s="1216" t="str">
        <f t="shared" si="43"/>
        <v/>
      </c>
      <c r="AA58" s="1216" t="str">
        <f t="shared" si="43"/>
        <v/>
      </c>
      <c r="AB58" s="1217" t="str">
        <f t="shared" si="43"/>
        <v/>
      </c>
      <c r="AC58" s="1216" t="str">
        <f t="shared" si="43"/>
        <v/>
      </c>
      <c r="AD58" s="1218" t="str">
        <f t="shared" si="43"/>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6"/>
        <v/>
      </c>
      <c r="AY58" s="1221" t="str">
        <f t="shared" si="46"/>
        <v/>
      </c>
      <c r="AZ58" s="1221" t="str">
        <f t="shared" si="46"/>
        <v/>
      </c>
      <c r="BA58" s="1221" t="str">
        <f t="shared" si="46"/>
        <v/>
      </c>
      <c r="BB58" s="1221" t="str">
        <f t="shared" si="46"/>
        <v/>
      </c>
      <c r="BC58" s="1221" t="str">
        <f t="shared" si="44"/>
        <v/>
      </c>
      <c r="BD58" s="1221" t="str">
        <f t="shared" si="44"/>
        <v/>
      </c>
      <c r="BE58" s="1222" t="str">
        <f t="shared" si="44"/>
        <v/>
      </c>
      <c r="BF58" s="1221" t="str">
        <f t="shared" si="44"/>
        <v/>
      </c>
      <c r="BG58" s="1223" t="str">
        <f t="shared" si="44"/>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23"/>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5"/>
        <v/>
      </c>
      <c r="V59" s="1216" t="str">
        <f t="shared" si="45"/>
        <v/>
      </c>
      <c r="W59" s="1216" t="str">
        <f t="shared" si="45"/>
        <v/>
      </c>
      <c r="X59" s="1216" t="str">
        <f t="shared" si="45"/>
        <v/>
      </c>
      <c r="Y59" s="1216" t="str">
        <f t="shared" si="45"/>
        <v/>
      </c>
      <c r="Z59" s="1216" t="str">
        <f t="shared" si="43"/>
        <v/>
      </c>
      <c r="AA59" s="1216" t="str">
        <f t="shared" si="43"/>
        <v/>
      </c>
      <c r="AB59" s="1217" t="str">
        <f t="shared" si="43"/>
        <v/>
      </c>
      <c r="AC59" s="1216" t="str">
        <f t="shared" si="43"/>
        <v/>
      </c>
      <c r="AD59" s="1218" t="str">
        <f t="shared" si="43"/>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6"/>
        <v/>
      </c>
      <c r="AY59" s="1221" t="str">
        <f t="shared" si="46"/>
        <v/>
      </c>
      <c r="AZ59" s="1221" t="str">
        <f t="shared" si="46"/>
        <v/>
      </c>
      <c r="BA59" s="1221" t="str">
        <f t="shared" si="46"/>
        <v/>
      </c>
      <c r="BB59" s="1221" t="str">
        <f t="shared" si="46"/>
        <v/>
      </c>
      <c r="BC59" s="1221" t="str">
        <f t="shared" si="44"/>
        <v/>
      </c>
      <c r="BD59" s="1221" t="str">
        <f t="shared" si="44"/>
        <v/>
      </c>
      <c r="BE59" s="1222" t="str">
        <f t="shared" si="44"/>
        <v/>
      </c>
      <c r="BF59" s="1221" t="str">
        <f t="shared" si="44"/>
        <v/>
      </c>
      <c r="BG59" s="1223" t="str">
        <f t="shared" si="44"/>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23"/>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5"/>
        <v/>
      </c>
      <c r="V60" s="1216" t="str">
        <f t="shared" si="45"/>
        <v/>
      </c>
      <c r="W60" s="1216" t="str">
        <f t="shared" si="45"/>
        <v/>
      </c>
      <c r="X60" s="1216" t="str">
        <f t="shared" si="45"/>
        <v/>
      </c>
      <c r="Y60" s="1216" t="str">
        <f t="shared" si="45"/>
        <v/>
      </c>
      <c r="Z60" s="1216" t="str">
        <f t="shared" si="43"/>
        <v/>
      </c>
      <c r="AA60" s="1216" t="str">
        <f t="shared" si="43"/>
        <v/>
      </c>
      <c r="AB60" s="1217" t="str">
        <f t="shared" si="43"/>
        <v/>
      </c>
      <c r="AC60" s="1216" t="str">
        <f t="shared" si="43"/>
        <v/>
      </c>
      <c r="AD60" s="1218" t="str">
        <f t="shared" si="43"/>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6"/>
        <v/>
      </c>
      <c r="AY60" s="1221" t="str">
        <f t="shared" si="46"/>
        <v/>
      </c>
      <c r="AZ60" s="1221" t="str">
        <f t="shared" si="46"/>
        <v/>
      </c>
      <c r="BA60" s="1221" t="str">
        <f t="shared" si="46"/>
        <v/>
      </c>
      <c r="BB60" s="1221" t="str">
        <f t="shared" si="46"/>
        <v/>
      </c>
      <c r="BC60" s="1221" t="str">
        <f t="shared" si="44"/>
        <v/>
      </c>
      <c r="BD60" s="1221" t="str">
        <f t="shared" si="44"/>
        <v/>
      </c>
      <c r="BE60" s="1222" t="str">
        <f t="shared" si="44"/>
        <v/>
      </c>
      <c r="BF60" s="1221" t="str">
        <f t="shared" si="44"/>
        <v/>
      </c>
      <c r="BG60" s="1223" t="str">
        <f t="shared" si="44"/>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23"/>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5"/>
        <v/>
      </c>
      <c r="V61" s="1216" t="str">
        <f t="shared" si="45"/>
        <v/>
      </c>
      <c r="W61" s="1216" t="str">
        <f t="shared" si="45"/>
        <v/>
      </c>
      <c r="X61" s="1216" t="str">
        <f t="shared" si="45"/>
        <v/>
      </c>
      <c r="Y61" s="1216" t="str">
        <f t="shared" si="45"/>
        <v/>
      </c>
      <c r="Z61" s="1216" t="str">
        <f t="shared" si="43"/>
        <v/>
      </c>
      <c r="AA61" s="1216" t="str">
        <f t="shared" si="43"/>
        <v/>
      </c>
      <c r="AB61" s="1217" t="str">
        <f t="shared" si="43"/>
        <v/>
      </c>
      <c r="AC61" s="1216" t="str">
        <f t="shared" si="43"/>
        <v/>
      </c>
      <c r="AD61" s="1218" t="str">
        <f t="shared" si="43"/>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6"/>
        <v/>
      </c>
      <c r="AY61" s="1221" t="str">
        <f t="shared" si="46"/>
        <v/>
      </c>
      <c r="AZ61" s="1221" t="str">
        <f t="shared" si="46"/>
        <v/>
      </c>
      <c r="BA61" s="1221" t="str">
        <f t="shared" si="46"/>
        <v/>
      </c>
      <c r="BB61" s="1221" t="str">
        <f t="shared" si="46"/>
        <v/>
      </c>
      <c r="BC61" s="1221" t="str">
        <f t="shared" si="44"/>
        <v/>
      </c>
      <c r="BD61" s="1221" t="str">
        <f t="shared" si="44"/>
        <v/>
      </c>
      <c r="BE61" s="1222" t="str">
        <f t="shared" si="44"/>
        <v/>
      </c>
      <c r="BF61" s="1221" t="str">
        <f t="shared" si="44"/>
        <v/>
      </c>
      <c r="BG61" s="1223" t="str">
        <f t="shared" si="44"/>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23"/>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5"/>
        <v/>
      </c>
      <c r="V62" s="1216" t="str">
        <f t="shared" si="45"/>
        <v/>
      </c>
      <c r="W62" s="1216" t="str">
        <f t="shared" si="45"/>
        <v/>
      </c>
      <c r="X62" s="1216" t="str">
        <f t="shared" si="45"/>
        <v/>
      </c>
      <c r="Y62" s="1216" t="str">
        <f t="shared" si="45"/>
        <v/>
      </c>
      <c r="Z62" s="1216" t="str">
        <f t="shared" si="43"/>
        <v/>
      </c>
      <c r="AA62" s="1216" t="str">
        <f t="shared" si="43"/>
        <v/>
      </c>
      <c r="AB62" s="1217" t="str">
        <f t="shared" si="43"/>
        <v/>
      </c>
      <c r="AC62" s="1216" t="str">
        <f t="shared" si="43"/>
        <v/>
      </c>
      <c r="AD62" s="1218" t="str">
        <f t="shared" si="43"/>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6"/>
        <v/>
      </c>
      <c r="AY62" s="1221" t="str">
        <f t="shared" si="46"/>
        <v/>
      </c>
      <c r="AZ62" s="1221" t="str">
        <f t="shared" si="46"/>
        <v/>
      </c>
      <c r="BA62" s="1221" t="str">
        <f t="shared" si="46"/>
        <v/>
      </c>
      <c r="BB62" s="1221" t="str">
        <f t="shared" si="46"/>
        <v/>
      </c>
      <c r="BC62" s="1221" t="str">
        <f t="shared" si="44"/>
        <v/>
      </c>
      <c r="BD62" s="1221" t="str">
        <f t="shared" si="44"/>
        <v/>
      </c>
      <c r="BE62" s="1222" t="str">
        <f t="shared" si="44"/>
        <v/>
      </c>
      <c r="BF62" s="1221" t="str">
        <f t="shared" si="44"/>
        <v/>
      </c>
      <c r="BG62" s="1223" t="str">
        <f t="shared" si="44"/>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23"/>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5"/>
        <v/>
      </c>
      <c r="V63" s="1216" t="str">
        <f t="shared" si="45"/>
        <v/>
      </c>
      <c r="W63" s="1216" t="str">
        <f t="shared" si="45"/>
        <v/>
      </c>
      <c r="X63" s="1216" t="str">
        <f t="shared" si="45"/>
        <v/>
      </c>
      <c r="Y63" s="1216" t="str">
        <f t="shared" si="45"/>
        <v/>
      </c>
      <c r="Z63" s="1216" t="str">
        <f t="shared" si="43"/>
        <v/>
      </c>
      <c r="AA63" s="1216" t="str">
        <f t="shared" si="43"/>
        <v/>
      </c>
      <c r="AB63" s="1217" t="str">
        <f t="shared" si="43"/>
        <v/>
      </c>
      <c r="AC63" s="1216" t="str">
        <f t="shared" si="43"/>
        <v/>
      </c>
      <c r="AD63" s="1218" t="str">
        <f t="shared" si="43"/>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6"/>
        <v/>
      </c>
      <c r="AY63" s="1221" t="str">
        <f t="shared" si="46"/>
        <v/>
      </c>
      <c r="AZ63" s="1221" t="str">
        <f t="shared" si="46"/>
        <v/>
      </c>
      <c r="BA63" s="1221" t="str">
        <f t="shared" si="46"/>
        <v/>
      </c>
      <c r="BB63" s="1221" t="str">
        <f t="shared" si="46"/>
        <v/>
      </c>
      <c r="BC63" s="1221" t="str">
        <f t="shared" si="44"/>
        <v/>
      </c>
      <c r="BD63" s="1221" t="str">
        <f t="shared" si="44"/>
        <v/>
      </c>
      <c r="BE63" s="1222" t="str">
        <f t="shared" si="44"/>
        <v/>
      </c>
      <c r="BF63" s="1221" t="str">
        <f t="shared" si="44"/>
        <v/>
      </c>
      <c r="BG63" s="1223" t="str">
        <f t="shared" si="44"/>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7">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7"/>
        <v>85</v>
      </c>
      <c r="AM69" s="349" t="s">
        <v>5</v>
      </c>
      <c r="AN69" s="347">
        <f t="shared" ref="AN69" si="48">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Data2!G21</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49">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0">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1">F76</f>
        <v>85</v>
      </c>
      <c r="AM76" s="7" t="s">
        <v>5</v>
      </c>
      <c r="AN76" s="9">
        <f t="shared" si="51"/>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1"/>
        <v>76</v>
      </c>
      <c r="AM77" s="7" t="s">
        <v>5</v>
      </c>
      <c r="AN77" s="9">
        <f t="shared" si="51"/>
        <v>84.5</v>
      </c>
      <c r="AO77" s="1357" t="str">
        <f t="shared" ref="AO77:AO78" si="52">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1"/>
        <v>0</v>
      </c>
      <c r="AM78" s="7" t="s">
        <v>5</v>
      </c>
      <c r="AN78" s="9">
        <f t="shared" si="51"/>
        <v>75.5</v>
      </c>
      <c r="AO78" s="1357" t="str">
        <f t="shared" si="52"/>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75" hidden="1" customHeight="1">
      <c r="C84" s="2"/>
      <c r="AL84" s="10"/>
      <c r="AM84" s="8"/>
      <c r="AN84" s="10"/>
      <c r="AO84" s="972"/>
      <c r="AP84" s="972"/>
      <c r="AQ84" s="972"/>
      <c r="AR84" s="1159"/>
      <c r="AS84" s="1159"/>
      <c r="AT84" s="972"/>
      <c r="AU84" s="972"/>
      <c r="AV84" s="972"/>
    </row>
    <row r="85" spans="3:48" ht="12.75" hidden="1" customHeight="1">
      <c r="C85" s="2"/>
      <c r="AL85" s="10"/>
      <c r="AM85" s="8"/>
      <c r="AN85" s="10"/>
      <c r="AO85" s="972"/>
      <c r="AP85" s="972"/>
      <c r="AQ85" s="972"/>
      <c r="AR85" s="1159"/>
      <c r="AS85" s="1159"/>
      <c r="AT85" s="972"/>
      <c r="AU85" s="972"/>
      <c r="AV85" s="972"/>
    </row>
    <row r="86" spans="3:48" ht="12" hidden="1" customHeight="1"/>
    <row r="87" spans="3:48" ht="12" hidden="1" customHeight="1"/>
    <row r="88" spans="3:48" ht="12" hidden="1" customHeight="1"/>
    <row r="89" spans="3:48" ht="12" hidden="1" customHeight="1"/>
    <row r="90" spans="3:48" ht="12" hidden="1" customHeight="1"/>
    <row r="91" spans="3:48" ht="12" hidden="1" customHeight="1">
      <c r="C91" s="2"/>
      <c r="F91" s="2"/>
      <c r="G91" s="2"/>
      <c r="H91" s="2"/>
      <c r="I91" s="2"/>
      <c r="J91" s="2"/>
      <c r="K91" s="2"/>
      <c r="L91" s="2"/>
      <c r="M91" s="2"/>
      <c r="S91" s="2"/>
      <c r="AL91" s="2"/>
      <c r="AM91" s="2"/>
      <c r="AN91" s="2"/>
      <c r="AO91" s="2"/>
      <c r="AP91" s="2"/>
      <c r="AQ91" s="2"/>
      <c r="AR91" s="2"/>
      <c r="AS91" s="2"/>
    </row>
    <row r="92" spans="3:48" ht="12" hidden="1" customHeight="1">
      <c r="C92" s="2"/>
      <c r="F92" s="2"/>
      <c r="G92" s="2"/>
      <c r="H92" s="2"/>
      <c r="I92" s="2"/>
      <c r="J92" s="2"/>
      <c r="K92" s="2"/>
      <c r="L92" s="2"/>
      <c r="M92" s="2"/>
      <c r="S92" s="2"/>
      <c r="AL92" s="2"/>
      <c r="AM92" s="2"/>
      <c r="AN92" s="2"/>
      <c r="AO92" s="2"/>
      <c r="AP92" s="2"/>
      <c r="AQ92" s="2"/>
      <c r="AR92" s="2"/>
      <c r="AS92" s="2"/>
    </row>
    <row r="93" spans="3:48" ht="12" hidden="1" customHeight="1"/>
    <row r="94" spans="3:48" ht="12" hidden="1" customHeight="1"/>
    <row r="95" spans="3:48" ht="12" hidden="1" customHeight="1"/>
    <row r="96" spans="3:48" ht="12" hidden="1" customHeight="1"/>
    <row r="97" ht="12" hidden="1" customHeight="1"/>
    <row r="98" ht="12" hidden="1" customHeight="1"/>
    <row r="99" ht="12" hidden="1" customHeight="1"/>
    <row r="100" ht="12" hidden="1" customHeight="1"/>
    <row r="101" ht="12" hidden="1" customHeight="1"/>
    <row r="102" ht="12" hidden="1" customHeight="1"/>
    <row r="103" ht="12" hidden="1" customHeight="1"/>
  </sheetData>
  <mergeCells count="70">
    <mergeCell ref="B1:C2"/>
    <mergeCell ref="D1:E2"/>
    <mergeCell ref="B3:C4"/>
    <mergeCell ref="D3:E6"/>
    <mergeCell ref="B6:C6"/>
    <mergeCell ref="G7:R10"/>
    <mergeCell ref="AL8:AL11"/>
    <mergeCell ref="AM8:AU11"/>
    <mergeCell ref="G11:R11"/>
    <mergeCell ref="B10:C11"/>
    <mergeCell ref="D10:E11"/>
    <mergeCell ref="B7:C7"/>
    <mergeCell ref="D7:E9"/>
    <mergeCell ref="B8:C8"/>
    <mergeCell ref="B9:C9"/>
    <mergeCell ref="F74:H74"/>
    <mergeCell ref="I74:Q74"/>
    <mergeCell ref="AL74:AN74"/>
    <mergeCell ref="AO74:AV74"/>
    <mergeCell ref="G1:R1"/>
    <mergeCell ref="AM1:AU1"/>
    <mergeCell ref="G2:R2"/>
    <mergeCell ref="AL2:AL3"/>
    <mergeCell ref="AM2:AU3"/>
    <mergeCell ref="F3:F6"/>
    <mergeCell ref="G3:R6"/>
    <mergeCell ref="AL4:AL5"/>
    <mergeCell ref="AM4:AU5"/>
    <mergeCell ref="AL6:AL7"/>
    <mergeCell ref="AM6:AU7"/>
    <mergeCell ref="F7:F10"/>
    <mergeCell ref="I68:Q68"/>
    <mergeCell ref="AO68:AV68"/>
    <mergeCell ref="I69:Q69"/>
    <mergeCell ref="AO83:AV83"/>
    <mergeCell ref="I75:P75"/>
    <mergeCell ref="I76:P76"/>
    <mergeCell ref="I77:P77"/>
    <mergeCell ref="AO69:AV69"/>
    <mergeCell ref="I70:Q70"/>
    <mergeCell ref="AO70:AV70"/>
    <mergeCell ref="I78:P78"/>
    <mergeCell ref="AO82:AV82"/>
    <mergeCell ref="I71:Q71"/>
    <mergeCell ref="AO71:AV71"/>
    <mergeCell ref="F73:Q73"/>
    <mergeCell ref="AL73:AV73"/>
    <mergeCell ref="F65:Q65"/>
    <mergeCell ref="AL65:AV65"/>
    <mergeCell ref="F66:Q66"/>
    <mergeCell ref="AL66:AV66"/>
    <mergeCell ref="F67:H67"/>
    <mergeCell ref="I67:Q67"/>
    <mergeCell ref="AL67:AN67"/>
    <mergeCell ref="AO67:AV67"/>
    <mergeCell ref="BN12:BN13"/>
    <mergeCell ref="AG13:AH13"/>
    <mergeCell ref="AI13:AJ13"/>
    <mergeCell ref="BJ13:BK13"/>
    <mergeCell ref="BL13:BM13"/>
    <mergeCell ref="B12:B13"/>
    <mergeCell ref="C12:C13"/>
    <mergeCell ref="D12:D13"/>
    <mergeCell ref="E12:E13"/>
    <mergeCell ref="F12:O12"/>
    <mergeCell ref="T12:T13"/>
    <mergeCell ref="AK12:AK13"/>
    <mergeCell ref="S12:S13"/>
    <mergeCell ref="AV12:AV13"/>
    <mergeCell ref="AW12:AW13"/>
  </mergeCells>
  <conditionalFormatting sqref="B14:E63">
    <cfRule type="expression" dxfId="1978" priority="273">
      <formula>AND($B14&lt;&gt;"",$B15="")</formula>
    </cfRule>
    <cfRule type="expression" dxfId="1977" priority="274">
      <formula>$B14=""</formula>
    </cfRule>
  </conditionalFormatting>
  <conditionalFormatting sqref="B56:E56">
    <cfRule type="expression" dxfId="1976" priority="275">
      <formula>AND($B56&lt;&gt;"",$B63="")</formula>
    </cfRule>
    <cfRule type="expression" dxfId="1975" priority="276">
      <formula>$B56=""</formula>
    </cfRule>
  </conditionalFormatting>
  <conditionalFormatting sqref="B50:E50">
    <cfRule type="expression" dxfId="1974" priority="277">
      <formula>AND($B50&lt;&gt;"",$B63="")</formula>
    </cfRule>
    <cfRule type="expression" dxfId="1973" priority="278">
      <formula>$B50=""</formula>
    </cfRule>
  </conditionalFormatting>
  <conditionalFormatting sqref="B43:E44">
    <cfRule type="expression" dxfId="1972" priority="279">
      <formula>AND($B43&lt;&gt;"",$B62="")</formula>
    </cfRule>
    <cfRule type="expression" dxfId="1971" priority="280">
      <formula>$B43=""</formula>
    </cfRule>
  </conditionalFormatting>
  <conditionalFormatting sqref="B63:E63">
    <cfRule type="expression" dxfId="1970" priority="281">
      <formula>AND($B63&lt;&gt;"",#REF!="")</formula>
    </cfRule>
    <cfRule type="expression" dxfId="1969" priority="282">
      <formula>$B63=""</formula>
    </cfRule>
  </conditionalFormatting>
  <conditionalFormatting sqref="B61:E61">
    <cfRule type="expression" dxfId="1968" priority="283">
      <formula>AND($B61&lt;&gt;"",$B64="")</formula>
    </cfRule>
    <cfRule type="expression" dxfId="1967" priority="284">
      <formula>$B61=""</formula>
    </cfRule>
  </conditionalFormatting>
  <conditionalFormatting sqref="B57:E60">
    <cfRule type="expression" dxfId="1966" priority="285">
      <formula>AND($B57&lt;&gt;"",#REF!="")</formula>
    </cfRule>
    <cfRule type="expression" dxfId="1965" priority="286">
      <formula>$B57=""</formula>
    </cfRule>
  </conditionalFormatting>
  <conditionalFormatting sqref="B55:E55">
    <cfRule type="expression" dxfId="1964" priority="287">
      <formula>AND($B55&lt;&gt;"",$B64="")</formula>
    </cfRule>
    <cfRule type="expression" dxfId="1963" priority="288">
      <formula>$B55=""</formula>
    </cfRule>
  </conditionalFormatting>
  <conditionalFormatting sqref="B51:E54">
    <cfRule type="expression" dxfId="1962" priority="289">
      <formula>AND($B51&lt;&gt;"",#REF!="")</formula>
    </cfRule>
    <cfRule type="expression" dxfId="1961" priority="290">
      <formula>$B51=""</formula>
    </cfRule>
  </conditionalFormatting>
  <conditionalFormatting sqref="B49:E49">
    <cfRule type="expression" dxfId="1960" priority="291">
      <formula>AND($B49&lt;&gt;"",$B64="")</formula>
    </cfRule>
    <cfRule type="expression" dxfId="1959" priority="292">
      <formula>$B49=""</formula>
    </cfRule>
  </conditionalFormatting>
  <conditionalFormatting sqref="B45:E63">
    <cfRule type="expression" dxfId="1958" priority="293">
      <formula>AND($B45&lt;&gt;"",#REF!="")</formula>
    </cfRule>
    <cfRule type="expression" dxfId="1957" priority="294">
      <formula>$B45=""</formula>
    </cfRule>
  </conditionalFormatting>
  <conditionalFormatting sqref="R70 F66:Q71">
    <cfRule type="expression" dxfId="1956" priority="295">
      <formula>$F$65="SAMA DENGAN DATA"</formula>
    </cfRule>
  </conditionalFormatting>
  <conditionalFormatting sqref="F66:Q71">
    <cfRule type="expression" dxfId="1955" priority="296">
      <formula>$F$65="kkm tunggal"</formula>
    </cfRule>
  </conditionalFormatting>
  <conditionalFormatting sqref="AW70:BG70 AL66:AV71">
    <cfRule type="expression" dxfId="1954" priority="297">
      <formula>$AL$65="SAMA DENGAN DATA"</formula>
    </cfRule>
  </conditionalFormatting>
  <conditionalFormatting sqref="AL66:AV71">
    <cfRule type="expression" dxfId="1953" priority="298">
      <formula>$AL$65="KKM TUNGGAL"</formula>
    </cfRule>
  </conditionalFormatting>
  <conditionalFormatting sqref="B61:E63">
    <cfRule type="expression" dxfId="1952" priority="2672">
      <formula>AND($B61&lt;&gt;"",$B65="")</formula>
    </cfRule>
    <cfRule type="expression" dxfId="1951" priority="2673">
      <formula>$B61=""</formula>
    </cfRule>
  </conditionalFormatting>
  <conditionalFormatting sqref="B50:E60">
    <cfRule type="expression" dxfId="1950" priority="2674">
      <formula>AND($B50&lt;&gt;"",#REF!="")</formula>
    </cfRule>
    <cfRule type="expression" dxfId="1949" priority="2675">
      <formula>$B50=""</formula>
    </cfRule>
  </conditionalFormatting>
  <conditionalFormatting sqref="U14:AB63 P51:S63 AV14:BE63 AE14:AK63 BH14:BN63 P14:P50 S14:S50">
    <cfRule type="expression" dxfId="1948" priority="186">
      <formula>AND($B14&lt;&gt;"",$B15="")</formula>
    </cfRule>
    <cfRule type="expression" dxfId="1947" priority="187">
      <formula>$B14=""</formula>
    </cfRule>
  </conditionalFormatting>
  <conditionalFormatting sqref="T14:T63">
    <cfRule type="expression" dxfId="1946" priority="184">
      <formula>AND($B14&lt;&gt;"",$B15="")</formula>
    </cfRule>
    <cfRule type="expression" dxfId="1945" priority="185">
      <formula>$B14=""</formula>
    </cfRule>
  </conditionalFormatting>
  <conditionalFormatting sqref="AV14">
    <cfRule type="expression" dxfId="1944" priority="182">
      <formula>AND($B14&lt;&gt;"",$B15="")</formula>
    </cfRule>
    <cfRule type="expression" dxfId="1943" priority="183">
      <formula>$B14=""</formula>
    </cfRule>
  </conditionalFormatting>
  <conditionalFormatting sqref="P56:S56 U56:AB56 BH56:BN56 AE56:AK56 AV56:BE56">
    <cfRule type="expression" dxfId="1942" priority="188">
      <formula>AND($B56&lt;&gt;"",$B63="")</formula>
    </cfRule>
    <cfRule type="expression" dxfId="1941" priority="189">
      <formula>$B56=""</formula>
    </cfRule>
  </conditionalFormatting>
  <conditionalFormatting sqref="P50 U50:AB50 BH50:BN50 AE50:AK50 AV50:BE50 S50">
    <cfRule type="expression" dxfId="1940" priority="190">
      <formula>AND($B50&lt;&gt;"",$B63="")</formula>
    </cfRule>
    <cfRule type="expression" dxfId="1939" priority="191">
      <formula>$B50=""</formula>
    </cfRule>
  </conditionalFormatting>
  <conditionalFormatting sqref="P43:P44 U43:AB44 BH43:BN44 AE43:AK44 AV43:BE44 S43:S44">
    <cfRule type="expression" dxfId="1938" priority="192">
      <formula>AND($B43&lt;&gt;"",$B62="")</formula>
    </cfRule>
    <cfRule type="expression" dxfId="1937" priority="193">
      <formula>$B43=""</formula>
    </cfRule>
  </conditionalFormatting>
  <conditionalFormatting sqref="P63:S63 U63:AB63 BH63:BN63 AE63:AK63 AV63:BE63">
    <cfRule type="expression" dxfId="1936" priority="194">
      <formula>AND($B63&lt;&gt;"",#REF!="")</formula>
    </cfRule>
    <cfRule type="expression" dxfId="1935" priority="195">
      <formula>$B63=""</formula>
    </cfRule>
  </conditionalFormatting>
  <conditionalFormatting sqref="P61:S61 U61:AB61 BH61:BN61 AE61:AK61 AV61:BE61">
    <cfRule type="expression" dxfId="1934" priority="196">
      <formula>AND($B61&lt;&gt;"",$B64="")</formula>
    </cfRule>
    <cfRule type="expression" dxfId="1933" priority="197">
      <formula>$B61=""</formula>
    </cfRule>
  </conditionalFormatting>
  <conditionalFormatting sqref="P57:S60 U57:AB60 BH57:BN60 AE57:AK60 AV57:BE60">
    <cfRule type="expression" dxfId="1932" priority="198">
      <formula>AND($B57&lt;&gt;"",#REF!="")</formula>
    </cfRule>
    <cfRule type="expression" dxfId="1931" priority="199">
      <formula>$B57=""</formula>
    </cfRule>
  </conditionalFormatting>
  <conditionalFormatting sqref="P55:S55 U55:AB55 BH55:BN55 AE55:AK55 AV55:BE55">
    <cfRule type="expression" dxfId="1930" priority="200">
      <formula>AND($B55&lt;&gt;"",$B64="")</formula>
    </cfRule>
    <cfRule type="expression" dxfId="1929" priority="201">
      <formula>$B55=""</formula>
    </cfRule>
  </conditionalFormatting>
  <conditionalFormatting sqref="P51:S54 U51:AB54 BH51:BN54 AE51:AK54 AV51:BE54">
    <cfRule type="expression" dxfId="1928" priority="202">
      <formula>AND($B51&lt;&gt;"",#REF!="")</formula>
    </cfRule>
    <cfRule type="expression" dxfId="1927" priority="203">
      <formula>$B51=""</formula>
    </cfRule>
  </conditionalFormatting>
  <conditionalFormatting sqref="J49:P49 U49:AK49 S49 AP49:BN49">
    <cfRule type="expression" dxfId="1926" priority="204">
      <formula>AND($B49&lt;&gt;"",$B64="")</formula>
    </cfRule>
    <cfRule type="expression" dxfId="1925" priority="205">
      <formula>$B49=""</formula>
    </cfRule>
  </conditionalFormatting>
  <conditionalFormatting sqref="P51:S63 U45:AB63 BH45:BN63 AE45:AK63 AV45:BE63 P45:P50 S45:S50">
    <cfRule type="expression" dxfId="1924" priority="206">
      <formula>AND($B45&lt;&gt;"",#REF!="")</formula>
    </cfRule>
    <cfRule type="expression" dxfId="1923" priority="207">
      <formula>$B45=""</formula>
    </cfRule>
  </conditionalFormatting>
  <conditionalFormatting sqref="T16:T63">
    <cfRule type="expression" dxfId="1922" priority="180">
      <formula>AND($B16&lt;&gt;"",$B17="")</formula>
    </cfRule>
    <cfRule type="expression" dxfId="1921" priority="181">
      <formula>$B16=""</formula>
    </cfRule>
  </conditionalFormatting>
  <conditionalFormatting sqref="U13:AB13 AX12:BG12">
    <cfRule type="expression" dxfId="1920" priority="179">
      <formula>COUNTA(U$14:U$63)&gt;0</formula>
    </cfRule>
  </conditionalFormatting>
  <conditionalFormatting sqref="F51:M63 J14:M50">
    <cfRule type="expression" dxfId="1919" priority="158">
      <formula>AND($B14&lt;&gt;"",$B15="")</formula>
    </cfRule>
    <cfRule type="expression" dxfId="1918" priority="159">
      <formula>$B14=""</formula>
    </cfRule>
  </conditionalFormatting>
  <conditionalFormatting sqref="F56:M56">
    <cfRule type="expression" dxfId="1917" priority="160">
      <formula>AND($B56&lt;&gt;"",$B63="")</formula>
    </cfRule>
    <cfRule type="expression" dxfId="1916" priority="161">
      <formula>$B56=""</formula>
    </cfRule>
  </conditionalFormatting>
  <conditionalFormatting sqref="J50:M50">
    <cfRule type="expression" dxfId="1915" priority="162">
      <formula>AND($B50&lt;&gt;"",$B63="")</formula>
    </cfRule>
    <cfRule type="expression" dxfId="1914" priority="163">
      <formula>$B50=""</formula>
    </cfRule>
  </conditionalFormatting>
  <conditionalFormatting sqref="J43:M44">
    <cfRule type="expression" dxfId="1913" priority="164">
      <formula>AND($B43&lt;&gt;"",$B62="")</formula>
    </cfRule>
    <cfRule type="expression" dxfId="1912" priority="165">
      <formula>$B43=""</formula>
    </cfRule>
  </conditionalFormatting>
  <conditionalFormatting sqref="F63:M63">
    <cfRule type="expression" dxfId="1911" priority="166">
      <formula>AND($B63&lt;&gt;"",#REF!="")</formula>
    </cfRule>
    <cfRule type="expression" dxfId="1910" priority="167">
      <formula>$B63=""</formula>
    </cfRule>
  </conditionalFormatting>
  <conditionalFormatting sqref="F61:M61">
    <cfRule type="expression" dxfId="1909" priority="168">
      <formula>AND($B61&lt;&gt;"",$B64="")</formula>
    </cfRule>
    <cfRule type="expression" dxfId="1908" priority="169">
      <formula>$B61=""</formula>
    </cfRule>
  </conditionalFormatting>
  <conditionalFormatting sqref="F57:M60">
    <cfRule type="expression" dxfId="1907" priority="170">
      <formula>AND($B57&lt;&gt;"",#REF!="")</formula>
    </cfRule>
    <cfRule type="expression" dxfId="1906" priority="171">
      <formula>$B57=""</formula>
    </cfRule>
  </conditionalFormatting>
  <conditionalFormatting sqref="F55:M55">
    <cfRule type="expression" dxfId="1905" priority="172">
      <formula>AND($B55&lt;&gt;"",$B64="")</formula>
    </cfRule>
    <cfRule type="expression" dxfId="1904" priority="173">
      <formula>$B55=""</formula>
    </cfRule>
  </conditionalFormatting>
  <conditionalFormatting sqref="F51:M54">
    <cfRule type="expression" dxfId="1903" priority="174">
      <formula>AND($B51&lt;&gt;"",#REF!="")</formula>
    </cfRule>
    <cfRule type="expression" dxfId="1902" priority="175">
      <formula>$B51=""</formula>
    </cfRule>
  </conditionalFormatting>
  <conditionalFormatting sqref="F51:M63 J45:M50">
    <cfRule type="expression" dxfId="1901" priority="176">
      <formula>AND($B45&lt;&gt;"",#REF!="")</formula>
    </cfRule>
    <cfRule type="expression" dxfId="1900" priority="177">
      <formula>$B45=""</formula>
    </cfRule>
  </conditionalFormatting>
  <conditionalFormatting sqref="F13:M13">
    <cfRule type="expression" dxfId="1899" priority="157">
      <formula>COUNTA(F$14:F$63)&gt;0</formula>
    </cfRule>
  </conditionalFormatting>
  <conditionalFormatting sqref="F51:M63 J14:M50">
    <cfRule type="expression" dxfId="1898" priority="178">
      <formula>COUNTIF($U14:$AB14,F14)&gt;1</formula>
    </cfRule>
  </conditionalFormatting>
  <conditionalFormatting sqref="AC14:AD63">
    <cfRule type="expression" dxfId="1897" priority="137">
      <formula>AND($B14&lt;&gt;"",$B15="")</formula>
    </cfRule>
    <cfRule type="expression" dxfId="1896" priority="138">
      <formula>$B14=""</formula>
    </cfRule>
  </conditionalFormatting>
  <conditionalFormatting sqref="AC56:AD56">
    <cfRule type="expression" dxfId="1895" priority="139">
      <formula>AND($B56&lt;&gt;"",$B63="")</formula>
    </cfRule>
    <cfRule type="expression" dxfId="1894" priority="140">
      <formula>$B56=""</formula>
    </cfRule>
  </conditionalFormatting>
  <conditionalFormatting sqref="AC50:AD50">
    <cfRule type="expression" dxfId="1893" priority="141">
      <formula>AND($B50&lt;&gt;"",$B63="")</formula>
    </cfRule>
    <cfRule type="expression" dxfId="1892" priority="142">
      <formula>$B50=""</formula>
    </cfRule>
  </conditionalFormatting>
  <conditionalFormatting sqref="AC43:AD44">
    <cfRule type="expression" dxfId="1891" priority="143">
      <formula>AND($B43&lt;&gt;"",$B62="")</formula>
    </cfRule>
    <cfRule type="expression" dxfId="1890" priority="144">
      <formula>$B43=""</formula>
    </cfRule>
  </conditionalFormatting>
  <conditionalFormatting sqref="AC63:AD63">
    <cfRule type="expression" dxfId="1889" priority="145">
      <formula>AND($B63&lt;&gt;"",#REF!="")</formula>
    </cfRule>
    <cfRule type="expression" dxfId="1888" priority="146">
      <formula>$B63=""</formula>
    </cfRule>
  </conditionalFormatting>
  <conditionalFormatting sqref="AC61:AD61">
    <cfRule type="expression" dxfId="1887" priority="147">
      <formula>AND($B61&lt;&gt;"",$B64="")</formula>
    </cfRule>
    <cfRule type="expression" dxfId="1886" priority="148">
      <formula>$B61=""</formula>
    </cfRule>
  </conditionalFormatting>
  <conditionalFormatting sqref="AC57:AD60">
    <cfRule type="expression" dxfId="1885" priority="149">
      <formula>AND($B57&lt;&gt;"",#REF!="")</formula>
    </cfRule>
    <cfRule type="expression" dxfId="1884" priority="150">
      <formula>$B57=""</formula>
    </cfRule>
  </conditionalFormatting>
  <conditionalFormatting sqref="AC55:AD55">
    <cfRule type="expression" dxfId="1883" priority="151">
      <formula>AND($B55&lt;&gt;"",$B64="")</formula>
    </cfRule>
    <cfRule type="expression" dxfId="1882" priority="152">
      <formula>$B55=""</formula>
    </cfRule>
  </conditionalFormatting>
  <conditionalFormatting sqref="AC51:AD54">
    <cfRule type="expression" dxfId="1881" priority="153">
      <formula>AND($B51&lt;&gt;"",#REF!="")</formula>
    </cfRule>
    <cfRule type="expression" dxfId="1880" priority="154">
      <formula>$B51=""</formula>
    </cfRule>
  </conditionalFormatting>
  <conditionalFormatting sqref="AC45:AD63">
    <cfRule type="expression" dxfId="1879" priority="155">
      <formula>AND($B45&lt;&gt;"",#REF!="")</formula>
    </cfRule>
    <cfRule type="expression" dxfId="1878" priority="156">
      <formula>$B45=""</formula>
    </cfRule>
  </conditionalFormatting>
  <conditionalFormatting sqref="AC13:AD13">
    <cfRule type="expression" dxfId="1877" priority="136">
      <formula>COUNTA(AC$14:AC$63)&gt;0</formula>
    </cfRule>
  </conditionalFormatting>
  <conditionalFormatting sqref="N14:O63">
    <cfRule type="expression" dxfId="1876" priority="115">
      <formula>AND($B14&lt;&gt;"",$B15="")</formula>
    </cfRule>
    <cfRule type="expression" dxfId="1875" priority="116">
      <formula>$B14=""</formula>
    </cfRule>
  </conditionalFormatting>
  <conditionalFormatting sqref="N56:O56">
    <cfRule type="expression" dxfId="1874" priority="117">
      <formula>AND($B56&lt;&gt;"",$B63="")</formula>
    </cfRule>
    <cfRule type="expression" dxfId="1873" priority="118">
      <formula>$B56=""</formula>
    </cfRule>
  </conditionalFormatting>
  <conditionalFormatting sqref="N50:O50">
    <cfRule type="expression" dxfId="1872" priority="119">
      <formula>AND($B50&lt;&gt;"",$B63="")</formula>
    </cfRule>
    <cfRule type="expression" dxfId="1871" priority="120">
      <formula>$B50=""</formula>
    </cfRule>
  </conditionalFormatting>
  <conditionalFormatting sqref="N43:O44">
    <cfRule type="expression" dxfId="1870" priority="121">
      <formula>AND($B43&lt;&gt;"",$B62="")</formula>
    </cfRule>
    <cfRule type="expression" dxfId="1869" priority="122">
      <formula>$B43=""</formula>
    </cfRule>
  </conditionalFormatting>
  <conditionalFormatting sqref="N63:O63">
    <cfRule type="expression" dxfId="1868" priority="123">
      <formula>AND($B63&lt;&gt;"",#REF!="")</formula>
    </cfRule>
    <cfRule type="expression" dxfId="1867" priority="124">
      <formula>$B63=""</formula>
    </cfRule>
  </conditionalFormatting>
  <conditionalFormatting sqref="N61:O61">
    <cfRule type="expression" dxfId="1866" priority="125">
      <formula>AND($B61&lt;&gt;"",$B64="")</formula>
    </cfRule>
    <cfRule type="expression" dxfId="1865" priority="126">
      <formula>$B61=""</formula>
    </cfRule>
  </conditionalFormatting>
  <conditionalFormatting sqref="N57:O60">
    <cfRule type="expression" dxfId="1864" priority="127">
      <formula>AND($B57&lt;&gt;"",#REF!="")</formula>
    </cfRule>
    <cfRule type="expression" dxfId="1863" priority="128">
      <formula>$B57=""</formula>
    </cfRule>
  </conditionalFormatting>
  <conditionalFormatting sqref="N55:O55">
    <cfRule type="expression" dxfId="1862" priority="129">
      <formula>AND($B55&lt;&gt;"",$B64="")</formula>
    </cfRule>
    <cfRule type="expression" dxfId="1861" priority="130">
      <formula>$B55=""</formula>
    </cfRule>
  </conditionalFormatting>
  <conditionalFormatting sqref="N51:O54">
    <cfRule type="expression" dxfId="1860" priority="131">
      <formula>AND($B51&lt;&gt;"",#REF!="")</formula>
    </cfRule>
    <cfRule type="expression" dxfId="1859" priority="132">
      <formula>$B51=""</formula>
    </cfRule>
  </conditionalFormatting>
  <conditionalFormatting sqref="N45:O63">
    <cfRule type="expression" dxfId="1858" priority="133">
      <formula>AND($B45&lt;&gt;"",#REF!="")</formula>
    </cfRule>
    <cfRule type="expression" dxfId="1857" priority="134">
      <formula>$B45=""</formula>
    </cfRule>
  </conditionalFormatting>
  <conditionalFormatting sqref="N13:O13">
    <cfRule type="expression" dxfId="1856" priority="114">
      <formula>COUNTA(N$14:N$63)&gt;0</formula>
    </cfRule>
  </conditionalFormatting>
  <conditionalFormatting sqref="N14:O63">
    <cfRule type="expression" dxfId="1855" priority="135">
      <formula>COUNTIF($U14:$AB14,N14)&gt;1</formula>
    </cfRule>
  </conditionalFormatting>
  <conditionalFormatting sqref="BF14:BG63">
    <cfRule type="expression" dxfId="1854" priority="94">
      <formula>AND($B14&lt;&gt;"",$B15="")</formula>
    </cfRule>
    <cfRule type="expression" dxfId="1853" priority="95">
      <formula>$B14=""</formula>
    </cfRule>
  </conditionalFormatting>
  <conditionalFormatting sqref="BF56:BG56">
    <cfRule type="expression" dxfId="1852" priority="96">
      <formula>AND($B56&lt;&gt;"",$B63="")</formula>
    </cfRule>
    <cfRule type="expression" dxfId="1851" priority="97">
      <formula>$B56=""</formula>
    </cfRule>
  </conditionalFormatting>
  <conditionalFormatting sqref="BF50:BG50">
    <cfRule type="expression" dxfId="1850" priority="98">
      <formula>AND($B50&lt;&gt;"",$B63="")</formula>
    </cfRule>
    <cfRule type="expression" dxfId="1849" priority="99">
      <formula>$B50=""</formula>
    </cfRule>
  </conditionalFormatting>
  <conditionalFormatting sqref="BF43:BG44">
    <cfRule type="expression" dxfId="1848" priority="100">
      <formula>AND($B43&lt;&gt;"",$B62="")</formula>
    </cfRule>
    <cfRule type="expression" dxfId="1847" priority="101">
      <formula>$B43=""</formula>
    </cfRule>
  </conditionalFormatting>
  <conditionalFormatting sqref="BF63:BG63">
    <cfRule type="expression" dxfId="1846" priority="102">
      <formula>AND($B63&lt;&gt;"",#REF!="")</formula>
    </cfRule>
    <cfRule type="expression" dxfId="1845" priority="103">
      <formula>$B63=""</formula>
    </cfRule>
  </conditionalFormatting>
  <conditionalFormatting sqref="BF61:BG61">
    <cfRule type="expression" dxfId="1844" priority="104">
      <formula>AND($B61&lt;&gt;"",$B64="")</formula>
    </cfRule>
    <cfRule type="expression" dxfId="1843" priority="105">
      <formula>$B61=""</formula>
    </cfRule>
  </conditionalFormatting>
  <conditionalFormatting sqref="BF57:BG60">
    <cfRule type="expression" dxfId="1842" priority="106">
      <formula>AND($B57&lt;&gt;"",#REF!="")</formula>
    </cfRule>
    <cfRule type="expression" dxfId="1841" priority="107">
      <formula>$B57=""</formula>
    </cfRule>
  </conditionalFormatting>
  <conditionalFormatting sqref="BF55:BG55">
    <cfRule type="expression" dxfId="1840" priority="108">
      <formula>AND($B55&lt;&gt;"",$B64="")</formula>
    </cfRule>
    <cfRule type="expression" dxfId="1839" priority="109">
      <formula>$B55=""</formula>
    </cfRule>
  </conditionalFormatting>
  <conditionalFormatting sqref="BF51:BG54">
    <cfRule type="expression" dxfId="1838" priority="110">
      <formula>AND($B51&lt;&gt;"",#REF!="")</formula>
    </cfRule>
    <cfRule type="expression" dxfId="1837" priority="111">
      <formula>$B51=""</formula>
    </cfRule>
  </conditionalFormatting>
  <conditionalFormatting sqref="BF45:BG63">
    <cfRule type="expression" dxfId="1836" priority="112">
      <formula>AND($B45&lt;&gt;"",#REF!="")</formula>
    </cfRule>
    <cfRule type="expression" dxfId="1835" priority="113">
      <formula>$B45=""</formula>
    </cfRule>
  </conditionalFormatting>
  <conditionalFormatting sqref="AL51:AS63 AP14:AS50">
    <cfRule type="expression" dxfId="1834" priority="73">
      <formula>AND($B14&lt;&gt;"",$B15="")</formula>
    </cfRule>
    <cfRule type="expression" dxfId="1833" priority="74">
      <formula>$B14=""</formula>
    </cfRule>
  </conditionalFormatting>
  <conditionalFormatting sqref="AL56:AS56">
    <cfRule type="expression" dxfId="1832" priority="75">
      <formula>AND($B56&lt;&gt;"",$B63="")</formula>
    </cfRule>
    <cfRule type="expression" dxfId="1831" priority="76">
      <formula>$B56=""</formula>
    </cfRule>
  </conditionalFormatting>
  <conditionalFormatting sqref="AP50:AS50">
    <cfRule type="expression" dxfId="1830" priority="77">
      <formula>AND($B50&lt;&gt;"",$B63="")</formula>
    </cfRule>
    <cfRule type="expression" dxfId="1829" priority="78">
      <formula>$B50=""</formula>
    </cfRule>
  </conditionalFormatting>
  <conditionalFormatting sqref="AP43:AS44">
    <cfRule type="expression" dxfId="1828" priority="79">
      <formula>AND($B43&lt;&gt;"",$B62="")</formula>
    </cfRule>
    <cfRule type="expression" dxfId="1827" priority="80">
      <formula>$B43=""</formula>
    </cfRule>
  </conditionalFormatting>
  <conditionalFormatting sqref="AL63:AS63">
    <cfRule type="expression" dxfId="1826" priority="81">
      <formula>AND($B63&lt;&gt;"",#REF!="")</formula>
    </cfRule>
    <cfRule type="expression" dxfId="1825" priority="82">
      <formula>$B63=""</formula>
    </cfRule>
  </conditionalFormatting>
  <conditionalFormatting sqref="AL61:AS61">
    <cfRule type="expression" dxfId="1824" priority="83">
      <formula>AND($B61&lt;&gt;"",$B64="")</formula>
    </cfRule>
    <cfRule type="expression" dxfId="1823" priority="84">
      <formula>$B61=""</formula>
    </cfRule>
  </conditionalFormatting>
  <conditionalFormatting sqref="AL57:AS60">
    <cfRule type="expression" dxfId="1822" priority="85">
      <formula>AND($B57&lt;&gt;"",#REF!="")</formula>
    </cfRule>
    <cfRule type="expression" dxfId="1821" priority="86">
      <formula>$B57=""</formula>
    </cfRule>
  </conditionalFormatting>
  <conditionalFormatting sqref="AL55:AS55">
    <cfRule type="expression" dxfId="1820" priority="87">
      <formula>AND($B55&lt;&gt;"",$B64="")</formula>
    </cfRule>
    <cfRule type="expression" dxfId="1819" priority="88">
      <formula>$B55=""</formula>
    </cfRule>
  </conditionalFormatting>
  <conditionalFormatting sqref="AL51:AS54">
    <cfRule type="expression" dxfId="1818" priority="89">
      <formula>AND($B51&lt;&gt;"",#REF!="")</formula>
    </cfRule>
    <cfRule type="expression" dxfId="1817" priority="90">
      <formula>$B51=""</formula>
    </cfRule>
  </conditionalFormatting>
  <conditionalFormatting sqref="AL51:AS63 AP45:AS50">
    <cfRule type="expression" dxfId="1816" priority="91">
      <formula>AND($B45&lt;&gt;"",#REF!="")</formula>
    </cfRule>
    <cfRule type="expression" dxfId="1815" priority="92">
      <formula>$B45=""</formula>
    </cfRule>
  </conditionalFormatting>
  <conditionalFormatting sqref="AL12:AU12">
    <cfRule type="expression" dxfId="1814" priority="72">
      <formula>COUNTA(AL$14:AL$63)&gt;0</formula>
    </cfRule>
  </conditionalFormatting>
  <conditionalFormatting sqref="AT14:AU63">
    <cfRule type="expression" dxfId="1813" priority="52">
      <formula>AND($B14&lt;&gt;"",$B15="")</formula>
    </cfRule>
    <cfRule type="expression" dxfId="1812" priority="53">
      <formula>$B14=""</formula>
    </cfRule>
  </conditionalFormatting>
  <conditionalFormatting sqref="AT56:AU56">
    <cfRule type="expression" dxfId="1811" priority="54">
      <formula>AND($B56&lt;&gt;"",$B63="")</formula>
    </cfRule>
    <cfRule type="expression" dxfId="1810" priority="55">
      <formula>$B56=""</formula>
    </cfRule>
  </conditionalFormatting>
  <conditionalFormatting sqref="AT50:AU50">
    <cfRule type="expression" dxfId="1809" priority="56">
      <formula>AND($B50&lt;&gt;"",$B63="")</formula>
    </cfRule>
    <cfRule type="expression" dxfId="1808" priority="57">
      <formula>$B50=""</formula>
    </cfRule>
  </conditionalFormatting>
  <conditionalFormatting sqref="AT43:AU44">
    <cfRule type="expression" dxfId="1807" priority="58">
      <formula>AND($B43&lt;&gt;"",$B62="")</formula>
    </cfRule>
    <cfRule type="expression" dxfId="1806" priority="59">
      <formula>$B43=""</formula>
    </cfRule>
  </conditionalFormatting>
  <conditionalFormatting sqref="AT63:AU63">
    <cfRule type="expression" dxfId="1805" priority="60">
      <formula>AND($B63&lt;&gt;"",#REF!="")</formula>
    </cfRule>
    <cfRule type="expression" dxfId="1804" priority="61">
      <formula>$B63=""</formula>
    </cfRule>
  </conditionalFormatting>
  <conditionalFormatting sqref="AT61:AU61">
    <cfRule type="expression" dxfId="1803" priority="62">
      <formula>AND($B61&lt;&gt;"",$B64="")</formula>
    </cfRule>
    <cfRule type="expression" dxfId="1802" priority="63">
      <formula>$B61=""</formula>
    </cfRule>
  </conditionalFormatting>
  <conditionalFormatting sqref="AT57:AU60">
    <cfRule type="expression" dxfId="1801" priority="64">
      <formula>AND($B57&lt;&gt;"",#REF!="")</formula>
    </cfRule>
    <cfRule type="expression" dxfId="1800" priority="65">
      <formula>$B57=""</formula>
    </cfRule>
  </conditionalFormatting>
  <conditionalFormatting sqref="AT55:AU55">
    <cfRule type="expression" dxfId="1799" priority="66">
      <formula>AND($B55&lt;&gt;"",$B64="")</formula>
    </cfRule>
    <cfRule type="expression" dxfId="1798" priority="67">
      <formula>$B55=""</formula>
    </cfRule>
  </conditionalFormatting>
  <conditionalFormatting sqref="AT51:AU54">
    <cfRule type="expression" dxfId="1797" priority="68">
      <formula>AND($B51&lt;&gt;"",#REF!="")</formula>
    </cfRule>
    <cfRule type="expression" dxfId="1796" priority="69">
      <formula>$B51=""</formula>
    </cfRule>
  </conditionalFormatting>
  <conditionalFormatting sqref="AT45:AU63">
    <cfRule type="expression" dxfId="1795" priority="70">
      <formula>AND($B45&lt;&gt;"",#REF!="")</formula>
    </cfRule>
    <cfRule type="expression" dxfId="1794" priority="71">
      <formula>$B45=""</formula>
    </cfRule>
  </conditionalFormatting>
  <conditionalFormatting sqref="AL51:AU63 AP14:AU50">
    <cfRule type="expression" dxfId="1793" priority="93">
      <formula>COUNTIF($AX14:$BE14,AL14)&gt;1</formula>
    </cfRule>
  </conditionalFormatting>
  <conditionalFormatting sqref="F61:S63 U61:BN63">
    <cfRule type="expression" dxfId="1792" priority="208">
      <formula>AND($B61&lt;&gt;"",$B65="")</formula>
    </cfRule>
    <cfRule type="expression" dxfId="1791" priority="209">
      <formula>$B61=""</formula>
    </cfRule>
  </conditionalFormatting>
  <conditionalFormatting sqref="F51:S60 U51:BN60 J50:P50 S50 U50:AK50 AP50:BN50">
    <cfRule type="expression" dxfId="1790" priority="210">
      <formula>AND($B50&lt;&gt;"",#REF!="")</formula>
    </cfRule>
    <cfRule type="expression" dxfId="1789" priority="211">
      <formula>$B50=""</formula>
    </cfRule>
  </conditionalFormatting>
  <conditionalFormatting sqref="T2">
    <cfRule type="expression" dxfId="1788" priority="51">
      <formula>COUNTA(F$14:F$63)&gt;0</formula>
    </cfRule>
  </conditionalFormatting>
  <conditionalFormatting sqref="T3">
    <cfRule type="expression" dxfId="1787" priority="212">
      <formula>COUNTA(G$14:G$63)&gt;0</formula>
    </cfRule>
  </conditionalFormatting>
  <conditionalFormatting sqref="T4">
    <cfRule type="expression" dxfId="1786" priority="213">
      <formula>COUNTA(H$14:H$63)&gt;0</formula>
    </cfRule>
  </conditionalFormatting>
  <conditionalFormatting sqref="T5">
    <cfRule type="expression" dxfId="1785" priority="214">
      <formula>COUNTA(I$14:I$63)&gt;0</formula>
    </cfRule>
  </conditionalFormatting>
  <conditionalFormatting sqref="T7">
    <cfRule type="expression" dxfId="1784" priority="50">
      <formula>COUNTA(K$14:K$63)&gt;0</formula>
    </cfRule>
  </conditionalFormatting>
  <conditionalFormatting sqref="T11">
    <cfRule type="expression" dxfId="1783" priority="215">
      <formula>COUNTA(O$14:O$63)&gt;0</formula>
    </cfRule>
  </conditionalFormatting>
  <conditionalFormatting sqref="T10">
    <cfRule type="expression" dxfId="1782" priority="216">
      <formula>COUNTA(N$14:N$63)&gt;0</formula>
    </cfRule>
  </conditionalFormatting>
  <conditionalFormatting sqref="T9">
    <cfRule type="expression" dxfId="1781" priority="217">
      <formula>COUNTA(M$14:M$63)&gt;0</formula>
    </cfRule>
  </conditionalFormatting>
  <conditionalFormatting sqref="T8">
    <cfRule type="expression" dxfId="1780" priority="218">
      <formula>COUNTA(L$14:L$63)&gt;0</formula>
    </cfRule>
  </conditionalFormatting>
  <conditionalFormatting sqref="T6">
    <cfRule type="expression" dxfId="1779" priority="49">
      <formula>COUNTA(J$14:J$63)&gt;0</formula>
    </cfRule>
  </conditionalFormatting>
  <conditionalFormatting sqref="AW2">
    <cfRule type="expression" dxfId="1778" priority="48">
      <formula>COUNTA(AL$14:AL$63)&gt;0</formula>
    </cfRule>
  </conditionalFormatting>
  <conditionalFormatting sqref="AW3">
    <cfRule type="expression" dxfId="1777" priority="47">
      <formula>COUNTA(AM$14:AM$63)&gt;0</formula>
    </cfRule>
  </conditionalFormatting>
  <conditionalFormatting sqref="AW4">
    <cfRule type="expression" dxfId="1776" priority="46">
      <formula>COUNTA(AN$14:AN$63)&gt;0</formula>
    </cfRule>
  </conditionalFormatting>
  <conditionalFormatting sqref="AW5">
    <cfRule type="expression" dxfId="1775" priority="45">
      <formula>COUNTA(AO$14:AO$63)&gt;0</formula>
    </cfRule>
  </conditionalFormatting>
  <conditionalFormatting sqref="AW6">
    <cfRule type="expression" dxfId="1774" priority="44">
      <formula>COUNTA(AP$14:AP$63)&gt;0</formula>
    </cfRule>
  </conditionalFormatting>
  <conditionalFormatting sqref="AW7">
    <cfRule type="expression" dxfId="1773" priority="43">
      <formula>COUNTA(AQ$14:AQ$63)&gt;0</formula>
    </cfRule>
  </conditionalFormatting>
  <conditionalFormatting sqref="AW8">
    <cfRule type="expression" dxfId="1772" priority="42">
      <formula>COUNTA(AR$14:AR$63)&gt;0</formula>
    </cfRule>
  </conditionalFormatting>
  <conditionalFormatting sqref="AW9">
    <cfRule type="expression" dxfId="1771" priority="41">
      <formula>COUNTA(AS$14:AS$63)&gt;0</formula>
    </cfRule>
  </conditionalFormatting>
  <conditionalFormatting sqref="AW10">
    <cfRule type="expression" dxfId="1770" priority="40">
      <formula>COUNTA(AT$14:AT$63)&gt;0</formula>
    </cfRule>
  </conditionalFormatting>
  <conditionalFormatting sqref="AW11">
    <cfRule type="expression" dxfId="1769" priority="39">
      <formula>COUNTA(AU$14:AU$63)&gt;0</formula>
    </cfRule>
  </conditionalFormatting>
  <conditionalFormatting sqref="F49:I49">
    <cfRule type="expression" dxfId="1768" priority="35">
      <formula>AND($B49&lt;&gt;"",$B64="")</formula>
    </cfRule>
    <cfRule type="expression" dxfId="1767" priority="36">
      <formula>$B49=""</formula>
    </cfRule>
  </conditionalFormatting>
  <conditionalFormatting sqref="F50:I50">
    <cfRule type="expression" dxfId="1766" priority="28">
      <formula>AND($B50&lt;&gt;"",$B63="")</formula>
    </cfRule>
    <cfRule type="expression" dxfId="1765" priority="29">
      <formula>$B50=""</formula>
    </cfRule>
  </conditionalFormatting>
  <conditionalFormatting sqref="F14:I50">
    <cfRule type="expression" dxfId="1764" priority="26">
      <formula>AND($B14&lt;&gt;"",$B15="")</formula>
    </cfRule>
    <cfRule type="expression" dxfId="1763" priority="27">
      <formula>$B14=""</formula>
    </cfRule>
    <cfRule type="expression" dxfId="1762" priority="34">
      <formula>COUNTIF($U14:$AB14,F14)&gt;1</formula>
    </cfRule>
  </conditionalFormatting>
  <conditionalFormatting sqref="F43:I44">
    <cfRule type="expression" dxfId="1761" priority="30">
      <formula>AND($B43&lt;&gt;"",$B62="")</formula>
    </cfRule>
    <cfRule type="expression" dxfId="1760" priority="31">
      <formula>$B43=""</formula>
    </cfRule>
  </conditionalFormatting>
  <conditionalFormatting sqref="F45:I50">
    <cfRule type="expression" dxfId="1759" priority="32">
      <formula>AND($B45&lt;&gt;"",#REF!="")</formula>
    </cfRule>
    <cfRule type="expression" dxfId="1758" priority="33">
      <formula>$B45=""</formula>
    </cfRule>
  </conditionalFormatting>
  <conditionalFormatting sqref="F50:I50">
    <cfRule type="expression" dxfId="1757" priority="37">
      <formula>AND($B50&lt;&gt;"",#REF!="")</formula>
    </cfRule>
    <cfRule type="expression" dxfId="1756" priority="38">
      <formula>$B50=""</formula>
    </cfRule>
  </conditionalFormatting>
  <conditionalFormatting sqref="Q14:R50">
    <cfRule type="expression" dxfId="1755" priority="14">
      <formula>AND($B14&lt;&gt;"",$B15="")</formula>
    </cfRule>
    <cfRule type="expression" dxfId="1754" priority="15">
      <formula>$B14=""</formula>
    </cfRule>
  </conditionalFormatting>
  <conditionalFormatting sqref="Q45:R50">
    <cfRule type="expression" dxfId="1753" priority="22">
      <formula>AND($B45&lt;&gt;"",#REF!="")</formula>
    </cfRule>
    <cfRule type="expression" dxfId="1752" priority="23">
      <formula>$B45=""</formula>
    </cfRule>
  </conditionalFormatting>
  <conditionalFormatting sqref="Q43:R44">
    <cfRule type="expression" dxfId="1751" priority="18">
      <formula>AND($B43&lt;&gt;"",$B62="")</formula>
    </cfRule>
    <cfRule type="expression" dxfId="1750" priority="19">
      <formula>$B43=""</formula>
    </cfRule>
  </conditionalFormatting>
  <conditionalFormatting sqref="Q49:R49">
    <cfRule type="expression" dxfId="1749" priority="20">
      <formula>AND($B49&lt;&gt;"",$B64="")</formula>
    </cfRule>
    <cfRule type="expression" dxfId="1748" priority="21">
      <formula>$B49=""</formula>
    </cfRule>
  </conditionalFormatting>
  <conditionalFormatting sqref="Q50:R50">
    <cfRule type="expression" dxfId="1747" priority="16">
      <formula>AND($B50&lt;&gt;"",$B63="")</formula>
    </cfRule>
    <cfRule type="expression" dxfId="1746" priority="17">
      <formula>$B50=""</formula>
    </cfRule>
  </conditionalFormatting>
  <conditionalFormatting sqref="Q50:R50">
    <cfRule type="expression" dxfId="1745" priority="24">
      <formula>AND($B50&lt;&gt;"",#REF!="")</formula>
    </cfRule>
    <cfRule type="expression" dxfId="1744" priority="25">
      <formula>$B50=""</formula>
    </cfRule>
  </conditionalFormatting>
  <conditionalFormatting sqref="AL49:AO49">
    <cfRule type="expression" dxfId="1743" priority="10">
      <formula>AND($B49&lt;&gt;"",$B64="")</formula>
    </cfRule>
    <cfRule type="expression" dxfId="1742" priority="11">
      <formula>$B49=""</formula>
    </cfRule>
  </conditionalFormatting>
  <conditionalFormatting sqref="AL50:AO50">
    <cfRule type="expression" dxfId="1741" priority="3">
      <formula>AND($B50&lt;&gt;"",$B63="")</formula>
    </cfRule>
    <cfRule type="expression" dxfId="1740" priority="4">
      <formula>$B50=""</formula>
    </cfRule>
  </conditionalFormatting>
  <conditionalFormatting sqref="AL14:AO50">
    <cfRule type="expression" dxfId="1739" priority="1">
      <formula>AND($B14&lt;&gt;"",$B15="")</formula>
    </cfRule>
    <cfRule type="expression" dxfId="1738" priority="2">
      <formula>$B14=""</formula>
    </cfRule>
  </conditionalFormatting>
  <conditionalFormatting sqref="AL14:AO50">
    <cfRule type="expression" dxfId="1737" priority="9">
      <formula>COUNTIF($AX14:$BE14,AL14)&gt;1</formula>
    </cfRule>
  </conditionalFormatting>
  <conditionalFormatting sqref="AL43:AO44">
    <cfRule type="expression" dxfId="1736" priority="5">
      <formula>AND($B43&lt;&gt;"",$B62="")</formula>
    </cfRule>
    <cfRule type="expression" dxfId="1735" priority="6">
      <formula>$B43=""</formula>
    </cfRule>
  </conditionalFormatting>
  <conditionalFormatting sqref="AL45:AO50">
    <cfRule type="expression" dxfId="1734" priority="7">
      <formula>AND($B45&lt;&gt;"",#REF!="")</formula>
    </cfRule>
    <cfRule type="expression" dxfId="1733" priority="8">
      <formula>$B45=""</formula>
    </cfRule>
  </conditionalFormatting>
  <conditionalFormatting sqref="AL50:AO50">
    <cfRule type="expression" dxfId="1732" priority="12">
      <formula>AND($B50&lt;&gt;"",#REF!="")</formula>
    </cfRule>
    <cfRule type="expression" dxfId="1731" priority="13">
      <formula>$B50=""</formula>
    </cfRule>
  </conditionalFormatting>
  <dataValidations count="6">
    <dataValidation allowBlank="1" showInputMessage="1" showErrorMessage="1" prompt="KKM" sqref="H69:H70"/>
    <dataValidation type="whole" allowBlank="1" showInputMessage="1" showErrorMessage="1" errorTitle="Petunjuk" error="Nilai 0-100" sqref="F14:O63 Q14:R63 AL14:AU63">
      <formula1>0</formula1>
      <formula2>100</formula2>
    </dataValidation>
    <dataValidation allowBlank="1" showInputMessage="1" showErrorMessage="1" prompt="Rata-rata Harian" sqref="P12 AV12"/>
    <dataValidation allowBlank="1" showInputMessage="1" showErrorMessage="1" promptTitle="Tulis Bobot Nilai" prompt="Berupa Nilai Praktik, Portofolio atau Proyek._x000a_Bobot Praktik disarankan lebih tinggi" sqref="AL13:AU13 AX13:BG13"/>
    <dataValidation allowBlank="1" showInputMessage="1" showErrorMessage="1" prompt="Bobot Nilai" sqref="P13:R13 BH11 AE12:AF12"/>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0000FF"/>
  </sheetPr>
  <dimension ref="A1:DG103"/>
  <sheetViews>
    <sheetView showGridLines="0" showRowColHeaders="0" workbookViewId="0">
      <pane xSplit="5" ySplit="13" topLeftCell="G14" activePane="bottomRight" state="frozen"/>
      <selection activeCell="AW5" sqref="AW5:BN7"/>
      <selection pane="topRight" activeCell="AW5" sqref="AW5:BN7"/>
      <selection pane="bottomLeft" activeCell="AW5" sqref="AW5:BN7"/>
      <selection pane="bottomRight" activeCell="AL14" sqref="AL14:AO50"/>
    </sheetView>
  </sheetViews>
  <sheetFormatPr defaultColWidth="0" defaultRowHeight="12" zeroHeight="1"/>
  <cols>
    <col min="1" max="1" width="0.7109375" style="2" customWidth="1"/>
    <col min="2" max="2" width="4.7109375" style="2" customWidth="1"/>
    <col min="3" max="3" width="11.7109375" style="1" customWidth="1"/>
    <col min="4" max="4" width="24.7109375" style="2" customWidth="1"/>
    <col min="5" max="5" width="3.140625" style="2" customWidth="1"/>
    <col min="6" max="13" width="3.7109375" style="1" customWidth="1"/>
    <col min="14" max="15" width="3.7109375" style="2" customWidth="1"/>
    <col min="16" max="18" width="4.7109375" style="2" customWidth="1"/>
    <col min="19" max="19" width="4.7109375" style="1" customWidth="1"/>
    <col min="20" max="20" width="4.7109375" style="2" customWidth="1"/>
    <col min="21" max="30" width="2.7109375" style="2" hidden="1" customWidth="1"/>
    <col min="31" max="36" width="5.140625" style="2" hidden="1" customWidth="1"/>
    <col min="37" max="37" width="52.7109375" style="2" customWidth="1"/>
    <col min="38" max="45" width="3.7109375" style="1" customWidth="1"/>
    <col min="46" max="47" width="3.7109375" style="2" customWidth="1"/>
    <col min="48" max="49" width="4.7109375" style="2" customWidth="1"/>
    <col min="50" max="59" width="2.7109375" style="2" hidden="1" customWidth="1"/>
    <col min="60" max="65" width="5.140625" style="2" hidden="1" customWidth="1"/>
    <col min="66" max="66" width="52.7109375" style="2" customWidth="1"/>
    <col min="67" max="67" width="5.7109375" style="2" customWidth="1"/>
    <col min="68" max="73" width="5.140625" style="2" hidden="1" customWidth="1"/>
    <col min="74" max="75" width="0" style="2" hidden="1" customWidth="1"/>
    <col min="76" max="76" width="9.140625" style="2" hidden="1" customWidth="1"/>
    <col min="77" max="79" width="6.7109375" style="2" hidden="1" customWidth="1"/>
    <col min="80" max="81" width="7.7109375" style="2" hidden="1" customWidth="1"/>
    <col min="82" max="91" width="0" style="2" hidden="1" customWidth="1"/>
    <col min="92" max="92" width="9.140625" style="2" hidden="1" customWidth="1"/>
    <col min="93" max="95" width="6.7109375" style="2" hidden="1" customWidth="1"/>
    <col min="96" max="97" width="7.7109375" style="2" hidden="1" customWidth="1"/>
    <col min="98" max="111" width="0" style="2" hidden="1" customWidth="1"/>
    <col min="112" max="16384" width="9.140625" style="2" hidden="1"/>
  </cols>
  <sheetData>
    <row r="1" spans="1:67" ht="17.100000000000001" customHeight="1">
      <c r="A1" s="67"/>
      <c r="B1" s="1748" t="s">
        <v>934</v>
      </c>
      <c r="C1" s="1749"/>
      <c r="D1" s="1807" t="str">
        <f>Data2!C22</f>
        <v>Fisika</v>
      </c>
      <c r="E1" s="1808"/>
      <c r="F1" s="1161" t="s">
        <v>55</v>
      </c>
      <c r="G1" s="1783" t="s">
        <v>904</v>
      </c>
      <c r="H1" s="1783"/>
      <c r="I1" s="1783"/>
      <c r="J1" s="1783"/>
      <c r="K1" s="1783"/>
      <c r="L1" s="1783"/>
      <c r="M1" s="1783"/>
      <c r="N1" s="1783"/>
      <c r="O1" s="1783"/>
      <c r="P1" s="1783"/>
      <c r="Q1" s="1783"/>
      <c r="R1" s="1784"/>
      <c r="S1" s="1162" t="s">
        <v>55</v>
      </c>
      <c r="T1" s="1163" t="s">
        <v>56</v>
      </c>
      <c r="U1" s="1164"/>
      <c r="V1" s="1164"/>
      <c r="W1" s="1164"/>
      <c r="X1" s="1164"/>
      <c r="Y1" s="1164"/>
      <c r="Z1" s="1164"/>
      <c r="AA1" s="1164"/>
      <c r="AB1" s="1164"/>
      <c r="AC1" s="1164"/>
      <c r="AD1" s="1164"/>
      <c r="AE1" s="1164"/>
      <c r="AF1" s="1164"/>
      <c r="AG1" s="1164"/>
      <c r="AH1" s="1164"/>
      <c r="AI1" s="1164"/>
      <c r="AJ1" s="1164"/>
      <c r="AK1" s="1165" t="s">
        <v>905</v>
      </c>
      <c r="AL1" s="1166" t="s">
        <v>55</v>
      </c>
      <c r="AM1" s="1785" t="s">
        <v>904</v>
      </c>
      <c r="AN1" s="1785"/>
      <c r="AO1" s="1785"/>
      <c r="AP1" s="1785"/>
      <c r="AQ1" s="1785"/>
      <c r="AR1" s="1785"/>
      <c r="AS1" s="1785"/>
      <c r="AT1" s="1785"/>
      <c r="AU1" s="1786"/>
      <c r="AV1" s="1167" t="s">
        <v>55</v>
      </c>
      <c r="AW1" s="1168" t="s">
        <v>56</v>
      </c>
      <c r="AX1" s="1168"/>
      <c r="AY1" s="1168"/>
      <c r="AZ1" s="1168"/>
      <c r="BA1" s="1168"/>
      <c r="BB1" s="1168"/>
      <c r="BC1" s="1168"/>
      <c r="BD1" s="1168"/>
      <c r="BE1" s="1168"/>
      <c r="BF1" s="1168"/>
      <c r="BG1" s="1168"/>
      <c r="BH1" s="1168"/>
      <c r="BI1" s="1168"/>
      <c r="BJ1" s="1168"/>
      <c r="BK1" s="1168"/>
      <c r="BL1" s="1168"/>
      <c r="BM1" s="1168"/>
      <c r="BN1" s="1169" t="s">
        <v>906</v>
      </c>
      <c r="BO1" s="67"/>
    </row>
    <row r="2" spans="1:67" ht="12" customHeight="1" thickBot="1">
      <c r="A2" s="67"/>
      <c r="B2" s="1750"/>
      <c r="C2" s="1751"/>
      <c r="D2" s="1807"/>
      <c r="E2" s="1808"/>
      <c r="F2" s="1170" t="s">
        <v>125</v>
      </c>
      <c r="G2" s="1787" t="s">
        <v>907</v>
      </c>
      <c r="H2" s="1787"/>
      <c r="I2" s="1787"/>
      <c r="J2" s="1787"/>
      <c r="K2" s="1787"/>
      <c r="L2" s="1787"/>
      <c r="M2" s="1787"/>
      <c r="N2" s="1787"/>
      <c r="O2" s="1787"/>
      <c r="P2" s="1787"/>
      <c r="Q2" s="1787"/>
      <c r="R2" s="1788"/>
      <c r="S2" s="1171">
        <v>1</v>
      </c>
      <c r="T2" s="1172" t="s">
        <v>908</v>
      </c>
      <c r="U2" s="1173"/>
      <c r="V2" s="1173"/>
      <c r="W2" s="1173"/>
      <c r="X2" s="1173"/>
      <c r="Y2" s="1173"/>
      <c r="Z2" s="1173"/>
      <c r="AA2" s="1173"/>
      <c r="AB2" s="1173"/>
      <c r="AC2" s="1173"/>
      <c r="AD2" s="1173"/>
      <c r="AE2" s="1173"/>
      <c r="AF2" s="1173"/>
      <c r="AG2" s="1173"/>
      <c r="AH2" s="1173"/>
      <c r="AI2" s="1173"/>
      <c r="AJ2" s="1173"/>
      <c r="AK2" s="1174" t="s">
        <v>1684</v>
      </c>
      <c r="AL2" s="1789" t="s">
        <v>129</v>
      </c>
      <c r="AM2" s="1790" t="s">
        <v>909</v>
      </c>
      <c r="AN2" s="1791"/>
      <c r="AO2" s="1791"/>
      <c r="AP2" s="1791"/>
      <c r="AQ2" s="1791"/>
      <c r="AR2" s="1791"/>
      <c r="AS2" s="1791"/>
      <c r="AT2" s="1791"/>
      <c r="AU2" s="1792"/>
      <c r="AV2" s="1175">
        <v>1</v>
      </c>
      <c r="AW2" s="1176" t="s">
        <v>148</v>
      </c>
      <c r="AX2" s="1177"/>
      <c r="AY2" s="1177"/>
      <c r="AZ2" s="1177"/>
      <c r="BA2" s="1177"/>
      <c r="BB2" s="1177"/>
      <c r="BC2" s="1177"/>
      <c r="BD2" s="1177"/>
      <c r="BE2" s="1177"/>
      <c r="BF2" s="1177"/>
      <c r="BG2" s="1177"/>
      <c r="BH2" s="1178"/>
      <c r="BI2" s="1178"/>
      <c r="BJ2" s="1178"/>
      <c r="BK2" s="1178"/>
      <c r="BL2" s="1178"/>
      <c r="BM2" s="1178"/>
      <c r="BN2" s="1179" t="s">
        <v>1689</v>
      </c>
      <c r="BO2" s="67"/>
    </row>
    <row r="3" spans="1:67" ht="12" customHeight="1">
      <c r="A3" s="67"/>
      <c r="B3" s="1734" t="str">
        <f>Data2!L16&amp;" - "&amp;F77</f>
        <v>MULTI KKM - 76</v>
      </c>
      <c r="C3" s="1735"/>
      <c r="D3" s="1738" t="s">
        <v>785</v>
      </c>
      <c r="E3" s="1739"/>
      <c r="F3" s="1793" t="s">
        <v>126</v>
      </c>
      <c r="G3" s="1794" t="s">
        <v>910</v>
      </c>
      <c r="H3" s="1794"/>
      <c r="I3" s="1794"/>
      <c r="J3" s="1794"/>
      <c r="K3" s="1794"/>
      <c r="L3" s="1794"/>
      <c r="M3" s="1794"/>
      <c r="N3" s="1794"/>
      <c r="O3" s="1794"/>
      <c r="P3" s="1794"/>
      <c r="Q3" s="1794"/>
      <c r="R3" s="1795"/>
      <c r="S3" s="1171">
        <v>2</v>
      </c>
      <c r="T3" s="1180" t="s">
        <v>911</v>
      </c>
      <c r="U3" s="1181"/>
      <c r="V3" s="1181"/>
      <c r="W3" s="1181"/>
      <c r="X3" s="1181"/>
      <c r="Y3" s="1181"/>
      <c r="Z3" s="1181"/>
      <c r="AA3" s="1181"/>
      <c r="AB3" s="1181"/>
      <c r="AC3" s="1181"/>
      <c r="AD3" s="1181"/>
      <c r="AE3" s="1181"/>
      <c r="AF3" s="1181"/>
      <c r="AG3" s="1181"/>
      <c r="AH3" s="1181"/>
      <c r="AI3" s="1181"/>
      <c r="AJ3" s="1181"/>
      <c r="AK3" s="1182" t="s">
        <v>1685</v>
      </c>
      <c r="AL3" s="1789"/>
      <c r="AM3" s="1791"/>
      <c r="AN3" s="1791"/>
      <c r="AO3" s="1791"/>
      <c r="AP3" s="1791"/>
      <c r="AQ3" s="1791"/>
      <c r="AR3" s="1791"/>
      <c r="AS3" s="1791"/>
      <c r="AT3" s="1791"/>
      <c r="AU3" s="1792"/>
      <c r="AV3" s="1175">
        <v>2</v>
      </c>
      <c r="AW3" s="1183" t="s">
        <v>149</v>
      </c>
      <c r="AX3" s="1184"/>
      <c r="AY3" s="1184"/>
      <c r="AZ3" s="1184"/>
      <c r="BA3" s="1184"/>
      <c r="BB3" s="1184"/>
      <c r="BC3" s="1184"/>
      <c r="BD3" s="1184"/>
      <c r="BE3" s="1184"/>
      <c r="BF3" s="1184"/>
      <c r="BG3" s="1184"/>
      <c r="BH3" s="1185"/>
      <c r="BI3" s="1185"/>
      <c r="BJ3" s="1185"/>
      <c r="BK3" s="1185"/>
      <c r="BL3" s="1185"/>
      <c r="BM3" s="1185"/>
      <c r="BN3" s="1186" t="s">
        <v>1189</v>
      </c>
      <c r="BO3" s="67"/>
    </row>
    <row r="4" spans="1:67" ht="12" customHeight="1">
      <c r="A4" s="67"/>
      <c r="B4" s="1736"/>
      <c r="C4" s="1737"/>
      <c r="D4" s="1740"/>
      <c r="E4" s="1741"/>
      <c r="F4" s="1793"/>
      <c r="G4" s="1794"/>
      <c r="H4" s="1794"/>
      <c r="I4" s="1794"/>
      <c r="J4" s="1794"/>
      <c r="K4" s="1794"/>
      <c r="L4" s="1794"/>
      <c r="M4" s="1794"/>
      <c r="N4" s="1794"/>
      <c r="O4" s="1794"/>
      <c r="P4" s="1794"/>
      <c r="Q4" s="1794"/>
      <c r="R4" s="1795"/>
      <c r="S4" s="1171">
        <v>3</v>
      </c>
      <c r="T4" s="1180" t="s">
        <v>912</v>
      </c>
      <c r="U4" s="1181"/>
      <c r="V4" s="1181"/>
      <c r="W4" s="1181"/>
      <c r="X4" s="1181"/>
      <c r="Y4" s="1181"/>
      <c r="Z4" s="1181"/>
      <c r="AA4" s="1181"/>
      <c r="AB4" s="1181"/>
      <c r="AC4" s="1181"/>
      <c r="AD4" s="1181"/>
      <c r="AE4" s="1181"/>
      <c r="AF4" s="1181"/>
      <c r="AG4" s="1181"/>
      <c r="AH4" s="1181"/>
      <c r="AI4" s="1181"/>
      <c r="AJ4" s="1181"/>
      <c r="AK4" s="1182" t="s">
        <v>1686</v>
      </c>
      <c r="AL4" s="1789" t="s">
        <v>130</v>
      </c>
      <c r="AM4" s="1796" t="s">
        <v>913</v>
      </c>
      <c r="AN4" s="1796"/>
      <c r="AO4" s="1796"/>
      <c r="AP4" s="1796"/>
      <c r="AQ4" s="1796"/>
      <c r="AR4" s="1796"/>
      <c r="AS4" s="1796"/>
      <c r="AT4" s="1796"/>
      <c r="AU4" s="1797"/>
      <c r="AV4" s="1175">
        <v>3</v>
      </c>
      <c r="AW4" s="1183" t="s">
        <v>150</v>
      </c>
      <c r="AX4" s="1184"/>
      <c r="AY4" s="1184"/>
      <c r="AZ4" s="1184"/>
      <c r="BA4" s="1184"/>
      <c r="BB4" s="1184"/>
      <c r="BC4" s="1184"/>
      <c r="BD4" s="1184"/>
      <c r="BE4" s="1184"/>
      <c r="BF4" s="1184"/>
      <c r="BG4" s="1184"/>
      <c r="BH4" s="1185"/>
      <c r="BI4" s="1185"/>
      <c r="BJ4" s="1185"/>
      <c r="BK4" s="1185"/>
      <c r="BL4" s="1185"/>
      <c r="BM4" s="1185"/>
      <c r="BN4" s="1186" t="s">
        <v>1190</v>
      </c>
      <c r="BO4" s="67"/>
    </row>
    <row r="5" spans="1:67" ht="12" customHeight="1">
      <c r="A5" s="67"/>
      <c r="B5" s="1224" t="s">
        <v>27</v>
      </c>
      <c r="C5" s="1225"/>
      <c r="D5" s="1740"/>
      <c r="E5" s="1741"/>
      <c r="F5" s="1793"/>
      <c r="G5" s="1794"/>
      <c r="H5" s="1794"/>
      <c r="I5" s="1794"/>
      <c r="J5" s="1794"/>
      <c r="K5" s="1794"/>
      <c r="L5" s="1794"/>
      <c r="M5" s="1794"/>
      <c r="N5" s="1794"/>
      <c r="O5" s="1794"/>
      <c r="P5" s="1794"/>
      <c r="Q5" s="1794"/>
      <c r="R5" s="1795"/>
      <c r="S5" s="1171">
        <v>4</v>
      </c>
      <c r="T5" s="1180" t="s">
        <v>914</v>
      </c>
      <c r="U5" s="1187"/>
      <c r="V5" s="1181"/>
      <c r="W5" s="1181"/>
      <c r="X5" s="1181"/>
      <c r="Y5" s="1181"/>
      <c r="Z5" s="1181"/>
      <c r="AA5" s="1181"/>
      <c r="AB5" s="1181"/>
      <c r="AC5" s="1181"/>
      <c r="AD5" s="1181"/>
      <c r="AE5" s="1181"/>
      <c r="AF5" s="1181"/>
      <c r="AG5" s="1181"/>
      <c r="AH5" s="1181"/>
      <c r="AI5" s="1181"/>
      <c r="AJ5" s="1181"/>
      <c r="AK5" s="1182" t="s">
        <v>1687</v>
      </c>
      <c r="AL5" s="1789"/>
      <c r="AM5" s="1796"/>
      <c r="AN5" s="1796"/>
      <c r="AO5" s="1796"/>
      <c r="AP5" s="1796"/>
      <c r="AQ5" s="1796"/>
      <c r="AR5" s="1796"/>
      <c r="AS5" s="1796"/>
      <c r="AT5" s="1796"/>
      <c r="AU5" s="1797"/>
      <c r="AV5" s="1175">
        <v>4</v>
      </c>
      <c r="AW5" s="1183" t="s">
        <v>151</v>
      </c>
      <c r="AX5" s="1184"/>
      <c r="AY5" s="1184"/>
      <c r="AZ5" s="1184"/>
      <c r="BA5" s="1184"/>
      <c r="BB5" s="1184"/>
      <c r="BC5" s="1184"/>
      <c r="BD5" s="1184"/>
      <c r="BE5" s="1184"/>
      <c r="BF5" s="1184"/>
      <c r="BG5" s="1184"/>
      <c r="BH5" s="1185"/>
      <c r="BI5" s="1185"/>
      <c r="BJ5" s="1185"/>
      <c r="BK5" s="1185"/>
      <c r="BL5" s="1185"/>
      <c r="BM5" s="1185"/>
      <c r="BN5" s="1186" t="s">
        <v>1191</v>
      </c>
      <c r="BO5" s="67"/>
    </row>
    <row r="6" spans="1:67" ht="12" customHeight="1">
      <c r="A6" s="67"/>
      <c r="B6" s="1742" t="str">
        <f>F75&amp;" - "&amp;H75&amp;"--"&amp;Q75</f>
        <v>93 - 100--A</v>
      </c>
      <c r="C6" s="1743"/>
      <c r="D6" s="1740"/>
      <c r="E6" s="1741"/>
      <c r="F6" s="1793"/>
      <c r="G6" s="1794"/>
      <c r="H6" s="1794"/>
      <c r="I6" s="1794"/>
      <c r="J6" s="1794"/>
      <c r="K6" s="1794"/>
      <c r="L6" s="1794"/>
      <c r="M6" s="1794"/>
      <c r="N6" s="1794"/>
      <c r="O6" s="1794"/>
      <c r="P6" s="1794"/>
      <c r="Q6" s="1794"/>
      <c r="R6" s="1795"/>
      <c r="S6" s="1171">
        <v>5</v>
      </c>
      <c r="T6" s="1180" t="s">
        <v>915</v>
      </c>
      <c r="U6" s="1181"/>
      <c r="V6" s="1181"/>
      <c r="W6" s="1181"/>
      <c r="X6" s="1181"/>
      <c r="Y6" s="1181"/>
      <c r="Z6" s="1181"/>
      <c r="AA6" s="1181"/>
      <c r="AB6" s="1181"/>
      <c r="AC6" s="1181"/>
      <c r="AD6" s="1181"/>
      <c r="AE6" s="1181"/>
      <c r="AF6" s="1181"/>
      <c r="AG6" s="1181"/>
      <c r="AH6" s="1181"/>
      <c r="AI6" s="1181"/>
      <c r="AJ6" s="1181"/>
      <c r="AK6" s="1182" t="s">
        <v>1688</v>
      </c>
      <c r="AL6" s="1789" t="s">
        <v>131</v>
      </c>
      <c r="AM6" s="1790" t="s">
        <v>916</v>
      </c>
      <c r="AN6" s="1791"/>
      <c r="AO6" s="1791"/>
      <c r="AP6" s="1791"/>
      <c r="AQ6" s="1791"/>
      <c r="AR6" s="1791"/>
      <c r="AS6" s="1791"/>
      <c r="AT6" s="1791"/>
      <c r="AU6" s="1792"/>
      <c r="AV6" s="1175">
        <v>5</v>
      </c>
      <c r="AW6" s="1183" t="s">
        <v>152</v>
      </c>
      <c r="AX6" s="1184"/>
      <c r="AY6" s="1184"/>
      <c r="AZ6" s="1184"/>
      <c r="BA6" s="1184"/>
      <c r="BB6" s="1184"/>
      <c r="BC6" s="1184"/>
      <c r="BD6" s="1184"/>
      <c r="BE6" s="1184"/>
      <c r="BF6" s="1184"/>
      <c r="BG6" s="1184"/>
      <c r="BH6" s="1185"/>
      <c r="BI6" s="1185"/>
      <c r="BJ6" s="1185"/>
      <c r="BK6" s="1185"/>
      <c r="BL6" s="1185"/>
      <c r="BM6" s="1185"/>
      <c r="BN6" s="1186" t="s">
        <v>1192</v>
      </c>
      <c r="BO6" s="67"/>
    </row>
    <row r="7" spans="1:67" ht="12" customHeight="1">
      <c r="A7" s="67"/>
      <c r="B7" s="1742" t="str">
        <f>F76&amp;" - "&amp;ROUNDDOWN(H76,0)&amp;"---"&amp;Q76</f>
        <v>85 - 92---B</v>
      </c>
      <c r="C7" s="1743"/>
      <c r="D7" s="1744" t="s">
        <v>933</v>
      </c>
      <c r="E7" s="1745"/>
      <c r="F7" s="1793" t="s">
        <v>127</v>
      </c>
      <c r="G7" s="1798" t="s">
        <v>917</v>
      </c>
      <c r="H7" s="1798"/>
      <c r="I7" s="1798"/>
      <c r="J7" s="1798"/>
      <c r="K7" s="1798"/>
      <c r="L7" s="1798"/>
      <c r="M7" s="1798"/>
      <c r="N7" s="1798"/>
      <c r="O7" s="1798"/>
      <c r="P7" s="1798"/>
      <c r="Q7" s="1798"/>
      <c r="R7" s="1799"/>
      <c r="S7" s="1171">
        <v>6</v>
      </c>
      <c r="T7" s="1180" t="s">
        <v>918</v>
      </c>
      <c r="U7" s="1181"/>
      <c r="V7" s="1181"/>
      <c r="W7" s="1181"/>
      <c r="X7" s="1181"/>
      <c r="Y7" s="1181"/>
      <c r="Z7" s="1181"/>
      <c r="AA7" s="1181"/>
      <c r="AB7" s="1181"/>
      <c r="AC7" s="1181"/>
      <c r="AD7" s="1181"/>
      <c r="AE7" s="1181"/>
      <c r="AF7" s="1181"/>
      <c r="AG7" s="1181"/>
      <c r="AH7" s="1181"/>
      <c r="AI7" s="1181"/>
      <c r="AJ7" s="1181"/>
      <c r="AK7" s="1182" t="s">
        <v>1065</v>
      </c>
      <c r="AL7" s="1789"/>
      <c r="AM7" s="1791"/>
      <c r="AN7" s="1791"/>
      <c r="AO7" s="1791"/>
      <c r="AP7" s="1791"/>
      <c r="AQ7" s="1791"/>
      <c r="AR7" s="1791"/>
      <c r="AS7" s="1791"/>
      <c r="AT7" s="1791"/>
      <c r="AU7" s="1792"/>
      <c r="AV7" s="1175">
        <v>6</v>
      </c>
      <c r="AW7" s="1183" t="s">
        <v>153</v>
      </c>
      <c r="AX7" s="1184"/>
      <c r="AY7" s="1184"/>
      <c r="AZ7" s="1184"/>
      <c r="BA7" s="1184"/>
      <c r="BB7" s="1184"/>
      <c r="BC7" s="1184"/>
      <c r="BD7" s="1184"/>
      <c r="BE7" s="1184"/>
      <c r="BF7" s="1184"/>
      <c r="BG7" s="1184"/>
      <c r="BH7" s="1185"/>
      <c r="BI7" s="1185"/>
      <c r="BJ7" s="1185"/>
      <c r="BK7" s="1185"/>
      <c r="BL7" s="1185"/>
      <c r="BM7" s="1185"/>
      <c r="BN7" s="1186" t="s">
        <v>1193</v>
      </c>
      <c r="BO7" s="67"/>
    </row>
    <row r="8" spans="1:67" s="101" customFormat="1" ht="12" customHeight="1">
      <c r="A8" s="100"/>
      <c r="B8" s="1742" t="str">
        <f t="shared" ref="B8" si="0">F77&amp;" - "&amp;ROUNDDOWN(H77,0)&amp;"---"&amp;Q77</f>
        <v>76 - 84---C</v>
      </c>
      <c r="C8" s="1743"/>
      <c r="D8" s="1744"/>
      <c r="E8" s="1745"/>
      <c r="F8" s="1793"/>
      <c r="G8" s="1798"/>
      <c r="H8" s="1798"/>
      <c r="I8" s="1798"/>
      <c r="J8" s="1798"/>
      <c r="K8" s="1798"/>
      <c r="L8" s="1798"/>
      <c r="M8" s="1798"/>
      <c r="N8" s="1798"/>
      <c r="O8" s="1798"/>
      <c r="P8" s="1798"/>
      <c r="Q8" s="1798"/>
      <c r="R8" s="1799"/>
      <c r="S8" s="1171">
        <v>7</v>
      </c>
      <c r="T8" s="1180" t="s">
        <v>919</v>
      </c>
      <c r="U8" s="1181"/>
      <c r="V8" s="1181"/>
      <c r="W8" s="1181"/>
      <c r="X8" s="1181"/>
      <c r="Y8" s="1181"/>
      <c r="Z8" s="1181"/>
      <c r="AA8" s="1181"/>
      <c r="AB8" s="1181"/>
      <c r="AC8" s="1181"/>
      <c r="AD8" s="1181"/>
      <c r="AE8" s="1181"/>
      <c r="AF8" s="1181"/>
      <c r="AG8" s="1181"/>
      <c r="AH8" s="1181"/>
      <c r="AI8" s="1181"/>
      <c r="AJ8" s="1181"/>
      <c r="AK8" s="1182" t="s">
        <v>1066</v>
      </c>
      <c r="AL8" s="1789" t="s">
        <v>132</v>
      </c>
      <c r="AM8" s="1801" t="s">
        <v>920</v>
      </c>
      <c r="AN8" s="1801"/>
      <c r="AO8" s="1801"/>
      <c r="AP8" s="1801"/>
      <c r="AQ8" s="1801"/>
      <c r="AR8" s="1801"/>
      <c r="AS8" s="1801"/>
      <c r="AT8" s="1801"/>
      <c r="AU8" s="1802"/>
      <c r="AV8" s="1175">
        <v>7</v>
      </c>
      <c r="AW8" s="1183" t="s">
        <v>154</v>
      </c>
      <c r="AX8" s="1188"/>
      <c r="AY8" s="1188"/>
      <c r="AZ8" s="1188"/>
      <c r="BA8" s="1188"/>
      <c r="BB8" s="1188"/>
      <c r="BC8" s="1188"/>
      <c r="BD8" s="1188"/>
      <c r="BE8" s="1188"/>
      <c r="BF8" s="1188"/>
      <c r="BG8" s="1188"/>
      <c r="BH8" s="1189"/>
      <c r="BI8" s="1189"/>
      <c r="BJ8" s="1189"/>
      <c r="BK8" s="1189"/>
      <c r="BL8" s="1189"/>
      <c r="BM8" s="1189"/>
      <c r="BN8" s="1186" t="s">
        <v>1194</v>
      </c>
      <c r="BO8" s="100"/>
    </row>
    <row r="9" spans="1:67" ht="12" customHeight="1" thickBot="1">
      <c r="A9" s="67"/>
      <c r="B9" s="1742" t="str">
        <f>F78&amp;"  -  "&amp;ROUNDDOWN(H78,0)&amp;"---"&amp;Q78</f>
        <v>0  -  75---D</v>
      </c>
      <c r="C9" s="1743"/>
      <c r="D9" s="1746"/>
      <c r="E9" s="1747"/>
      <c r="F9" s="1793"/>
      <c r="G9" s="1798"/>
      <c r="H9" s="1798"/>
      <c r="I9" s="1798"/>
      <c r="J9" s="1798"/>
      <c r="K9" s="1798"/>
      <c r="L9" s="1798"/>
      <c r="M9" s="1798"/>
      <c r="N9" s="1798"/>
      <c r="O9" s="1798"/>
      <c r="P9" s="1798"/>
      <c r="Q9" s="1798"/>
      <c r="R9" s="1799"/>
      <c r="S9" s="1171">
        <v>8</v>
      </c>
      <c r="T9" s="1180" t="s">
        <v>921</v>
      </c>
      <c r="U9" s="1181"/>
      <c r="V9" s="1181"/>
      <c r="W9" s="1181"/>
      <c r="X9" s="1181"/>
      <c r="Y9" s="1181"/>
      <c r="Z9" s="1181"/>
      <c r="AA9" s="1181"/>
      <c r="AB9" s="1181"/>
      <c r="AC9" s="1181"/>
      <c r="AD9" s="1181"/>
      <c r="AE9" s="1181"/>
      <c r="AF9" s="1181"/>
      <c r="AG9" s="1181"/>
      <c r="AH9" s="1181"/>
      <c r="AI9" s="1181"/>
      <c r="AJ9" s="1181"/>
      <c r="AK9" s="1182" t="s">
        <v>1067</v>
      </c>
      <c r="AL9" s="1789"/>
      <c r="AM9" s="1801"/>
      <c r="AN9" s="1801"/>
      <c r="AO9" s="1801"/>
      <c r="AP9" s="1801"/>
      <c r="AQ9" s="1801"/>
      <c r="AR9" s="1801"/>
      <c r="AS9" s="1801"/>
      <c r="AT9" s="1801"/>
      <c r="AU9" s="1802"/>
      <c r="AV9" s="1175">
        <v>8</v>
      </c>
      <c r="AW9" s="1183" t="s">
        <v>155</v>
      </c>
      <c r="AX9" s="1188"/>
      <c r="AY9" s="1188"/>
      <c r="AZ9" s="1188"/>
      <c r="BA9" s="1188"/>
      <c r="BB9" s="1188"/>
      <c r="BC9" s="1188"/>
      <c r="BD9" s="1188"/>
      <c r="BE9" s="1188"/>
      <c r="BF9" s="1188"/>
      <c r="BG9" s="1188"/>
      <c r="BH9" s="1185"/>
      <c r="BI9" s="1185"/>
      <c r="BJ9" s="1185"/>
      <c r="BK9" s="1185"/>
      <c r="BL9" s="1185"/>
      <c r="BM9" s="1185"/>
      <c r="BN9" s="1186" t="s">
        <v>1195</v>
      </c>
      <c r="BO9" s="67"/>
    </row>
    <row r="10" spans="1:67" ht="12" customHeight="1">
      <c r="A10" s="67"/>
      <c r="B10" s="1667" t="str">
        <f>"Kelas : "&amp;Data!C9</f>
        <v>Kelas : 10 IIS 2</v>
      </c>
      <c r="C10" s="1668"/>
      <c r="D10" s="1671" t="str">
        <f>"Smt. "&amp;Data!C10&amp;" / Th.Plj : "&amp;Data!C11</f>
        <v>Smt. 1 / Th.Plj : 2022-2023</v>
      </c>
      <c r="E10" s="1672"/>
      <c r="F10" s="1793"/>
      <c r="G10" s="1798"/>
      <c r="H10" s="1798"/>
      <c r="I10" s="1798"/>
      <c r="J10" s="1798"/>
      <c r="K10" s="1798"/>
      <c r="L10" s="1798"/>
      <c r="M10" s="1798"/>
      <c r="N10" s="1798"/>
      <c r="O10" s="1798"/>
      <c r="P10" s="1798"/>
      <c r="Q10" s="1798"/>
      <c r="R10" s="1799"/>
      <c r="S10" s="1171">
        <v>9</v>
      </c>
      <c r="T10" s="1180" t="s">
        <v>922</v>
      </c>
      <c r="U10" s="1181"/>
      <c r="V10" s="1181"/>
      <c r="W10" s="1181"/>
      <c r="X10" s="1181"/>
      <c r="Y10" s="1181"/>
      <c r="Z10" s="1181"/>
      <c r="AA10" s="1181"/>
      <c r="AB10" s="1181"/>
      <c r="AC10" s="1181"/>
      <c r="AD10" s="1181"/>
      <c r="AE10" s="1181"/>
      <c r="AF10" s="1181"/>
      <c r="AG10" s="1181"/>
      <c r="AH10" s="1181"/>
      <c r="AI10" s="1181"/>
      <c r="AJ10" s="1181"/>
      <c r="AK10" s="1182" t="s">
        <v>1068</v>
      </c>
      <c r="AL10" s="1789"/>
      <c r="AM10" s="1801"/>
      <c r="AN10" s="1801"/>
      <c r="AO10" s="1801"/>
      <c r="AP10" s="1801"/>
      <c r="AQ10" s="1801"/>
      <c r="AR10" s="1801"/>
      <c r="AS10" s="1801"/>
      <c r="AT10" s="1801"/>
      <c r="AU10" s="1802"/>
      <c r="AV10" s="1175">
        <v>9</v>
      </c>
      <c r="AW10" s="1183" t="s">
        <v>924</v>
      </c>
      <c r="AX10" s="1190"/>
      <c r="AY10" s="1190"/>
      <c r="AZ10" s="1190"/>
      <c r="BA10" s="1190"/>
      <c r="BB10" s="1190"/>
      <c r="BC10" s="1190"/>
      <c r="BD10" s="1190"/>
      <c r="BE10" s="1190"/>
      <c r="BF10" s="1190"/>
      <c r="BG10" s="1190"/>
      <c r="BH10" s="1189"/>
      <c r="BI10" s="1189"/>
      <c r="BJ10" s="1189"/>
      <c r="BK10" s="1189"/>
      <c r="BL10" s="1189"/>
      <c r="BM10" s="1189"/>
      <c r="BN10" s="1186" t="s">
        <v>1196</v>
      </c>
      <c r="BO10" s="67"/>
    </row>
    <row r="11" spans="1:67" s="3" customFormat="1" ht="12" customHeight="1" thickBot="1">
      <c r="A11" s="68"/>
      <c r="B11" s="1669"/>
      <c r="C11" s="1670"/>
      <c r="D11" s="1673"/>
      <c r="E11" s="1674"/>
      <c r="F11" s="1191" t="s">
        <v>128</v>
      </c>
      <c r="G11" s="1805" t="s">
        <v>926</v>
      </c>
      <c r="H11" s="1805"/>
      <c r="I11" s="1805"/>
      <c r="J11" s="1805"/>
      <c r="K11" s="1805"/>
      <c r="L11" s="1805"/>
      <c r="M11" s="1805"/>
      <c r="N11" s="1805"/>
      <c r="O11" s="1805"/>
      <c r="P11" s="1805"/>
      <c r="Q11" s="1805"/>
      <c r="R11" s="1806"/>
      <c r="S11" s="1192">
        <v>10</v>
      </c>
      <c r="T11" s="1193" t="s">
        <v>927</v>
      </c>
      <c r="U11" s="1194"/>
      <c r="V11" s="1194"/>
      <c r="W11" s="1194"/>
      <c r="X11" s="1194"/>
      <c r="Y11" s="1194"/>
      <c r="Z11" s="1194"/>
      <c r="AA11" s="1194"/>
      <c r="AB11" s="1194"/>
      <c r="AC11" s="1194"/>
      <c r="AD11" s="1194"/>
      <c r="AE11" s="1194"/>
      <c r="AF11" s="1194"/>
      <c r="AG11" s="1194"/>
      <c r="AH11" s="1194"/>
      <c r="AI11" s="1194"/>
      <c r="AJ11" s="1194"/>
      <c r="AK11" s="1182" t="s">
        <v>1069</v>
      </c>
      <c r="AL11" s="1800"/>
      <c r="AM11" s="1803"/>
      <c r="AN11" s="1803"/>
      <c r="AO11" s="1803"/>
      <c r="AP11" s="1803"/>
      <c r="AQ11" s="1803"/>
      <c r="AR11" s="1803"/>
      <c r="AS11" s="1803"/>
      <c r="AT11" s="1803"/>
      <c r="AU11" s="1804"/>
      <c r="AV11" s="1196">
        <v>10</v>
      </c>
      <c r="AW11" s="1197" t="s">
        <v>929</v>
      </c>
      <c r="AX11" s="1198">
        <f t="shared" ref="AX11:BG11" si="1">IF(COUNT(AX14:AX63)&gt;0,AX13,"")</f>
        <v>1</v>
      </c>
      <c r="AY11" s="1198">
        <f t="shared" si="1"/>
        <v>1</v>
      </c>
      <c r="AZ11" s="1198">
        <f t="shared" si="1"/>
        <v>1</v>
      </c>
      <c r="BA11" s="1198">
        <f t="shared" si="1"/>
        <v>1</v>
      </c>
      <c r="BB11" s="1198" t="str">
        <f t="shared" si="1"/>
        <v/>
      </c>
      <c r="BC11" s="1198" t="str">
        <f t="shared" si="1"/>
        <v/>
      </c>
      <c r="BD11" s="1198" t="str">
        <f t="shared" si="1"/>
        <v/>
      </c>
      <c r="BE11" s="1198" t="str">
        <f t="shared" si="1"/>
        <v/>
      </c>
      <c r="BF11" s="1198" t="str">
        <f t="shared" si="1"/>
        <v/>
      </c>
      <c r="BG11" s="1198" t="str">
        <f t="shared" si="1"/>
        <v/>
      </c>
      <c r="BH11" s="1198">
        <f>SUM(AX11:BG11)</f>
        <v>4</v>
      </c>
      <c r="BI11" s="1199"/>
      <c r="BJ11" s="1199"/>
      <c r="BK11" s="1199"/>
      <c r="BL11" s="1199"/>
      <c r="BM11" s="1199"/>
      <c r="BN11" s="1186" t="s">
        <v>1197</v>
      </c>
      <c r="BO11" s="68"/>
    </row>
    <row r="12" spans="1:67" ht="12.95" customHeight="1" thickBot="1">
      <c r="A12" s="67"/>
      <c r="B12" s="1675" t="s">
        <v>0</v>
      </c>
      <c r="C12" s="1676" t="s">
        <v>1</v>
      </c>
      <c r="D12" s="1676" t="s">
        <v>2</v>
      </c>
      <c r="E12" s="1677" t="s">
        <v>26</v>
      </c>
      <c r="F12" s="1778" t="s">
        <v>351</v>
      </c>
      <c r="G12" s="1779"/>
      <c r="H12" s="1779"/>
      <c r="I12" s="1779"/>
      <c r="J12" s="1779"/>
      <c r="K12" s="1779"/>
      <c r="L12" s="1779"/>
      <c r="M12" s="1779"/>
      <c r="N12" s="1779"/>
      <c r="O12" s="1780"/>
      <c r="P12" s="776" t="s">
        <v>353</v>
      </c>
      <c r="Q12" s="777" t="s">
        <v>346</v>
      </c>
      <c r="R12" s="778" t="s">
        <v>354</v>
      </c>
      <c r="S12" s="1680" t="s">
        <v>256</v>
      </c>
      <c r="T12" s="1687" t="s">
        <v>257</v>
      </c>
      <c r="U12" s="1201" t="str">
        <f t="shared" ref="U12:AD12" si="2">IF(COUNT(U14:U63)&gt;0,1,"")</f>
        <v/>
      </c>
      <c r="V12" s="1201">
        <f t="shared" si="2"/>
        <v>1</v>
      </c>
      <c r="W12" s="1201">
        <f t="shared" si="2"/>
        <v>1</v>
      </c>
      <c r="X12" s="1201">
        <f t="shared" si="2"/>
        <v>1</v>
      </c>
      <c r="Y12" s="1201">
        <f t="shared" si="2"/>
        <v>1</v>
      </c>
      <c r="Z12" s="1201">
        <f t="shared" si="2"/>
        <v>1</v>
      </c>
      <c r="AA12" s="1201" t="str">
        <f t="shared" si="2"/>
        <v/>
      </c>
      <c r="AB12" s="1201" t="str">
        <f t="shared" si="2"/>
        <v/>
      </c>
      <c r="AC12" s="1201" t="str">
        <f t="shared" si="2"/>
        <v/>
      </c>
      <c r="AD12" s="1201" t="str">
        <f t="shared" si="2"/>
        <v/>
      </c>
      <c r="AE12" s="1202">
        <f>SUM(U12:AD12)</f>
        <v>5</v>
      </c>
      <c r="AF12" s="1202">
        <f>SUM(P13:R13)</f>
        <v>4</v>
      </c>
      <c r="AG12" s="779"/>
      <c r="AH12" s="779"/>
      <c r="AI12" s="779"/>
      <c r="AJ12" s="779"/>
      <c r="AK12" s="1682" t="s">
        <v>931</v>
      </c>
      <c r="AL12" s="780" t="str">
        <f>AW2</f>
        <v>K-1</v>
      </c>
      <c r="AM12" s="781" t="str">
        <f>AW3</f>
        <v>K-2</v>
      </c>
      <c r="AN12" s="781" t="str">
        <f>AW4</f>
        <v>K-3</v>
      </c>
      <c r="AO12" s="781" t="str">
        <f>AW5</f>
        <v>K-4</v>
      </c>
      <c r="AP12" s="781" t="str">
        <f>AW6</f>
        <v>K-5</v>
      </c>
      <c r="AQ12" s="781" t="str">
        <f>AW7</f>
        <v>K-6</v>
      </c>
      <c r="AR12" s="781" t="str">
        <f>AW8</f>
        <v>K-7</v>
      </c>
      <c r="AS12" s="1203" t="str">
        <f>AW9</f>
        <v>K-8</v>
      </c>
      <c r="AT12" s="781" t="str">
        <f>AW10</f>
        <v>K-9</v>
      </c>
      <c r="AU12" s="782" t="str">
        <f>AW11</f>
        <v>K-10</v>
      </c>
      <c r="AV12" s="1782" t="s">
        <v>256</v>
      </c>
      <c r="AW12" s="1665" t="s">
        <v>257</v>
      </c>
      <c r="AX12" s="1204">
        <v>0.01</v>
      </c>
      <c r="AY12" s="1205">
        <v>0.02</v>
      </c>
      <c r="AZ12" s="1205">
        <v>0.03</v>
      </c>
      <c r="BA12" s="1205">
        <v>0.04</v>
      </c>
      <c r="BB12" s="1205">
        <v>0.05</v>
      </c>
      <c r="BC12" s="1205">
        <v>0.06</v>
      </c>
      <c r="BD12" s="1205">
        <v>7.0000000000000007E-2</v>
      </c>
      <c r="BE12" s="1205">
        <v>0.08</v>
      </c>
      <c r="BF12" s="1205">
        <v>0.09</v>
      </c>
      <c r="BG12" s="1205">
        <v>0.1</v>
      </c>
      <c r="BH12" s="1206"/>
      <c r="BI12" s="1206"/>
      <c r="BJ12" s="1206"/>
      <c r="BK12" s="1206"/>
      <c r="BL12" s="1206"/>
      <c r="BM12" s="1206"/>
      <c r="BN12" s="1781" t="s">
        <v>932</v>
      </c>
      <c r="BO12" s="67"/>
    </row>
    <row r="13" spans="1:67" ht="12.95" customHeight="1" thickBot="1">
      <c r="A13" s="67"/>
      <c r="B13" s="1629"/>
      <c r="C13" s="1631"/>
      <c r="D13" s="1631"/>
      <c r="E13" s="1633"/>
      <c r="F13" s="91" t="str">
        <f>T2</f>
        <v>P-1</v>
      </c>
      <c r="G13" s="92" t="str">
        <f>T3</f>
        <v>P-2</v>
      </c>
      <c r="H13" s="92" t="str">
        <f>T4</f>
        <v>P-3</v>
      </c>
      <c r="I13" s="92" t="str">
        <f>T5</f>
        <v>P-4</v>
      </c>
      <c r="J13" s="92" t="str">
        <f>T6</f>
        <v>P-5</v>
      </c>
      <c r="K13" s="92" t="str">
        <f>T7</f>
        <v>P-6</v>
      </c>
      <c r="L13" s="92" t="str">
        <f>T8</f>
        <v>P-7</v>
      </c>
      <c r="M13" s="1207" t="str">
        <f>T9</f>
        <v>P-8</v>
      </c>
      <c r="N13" s="92" t="str">
        <f>T10</f>
        <v>P-9</v>
      </c>
      <c r="O13" s="93" t="str">
        <f>T11</f>
        <v>P-10</v>
      </c>
      <c r="P13" s="103">
        <v>2</v>
      </c>
      <c r="Q13" s="104">
        <v>1</v>
      </c>
      <c r="R13" s="79">
        <v>1</v>
      </c>
      <c r="S13" s="1681"/>
      <c r="T13" s="1688"/>
      <c r="U13" s="1208">
        <v>0.01</v>
      </c>
      <c r="V13" s="1209">
        <v>0.02</v>
      </c>
      <c r="W13" s="1209">
        <v>0.03</v>
      </c>
      <c r="X13" s="1209">
        <v>0.04</v>
      </c>
      <c r="Y13" s="1209">
        <v>0.05</v>
      </c>
      <c r="Z13" s="1209">
        <v>0.06</v>
      </c>
      <c r="AA13" s="1209">
        <v>7.0000000000000007E-2</v>
      </c>
      <c r="AB13" s="1210">
        <v>0.08</v>
      </c>
      <c r="AC13" s="1209">
        <v>0.09</v>
      </c>
      <c r="AD13" s="1211">
        <v>0.1</v>
      </c>
      <c r="AE13" s="1157" t="s">
        <v>4</v>
      </c>
      <c r="AF13" s="1157" t="s">
        <v>3</v>
      </c>
      <c r="AG13" s="1689" t="s">
        <v>8</v>
      </c>
      <c r="AH13" s="1689"/>
      <c r="AI13" s="1696" t="s">
        <v>9</v>
      </c>
      <c r="AJ13" s="1696"/>
      <c r="AK13" s="1683"/>
      <c r="AL13" s="6">
        <v>1</v>
      </c>
      <c r="AM13" s="6">
        <v>1</v>
      </c>
      <c r="AN13" s="6">
        <v>1</v>
      </c>
      <c r="AO13" s="6">
        <v>1</v>
      </c>
      <c r="AP13" s="6">
        <v>1</v>
      </c>
      <c r="AQ13" s="6">
        <v>1</v>
      </c>
      <c r="AR13" s="6">
        <v>1</v>
      </c>
      <c r="AS13" s="6">
        <v>1</v>
      </c>
      <c r="AT13" s="1212">
        <v>1</v>
      </c>
      <c r="AU13" s="1213">
        <v>1</v>
      </c>
      <c r="AV13" s="1679"/>
      <c r="AW13" s="1666"/>
      <c r="AX13" s="1214">
        <f>AL13</f>
        <v>1</v>
      </c>
      <c r="AY13" s="1214">
        <f t="shared" ref="AY13:BG13" si="3">AM13</f>
        <v>1</v>
      </c>
      <c r="AZ13" s="1214">
        <f t="shared" si="3"/>
        <v>1</v>
      </c>
      <c r="BA13" s="1214">
        <f t="shared" si="3"/>
        <v>1</v>
      </c>
      <c r="BB13" s="1214">
        <f t="shared" si="3"/>
        <v>1</v>
      </c>
      <c r="BC13" s="1214">
        <f t="shared" si="3"/>
        <v>1</v>
      </c>
      <c r="BD13" s="1214">
        <f t="shared" si="3"/>
        <v>1</v>
      </c>
      <c r="BE13" s="1214">
        <f t="shared" si="3"/>
        <v>1</v>
      </c>
      <c r="BF13" s="1214">
        <f t="shared" si="3"/>
        <v>1</v>
      </c>
      <c r="BG13" s="1214">
        <f t="shared" si="3"/>
        <v>1</v>
      </c>
      <c r="BH13" s="1158" t="s">
        <v>4</v>
      </c>
      <c r="BI13" s="1158" t="s">
        <v>3</v>
      </c>
      <c r="BJ13" s="1663" t="s">
        <v>8</v>
      </c>
      <c r="BK13" s="1663"/>
      <c r="BL13" s="1664" t="s">
        <v>9</v>
      </c>
      <c r="BM13" s="1664"/>
      <c r="BN13" s="1662"/>
      <c r="BO13" s="67"/>
    </row>
    <row r="14" spans="1:67" ht="33" customHeight="1">
      <c r="A14" s="67"/>
      <c r="B14" s="268">
        <v>1</v>
      </c>
      <c r="C14" s="269">
        <f>IF(Data!F5="","",Data!F5)</f>
        <v>0</v>
      </c>
      <c r="D14" s="270" t="str">
        <f>IF(Data!H5="","",Data!H5)</f>
        <v>Aldo Alfinus Pakae</v>
      </c>
      <c r="E14" s="271" t="str">
        <f>IF(Data!I5="","",Data!I5)</f>
        <v>L</v>
      </c>
      <c r="F14" s="276"/>
      <c r="G14" s="276">
        <v>77</v>
      </c>
      <c r="H14" s="277">
        <v>78</v>
      </c>
      <c r="I14" s="277">
        <v>79</v>
      </c>
      <c r="J14" s="277">
        <v>77</v>
      </c>
      <c r="K14" s="277">
        <v>78</v>
      </c>
      <c r="L14" s="277"/>
      <c r="M14" s="280"/>
      <c r="N14" s="277"/>
      <c r="O14" s="278"/>
      <c r="P14" s="279">
        <f t="shared" ref="P14" si="4">IF(COUNT(U14:AD14)&lt;2,"",ROUND(SUM(U14:AD14)/$AE$12,0))</f>
        <v>78</v>
      </c>
      <c r="Q14" s="1480">
        <v>87</v>
      </c>
      <c r="R14" s="1481">
        <v>85</v>
      </c>
      <c r="S14" s="281">
        <f t="shared" ref="S14" si="5">IFERROR(ROUND(((P14*$P$13)+(Q14*$Q$13)+(R14*$R$13))/$AF$12,0),"")</f>
        <v>82</v>
      </c>
      <c r="T14" s="295" t="str">
        <f t="shared" ref="T14" si="6">IF(S14="","",IF(S14&gt;$H$76,$Q$75,IF(S14&gt;$H$77,$Q$76,IF(S14&gt;$H$78,$Q$77,$Q$78))))</f>
        <v>C</v>
      </c>
      <c r="U14" s="1215" t="str">
        <f t="shared" ref="U14:AD29" si="7">IF(F14="","",F14+U$13)</f>
        <v/>
      </c>
      <c r="V14" s="1216">
        <f t="shared" si="7"/>
        <v>77.02</v>
      </c>
      <c r="W14" s="1216">
        <f t="shared" si="7"/>
        <v>78.03</v>
      </c>
      <c r="X14" s="1216">
        <f t="shared" si="7"/>
        <v>79.040000000000006</v>
      </c>
      <c r="Y14" s="1216">
        <f t="shared" si="7"/>
        <v>77.05</v>
      </c>
      <c r="Z14" s="1216">
        <f t="shared" si="7"/>
        <v>78.06</v>
      </c>
      <c r="AA14" s="1216" t="str">
        <f t="shared" si="7"/>
        <v/>
      </c>
      <c r="AB14" s="1217" t="str">
        <f t="shared" si="7"/>
        <v/>
      </c>
      <c r="AC14" s="1216" t="str">
        <f t="shared" si="7"/>
        <v/>
      </c>
      <c r="AD14" s="1218" t="str">
        <f t="shared" si="7"/>
        <v/>
      </c>
      <c r="AE14" s="1219">
        <f t="shared" ref="AE14" si="8">MAX(U14:AD14)</f>
        <v>79.040000000000006</v>
      </c>
      <c r="AF14" s="282">
        <f t="shared" ref="AF14" si="9">MIN(U14:AD14)</f>
        <v>77.02</v>
      </c>
      <c r="AG14" s="282" t="str">
        <f t="shared" ref="AG14:AH29" si="10">IF(AE14&gt;$H$76,$I$75,IF(AE14&gt;$H$77,$I$76,IF(AE14&gt;$H$78,$I$77,$I$78)))</f>
        <v>cukup</v>
      </c>
      <c r="AH14" s="282" t="str">
        <f t="shared" si="10"/>
        <v>cukup</v>
      </c>
      <c r="AI14" s="282">
        <f t="shared" ref="AI14" si="11">IFERROR(MATCH(AE14,U14:AD14,0),"")</f>
        <v>4</v>
      </c>
      <c r="AJ14" s="283">
        <f t="shared" ref="AJ14" si="12">IFERROR(MATCH(AF14,U14:AD14,0),"")</f>
        <v>2</v>
      </c>
      <c r="AK14" s="284" t="str">
        <f t="shared" ref="AK14" si="13">IF(S14="","",IFERROR("Memiliki kemampuan "&amp;IF(AG14=AH14,AG14&amp;" dalam "&amp;VLOOKUP(AI14,$S$2:$AK$11,19)&amp;" dan "&amp;VLOOKUP(AJ14,$S$2:$AK$11,19),AG14&amp;" dalam "&amp;VLOOKUP(AI14,$S$2:$AK$11,19)&amp;", "&amp;AH14&amp;" kemampuan dalam "&amp;VLOOKUP(AJ14,$S$2:$AK$11,19)),""))</f>
        <v>Memiliki kemampuan cukup dalam Menganalisis konsep energi, usaha dan perubahan energi dan Menganalisis interaksi hubungan antar gaya</v>
      </c>
      <c r="AL14" s="276">
        <v>88</v>
      </c>
      <c r="AM14" s="277">
        <v>88</v>
      </c>
      <c r="AN14" s="277">
        <v>88</v>
      </c>
      <c r="AO14" s="277">
        <v>88</v>
      </c>
      <c r="AP14" s="277"/>
      <c r="AQ14" s="277"/>
      <c r="AR14" s="277"/>
      <c r="AS14" s="280"/>
      <c r="AT14" s="277"/>
      <c r="AU14" s="278"/>
      <c r="AV14" s="285">
        <f t="shared" ref="AV14" si="14">IF(COUNT(AL14:AU14)&lt;2,"",ROUND(((AL14*$AX$13)+(AM14*$AY$13)+(AN14*$AZ$13)+(AO14*$BA$13)+(AP14*$BB$13)+(AQ14*$BC$13)+(AR14*$BD$13)+(AS14*$BE$13)+(AT14*$BF$13)+(AU14*$BG$13))/$BH$11,0))</f>
        <v>88</v>
      </c>
      <c r="AW14" s="296" t="str">
        <f t="shared" ref="AW14" si="15">IF(AV14="","",IF(AV14&gt;$AN$76,$AV$75,IF(AV14&gt;$AN$77,$AV$76,IF(AV14&gt;$AN$78,$AV$77,$AV$78))))</f>
        <v>B</v>
      </c>
      <c r="AX14" s="1220">
        <f t="shared" ref="AX14:BG29" si="16">IF(AL14="","",AL14+AX$12)</f>
        <v>88.01</v>
      </c>
      <c r="AY14" s="1221">
        <f t="shared" si="16"/>
        <v>88.02</v>
      </c>
      <c r="AZ14" s="1221">
        <f t="shared" si="16"/>
        <v>88.03</v>
      </c>
      <c r="BA14" s="1221">
        <f t="shared" si="16"/>
        <v>88.04</v>
      </c>
      <c r="BB14" s="1221" t="str">
        <f t="shared" si="16"/>
        <v/>
      </c>
      <c r="BC14" s="1221" t="str">
        <f t="shared" si="16"/>
        <v/>
      </c>
      <c r="BD14" s="1221" t="str">
        <f t="shared" si="16"/>
        <v/>
      </c>
      <c r="BE14" s="1222" t="str">
        <f t="shared" si="16"/>
        <v/>
      </c>
      <c r="BF14" s="1221" t="str">
        <f t="shared" si="16"/>
        <v/>
      </c>
      <c r="BG14" s="1223" t="str">
        <f t="shared" si="16"/>
        <v/>
      </c>
      <c r="BH14" s="286">
        <f t="shared" ref="BH14" si="17">MAX(AX14:BG14)</f>
        <v>88.04</v>
      </c>
      <c r="BI14" s="286">
        <f t="shared" ref="BI14" si="18">MIN(AX14:BG14)</f>
        <v>88.01</v>
      </c>
      <c r="BJ14" s="287" t="str">
        <f t="shared" ref="BJ14:BK14" si="19">IF(BH14&gt;$H$76,$AO$75,IF(BH14&gt;$H$77,$AO$76,IF(BH14&gt;$H$78,$AO$77,$AO$78)))</f>
        <v>baik</v>
      </c>
      <c r="BK14" s="287" t="str">
        <f t="shared" si="19"/>
        <v>baik</v>
      </c>
      <c r="BL14" s="286">
        <f t="shared" ref="BL14" si="20">MATCH(BH14,AX14:BG14,0)</f>
        <v>4</v>
      </c>
      <c r="BM14" s="288">
        <f t="shared" ref="BM14" si="21">MATCH(BI14,AX14:BG14,0)</f>
        <v>1</v>
      </c>
      <c r="BN14" s="289" t="str">
        <f t="shared" ref="BN14" si="22">IF(AV14="","",IFERROR("Memiliki keterampilan "&amp;IF(BJ14=BK14,BJ14&amp;" dalam "&amp;VLOOKUP(BL14,$AV$2:$BN$11,19)&amp;" dan "&amp;VLOOKUP(BM14,$AV$2:$BN$11,19),BJ14&amp;" dalam "&amp;VLOOKUP(BL14,$AV$2:$BN$11,19)&amp;", "&amp;BK14&amp;" keterampilan dalam "&amp;VLOOKUP(BM14,$AV$2:$BN$11,19)),""))</f>
        <v>Memiliki keterampilan baik dalam KD keterampilan 4 Ekonomi dan Melakukan percobaan getaran harmonis pada ayunan sederhana</v>
      </c>
      <c r="BO14" s="67"/>
    </row>
    <row r="15" spans="1:67" ht="33" customHeight="1">
      <c r="A15" s="67"/>
      <c r="B15" s="272">
        <f>IF(D15="","",B14+1)</f>
        <v>2</v>
      </c>
      <c r="C15" s="273">
        <f>IF(Data!F6="","",Data!F6)</f>
        <v>0</v>
      </c>
      <c r="D15" s="274" t="str">
        <f>IF(Data!H6="","",Data!H6)</f>
        <v>Aprianus Bira</v>
      </c>
      <c r="E15" s="275" t="str">
        <f>IF(Data!I6="","",Data!I6)</f>
        <v>L</v>
      </c>
      <c r="F15" s="276"/>
      <c r="G15" s="276">
        <v>77</v>
      </c>
      <c r="H15" s="277">
        <v>78</v>
      </c>
      <c r="I15" s="277">
        <v>79</v>
      </c>
      <c r="J15" s="277">
        <v>77</v>
      </c>
      <c r="K15" s="277">
        <v>78</v>
      </c>
      <c r="L15" s="277"/>
      <c r="M15" s="280"/>
      <c r="N15" s="277"/>
      <c r="O15" s="278"/>
      <c r="P15" s="279">
        <f>IF(COUNT(U15:AD15)&lt;2,"",ROUND(SUM(U15:AD15)/$AE$12,0))</f>
        <v>78</v>
      </c>
      <c r="Q15" s="277">
        <v>87</v>
      </c>
      <c r="R15" s="280">
        <v>85</v>
      </c>
      <c r="S15" s="281">
        <f>IFERROR(ROUND(((P15*$P$13)+(Q15*$Q$13)+(R15*$R$13))/$AF$12,0),"")</f>
        <v>82</v>
      </c>
      <c r="T15" s="295" t="str">
        <f>IF(S15="","",IF(S15&gt;$H$76,$Q$75,IF(S15&gt;$H$77,$Q$76,IF(S15&gt;$H$78,$Q$77,$Q$78))))</f>
        <v>C</v>
      </c>
      <c r="U15" s="1215" t="str">
        <f t="shared" si="7"/>
        <v/>
      </c>
      <c r="V15" s="1216">
        <f t="shared" si="7"/>
        <v>77.02</v>
      </c>
      <c r="W15" s="1216">
        <f t="shared" si="7"/>
        <v>78.03</v>
      </c>
      <c r="X15" s="1216">
        <f t="shared" si="7"/>
        <v>79.040000000000006</v>
      </c>
      <c r="Y15" s="1216">
        <f t="shared" si="7"/>
        <v>77.05</v>
      </c>
      <c r="Z15" s="1216">
        <f t="shared" si="7"/>
        <v>78.06</v>
      </c>
      <c r="AA15" s="1216" t="str">
        <f t="shared" si="7"/>
        <v/>
      </c>
      <c r="AB15" s="1217" t="str">
        <f t="shared" si="7"/>
        <v/>
      </c>
      <c r="AC15" s="1216" t="str">
        <f t="shared" si="7"/>
        <v/>
      </c>
      <c r="AD15" s="1218" t="str">
        <f t="shared" si="7"/>
        <v/>
      </c>
      <c r="AE15" s="1219">
        <f>MAX(U15:AD15)</f>
        <v>79.040000000000006</v>
      </c>
      <c r="AF15" s="282">
        <f>MIN(U15:AD15)</f>
        <v>77.02</v>
      </c>
      <c r="AG15" s="282" t="str">
        <f>IF(AE15&gt;$H$76,$I$75,IF(AE15&gt;$H$77,$I$76,IF(AE15&gt;$H$78,$I$77,$I$78)))</f>
        <v>cukup</v>
      </c>
      <c r="AH15" s="282" t="str">
        <f t="shared" si="10"/>
        <v>cukup</v>
      </c>
      <c r="AI15" s="282">
        <f>IFERROR(MATCH(AE15,U15:AD15,0),"")</f>
        <v>4</v>
      </c>
      <c r="AJ15" s="283">
        <f>IFERROR(MATCH(AF15,U15:AD15,0),"")</f>
        <v>2</v>
      </c>
      <c r="AK15" s="284" t="str">
        <f>IF(S15="","",IFERROR("Memiliki kemampuan "&amp;IF(AG15=AH15,AG15&amp;" dalam "&amp;VLOOKUP(AI15,$S$2:$AK$11,19)&amp;" dan "&amp;VLOOKUP(AJ15,$S$2:$AK$11,19),AG15&amp;" dalam "&amp;VLOOKUP(AI15,$S$2:$AK$11,19)&amp;", "&amp;AH15&amp;" kemampuan dalam "&amp;VLOOKUP(AJ15,$S$2:$AK$11,19)),""))</f>
        <v>Memiliki kemampuan cukup dalam Menganalisis konsep energi, usaha dan perubahan energi dan Menganalisis interaksi hubungan antar gaya</v>
      </c>
      <c r="AL15" s="276">
        <v>88</v>
      </c>
      <c r="AM15" s="277">
        <v>88</v>
      </c>
      <c r="AN15" s="277">
        <v>88</v>
      </c>
      <c r="AO15" s="277">
        <v>88</v>
      </c>
      <c r="AP15" s="277"/>
      <c r="AQ15" s="277"/>
      <c r="AR15" s="277"/>
      <c r="AS15" s="280"/>
      <c r="AT15" s="277"/>
      <c r="AU15" s="278"/>
      <c r="AV15" s="285">
        <f>IF(COUNT(AL15:AU15)&lt;2,"",ROUND(((AL15*$AX$13)+(AM15*$AY$13)+(AN15*$AZ$13)+(AO15*$BA$13)+(AP15*$BB$13)+(AQ15*$BC$13)+(AR15*$BD$13)+(AS15*$BE$13)+(AT15*$BF$13)+(AU15*$BG$13))/$BH$11,0))</f>
        <v>88</v>
      </c>
      <c r="AW15" s="296" t="str">
        <f>IF(AV15="","",IF(AV15&gt;$AN$76,$AV$75,IF(AV15&gt;$AN$77,$AV$76,IF(AV15&gt;$AN$78,$AV$77,$AV$78))))</f>
        <v>B</v>
      </c>
      <c r="AX15" s="1220">
        <f t="shared" si="16"/>
        <v>88.01</v>
      </c>
      <c r="AY15" s="1221">
        <f t="shared" si="16"/>
        <v>88.02</v>
      </c>
      <c r="AZ15" s="1221">
        <f>IF(AN15="","",AN15+AZ$12)</f>
        <v>88.03</v>
      </c>
      <c r="BA15" s="1221">
        <f t="shared" si="16"/>
        <v>88.04</v>
      </c>
      <c r="BB15" s="1221" t="str">
        <f t="shared" si="16"/>
        <v/>
      </c>
      <c r="BC15" s="1221" t="str">
        <f t="shared" si="16"/>
        <v/>
      </c>
      <c r="BD15" s="1221" t="str">
        <f t="shared" si="16"/>
        <v/>
      </c>
      <c r="BE15" s="1222" t="str">
        <f t="shared" si="16"/>
        <v/>
      </c>
      <c r="BF15" s="1221" t="str">
        <f t="shared" si="16"/>
        <v/>
      </c>
      <c r="BG15" s="1223" t="str">
        <f t="shared" si="16"/>
        <v/>
      </c>
      <c r="BH15" s="286">
        <f>MAX(AX15:BG15)</f>
        <v>88.04</v>
      </c>
      <c r="BI15" s="286">
        <f>MIN(AX15:BG15)</f>
        <v>88.01</v>
      </c>
      <c r="BJ15" s="287" t="str">
        <f>IF(BH15&gt;$H$76,$AO$75,IF(BH15&gt;$H$77,$AO$76,IF(BH15&gt;$H$78,$AO$77,$AO$78)))</f>
        <v>baik</v>
      </c>
      <c r="BK15" s="287" t="str">
        <f>IF(BI15&gt;$H$76,$AO$75,IF(BI15&gt;$H$77,$AO$76,IF(BI15&gt;$H$78,$AO$77,$AO$78)))</f>
        <v>baik</v>
      </c>
      <c r="BL15" s="286">
        <f>MATCH(BH15,AX15:BG15,0)</f>
        <v>4</v>
      </c>
      <c r="BM15" s="288">
        <f>MATCH(BI15,AX15:BG15,0)</f>
        <v>1</v>
      </c>
      <c r="BN15" s="289" t="str">
        <f>IF(AV15="","",IFERROR("Memiliki keterampilan "&amp;IF(BJ15=BK15,BJ15&amp;" dalam "&amp;VLOOKUP(BL15,$AV$2:$BN$11,19)&amp;" dan "&amp;VLOOKUP(BM15,$AV$2:$BN$11,19),BJ15&amp;" dalam "&amp;VLOOKUP(BL15,$AV$2:$BN$11,19)&amp;", "&amp;BK15&amp;" keterampilan dalam "&amp;VLOOKUP(BM15,$AV$2:$BN$11,19)),""))</f>
        <v>Memiliki keterampilan baik dalam KD keterampilan 4 Ekonomi dan Melakukan percobaan getaran harmonis pada ayunan sederhana</v>
      </c>
      <c r="BO15" s="67"/>
    </row>
    <row r="16" spans="1:67" ht="33" customHeight="1">
      <c r="A16" s="67"/>
      <c r="B16" s="272">
        <f t="shared" ref="B16:B63" si="23">IF(D16="","",B15+1)</f>
        <v>3</v>
      </c>
      <c r="C16" s="273">
        <f>IF(Data!F7="","",Data!F7)</f>
        <v>0</v>
      </c>
      <c r="D16" s="274" t="str">
        <f>IF(Data!H7="","",Data!H7)</f>
        <v>Asri Aldina Baksuni</v>
      </c>
      <c r="E16" s="275" t="str">
        <f>IF(Data!I7="","",Data!I7)</f>
        <v>P</v>
      </c>
      <c r="F16" s="276"/>
      <c r="G16" s="276">
        <v>77</v>
      </c>
      <c r="H16" s="277">
        <v>78</v>
      </c>
      <c r="I16" s="277">
        <v>79</v>
      </c>
      <c r="J16" s="277">
        <v>77</v>
      </c>
      <c r="K16" s="277">
        <v>78</v>
      </c>
      <c r="L16" s="277"/>
      <c r="M16" s="280"/>
      <c r="N16" s="277"/>
      <c r="O16" s="278"/>
      <c r="P16" s="279">
        <f t="shared" ref="P16:P63" si="24">IF(COUNT(U16:AD16)&lt;2,"",ROUND(SUM(U16:AD16)/$AE$12,0))</f>
        <v>78</v>
      </c>
      <c r="Q16" s="277">
        <v>88</v>
      </c>
      <c r="R16" s="280">
        <v>88</v>
      </c>
      <c r="S16" s="281">
        <f t="shared" ref="S16:S63" si="25">IFERROR(ROUND(((P16*$P$13)+(Q16*$Q$13)+(R16*$R$13))/$AF$12,0),"")</f>
        <v>83</v>
      </c>
      <c r="T16" s="295" t="str">
        <f t="shared" ref="T16:T63" si="26">IF(S16="","",IF(S16&gt;$H$76,$Q$75,IF(S16&gt;$H$77,$Q$76,IF(S16&gt;$H$78,$Q$77,$Q$78))))</f>
        <v>C</v>
      </c>
      <c r="U16" s="1215" t="str">
        <f t="shared" si="7"/>
        <v/>
      </c>
      <c r="V16" s="1216">
        <f t="shared" si="7"/>
        <v>77.02</v>
      </c>
      <c r="W16" s="1216">
        <f t="shared" si="7"/>
        <v>78.03</v>
      </c>
      <c r="X16" s="1216">
        <f t="shared" si="7"/>
        <v>79.040000000000006</v>
      </c>
      <c r="Y16" s="1216">
        <f t="shared" si="7"/>
        <v>77.05</v>
      </c>
      <c r="Z16" s="1216">
        <f t="shared" si="7"/>
        <v>78.06</v>
      </c>
      <c r="AA16" s="1216" t="str">
        <f t="shared" si="7"/>
        <v/>
      </c>
      <c r="AB16" s="1217" t="str">
        <f t="shared" si="7"/>
        <v/>
      </c>
      <c r="AC16" s="1216" t="str">
        <f t="shared" si="7"/>
        <v/>
      </c>
      <c r="AD16" s="1218" t="str">
        <f t="shared" si="7"/>
        <v/>
      </c>
      <c r="AE16" s="1219">
        <f t="shared" ref="AE16:AE63" si="27">MAX(U16:AD16)</f>
        <v>79.040000000000006</v>
      </c>
      <c r="AF16" s="282">
        <f t="shared" ref="AF16:AF63" si="28">MIN(U16:AD16)</f>
        <v>77.02</v>
      </c>
      <c r="AG16" s="282" t="str">
        <f t="shared" ref="AG16:AH63" si="29">IF(AE16&gt;$H$76,$I$75,IF(AE16&gt;$H$77,$I$76,IF(AE16&gt;$H$78,$I$77,$I$78)))</f>
        <v>cukup</v>
      </c>
      <c r="AH16" s="282" t="str">
        <f t="shared" si="10"/>
        <v>cukup</v>
      </c>
      <c r="AI16" s="282">
        <f t="shared" ref="AI16:AI63" si="30">IFERROR(MATCH(AE16,U16:AD16,0),"")</f>
        <v>4</v>
      </c>
      <c r="AJ16" s="283">
        <f t="shared" ref="AJ16:AJ63" si="31">IFERROR(MATCH(AF16,U16:AD16,0),"")</f>
        <v>2</v>
      </c>
      <c r="AK16" s="284" t="str">
        <f t="shared" ref="AK16:AK63" si="32">IF(S16="","",IFERROR("Memiliki kemampuan "&amp;IF(AG16=AH16,AG16&amp;" dalam "&amp;VLOOKUP(AI16,$S$2:$AK$11,19)&amp;" dan "&amp;VLOOKUP(AJ16,$S$2:$AK$11,19),AG16&amp;" dalam "&amp;VLOOKUP(AI16,$S$2:$AK$11,19)&amp;", "&amp;AH16&amp;" kemampuan dalam "&amp;VLOOKUP(AJ16,$S$2:$AK$11,19)),""))</f>
        <v>Memiliki kemampuan cukup dalam Menganalisis konsep energi, usaha dan perubahan energi dan Menganalisis interaksi hubungan antar gaya</v>
      </c>
      <c r="AL16" s="276">
        <v>89</v>
      </c>
      <c r="AM16" s="277">
        <v>89</v>
      </c>
      <c r="AN16" s="277">
        <v>89</v>
      </c>
      <c r="AO16" s="277">
        <v>89</v>
      </c>
      <c r="AP16" s="277"/>
      <c r="AQ16" s="277"/>
      <c r="AR16" s="277"/>
      <c r="AS16" s="280"/>
      <c r="AT16" s="277"/>
      <c r="AU16" s="278"/>
      <c r="AV16" s="285">
        <f t="shared" ref="AV16:AV63" si="33">IF(COUNT(AL16:AU16)&lt;2,"",ROUND(((AL16*$AX$13)+(AM16*$AY$13)+(AN16*$AZ$13)+(AO16*$BA$13)+(AP16*$BB$13)+(AQ16*$BC$13)+(AR16*$BD$13)+(AS16*$BE$13)+(AT16*$BF$13)+(AU16*$BG$13))/$BH$11,0))</f>
        <v>89</v>
      </c>
      <c r="AW16" s="296" t="str">
        <f t="shared" ref="AW16:AW63" si="34">IF(AV16="","",IF(AV16&gt;$AN$76,$AV$75,IF(AV16&gt;$AN$77,$AV$76,IF(AV16&gt;$AN$78,$AV$77,$AV$78))))</f>
        <v>B</v>
      </c>
      <c r="AX16" s="1220">
        <f t="shared" si="16"/>
        <v>89.01</v>
      </c>
      <c r="AY16" s="1221">
        <f t="shared" si="16"/>
        <v>89.02</v>
      </c>
      <c r="AZ16" s="1221">
        <f t="shared" si="16"/>
        <v>89.03</v>
      </c>
      <c r="BA16" s="1221">
        <f t="shared" si="16"/>
        <v>89.04</v>
      </c>
      <c r="BB16" s="1221" t="str">
        <f t="shared" si="16"/>
        <v/>
      </c>
      <c r="BC16" s="1221" t="str">
        <f t="shared" si="16"/>
        <v/>
      </c>
      <c r="BD16" s="1221" t="str">
        <f t="shared" si="16"/>
        <v/>
      </c>
      <c r="BE16" s="1222" t="str">
        <f t="shared" si="16"/>
        <v/>
      </c>
      <c r="BF16" s="1221" t="str">
        <f t="shared" si="16"/>
        <v/>
      </c>
      <c r="BG16" s="1223" t="str">
        <f t="shared" si="16"/>
        <v/>
      </c>
      <c r="BH16" s="286">
        <f t="shared" ref="BH16:BH63" si="35">MAX(AX16:BG16)</f>
        <v>89.04</v>
      </c>
      <c r="BI16" s="286">
        <f t="shared" ref="BI16:BI63" si="36">MIN(AX16:BG16)</f>
        <v>89.01</v>
      </c>
      <c r="BJ16" s="287" t="str">
        <f t="shared" ref="BJ16:BK63" si="37">IF(BH16&gt;$H$76,$AO$75,IF(BH16&gt;$H$77,$AO$76,IF(BH16&gt;$H$78,$AO$77,$AO$78)))</f>
        <v>baik</v>
      </c>
      <c r="BK16" s="287" t="str">
        <f t="shared" si="37"/>
        <v>baik</v>
      </c>
      <c r="BL16" s="286">
        <f t="shared" ref="BL16:BL63" si="38">MATCH(BH16,AX16:BG16,0)</f>
        <v>4</v>
      </c>
      <c r="BM16" s="288">
        <f t="shared" ref="BM16:BM63" si="39">MATCH(BI16,AX16:BG16,0)</f>
        <v>1</v>
      </c>
      <c r="BN16" s="289" t="str">
        <f t="shared" ref="BN16:BN63" si="40">IF(AV16="","",IFERROR("Memiliki keterampilan "&amp;IF(BJ16=BK16,BJ16&amp;" dalam "&amp;VLOOKUP(BL16,$AV$2:$BN$11,19)&amp;" dan "&amp;VLOOKUP(BM16,$AV$2:$BN$11,19),BJ16&amp;" dalam "&amp;VLOOKUP(BL16,$AV$2:$BN$11,19)&amp;", "&amp;BK16&amp;" keterampilan dalam "&amp;VLOOKUP(BM16,$AV$2:$BN$11,19)),""))</f>
        <v>Memiliki keterampilan baik dalam KD keterampilan 4 Ekonomi dan Melakukan percobaan getaran harmonis pada ayunan sederhana</v>
      </c>
      <c r="BO16" s="67"/>
    </row>
    <row r="17" spans="1:67" ht="33" customHeight="1">
      <c r="A17" s="67"/>
      <c r="B17" s="272">
        <f t="shared" si="23"/>
        <v>4</v>
      </c>
      <c r="C17" s="273">
        <f>IF(Data!F8="","",Data!F8)</f>
        <v>0</v>
      </c>
      <c r="D17" s="274" t="str">
        <f>IF(Data!H8="","",Data!H8)</f>
        <v>Asti Welmince Welkis</v>
      </c>
      <c r="E17" s="275" t="str">
        <f>IF(Data!I8="","",Data!I8)</f>
        <v>P</v>
      </c>
      <c r="F17" s="276"/>
      <c r="G17" s="276">
        <v>77</v>
      </c>
      <c r="H17" s="277">
        <v>78</v>
      </c>
      <c r="I17" s="277">
        <v>79</v>
      </c>
      <c r="J17" s="277">
        <v>77</v>
      </c>
      <c r="K17" s="277">
        <v>78</v>
      </c>
      <c r="L17" s="277"/>
      <c r="M17" s="280"/>
      <c r="N17" s="277"/>
      <c r="O17" s="278"/>
      <c r="P17" s="279">
        <f t="shared" si="24"/>
        <v>78</v>
      </c>
      <c r="Q17" s="277">
        <v>85</v>
      </c>
      <c r="R17" s="280">
        <v>87</v>
      </c>
      <c r="S17" s="281">
        <f t="shared" si="25"/>
        <v>82</v>
      </c>
      <c r="T17" s="295" t="str">
        <f t="shared" si="26"/>
        <v>C</v>
      </c>
      <c r="U17" s="1215" t="str">
        <f t="shared" si="7"/>
        <v/>
      </c>
      <c r="V17" s="1216">
        <f t="shared" si="7"/>
        <v>77.02</v>
      </c>
      <c r="W17" s="1216">
        <f t="shared" si="7"/>
        <v>78.03</v>
      </c>
      <c r="X17" s="1216">
        <f t="shared" si="7"/>
        <v>79.040000000000006</v>
      </c>
      <c r="Y17" s="1216">
        <f t="shared" si="7"/>
        <v>77.05</v>
      </c>
      <c r="Z17" s="1216">
        <f t="shared" si="7"/>
        <v>78.06</v>
      </c>
      <c r="AA17" s="1216" t="str">
        <f t="shared" si="7"/>
        <v/>
      </c>
      <c r="AB17" s="1217" t="str">
        <f t="shared" si="7"/>
        <v/>
      </c>
      <c r="AC17" s="1216" t="str">
        <f t="shared" si="7"/>
        <v/>
      </c>
      <c r="AD17" s="1218" t="str">
        <f t="shared" si="7"/>
        <v/>
      </c>
      <c r="AE17" s="1219">
        <f t="shared" si="27"/>
        <v>79.040000000000006</v>
      </c>
      <c r="AF17" s="282">
        <f t="shared" si="28"/>
        <v>77.02</v>
      </c>
      <c r="AG17" s="282" t="str">
        <f t="shared" si="29"/>
        <v>cukup</v>
      </c>
      <c r="AH17" s="282" t="str">
        <f t="shared" si="10"/>
        <v>cukup</v>
      </c>
      <c r="AI17" s="282">
        <f t="shared" si="30"/>
        <v>4</v>
      </c>
      <c r="AJ17" s="283">
        <f t="shared" si="31"/>
        <v>2</v>
      </c>
      <c r="AK17" s="284" t="str">
        <f t="shared" si="32"/>
        <v>Memiliki kemampuan cukup dalam Menganalisis konsep energi, usaha dan perubahan energi dan Menganalisis interaksi hubungan antar gaya</v>
      </c>
      <c r="AL17" s="276">
        <v>88</v>
      </c>
      <c r="AM17" s="277">
        <v>88</v>
      </c>
      <c r="AN17" s="277">
        <v>88</v>
      </c>
      <c r="AO17" s="277">
        <v>88</v>
      </c>
      <c r="AP17" s="277"/>
      <c r="AQ17" s="277"/>
      <c r="AR17" s="277"/>
      <c r="AS17" s="280"/>
      <c r="AT17" s="277"/>
      <c r="AU17" s="278"/>
      <c r="AV17" s="285">
        <f t="shared" si="33"/>
        <v>88</v>
      </c>
      <c r="AW17" s="296" t="str">
        <f t="shared" si="34"/>
        <v>B</v>
      </c>
      <c r="AX17" s="1220">
        <f t="shared" si="16"/>
        <v>88.01</v>
      </c>
      <c r="AY17" s="1221">
        <f t="shared" si="16"/>
        <v>88.02</v>
      </c>
      <c r="AZ17" s="1221">
        <f t="shared" si="16"/>
        <v>88.03</v>
      </c>
      <c r="BA17" s="1221">
        <f t="shared" si="16"/>
        <v>88.04</v>
      </c>
      <c r="BB17" s="1221" t="str">
        <f t="shared" si="16"/>
        <v/>
      </c>
      <c r="BC17" s="1221" t="str">
        <f t="shared" si="16"/>
        <v/>
      </c>
      <c r="BD17" s="1221" t="str">
        <f t="shared" si="16"/>
        <v/>
      </c>
      <c r="BE17" s="1222" t="str">
        <f t="shared" si="16"/>
        <v/>
      </c>
      <c r="BF17" s="1221" t="str">
        <f t="shared" si="16"/>
        <v/>
      </c>
      <c r="BG17" s="1223" t="str">
        <f t="shared" si="16"/>
        <v/>
      </c>
      <c r="BH17" s="286">
        <f t="shared" si="35"/>
        <v>88.04</v>
      </c>
      <c r="BI17" s="286">
        <f t="shared" si="36"/>
        <v>88.01</v>
      </c>
      <c r="BJ17" s="287" t="str">
        <f t="shared" si="37"/>
        <v>baik</v>
      </c>
      <c r="BK17" s="287" t="str">
        <f t="shared" si="37"/>
        <v>baik</v>
      </c>
      <c r="BL17" s="286">
        <f t="shared" si="38"/>
        <v>4</v>
      </c>
      <c r="BM17" s="288">
        <f t="shared" si="39"/>
        <v>1</v>
      </c>
      <c r="BN17" s="289" t="str">
        <f t="shared" si="40"/>
        <v>Memiliki keterampilan baik dalam KD keterampilan 4 Ekonomi dan Melakukan percobaan getaran harmonis pada ayunan sederhana</v>
      </c>
      <c r="BO17" s="67"/>
    </row>
    <row r="18" spans="1:67" ht="33" customHeight="1">
      <c r="A18" s="67"/>
      <c r="B18" s="272">
        <f t="shared" si="23"/>
        <v>5</v>
      </c>
      <c r="C18" s="273">
        <f>IF(Data!F9="","",Data!F9)</f>
        <v>0</v>
      </c>
      <c r="D18" s="274" t="str">
        <f>IF(Data!H9="","",Data!H9)</f>
        <v>Aulya Noviyanti Mbura</v>
      </c>
      <c r="E18" s="275" t="str">
        <f>IF(Data!I9="","",Data!I9)</f>
        <v>P</v>
      </c>
      <c r="F18" s="276"/>
      <c r="G18" s="276">
        <v>82</v>
      </c>
      <c r="H18" s="277">
        <v>85</v>
      </c>
      <c r="I18" s="277">
        <v>83</v>
      </c>
      <c r="J18" s="277">
        <v>81</v>
      </c>
      <c r="K18" s="277">
        <v>84</v>
      </c>
      <c r="L18" s="277"/>
      <c r="M18" s="280"/>
      <c r="N18" s="277"/>
      <c r="O18" s="278"/>
      <c r="P18" s="279">
        <f t="shared" si="24"/>
        <v>83</v>
      </c>
      <c r="Q18" s="277">
        <v>88</v>
      </c>
      <c r="R18" s="280">
        <v>88</v>
      </c>
      <c r="S18" s="281">
        <f t="shared" si="25"/>
        <v>86</v>
      </c>
      <c r="T18" s="295" t="str">
        <f t="shared" si="26"/>
        <v>B</v>
      </c>
      <c r="U18" s="1215" t="str">
        <f t="shared" si="7"/>
        <v/>
      </c>
      <c r="V18" s="1216">
        <f t="shared" si="7"/>
        <v>82.02</v>
      </c>
      <c r="W18" s="1216">
        <f t="shared" si="7"/>
        <v>85.03</v>
      </c>
      <c r="X18" s="1216">
        <f t="shared" si="7"/>
        <v>83.04</v>
      </c>
      <c r="Y18" s="1216">
        <f t="shared" si="7"/>
        <v>81.05</v>
      </c>
      <c r="Z18" s="1216">
        <f t="shared" si="7"/>
        <v>84.06</v>
      </c>
      <c r="AA18" s="1216" t="str">
        <f t="shared" si="7"/>
        <v/>
      </c>
      <c r="AB18" s="1217" t="str">
        <f t="shared" si="7"/>
        <v/>
      </c>
      <c r="AC18" s="1216" t="str">
        <f t="shared" si="7"/>
        <v/>
      </c>
      <c r="AD18" s="1218" t="str">
        <f t="shared" si="7"/>
        <v/>
      </c>
      <c r="AE18" s="1219">
        <f t="shared" si="27"/>
        <v>85.03</v>
      </c>
      <c r="AF18" s="282">
        <f t="shared" si="28"/>
        <v>81.05</v>
      </c>
      <c r="AG18" s="282" t="str">
        <f t="shared" si="29"/>
        <v>baik</v>
      </c>
      <c r="AH18" s="282" t="str">
        <f t="shared" si="10"/>
        <v>cukup</v>
      </c>
      <c r="AI18" s="282">
        <f t="shared" si="30"/>
        <v>3</v>
      </c>
      <c r="AJ18" s="283">
        <f t="shared" si="31"/>
        <v>5</v>
      </c>
      <c r="AK18" s="284" t="str">
        <f t="shared" si="32"/>
        <v>Memiliki kemampuan baik dalam Menganalisis keteraturan gerak planet dan satelit, cukup kemampuan dalam Menganalisi hubungan antara gaya dan getaran</v>
      </c>
      <c r="AL18" s="276">
        <v>89</v>
      </c>
      <c r="AM18" s="277">
        <v>89</v>
      </c>
      <c r="AN18" s="277">
        <v>89</v>
      </c>
      <c r="AO18" s="277">
        <v>89</v>
      </c>
      <c r="AP18" s="277"/>
      <c r="AQ18" s="277"/>
      <c r="AR18" s="277"/>
      <c r="AS18" s="280"/>
      <c r="AT18" s="277"/>
      <c r="AU18" s="278"/>
      <c r="AV18" s="285">
        <f t="shared" si="33"/>
        <v>89</v>
      </c>
      <c r="AW18" s="296" t="str">
        <f t="shared" si="34"/>
        <v>B</v>
      </c>
      <c r="AX18" s="1220">
        <f t="shared" si="16"/>
        <v>89.01</v>
      </c>
      <c r="AY18" s="1221">
        <f t="shared" si="16"/>
        <v>89.02</v>
      </c>
      <c r="AZ18" s="1221">
        <f t="shared" si="16"/>
        <v>89.03</v>
      </c>
      <c r="BA18" s="1221">
        <f t="shared" si="16"/>
        <v>89.04</v>
      </c>
      <c r="BB18" s="1221" t="str">
        <f t="shared" si="16"/>
        <v/>
      </c>
      <c r="BC18" s="1221" t="str">
        <f t="shared" si="16"/>
        <v/>
      </c>
      <c r="BD18" s="1221" t="str">
        <f t="shared" si="16"/>
        <v/>
      </c>
      <c r="BE18" s="1222" t="str">
        <f t="shared" si="16"/>
        <v/>
      </c>
      <c r="BF18" s="1221" t="str">
        <f t="shared" si="16"/>
        <v/>
      </c>
      <c r="BG18" s="1223" t="str">
        <f t="shared" si="16"/>
        <v/>
      </c>
      <c r="BH18" s="286">
        <f t="shared" si="35"/>
        <v>89.04</v>
      </c>
      <c r="BI18" s="286">
        <f t="shared" si="36"/>
        <v>89.01</v>
      </c>
      <c r="BJ18" s="287" t="str">
        <f t="shared" si="37"/>
        <v>baik</v>
      </c>
      <c r="BK18" s="287" t="str">
        <f t="shared" si="37"/>
        <v>baik</v>
      </c>
      <c r="BL18" s="286">
        <f t="shared" si="38"/>
        <v>4</v>
      </c>
      <c r="BM18" s="288">
        <f t="shared" si="39"/>
        <v>1</v>
      </c>
      <c r="BN18" s="289" t="str">
        <f t="shared" si="40"/>
        <v>Memiliki keterampilan baik dalam KD keterampilan 4 Ekonomi dan Melakukan percobaan getaran harmonis pada ayunan sederhana</v>
      </c>
      <c r="BO18" s="67"/>
    </row>
    <row r="19" spans="1:67" ht="33" customHeight="1">
      <c r="A19" s="67"/>
      <c r="B19" s="272">
        <f t="shared" si="23"/>
        <v>6</v>
      </c>
      <c r="C19" s="273">
        <f>IF(Data!F10="","",Data!F10)</f>
        <v>0</v>
      </c>
      <c r="D19" s="274" t="str">
        <f>IF(Data!H10="","",Data!H10)</f>
        <v>Ayu Oliberta Ranboki</v>
      </c>
      <c r="E19" s="275" t="str">
        <f>IF(Data!I10="","",Data!I10)</f>
        <v>P</v>
      </c>
      <c r="F19" s="276"/>
      <c r="G19" s="276">
        <v>77</v>
      </c>
      <c r="H19" s="277">
        <v>78</v>
      </c>
      <c r="I19" s="277">
        <v>79</v>
      </c>
      <c r="J19" s="277">
        <v>77</v>
      </c>
      <c r="K19" s="277">
        <v>78</v>
      </c>
      <c r="L19" s="277"/>
      <c r="M19" s="280"/>
      <c r="N19" s="277"/>
      <c r="O19" s="278"/>
      <c r="P19" s="279">
        <f t="shared" si="24"/>
        <v>78</v>
      </c>
      <c r="Q19" s="277">
        <v>87</v>
      </c>
      <c r="R19" s="280">
        <v>85</v>
      </c>
      <c r="S19" s="281">
        <f t="shared" si="25"/>
        <v>82</v>
      </c>
      <c r="T19" s="295" t="str">
        <f t="shared" si="26"/>
        <v>C</v>
      </c>
      <c r="U19" s="1215" t="str">
        <f t="shared" si="7"/>
        <v/>
      </c>
      <c r="V19" s="1216">
        <f t="shared" si="7"/>
        <v>77.02</v>
      </c>
      <c r="W19" s="1216">
        <f t="shared" si="7"/>
        <v>78.03</v>
      </c>
      <c r="X19" s="1216">
        <f t="shared" si="7"/>
        <v>79.040000000000006</v>
      </c>
      <c r="Y19" s="1216">
        <f t="shared" si="7"/>
        <v>77.05</v>
      </c>
      <c r="Z19" s="1216">
        <f t="shared" si="7"/>
        <v>78.06</v>
      </c>
      <c r="AA19" s="1216" t="str">
        <f t="shared" si="7"/>
        <v/>
      </c>
      <c r="AB19" s="1217" t="str">
        <f t="shared" si="7"/>
        <v/>
      </c>
      <c r="AC19" s="1216" t="str">
        <f t="shared" si="7"/>
        <v/>
      </c>
      <c r="AD19" s="1218" t="str">
        <f t="shared" si="7"/>
        <v/>
      </c>
      <c r="AE19" s="1219">
        <f t="shared" si="27"/>
        <v>79.040000000000006</v>
      </c>
      <c r="AF19" s="282">
        <f t="shared" si="28"/>
        <v>77.02</v>
      </c>
      <c r="AG19" s="282" t="str">
        <f t="shared" si="29"/>
        <v>cukup</v>
      </c>
      <c r="AH19" s="282" t="str">
        <f t="shared" si="10"/>
        <v>cukup</v>
      </c>
      <c r="AI19" s="282">
        <f t="shared" si="30"/>
        <v>4</v>
      </c>
      <c r="AJ19" s="283">
        <f t="shared" si="31"/>
        <v>2</v>
      </c>
      <c r="AK19" s="284" t="str">
        <f t="shared" si="32"/>
        <v>Memiliki kemampuan cukup dalam Menganalisis konsep energi, usaha dan perubahan energi dan Menganalisis interaksi hubungan antar gaya</v>
      </c>
      <c r="AL19" s="276">
        <v>88</v>
      </c>
      <c r="AM19" s="277">
        <v>88</v>
      </c>
      <c r="AN19" s="277">
        <v>88</v>
      </c>
      <c r="AO19" s="277">
        <v>88</v>
      </c>
      <c r="AP19" s="277"/>
      <c r="AQ19" s="277"/>
      <c r="AR19" s="277"/>
      <c r="AS19" s="280"/>
      <c r="AT19" s="277"/>
      <c r="AU19" s="278"/>
      <c r="AV19" s="285">
        <f t="shared" si="33"/>
        <v>88</v>
      </c>
      <c r="AW19" s="296" t="str">
        <f t="shared" si="34"/>
        <v>B</v>
      </c>
      <c r="AX19" s="1220">
        <f t="shared" si="16"/>
        <v>88.01</v>
      </c>
      <c r="AY19" s="1221">
        <f t="shared" si="16"/>
        <v>88.02</v>
      </c>
      <c r="AZ19" s="1221">
        <f t="shared" si="16"/>
        <v>88.03</v>
      </c>
      <c r="BA19" s="1221">
        <f t="shared" si="16"/>
        <v>88.04</v>
      </c>
      <c r="BB19" s="1221" t="str">
        <f t="shared" si="16"/>
        <v/>
      </c>
      <c r="BC19" s="1221" t="str">
        <f t="shared" si="16"/>
        <v/>
      </c>
      <c r="BD19" s="1221" t="str">
        <f t="shared" si="16"/>
        <v/>
      </c>
      <c r="BE19" s="1222" t="str">
        <f t="shared" si="16"/>
        <v/>
      </c>
      <c r="BF19" s="1221" t="str">
        <f t="shared" si="16"/>
        <v/>
      </c>
      <c r="BG19" s="1223" t="str">
        <f t="shared" si="16"/>
        <v/>
      </c>
      <c r="BH19" s="286">
        <f t="shared" si="35"/>
        <v>88.04</v>
      </c>
      <c r="BI19" s="286">
        <f t="shared" si="36"/>
        <v>88.01</v>
      </c>
      <c r="BJ19" s="287" t="str">
        <f t="shared" si="37"/>
        <v>baik</v>
      </c>
      <c r="BK19" s="287" t="str">
        <f t="shared" si="37"/>
        <v>baik</v>
      </c>
      <c r="BL19" s="286">
        <f t="shared" si="38"/>
        <v>4</v>
      </c>
      <c r="BM19" s="288">
        <f t="shared" si="39"/>
        <v>1</v>
      </c>
      <c r="BN19" s="289" t="str">
        <f t="shared" si="40"/>
        <v>Memiliki keterampilan baik dalam KD keterampilan 4 Ekonomi dan Melakukan percobaan getaran harmonis pada ayunan sederhana</v>
      </c>
      <c r="BO19" s="67"/>
    </row>
    <row r="20" spans="1:67" ht="33" customHeight="1">
      <c r="A20" s="67"/>
      <c r="B20" s="272">
        <f t="shared" si="23"/>
        <v>7</v>
      </c>
      <c r="C20" s="273">
        <f>IF(Data!F11="","",Data!F11)</f>
        <v>0</v>
      </c>
      <c r="D20" s="274" t="str">
        <f>IF(Data!H11="","",Data!H11)</f>
        <v>Benediktus Faot</v>
      </c>
      <c r="E20" s="275" t="str">
        <f>IF(Data!I11="","",Data!I11)</f>
        <v>L</v>
      </c>
      <c r="F20" s="276"/>
      <c r="G20" s="276">
        <v>77</v>
      </c>
      <c r="H20" s="277">
        <v>78</v>
      </c>
      <c r="I20" s="277">
        <v>79</v>
      </c>
      <c r="J20" s="277">
        <v>77</v>
      </c>
      <c r="K20" s="277">
        <v>78</v>
      </c>
      <c r="L20" s="277"/>
      <c r="M20" s="280"/>
      <c r="N20" s="277"/>
      <c r="O20" s="278"/>
      <c r="P20" s="279">
        <f t="shared" si="24"/>
        <v>78</v>
      </c>
      <c r="Q20" s="277">
        <v>86</v>
      </c>
      <c r="R20" s="280">
        <v>87</v>
      </c>
      <c r="S20" s="281">
        <f t="shared" si="25"/>
        <v>82</v>
      </c>
      <c r="T20" s="295" t="str">
        <f t="shared" si="26"/>
        <v>C</v>
      </c>
      <c r="U20" s="1215" t="str">
        <f t="shared" si="7"/>
        <v/>
      </c>
      <c r="V20" s="1216">
        <f t="shared" si="7"/>
        <v>77.02</v>
      </c>
      <c r="W20" s="1216">
        <f t="shared" si="7"/>
        <v>78.03</v>
      </c>
      <c r="X20" s="1216">
        <f t="shared" si="7"/>
        <v>79.040000000000006</v>
      </c>
      <c r="Y20" s="1216">
        <f t="shared" si="7"/>
        <v>77.05</v>
      </c>
      <c r="Z20" s="1216">
        <f t="shared" si="7"/>
        <v>78.06</v>
      </c>
      <c r="AA20" s="1216" t="str">
        <f t="shared" si="7"/>
        <v/>
      </c>
      <c r="AB20" s="1217" t="str">
        <f t="shared" si="7"/>
        <v/>
      </c>
      <c r="AC20" s="1216" t="str">
        <f t="shared" si="7"/>
        <v/>
      </c>
      <c r="AD20" s="1218" t="str">
        <f t="shared" si="7"/>
        <v/>
      </c>
      <c r="AE20" s="1219">
        <f t="shared" si="27"/>
        <v>79.040000000000006</v>
      </c>
      <c r="AF20" s="282">
        <f t="shared" si="28"/>
        <v>77.02</v>
      </c>
      <c r="AG20" s="282" t="str">
        <f t="shared" si="29"/>
        <v>cukup</v>
      </c>
      <c r="AH20" s="282" t="str">
        <f t="shared" si="10"/>
        <v>cukup</v>
      </c>
      <c r="AI20" s="282">
        <f t="shared" si="30"/>
        <v>4</v>
      </c>
      <c r="AJ20" s="283">
        <f t="shared" si="31"/>
        <v>2</v>
      </c>
      <c r="AK20" s="284" t="str">
        <f t="shared" si="32"/>
        <v>Memiliki kemampuan cukup dalam Menganalisis konsep energi, usaha dan perubahan energi dan Menganalisis interaksi hubungan antar gaya</v>
      </c>
      <c r="AL20" s="276">
        <v>88</v>
      </c>
      <c r="AM20" s="277">
        <v>88</v>
      </c>
      <c r="AN20" s="277">
        <v>88</v>
      </c>
      <c r="AO20" s="277">
        <v>88</v>
      </c>
      <c r="AP20" s="277"/>
      <c r="AQ20" s="277"/>
      <c r="AR20" s="277"/>
      <c r="AS20" s="280"/>
      <c r="AT20" s="277"/>
      <c r="AU20" s="278"/>
      <c r="AV20" s="285">
        <f t="shared" si="33"/>
        <v>88</v>
      </c>
      <c r="AW20" s="296" t="str">
        <f t="shared" si="34"/>
        <v>B</v>
      </c>
      <c r="AX20" s="1220">
        <f t="shared" si="16"/>
        <v>88.01</v>
      </c>
      <c r="AY20" s="1221">
        <f t="shared" si="16"/>
        <v>88.02</v>
      </c>
      <c r="AZ20" s="1221">
        <f t="shared" si="16"/>
        <v>88.03</v>
      </c>
      <c r="BA20" s="1221">
        <f t="shared" si="16"/>
        <v>88.04</v>
      </c>
      <c r="BB20" s="1221" t="str">
        <f t="shared" si="16"/>
        <v/>
      </c>
      <c r="BC20" s="1221" t="str">
        <f t="shared" si="16"/>
        <v/>
      </c>
      <c r="BD20" s="1221" t="str">
        <f t="shared" si="16"/>
        <v/>
      </c>
      <c r="BE20" s="1222" t="str">
        <f t="shared" si="16"/>
        <v/>
      </c>
      <c r="BF20" s="1221" t="str">
        <f t="shared" si="16"/>
        <v/>
      </c>
      <c r="BG20" s="1223" t="str">
        <f t="shared" si="16"/>
        <v/>
      </c>
      <c r="BH20" s="286">
        <f t="shared" si="35"/>
        <v>88.04</v>
      </c>
      <c r="BI20" s="286">
        <f t="shared" si="36"/>
        <v>88.01</v>
      </c>
      <c r="BJ20" s="287" t="str">
        <f t="shared" si="37"/>
        <v>baik</v>
      </c>
      <c r="BK20" s="287" t="str">
        <f t="shared" si="37"/>
        <v>baik</v>
      </c>
      <c r="BL20" s="286">
        <f t="shared" si="38"/>
        <v>4</v>
      </c>
      <c r="BM20" s="288">
        <f t="shared" si="39"/>
        <v>1</v>
      </c>
      <c r="BN20" s="289" t="str">
        <f t="shared" si="40"/>
        <v>Memiliki keterampilan baik dalam KD keterampilan 4 Ekonomi dan Melakukan percobaan getaran harmonis pada ayunan sederhana</v>
      </c>
      <c r="BO20" s="67"/>
    </row>
    <row r="21" spans="1:67" ht="33" customHeight="1">
      <c r="A21" s="67"/>
      <c r="B21" s="272">
        <f t="shared" si="23"/>
        <v>8</v>
      </c>
      <c r="C21" s="273">
        <f>IF(Data!F12="","",Data!F12)</f>
        <v>0</v>
      </c>
      <c r="D21" s="274" t="str">
        <f>IF(Data!H12="","",Data!H12)</f>
        <v>Betron Imanuel Kuni</v>
      </c>
      <c r="E21" s="275" t="str">
        <f>IF(Data!I12="","",Data!I12)</f>
        <v>L</v>
      </c>
      <c r="F21" s="276"/>
      <c r="G21" s="276">
        <v>77</v>
      </c>
      <c r="H21" s="277">
        <v>78</v>
      </c>
      <c r="I21" s="277">
        <v>79</v>
      </c>
      <c r="J21" s="277">
        <v>77</v>
      </c>
      <c r="K21" s="277">
        <v>78</v>
      </c>
      <c r="L21" s="277"/>
      <c r="M21" s="280"/>
      <c r="N21" s="277"/>
      <c r="O21" s="278"/>
      <c r="P21" s="279">
        <f t="shared" si="24"/>
        <v>78</v>
      </c>
      <c r="Q21" s="277">
        <v>78</v>
      </c>
      <c r="R21" s="280">
        <v>76</v>
      </c>
      <c r="S21" s="281">
        <f t="shared" si="25"/>
        <v>78</v>
      </c>
      <c r="T21" s="295" t="str">
        <f t="shared" si="26"/>
        <v>C</v>
      </c>
      <c r="U21" s="1215" t="str">
        <f t="shared" si="7"/>
        <v/>
      </c>
      <c r="V21" s="1216">
        <f t="shared" si="7"/>
        <v>77.02</v>
      </c>
      <c r="W21" s="1216">
        <f t="shared" si="7"/>
        <v>78.03</v>
      </c>
      <c r="X21" s="1216">
        <f t="shared" si="7"/>
        <v>79.040000000000006</v>
      </c>
      <c r="Y21" s="1216">
        <f t="shared" si="7"/>
        <v>77.05</v>
      </c>
      <c r="Z21" s="1216">
        <f t="shared" si="7"/>
        <v>78.06</v>
      </c>
      <c r="AA21" s="1216" t="str">
        <f t="shared" si="7"/>
        <v/>
      </c>
      <c r="AB21" s="1217" t="str">
        <f t="shared" si="7"/>
        <v/>
      </c>
      <c r="AC21" s="1216" t="str">
        <f t="shared" si="7"/>
        <v/>
      </c>
      <c r="AD21" s="1218" t="str">
        <f t="shared" si="7"/>
        <v/>
      </c>
      <c r="AE21" s="1219">
        <f t="shared" si="27"/>
        <v>79.040000000000006</v>
      </c>
      <c r="AF21" s="282">
        <f t="shared" si="28"/>
        <v>77.02</v>
      </c>
      <c r="AG21" s="282" t="str">
        <f t="shared" si="29"/>
        <v>cukup</v>
      </c>
      <c r="AH21" s="282" t="str">
        <f t="shared" si="10"/>
        <v>cukup</v>
      </c>
      <c r="AI21" s="282">
        <f t="shared" si="30"/>
        <v>4</v>
      </c>
      <c r="AJ21" s="283">
        <f t="shared" si="31"/>
        <v>2</v>
      </c>
      <c r="AK21" s="284" t="str">
        <f t="shared" si="32"/>
        <v>Memiliki kemampuan cukup dalam Menganalisis konsep energi, usaha dan perubahan energi dan Menganalisis interaksi hubungan antar gaya</v>
      </c>
      <c r="AL21" s="276">
        <v>88</v>
      </c>
      <c r="AM21" s="277">
        <v>88</v>
      </c>
      <c r="AN21" s="277">
        <v>88</v>
      </c>
      <c r="AO21" s="277">
        <v>88</v>
      </c>
      <c r="AP21" s="277"/>
      <c r="AQ21" s="277"/>
      <c r="AR21" s="277"/>
      <c r="AS21" s="280"/>
      <c r="AT21" s="277"/>
      <c r="AU21" s="278"/>
      <c r="AV21" s="285">
        <f t="shared" si="33"/>
        <v>88</v>
      </c>
      <c r="AW21" s="296" t="str">
        <f t="shared" si="34"/>
        <v>B</v>
      </c>
      <c r="AX21" s="1220">
        <f t="shared" si="16"/>
        <v>88.01</v>
      </c>
      <c r="AY21" s="1221">
        <f t="shared" si="16"/>
        <v>88.02</v>
      </c>
      <c r="AZ21" s="1221">
        <f t="shared" si="16"/>
        <v>88.03</v>
      </c>
      <c r="BA21" s="1221">
        <f t="shared" si="16"/>
        <v>88.04</v>
      </c>
      <c r="BB21" s="1221" t="str">
        <f t="shared" si="16"/>
        <v/>
      </c>
      <c r="BC21" s="1221" t="str">
        <f t="shared" si="16"/>
        <v/>
      </c>
      <c r="BD21" s="1221" t="str">
        <f t="shared" si="16"/>
        <v/>
      </c>
      <c r="BE21" s="1222" t="str">
        <f t="shared" si="16"/>
        <v/>
      </c>
      <c r="BF21" s="1221" t="str">
        <f t="shared" si="16"/>
        <v/>
      </c>
      <c r="BG21" s="1223" t="str">
        <f t="shared" si="16"/>
        <v/>
      </c>
      <c r="BH21" s="286">
        <f t="shared" si="35"/>
        <v>88.04</v>
      </c>
      <c r="BI21" s="286">
        <f t="shared" si="36"/>
        <v>88.01</v>
      </c>
      <c r="BJ21" s="287" t="str">
        <f t="shared" si="37"/>
        <v>baik</v>
      </c>
      <c r="BK21" s="287" t="str">
        <f t="shared" si="37"/>
        <v>baik</v>
      </c>
      <c r="BL21" s="286">
        <f t="shared" si="38"/>
        <v>4</v>
      </c>
      <c r="BM21" s="288">
        <f t="shared" si="39"/>
        <v>1</v>
      </c>
      <c r="BN21" s="289" t="str">
        <f t="shared" si="40"/>
        <v>Memiliki keterampilan baik dalam KD keterampilan 4 Ekonomi dan Melakukan percobaan getaran harmonis pada ayunan sederhana</v>
      </c>
      <c r="BO21" s="67"/>
    </row>
    <row r="22" spans="1:67" ht="33" customHeight="1">
      <c r="A22" s="67"/>
      <c r="B22" s="272">
        <f t="shared" si="23"/>
        <v>9</v>
      </c>
      <c r="C22" s="273">
        <f>IF(Data!F13="","",Data!F13)</f>
        <v>0</v>
      </c>
      <c r="D22" s="274" t="str">
        <f>IF(Data!H13="","",Data!H13)</f>
        <v>Demrianus Ton</v>
      </c>
      <c r="E22" s="275" t="str">
        <f>IF(Data!I13="","",Data!I13)</f>
        <v>L</v>
      </c>
      <c r="F22" s="276"/>
      <c r="G22" s="276">
        <v>76</v>
      </c>
      <c r="H22" s="277">
        <v>77</v>
      </c>
      <c r="I22" s="277">
        <v>76</v>
      </c>
      <c r="J22" s="277">
        <v>77</v>
      </c>
      <c r="K22" s="277">
        <v>76</v>
      </c>
      <c r="L22" s="277"/>
      <c r="M22" s="280"/>
      <c r="N22" s="277"/>
      <c r="O22" s="278"/>
      <c r="P22" s="279">
        <f t="shared" si="24"/>
        <v>76</v>
      </c>
      <c r="Q22" s="277">
        <v>80</v>
      </c>
      <c r="R22" s="280">
        <v>77</v>
      </c>
      <c r="S22" s="281">
        <f t="shared" si="25"/>
        <v>77</v>
      </c>
      <c r="T22" s="295" t="str">
        <f t="shared" si="26"/>
        <v>C</v>
      </c>
      <c r="U22" s="1215" t="str">
        <f t="shared" si="7"/>
        <v/>
      </c>
      <c r="V22" s="1216">
        <f t="shared" si="7"/>
        <v>76.02</v>
      </c>
      <c r="W22" s="1216">
        <f t="shared" si="7"/>
        <v>77.03</v>
      </c>
      <c r="X22" s="1216">
        <f t="shared" si="7"/>
        <v>76.040000000000006</v>
      </c>
      <c r="Y22" s="1216">
        <f t="shared" si="7"/>
        <v>77.05</v>
      </c>
      <c r="Z22" s="1216">
        <f t="shared" si="7"/>
        <v>76.06</v>
      </c>
      <c r="AA22" s="1216" t="str">
        <f t="shared" si="7"/>
        <v/>
      </c>
      <c r="AB22" s="1217" t="str">
        <f t="shared" si="7"/>
        <v/>
      </c>
      <c r="AC22" s="1216" t="str">
        <f t="shared" si="7"/>
        <v/>
      </c>
      <c r="AD22" s="1218" t="str">
        <f t="shared" si="7"/>
        <v/>
      </c>
      <c r="AE22" s="1219">
        <f t="shared" si="27"/>
        <v>77.05</v>
      </c>
      <c r="AF22" s="282">
        <f t="shared" si="28"/>
        <v>76.02</v>
      </c>
      <c r="AG22" s="282" t="str">
        <f t="shared" si="29"/>
        <v>cukup</v>
      </c>
      <c r="AH22" s="282" t="str">
        <f t="shared" si="10"/>
        <v>cukup</v>
      </c>
      <c r="AI22" s="282">
        <f t="shared" si="30"/>
        <v>5</v>
      </c>
      <c r="AJ22" s="283">
        <f t="shared" si="31"/>
        <v>2</v>
      </c>
      <c r="AK22" s="284" t="str">
        <f t="shared" si="32"/>
        <v>Memiliki kemampuan cukup dalam Menganalisi hubungan antara gaya dan getaran dan Menganalisis interaksi hubungan antar gaya</v>
      </c>
      <c r="AL22" s="276">
        <v>88</v>
      </c>
      <c r="AM22" s="277">
        <v>88</v>
      </c>
      <c r="AN22" s="277">
        <v>88</v>
      </c>
      <c r="AO22" s="277">
        <v>88</v>
      </c>
      <c r="AP22" s="277"/>
      <c r="AQ22" s="277"/>
      <c r="AR22" s="277"/>
      <c r="AS22" s="280"/>
      <c r="AT22" s="277"/>
      <c r="AU22" s="278"/>
      <c r="AV22" s="285">
        <f t="shared" si="33"/>
        <v>88</v>
      </c>
      <c r="AW22" s="296" t="str">
        <f t="shared" si="34"/>
        <v>B</v>
      </c>
      <c r="AX22" s="1220">
        <f t="shared" si="16"/>
        <v>88.01</v>
      </c>
      <c r="AY22" s="1221">
        <f t="shared" si="16"/>
        <v>88.02</v>
      </c>
      <c r="AZ22" s="1221">
        <f t="shared" si="16"/>
        <v>88.03</v>
      </c>
      <c r="BA22" s="1221">
        <f t="shared" si="16"/>
        <v>88.04</v>
      </c>
      <c r="BB22" s="1221" t="str">
        <f t="shared" si="16"/>
        <v/>
      </c>
      <c r="BC22" s="1221" t="str">
        <f t="shared" si="16"/>
        <v/>
      </c>
      <c r="BD22" s="1221" t="str">
        <f t="shared" si="16"/>
        <v/>
      </c>
      <c r="BE22" s="1222" t="str">
        <f t="shared" si="16"/>
        <v/>
      </c>
      <c r="BF22" s="1221" t="str">
        <f t="shared" si="16"/>
        <v/>
      </c>
      <c r="BG22" s="1223" t="str">
        <f t="shared" si="16"/>
        <v/>
      </c>
      <c r="BH22" s="286">
        <f t="shared" si="35"/>
        <v>88.04</v>
      </c>
      <c r="BI22" s="286">
        <f t="shared" si="36"/>
        <v>88.01</v>
      </c>
      <c r="BJ22" s="287" t="str">
        <f t="shared" si="37"/>
        <v>baik</v>
      </c>
      <c r="BK22" s="287" t="str">
        <f t="shared" si="37"/>
        <v>baik</v>
      </c>
      <c r="BL22" s="286">
        <f t="shared" si="38"/>
        <v>4</v>
      </c>
      <c r="BM22" s="288">
        <f t="shared" si="39"/>
        <v>1</v>
      </c>
      <c r="BN22" s="289" t="str">
        <f t="shared" si="40"/>
        <v>Memiliki keterampilan baik dalam KD keterampilan 4 Ekonomi dan Melakukan percobaan getaran harmonis pada ayunan sederhana</v>
      </c>
      <c r="BO22" s="67"/>
    </row>
    <row r="23" spans="1:67" ht="33" customHeight="1">
      <c r="A23" s="67"/>
      <c r="B23" s="272">
        <f t="shared" si="23"/>
        <v>10</v>
      </c>
      <c r="C23" s="273">
        <f>IF(Data!F14="","",Data!F14)</f>
        <v>0</v>
      </c>
      <c r="D23" s="274" t="str">
        <f>IF(Data!H14="","",Data!H14)</f>
        <v>Desti Manggoa</v>
      </c>
      <c r="E23" s="275" t="str">
        <f>IF(Data!I14="","",Data!I14)</f>
        <v>P</v>
      </c>
      <c r="F23" s="276"/>
      <c r="G23" s="276">
        <v>76</v>
      </c>
      <c r="H23" s="277">
        <v>77</v>
      </c>
      <c r="I23" s="277">
        <v>76</v>
      </c>
      <c r="J23" s="277">
        <v>77</v>
      </c>
      <c r="K23" s="277">
        <v>76</v>
      </c>
      <c r="L23" s="277"/>
      <c r="M23" s="280"/>
      <c r="N23" s="277"/>
      <c r="O23" s="278"/>
      <c r="P23" s="279">
        <f t="shared" si="24"/>
        <v>76</v>
      </c>
      <c r="Q23" s="277">
        <v>86</v>
      </c>
      <c r="R23" s="280">
        <v>87</v>
      </c>
      <c r="S23" s="281">
        <f t="shared" si="25"/>
        <v>81</v>
      </c>
      <c r="T23" s="295" t="str">
        <f t="shared" si="26"/>
        <v>C</v>
      </c>
      <c r="U23" s="1215" t="str">
        <f t="shared" si="7"/>
        <v/>
      </c>
      <c r="V23" s="1216">
        <f t="shared" si="7"/>
        <v>76.02</v>
      </c>
      <c r="W23" s="1216">
        <f t="shared" si="7"/>
        <v>77.03</v>
      </c>
      <c r="X23" s="1216">
        <f t="shared" si="7"/>
        <v>76.040000000000006</v>
      </c>
      <c r="Y23" s="1216">
        <f t="shared" si="7"/>
        <v>77.05</v>
      </c>
      <c r="Z23" s="1216">
        <f t="shared" si="7"/>
        <v>76.06</v>
      </c>
      <c r="AA23" s="1216" t="str">
        <f t="shared" si="7"/>
        <v/>
      </c>
      <c r="AB23" s="1217" t="str">
        <f t="shared" si="7"/>
        <v/>
      </c>
      <c r="AC23" s="1216" t="str">
        <f t="shared" si="7"/>
        <v/>
      </c>
      <c r="AD23" s="1218" t="str">
        <f t="shared" si="7"/>
        <v/>
      </c>
      <c r="AE23" s="1219">
        <f t="shared" si="27"/>
        <v>77.05</v>
      </c>
      <c r="AF23" s="282">
        <f t="shared" si="28"/>
        <v>76.02</v>
      </c>
      <c r="AG23" s="282" t="str">
        <f t="shared" si="29"/>
        <v>cukup</v>
      </c>
      <c r="AH23" s="282" t="str">
        <f t="shared" si="10"/>
        <v>cukup</v>
      </c>
      <c r="AI23" s="282">
        <f t="shared" si="30"/>
        <v>5</v>
      </c>
      <c r="AJ23" s="283">
        <f t="shared" si="31"/>
        <v>2</v>
      </c>
      <c r="AK23" s="284" t="str">
        <f t="shared" si="32"/>
        <v>Memiliki kemampuan cukup dalam Menganalisi hubungan antara gaya dan getaran dan Menganalisis interaksi hubungan antar gaya</v>
      </c>
      <c r="AL23" s="276">
        <v>88</v>
      </c>
      <c r="AM23" s="277">
        <v>88</v>
      </c>
      <c r="AN23" s="277">
        <v>88</v>
      </c>
      <c r="AO23" s="277">
        <v>88</v>
      </c>
      <c r="AP23" s="277"/>
      <c r="AQ23" s="277"/>
      <c r="AR23" s="277"/>
      <c r="AS23" s="280"/>
      <c r="AT23" s="277"/>
      <c r="AU23" s="278"/>
      <c r="AV23" s="285">
        <f t="shared" si="33"/>
        <v>88</v>
      </c>
      <c r="AW23" s="296" t="str">
        <f t="shared" si="34"/>
        <v>B</v>
      </c>
      <c r="AX23" s="1220">
        <f t="shared" si="16"/>
        <v>88.01</v>
      </c>
      <c r="AY23" s="1221">
        <f t="shared" si="16"/>
        <v>88.02</v>
      </c>
      <c r="AZ23" s="1221">
        <f t="shared" si="16"/>
        <v>88.03</v>
      </c>
      <c r="BA23" s="1221">
        <f t="shared" si="16"/>
        <v>88.04</v>
      </c>
      <c r="BB23" s="1221" t="str">
        <f t="shared" si="16"/>
        <v/>
      </c>
      <c r="BC23" s="1221" t="str">
        <f t="shared" si="16"/>
        <v/>
      </c>
      <c r="BD23" s="1221" t="str">
        <f t="shared" si="16"/>
        <v/>
      </c>
      <c r="BE23" s="1222" t="str">
        <f t="shared" si="16"/>
        <v/>
      </c>
      <c r="BF23" s="1221" t="str">
        <f t="shared" si="16"/>
        <v/>
      </c>
      <c r="BG23" s="1223" t="str">
        <f t="shared" si="16"/>
        <v/>
      </c>
      <c r="BH23" s="286">
        <f t="shared" si="35"/>
        <v>88.04</v>
      </c>
      <c r="BI23" s="286">
        <f t="shared" si="36"/>
        <v>88.01</v>
      </c>
      <c r="BJ23" s="287" t="str">
        <f t="shared" si="37"/>
        <v>baik</v>
      </c>
      <c r="BK23" s="287" t="str">
        <f t="shared" si="37"/>
        <v>baik</v>
      </c>
      <c r="BL23" s="286">
        <f t="shared" si="38"/>
        <v>4</v>
      </c>
      <c r="BM23" s="288">
        <f t="shared" si="39"/>
        <v>1</v>
      </c>
      <c r="BN23" s="289" t="str">
        <f t="shared" si="40"/>
        <v>Memiliki keterampilan baik dalam KD keterampilan 4 Ekonomi dan Melakukan percobaan getaran harmonis pada ayunan sederhana</v>
      </c>
      <c r="BO23" s="67"/>
    </row>
    <row r="24" spans="1:67" ht="33" customHeight="1">
      <c r="A24" s="67"/>
      <c r="B24" s="272">
        <f t="shared" si="23"/>
        <v>11</v>
      </c>
      <c r="C24" s="273">
        <f>IF(Data!F15="","",Data!F15)</f>
        <v>0</v>
      </c>
      <c r="D24" s="274" t="str">
        <f>IF(Data!H15="","",Data!H15)</f>
        <v>Dorkas Meliana Talita Kesnay</v>
      </c>
      <c r="E24" s="275" t="str">
        <f>IF(Data!I15="","",Data!I15)</f>
        <v>P</v>
      </c>
      <c r="F24" s="276"/>
      <c r="G24" s="276">
        <v>77</v>
      </c>
      <c r="H24" s="277">
        <v>78</v>
      </c>
      <c r="I24" s="277">
        <v>79</v>
      </c>
      <c r="J24" s="277">
        <v>77</v>
      </c>
      <c r="K24" s="277">
        <v>78</v>
      </c>
      <c r="L24" s="277"/>
      <c r="M24" s="280"/>
      <c r="N24" s="277"/>
      <c r="O24" s="278"/>
      <c r="P24" s="279">
        <f t="shared" si="24"/>
        <v>78</v>
      </c>
      <c r="Q24" s="277">
        <v>85</v>
      </c>
      <c r="R24" s="280">
        <v>87</v>
      </c>
      <c r="S24" s="281">
        <f t="shared" si="25"/>
        <v>82</v>
      </c>
      <c r="T24" s="295" t="str">
        <f t="shared" si="26"/>
        <v>C</v>
      </c>
      <c r="U24" s="1215" t="str">
        <f t="shared" si="7"/>
        <v/>
      </c>
      <c r="V24" s="1216">
        <f t="shared" si="7"/>
        <v>77.02</v>
      </c>
      <c r="W24" s="1216">
        <f t="shared" si="7"/>
        <v>78.03</v>
      </c>
      <c r="X24" s="1216">
        <f t="shared" si="7"/>
        <v>79.040000000000006</v>
      </c>
      <c r="Y24" s="1216">
        <f t="shared" si="7"/>
        <v>77.05</v>
      </c>
      <c r="Z24" s="1216">
        <f t="shared" si="7"/>
        <v>78.06</v>
      </c>
      <c r="AA24" s="1216" t="str">
        <f t="shared" si="7"/>
        <v/>
      </c>
      <c r="AB24" s="1217" t="str">
        <f t="shared" si="7"/>
        <v/>
      </c>
      <c r="AC24" s="1216" t="str">
        <f t="shared" si="7"/>
        <v/>
      </c>
      <c r="AD24" s="1218" t="str">
        <f t="shared" si="7"/>
        <v/>
      </c>
      <c r="AE24" s="1219">
        <f t="shared" si="27"/>
        <v>79.040000000000006</v>
      </c>
      <c r="AF24" s="282">
        <f t="shared" si="28"/>
        <v>77.02</v>
      </c>
      <c r="AG24" s="282" t="str">
        <f t="shared" si="29"/>
        <v>cukup</v>
      </c>
      <c r="AH24" s="282" t="str">
        <f t="shared" si="10"/>
        <v>cukup</v>
      </c>
      <c r="AI24" s="282">
        <f t="shared" si="30"/>
        <v>4</v>
      </c>
      <c r="AJ24" s="283">
        <f t="shared" si="31"/>
        <v>2</v>
      </c>
      <c r="AK24" s="284" t="str">
        <f t="shared" si="32"/>
        <v>Memiliki kemampuan cukup dalam Menganalisis konsep energi, usaha dan perubahan energi dan Menganalisis interaksi hubungan antar gaya</v>
      </c>
      <c r="AL24" s="276">
        <v>88</v>
      </c>
      <c r="AM24" s="277">
        <v>88</v>
      </c>
      <c r="AN24" s="277">
        <v>88</v>
      </c>
      <c r="AO24" s="277">
        <v>88</v>
      </c>
      <c r="AP24" s="277"/>
      <c r="AQ24" s="277"/>
      <c r="AR24" s="277"/>
      <c r="AS24" s="280"/>
      <c r="AT24" s="277"/>
      <c r="AU24" s="278"/>
      <c r="AV24" s="285">
        <f t="shared" si="33"/>
        <v>88</v>
      </c>
      <c r="AW24" s="296" t="str">
        <f t="shared" si="34"/>
        <v>B</v>
      </c>
      <c r="AX24" s="1220">
        <f t="shared" si="16"/>
        <v>88.01</v>
      </c>
      <c r="AY24" s="1221">
        <f t="shared" si="16"/>
        <v>88.02</v>
      </c>
      <c r="AZ24" s="1221">
        <f t="shared" si="16"/>
        <v>88.03</v>
      </c>
      <c r="BA24" s="1221">
        <f t="shared" si="16"/>
        <v>88.04</v>
      </c>
      <c r="BB24" s="1221" t="str">
        <f t="shared" si="16"/>
        <v/>
      </c>
      <c r="BC24" s="1221" t="str">
        <f t="shared" si="16"/>
        <v/>
      </c>
      <c r="BD24" s="1221" t="str">
        <f t="shared" si="16"/>
        <v/>
      </c>
      <c r="BE24" s="1222" t="str">
        <f t="shared" si="16"/>
        <v/>
      </c>
      <c r="BF24" s="1221" t="str">
        <f t="shared" si="16"/>
        <v/>
      </c>
      <c r="BG24" s="1223" t="str">
        <f t="shared" si="16"/>
        <v/>
      </c>
      <c r="BH24" s="286">
        <f t="shared" si="35"/>
        <v>88.04</v>
      </c>
      <c r="BI24" s="286">
        <f t="shared" si="36"/>
        <v>88.01</v>
      </c>
      <c r="BJ24" s="287" t="str">
        <f t="shared" si="37"/>
        <v>baik</v>
      </c>
      <c r="BK24" s="287" t="str">
        <f t="shared" si="37"/>
        <v>baik</v>
      </c>
      <c r="BL24" s="286">
        <f t="shared" si="38"/>
        <v>4</v>
      </c>
      <c r="BM24" s="288">
        <f t="shared" si="39"/>
        <v>1</v>
      </c>
      <c r="BN24" s="289" t="str">
        <f t="shared" si="40"/>
        <v>Memiliki keterampilan baik dalam KD keterampilan 4 Ekonomi dan Melakukan percobaan getaran harmonis pada ayunan sederhana</v>
      </c>
      <c r="BO24" s="67"/>
    </row>
    <row r="25" spans="1:67" ht="33" customHeight="1">
      <c r="A25" s="67"/>
      <c r="B25" s="272">
        <f t="shared" si="23"/>
        <v>12</v>
      </c>
      <c r="C25" s="273">
        <f>IF(Data!F16="","",Data!F16)</f>
        <v>0</v>
      </c>
      <c r="D25" s="274" t="str">
        <f>IF(Data!H16="","",Data!H16)</f>
        <v>Erto Seprianto Leukune</v>
      </c>
      <c r="E25" s="275" t="str">
        <f>IF(Data!I16="","",Data!I16)</f>
        <v>L</v>
      </c>
      <c r="F25" s="276"/>
      <c r="G25" s="276">
        <v>77</v>
      </c>
      <c r="H25" s="277">
        <v>78</v>
      </c>
      <c r="I25" s="277">
        <v>79</v>
      </c>
      <c r="J25" s="277">
        <v>77</v>
      </c>
      <c r="K25" s="277">
        <v>78</v>
      </c>
      <c r="L25" s="277"/>
      <c r="M25" s="280"/>
      <c r="N25" s="277"/>
      <c r="O25" s="278"/>
      <c r="P25" s="279">
        <f t="shared" si="24"/>
        <v>78</v>
      </c>
      <c r="Q25" s="277">
        <v>77</v>
      </c>
      <c r="R25" s="280">
        <v>79</v>
      </c>
      <c r="S25" s="281">
        <f t="shared" si="25"/>
        <v>78</v>
      </c>
      <c r="T25" s="295" t="str">
        <f t="shared" si="26"/>
        <v>C</v>
      </c>
      <c r="U25" s="1215" t="str">
        <f t="shared" si="7"/>
        <v/>
      </c>
      <c r="V25" s="1216">
        <f t="shared" si="7"/>
        <v>77.02</v>
      </c>
      <c r="W25" s="1216">
        <f t="shared" si="7"/>
        <v>78.03</v>
      </c>
      <c r="X25" s="1216">
        <f t="shared" si="7"/>
        <v>79.040000000000006</v>
      </c>
      <c r="Y25" s="1216">
        <f t="shared" si="7"/>
        <v>77.05</v>
      </c>
      <c r="Z25" s="1216">
        <f t="shared" si="7"/>
        <v>78.06</v>
      </c>
      <c r="AA25" s="1216" t="str">
        <f t="shared" si="7"/>
        <v/>
      </c>
      <c r="AB25" s="1217" t="str">
        <f t="shared" si="7"/>
        <v/>
      </c>
      <c r="AC25" s="1216" t="str">
        <f t="shared" si="7"/>
        <v/>
      </c>
      <c r="AD25" s="1218" t="str">
        <f t="shared" si="7"/>
        <v/>
      </c>
      <c r="AE25" s="1219">
        <f t="shared" si="27"/>
        <v>79.040000000000006</v>
      </c>
      <c r="AF25" s="282">
        <f t="shared" si="28"/>
        <v>77.02</v>
      </c>
      <c r="AG25" s="282" t="str">
        <f t="shared" si="29"/>
        <v>cukup</v>
      </c>
      <c r="AH25" s="282" t="str">
        <f t="shared" si="10"/>
        <v>cukup</v>
      </c>
      <c r="AI25" s="282">
        <f t="shared" si="30"/>
        <v>4</v>
      </c>
      <c r="AJ25" s="283">
        <f t="shared" si="31"/>
        <v>2</v>
      </c>
      <c r="AK25" s="284" t="str">
        <f t="shared" si="32"/>
        <v>Memiliki kemampuan cukup dalam Menganalisis konsep energi, usaha dan perubahan energi dan Menganalisis interaksi hubungan antar gaya</v>
      </c>
      <c r="AL25" s="276">
        <v>88</v>
      </c>
      <c r="AM25" s="277">
        <v>88</v>
      </c>
      <c r="AN25" s="277">
        <v>88</v>
      </c>
      <c r="AO25" s="277">
        <v>88</v>
      </c>
      <c r="AP25" s="277"/>
      <c r="AQ25" s="277"/>
      <c r="AR25" s="277"/>
      <c r="AS25" s="280"/>
      <c r="AT25" s="277"/>
      <c r="AU25" s="278"/>
      <c r="AV25" s="285">
        <f t="shared" si="33"/>
        <v>88</v>
      </c>
      <c r="AW25" s="296" t="str">
        <f t="shared" si="34"/>
        <v>B</v>
      </c>
      <c r="AX25" s="1220">
        <f t="shared" si="16"/>
        <v>88.01</v>
      </c>
      <c r="AY25" s="1221">
        <f t="shared" si="16"/>
        <v>88.02</v>
      </c>
      <c r="AZ25" s="1221">
        <f t="shared" si="16"/>
        <v>88.03</v>
      </c>
      <c r="BA25" s="1221">
        <f t="shared" si="16"/>
        <v>88.04</v>
      </c>
      <c r="BB25" s="1221" t="str">
        <f t="shared" si="16"/>
        <v/>
      </c>
      <c r="BC25" s="1221" t="str">
        <f t="shared" si="16"/>
        <v/>
      </c>
      <c r="BD25" s="1221" t="str">
        <f t="shared" si="16"/>
        <v/>
      </c>
      <c r="BE25" s="1222" t="str">
        <f t="shared" si="16"/>
        <v/>
      </c>
      <c r="BF25" s="1221" t="str">
        <f t="shared" si="16"/>
        <v/>
      </c>
      <c r="BG25" s="1223" t="str">
        <f t="shared" si="16"/>
        <v/>
      </c>
      <c r="BH25" s="286">
        <f t="shared" si="35"/>
        <v>88.04</v>
      </c>
      <c r="BI25" s="286">
        <f t="shared" si="36"/>
        <v>88.01</v>
      </c>
      <c r="BJ25" s="287" t="str">
        <f t="shared" si="37"/>
        <v>baik</v>
      </c>
      <c r="BK25" s="287" t="str">
        <f t="shared" si="37"/>
        <v>baik</v>
      </c>
      <c r="BL25" s="286">
        <f t="shared" si="38"/>
        <v>4</v>
      </c>
      <c r="BM25" s="288">
        <f t="shared" si="39"/>
        <v>1</v>
      </c>
      <c r="BN25" s="289" t="str">
        <f t="shared" si="40"/>
        <v>Memiliki keterampilan baik dalam KD keterampilan 4 Ekonomi dan Melakukan percobaan getaran harmonis pada ayunan sederhana</v>
      </c>
      <c r="BO25" s="67"/>
    </row>
    <row r="26" spans="1:67" ht="33" customHeight="1">
      <c r="A26" s="67"/>
      <c r="B26" s="272">
        <f t="shared" si="23"/>
        <v>13</v>
      </c>
      <c r="C26" s="273">
        <f>IF(Data!F17="","",Data!F17)</f>
        <v>0</v>
      </c>
      <c r="D26" s="274" t="str">
        <f>IF(Data!H17="","",Data!H17)</f>
        <v>Feli Tipnoni</v>
      </c>
      <c r="E26" s="275" t="str">
        <f>IF(Data!I17="","",Data!I17)</f>
        <v>P</v>
      </c>
      <c r="F26" s="276"/>
      <c r="G26" s="276">
        <v>77</v>
      </c>
      <c r="H26" s="277">
        <v>78</v>
      </c>
      <c r="I26" s="277">
        <v>79</v>
      </c>
      <c r="J26" s="277">
        <v>77</v>
      </c>
      <c r="K26" s="277">
        <v>78</v>
      </c>
      <c r="L26" s="277"/>
      <c r="M26" s="280"/>
      <c r="N26" s="277"/>
      <c r="O26" s="278"/>
      <c r="P26" s="279">
        <f t="shared" si="24"/>
        <v>78</v>
      </c>
      <c r="Q26" s="277">
        <v>80</v>
      </c>
      <c r="R26" s="280">
        <v>79</v>
      </c>
      <c r="S26" s="281">
        <f t="shared" si="25"/>
        <v>79</v>
      </c>
      <c r="T26" s="295" t="str">
        <f t="shared" si="26"/>
        <v>C</v>
      </c>
      <c r="U26" s="1215" t="str">
        <f t="shared" si="7"/>
        <v/>
      </c>
      <c r="V26" s="1216">
        <f t="shared" si="7"/>
        <v>77.02</v>
      </c>
      <c r="W26" s="1216">
        <f t="shared" si="7"/>
        <v>78.03</v>
      </c>
      <c r="X26" s="1216">
        <f t="shared" si="7"/>
        <v>79.040000000000006</v>
      </c>
      <c r="Y26" s="1216">
        <f t="shared" si="7"/>
        <v>77.05</v>
      </c>
      <c r="Z26" s="1216">
        <f t="shared" si="7"/>
        <v>78.06</v>
      </c>
      <c r="AA26" s="1216" t="str">
        <f t="shared" si="7"/>
        <v/>
      </c>
      <c r="AB26" s="1217" t="str">
        <f t="shared" si="7"/>
        <v/>
      </c>
      <c r="AC26" s="1216" t="str">
        <f t="shared" si="7"/>
        <v/>
      </c>
      <c r="AD26" s="1218" t="str">
        <f t="shared" si="7"/>
        <v/>
      </c>
      <c r="AE26" s="1219">
        <f t="shared" si="27"/>
        <v>79.040000000000006</v>
      </c>
      <c r="AF26" s="282">
        <f t="shared" si="28"/>
        <v>77.02</v>
      </c>
      <c r="AG26" s="282" t="str">
        <f t="shared" si="29"/>
        <v>cukup</v>
      </c>
      <c r="AH26" s="282" t="str">
        <f t="shared" si="10"/>
        <v>cukup</v>
      </c>
      <c r="AI26" s="282">
        <f t="shared" si="30"/>
        <v>4</v>
      </c>
      <c r="AJ26" s="283">
        <f t="shared" si="31"/>
        <v>2</v>
      </c>
      <c r="AK26" s="284" t="str">
        <f t="shared" si="32"/>
        <v>Memiliki kemampuan cukup dalam Menganalisis konsep energi, usaha dan perubahan energi dan Menganalisis interaksi hubungan antar gaya</v>
      </c>
      <c r="AL26" s="276">
        <v>88</v>
      </c>
      <c r="AM26" s="277">
        <v>88</v>
      </c>
      <c r="AN26" s="277">
        <v>88</v>
      </c>
      <c r="AO26" s="277">
        <v>88</v>
      </c>
      <c r="AP26" s="277"/>
      <c r="AQ26" s="277"/>
      <c r="AR26" s="277"/>
      <c r="AS26" s="280"/>
      <c r="AT26" s="277"/>
      <c r="AU26" s="278"/>
      <c r="AV26" s="285">
        <f t="shared" si="33"/>
        <v>88</v>
      </c>
      <c r="AW26" s="296" t="str">
        <f t="shared" si="34"/>
        <v>B</v>
      </c>
      <c r="AX26" s="1220">
        <f t="shared" si="16"/>
        <v>88.01</v>
      </c>
      <c r="AY26" s="1221">
        <f t="shared" si="16"/>
        <v>88.02</v>
      </c>
      <c r="AZ26" s="1221">
        <f t="shared" si="16"/>
        <v>88.03</v>
      </c>
      <c r="BA26" s="1221">
        <f t="shared" si="16"/>
        <v>88.04</v>
      </c>
      <c r="BB26" s="1221" t="str">
        <f t="shared" si="16"/>
        <v/>
      </c>
      <c r="BC26" s="1221" t="str">
        <f t="shared" si="16"/>
        <v/>
      </c>
      <c r="BD26" s="1221" t="str">
        <f t="shared" si="16"/>
        <v/>
      </c>
      <c r="BE26" s="1222" t="str">
        <f t="shared" si="16"/>
        <v/>
      </c>
      <c r="BF26" s="1221" t="str">
        <f t="shared" si="16"/>
        <v/>
      </c>
      <c r="BG26" s="1223" t="str">
        <f t="shared" si="16"/>
        <v/>
      </c>
      <c r="BH26" s="286">
        <f t="shared" si="35"/>
        <v>88.04</v>
      </c>
      <c r="BI26" s="286">
        <f t="shared" si="36"/>
        <v>88.01</v>
      </c>
      <c r="BJ26" s="287" t="str">
        <f t="shared" si="37"/>
        <v>baik</v>
      </c>
      <c r="BK26" s="287" t="str">
        <f t="shared" si="37"/>
        <v>baik</v>
      </c>
      <c r="BL26" s="286">
        <f t="shared" si="38"/>
        <v>4</v>
      </c>
      <c r="BM26" s="288">
        <f t="shared" si="39"/>
        <v>1</v>
      </c>
      <c r="BN26" s="289" t="str">
        <f t="shared" si="40"/>
        <v>Memiliki keterampilan baik dalam KD keterampilan 4 Ekonomi dan Melakukan percobaan getaran harmonis pada ayunan sederhana</v>
      </c>
      <c r="BO26" s="67"/>
    </row>
    <row r="27" spans="1:67" ht="33" customHeight="1">
      <c r="A27" s="67"/>
      <c r="B27" s="272">
        <f t="shared" si="23"/>
        <v>14</v>
      </c>
      <c r="C27" s="273">
        <f>IF(Data!F18="","",Data!F18)</f>
        <v>0</v>
      </c>
      <c r="D27" s="274" t="str">
        <f>IF(Data!H18="","",Data!H18)</f>
        <v xml:space="preserve">Ferdinandes Sakbana </v>
      </c>
      <c r="E27" s="275" t="str">
        <f>IF(Data!I18="","",Data!I18)</f>
        <v>L</v>
      </c>
      <c r="F27" s="276"/>
      <c r="G27" s="276">
        <v>76</v>
      </c>
      <c r="H27" s="277">
        <v>77</v>
      </c>
      <c r="I27" s="277">
        <v>76</v>
      </c>
      <c r="J27" s="277">
        <v>77</v>
      </c>
      <c r="K27" s="277">
        <v>76</v>
      </c>
      <c r="L27" s="277"/>
      <c r="M27" s="280"/>
      <c r="N27" s="277"/>
      <c r="O27" s="278"/>
      <c r="P27" s="279">
        <f t="shared" si="24"/>
        <v>76</v>
      </c>
      <c r="Q27" s="277">
        <v>84</v>
      </c>
      <c r="R27" s="280">
        <v>84</v>
      </c>
      <c r="S27" s="281">
        <f t="shared" si="25"/>
        <v>80</v>
      </c>
      <c r="T27" s="295" t="str">
        <f t="shared" si="26"/>
        <v>C</v>
      </c>
      <c r="U27" s="1215" t="str">
        <f t="shared" si="7"/>
        <v/>
      </c>
      <c r="V27" s="1216">
        <f t="shared" si="7"/>
        <v>76.02</v>
      </c>
      <c r="W27" s="1216">
        <f t="shared" si="7"/>
        <v>77.03</v>
      </c>
      <c r="X27" s="1216">
        <f t="shared" si="7"/>
        <v>76.040000000000006</v>
      </c>
      <c r="Y27" s="1216">
        <f t="shared" si="7"/>
        <v>77.05</v>
      </c>
      <c r="Z27" s="1216">
        <f t="shared" si="7"/>
        <v>76.06</v>
      </c>
      <c r="AA27" s="1216" t="str">
        <f t="shared" si="7"/>
        <v/>
      </c>
      <c r="AB27" s="1217" t="str">
        <f t="shared" si="7"/>
        <v/>
      </c>
      <c r="AC27" s="1216" t="str">
        <f t="shared" si="7"/>
        <v/>
      </c>
      <c r="AD27" s="1218" t="str">
        <f t="shared" si="7"/>
        <v/>
      </c>
      <c r="AE27" s="1219">
        <f t="shared" si="27"/>
        <v>77.05</v>
      </c>
      <c r="AF27" s="282">
        <f t="shared" si="28"/>
        <v>76.02</v>
      </c>
      <c r="AG27" s="282" t="str">
        <f t="shared" si="29"/>
        <v>cukup</v>
      </c>
      <c r="AH27" s="282" t="str">
        <f t="shared" si="10"/>
        <v>cukup</v>
      </c>
      <c r="AI27" s="282">
        <f t="shared" si="30"/>
        <v>5</v>
      </c>
      <c r="AJ27" s="283">
        <f t="shared" si="31"/>
        <v>2</v>
      </c>
      <c r="AK27" s="284" t="str">
        <f t="shared" si="32"/>
        <v>Memiliki kemampuan cukup dalam Menganalisi hubungan antara gaya dan getaran dan Menganalisis interaksi hubungan antar gaya</v>
      </c>
      <c r="AL27" s="276">
        <v>88</v>
      </c>
      <c r="AM27" s="277">
        <v>88</v>
      </c>
      <c r="AN27" s="277">
        <v>88</v>
      </c>
      <c r="AO27" s="277">
        <v>88</v>
      </c>
      <c r="AP27" s="277"/>
      <c r="AQ27" s="277"/>
      <c r="AR27" s="277"/>
      <c r="AS27" s="280"/>
      <c r="AT27" s="277"/>
      <c r="AU27" s="278"/>
      <c r="AV27" s="285">
        <f t="shared" si="33"/>
        <v>88</v>
      </c>
      <c r="AW27" s="296" t="str">
        <f t="shared" si="34"/>
        <v>B</v>
      </c>
      <c r="AX27" s="1220">
        <f t="shared" si="16"/>
        <v>88.01</v>
      </c>
      <c r="AY27" s="1221">
        <f t="shared" si="16"/>
        <v>88.02</v>
      </c>
      <c r="AZ27" s="1221">
        <f t="shared" si="16"/>
        <v>88.03</v>
      </c>
      <c r="BA27" s="1221">
        <f t="shared" si="16"/>
        <v>88.04</v>
      </c>
      <c r="BB27" s="1221" t="str">
        <f t="shared" si="16"/>
        <v/>
      </c>
      <c r="BC27" s="1221" t="str">
        <f t="shared" si="16"/>
        <v/>
      </c>
      <c r="BD27" s="1221" t="str">
        <f t="shared" si="16"/>
        <v/>
      </c>
      <c r="BE27" s="1222" t="str">
        <f t="shared" si="16"/>
        <v/>
      </c>
      <c r="BF27" s="1221" t="str">
        <f t="shared" si="16"/>
        <v/>
      </c>
      <c r="BG27" s="1223" t="str">
        <f t="shared" si="16"/>
        <v/>
      </c>
      <c r="BH27" s="286">
        <f t="shared" si="35"/>
        <v>88.04</v>
      </c>
      <c r="BI27" s="286">
        <f t="shared" si="36"/>
        <v>88.01</v>
      </c>
      <c r="BJ27" s="287" t="str">
        <f t="shared" si="37"/>
        <v>baik</v>
      </c>
      <c r="BK27" s="287" t="str">
        <f t="shared" si="37"/>
        <v>baik</v>
      </c>
      <c r="BL27" s="286">
        <f t="shared" si="38"/>
        <v>4</v>
      </c>
      <c r="BM27" s="288">
        <f t="shared" si="39"/>
        <v>1</v>
      </c>
      <c r="BN27" s="289" t="str">
        <f t="shared" si="40"/>
        <v>Memiliki keterampilan baik dalam KD keterampilan 4 Ekonomi dan Melakukan percobaan getaran harmonis pada ayunan sederhana</v>
      </c>
      <c r="BO27" s="67"/>
    </row>
    <row r="28" spans="1:67" ht="33" customHeight="1">
      <c r="A28" s="67"/>
      <c r="B28" s="272">
        <f t="shared" si="23"/>
        <v>15</v>
      </c>
      <c r="C28" s="273">
        <f>IF(Data!F19="","",Data!F19)</f>
        <v>0</v>
      </c>
      <c r="D28" s="274" t="str">
        <f>IF(Data!H19="","",Data!H19)</f>
        <v>Fitri Novani Nitbani</v>
      </c>
      <c r="E28" s="275" t="str">
        <f>IF(Data!I19="","",Data!I19)</f>
        <v>P</v>
      </c>
      <c r="F28" s="276"/>
      <c r="G28" s="276">
        <v>77</v>
      </c>
      <c r="H28" s="277">
        <v>78</v>
      </c>
      <c r="I28" s="277">
        <v>79</v>
      </c>
      <c r="J28" s="277">
        <v>77</v>
      </c>
      <c r="K28" s="277">
        <v>78</v>
      </c>
      <c r="L28" s="277"/>
      <c r="M28" s="280"/>
      <c r="N28" s="277"/>
      <c r="O28" s="278"/>
      <c r="P28" s="279">
        <f t="shared" si="24"/>
        <v>78</v>
      </c>
      <c r="Q28" s="277">
        <v>85</v>
      </c>
      <c r="R28" s="280">
        <v>87</v>
      </c>
      <c r="S28" s="281">
        <f t="shared" si="25"/>
        <v>82</v>
      </c>
      <c r="T28" s="295" t="str">
        <f t="shared" si="26"/>
        <v>C</v>
      </c>
      <c r="U28" s="1215" t="str">
        <f t="shared" si="7"/>
        <v/>
      </c>
      <c r="V28" s="1216">
        <f t="shared" si="7"/>
        <v>77.02</v>
      </c>
      <c r="W28" s="1216">
        <f t="shared" si="7"/>
        <v>78.03</v>
      </c>
      <c r="X28" s="1216">
        <f t="shared" si="7"/>
        <v>79.040000000000006</v>
      </c>
      <c r="Y28" s="1216">
        <f t="shared" si="7"/>
        <v>77.05</v>
      </c>
      <c r="Z28" s="1216">
        <f t="shared" si="7"/>
        <v>78.06</v>
      </c>
      <c r="AA28" s="1216" t="str">
        <f t="shared" si="7"/>
        <v/>
      </c>
      <c r="AB28" s="1217" t="str">
        <f t="shared" si="7"/>
        <v/>
      </c>
      <c r="AC28" s="1216" t="str">
        <f t="shared" si="7"/>
        <v/>
      </c>
      <c r="AD28" s="1218" t="str">
        <f t="shared" si="7"/>
        <v/>
      </c>
      <c r="AE28" s="1219">
        <f t="shared" si="27"/>
        <v>79.040000000000006</v>
      </c>
      <c r="AF28" s="282">
        <f t="shared" si="28"/>
        <v>77.02</v>
      </c>
      <c r="AG28" s="282" t="str">
        <f t="shared" si="29"/>
        <v>cukup</v>
      </c>
      <c r="AH28" s="282" t="str">
        <f t="shared" si="10"/>
        <v>cukup</v>
      </c>
      <c r="AI28" s="282">
        <f t="shared" si="30"/>
        <v>4</v>
      </c>
      <c r="AJ28" s="283">
        <f t="shared" si="31"/>
        <v>2</v>
      </c>
      <c r="AK28" s="284" t="str">
        <f t="shared" si="32"/>
        <v>Memiliki kemampuan cukup dalam Menganalisis konsep energi, usaha dan perubahan energi dan Menganalisis interaksi hubungan antar gaya</v>
      </c>
      <c r="AL28" s="276">
        <v>88</v>
      </c>
      <c r="AM28" s="277">
        <v>88</v>
      </c>
      <c r="AN28" s="277">
        <v>88</v>
      </c>
      <c r="AO28" s="277">
        <v>88</v>
      </c>
      <c r="AP28" s="277"/>
      <c r="AQ28" s="277"/>
      <c r="AR28" s="277"/>
      <c r="AS28" s="280"/>
      <c r="AT28" s="277"/>
      <c r="AU28" s="278"/>
      <c r="AV28" s="285">
        <f t="shared" si="33"/>
        <v>88</v>
      </c>
      <c r="AW28" s="296" t="str">
        <f t="shared" si="34"/>
        <v>B</v>
      </c>
      <c r="AX28" s="1220">
        <f t="shared" si="16"/>
        <v>88.01</v>
      </c>
      <c r="AY28" s="1221">
        <f t="shared" si="16"/>
        <v>88.02</v>
      </c>
      <c r="AZ28" s="1221">
        <f t="shared" si="16"/>
        <v>88.03</v>
      </c>
      <c r="BA28" s="1221">
        <f t="shared" si="16"/>
        <v>88.04</v>
      </c>
      <c r="BB28" s="1221" t="str">
        <f t="shared" si="16"/>
        <v/>
      </c>
      <c r="BC28" s="1221" t="str">
        <f t="shared" si="16"/>
        <v/>
      </c>
      <c r="BD28" s="1221" t="str">
        <f t="shared" si="16"/>
        <v/>
      </c>
      <c r="BE28" s="1222" t="str">
        <f t="shared" si="16"/>
        <v/>
      </c>
      <c r="BF28" s="1221" t="str">
        <f t="shared" si="16"/>
        <v/>
      </c>
      <c r="BG28" s="1223" t="str">
        <f t="shared" si="16"/>
        <v/>
      </c>
      <c r="BH28" s="286">
        <f t="shared" si="35"/>
        <v>88.04</v>
      </c>
      <c r="BI28" s="286">
        <f t="shared" si="36"/>
        <v>88.01</v>
      </c>
      <c r="BJ28" s="287" t="str">
        <f t="shared" si="37"/>
        <v>baik</v>
      </c>
      <c r="BK28" s="287" t="str">
        <f t="shared" si="37"/>
        <v>baik</v>
      </c>
      <c r="BL28" s="286">
        <f t="shared" si="38"/>
        <v>4</v>
      </c>
      <c r="BM28" s="288">
        <f t="shared" si="39"/>
        <v>1</v>
      </c>
      <c r="BN28" s="289" t="str">
        <f t="shared" si="40"/>
        <v>Memiliki keterampilan baik dalam KD keterampilan 4 Ekonomi dan Melakukan percobaan getaran harmonis pada ayunan sederhana</v>
      </c>
      <c r="BO28" s="67"/>
    </row>
    <row r="29" spans="1:67" ht="33" customHeight="1">
      <c r="A29" s="67"/>
      <c r="B29" s="272">
        <f t="shared" si="23"/>
        <v>16</v>
      </c>
      <c r="C29" s="273">
        <f>IF(Data!F20="","",Data!F20)</f>
        <v>0</v>
      </c>
      <c r="D29" s="274" t="str">
        <f>IF(Data!H20="","",Data!H20)</f>
        <v>Helsina Benu</v>
      </c>
      <c r="E29" s="275" t="str">
        <f>IF(Data!I20="","",Data!I20)</f>
        <v>P</v>
      </c>
      <c r="F29" s="276"/>
      <c r="G29" s="276">
        <v>77</v>
      </c>
      <c r="H29" s="277">
        <v>78</v>
      </c>
      <c r="I29" s="277">
        <v>79</v>
      </c>
      <c r="J29" s="277">
        <v>77</v>
      </c>
      <c r="K29" s="277">
        <v>78</v>
      </c>
      <c r="L29" s="277"/>
      <c r="M29" s="280"/>
      <c r="N29" s="277"/>
      <c r="O29" s="278"/>
      <c r="P29" s="279">
        <f t="shared" si="24"/>
        <v>78</v>
      </c>
      <c r="Q29" s="277">
        <v>85</v>
      </c>
      <c r="R29" s="280">
        <v>87</v>
      </c>
      <c r="S29" s="281">
        <f t="shared" si="25"/>
        <v>82</v>
      </c>
      <c r="T29" s="295" t="str">
        <f t="shared" si="26"/>
        <v>C</v>
      </c>
      <c r="U29" s="1215" t="str">
        <f t="shared" si="7"/>
        <v/>
      </c>
      <c r="V29" s="1216">
        <f t="shared" si="7"/>
        <v>77.02</v>
      </c>
      <c r="W29" s="1216">
        <f t="shared" si="7"/>
        <v>78.03</v>
      </c>
      <c r="X29" s="1216">
        <f t="shared" si="7"/>
        <v>79.040000000000006</v>
      </c>
      <c r="Y29" s="1216">
        <f t="shared" si="7"/>
        <v>77.05</v>
      </c>
      <c r="Z29" s="1216">
        <f t="shared" si="7"/>
        <v>78.06</v>
      </c>
      <c r="AA29" s="1216" t="str">
        <f t="shared" si="7"/>
        <v/>
      </c>
      <c r="AB29" s="1217" t="str">
        <f t="shared" si="7"/>
        <v/>
      </c>
      <c r="AC29" s="1216" t="str">
        <f t="shared" si="7"/>
        <v/>
      </c>
      <c r="AD29" s="1218" t="str">
        <f t="shared" si="7"/>
        <v/>
      </c>
      <c r="AE29" s="1219">
        <f t="shared" si="27"/>
        <v>79.040000000000006</v>
      </c>
      <c r="AF29" s="282">
        <f t="shared" si="28"/>
        <v>77.02</v>
      </c>
      <c r="AG29" s="282" t="str">
        <f t="shared" si="29"/>
        <v>cukup</v>
      </c>
      <c r="AH29" s="282" t="str">
        <f t="shared" si="10"/>
        <v>cukup</v>
      </c>
      <c r="AI29" s="282">
        <f t="shared" si="30"/>
        <v>4</v>
      </c>
      <c r="AJ29" s="283">
        <f t="shared" si="31"/>
        <v>2</v>
      </c>
      <c r="AK29" s="284" t="str">
        <f t="shared" si="32"/>
        <v>Memiliki kemampuan cukup dalam Menganalisis konsep energi, usaha dan perubahan energi dan Menganalisis interaksi hubungan antar gaya</v>
      </c>
      <c r="AL29" s="276">
        <v>88</v>
      </c>
      <c r="AM29" s="277">
        <v>88</v>
      </c>
      <c r="AN29" s="277">
        <v>88</v>
      </c>
      <c r="AO29" s="277">
        <v>88</v>
      </c>
      <c r="AP29" s="277"/>
      <c r="AQ29" s="277"/>
      <c r="AR29" s="277"/>
      <c r="AS29" s="280"/>
      <c r="AT29" s="277"/>
      <c r="AU29" s="278"/>
      <c r="AV29" s="285">
        <f t="shared" si="33"/>
        <v>88</v>
      </c>
      <c r="AW29" s="296" t="str">
        <f t="shared" si="34"/>
        <v>B</v>
      </c>
      <c r="AX29" s="1220">
        <f t="shared" si="16"/>
        <v>88.01</v>
      </c>
      <c r="AY29" s="1221">
        <f t="shared" si="16"/>
        <v>88.02</v>
      </c>
      <c r="AZ29" s="1221">
        <f t="shared" si="16"/>
        <v>88.03</v>
      </c>
      <c r="BA29" s="1221">
        <f t="shared" si="16"/>
        <v>88.04</v>
      </c>
      <c r="BB29" s="1221" t="str">
        <f t="shared" si="16"/>
        <v/>
      </c>
      <c r="BC29" s="1221" t="str">
        <f t="shared" si="16"/>
        <v/>
      </c>
      <c r="BD29" s="1221" t="str">
        <f t="shared" si="16"/>
        <v/>
      </c>
      <c r="BE29" s="1222" t="str">
        <f t="shared" si="16"/>
        <v/>
      </c>
      <c r="BF29" s="1221" t="str">
        <f t="shared" si="16"/>
        <v/>
      </c>
      <c r="BG29" s="1223" t="str">
        <f t="shared" si="16"/>
        <v/>
      </c>
      <c r="BH29" s="286">
        <f t="shared" si="35"/>
        <v>88.04</v>
      </c>
      <c r="BI29" s="286">
        <f t="shared" si="36"/>
        <v>88.01</v>
      </c>
      <c r="BJ29" s="287" t="str">
        <f t="shared" si="37"/>
        <v>baik</v>
      </c>
      <c r="BK29" s="287" t="str">
        <f t="shared" si="37"/>
        <v>baik</v>
      </c>
      <c r="BL29" s="286">
        <f t="shared" si="38"/>
        <v>4</v>
      </c>
      <c r="BM29" s="288">
        <f t="shared" si="39"/>
        <v>1</v>
      </c>
      <c r="BN29" s="289" t="str">
        <f t="shared" si="40"/>
        <v>Memiliki keterampilan baik dalam KD keterampilan 4 Ekonomi dan Melakukan percobaan getaran harmonis pada ayunan sederhana</v>
      </c>
      <c r="BO29" s="67"/>
    </row>
    <row r="30" spans="1:67" ht="33" customHeight="1">
      <c r="A30" s="67"/>
      <c r="B30" s="272">
        <f t="shared" si="23"/>
        <v>17</v>
      </c>
      <c r="C30" s="273">
        <f>IF(Data!F21="","",Data!F21)</f>
        <v>0</v>
      </c>
      <c r="D30" s="274" t="str">
        <f>IF(Data!H21="","",Data!H21)</f>
        <v xml:space="preserve">Hezron Nubatonis </v>
      </c>
      <c r="E30" s="275" t="str">
        <f>IF(Data!I21="","",Data!I21)</f>
        <v>L</v>
      </c>
      <c r="F30" s="276"/>
      <c r="G30" s="276">
        <v>76</v>
      </c>
      <c r="H30" s="277">
        <v>77</v>
      </c>
      <c r="I30" s="277">
        <v>76</v>
      </c>
      <c r="J30" s="277">
        <v>77</v>
      </c>
      <c r="K30" s="277">
        <v>76</v>
      </c>
      <c r="L30" s="277"/>
      <c r="M30" s="280"/>
      <c r="N30" s="277"/>
      <c r="O30" s="278"/>
      <c r="P30" s="279">
        <f t="shared" si="24"/>
        <v>76</v>
      </c>
      <c r="Q30" s="277">
        <v>75</v>
      </c>
      <c r="R30" s="280">
        <v>75</v>
      </c>
      <c r="S30" s="281">
        <f t="shared" si="25"/>
        <v>76</v>
      </c>
      <c r="T30" s="295" t="str">
        <f t="shared" si="26"/>
        <v>C</v>
      </c>
      <c r="U30" s="1215" t="str">
        <f t="shared" ref="U30:AD55" si="41">IF(F30="","",F30+U$13)</f>
        <v/>
      </c>
      <c r="V30" s="1216">
        <f t="shared" si="41"/>
        <v>76.02</v>
      </c>
      <c r="W30" s="1216">
        <f t="shared" si="41"/>
        <v>77.03</v>
      </c>
      <c r="X30" s="1216">
        <f t="shared" si="41"/>
        <v>76.040000000000006</v>
      </c>
      <c r="Y30" s="1216">
        <f t="shared" si="41"/>
        <v>77.05</v>
      </c>
      <c r="Z30" s="1216">
        <f t="shared" si="41"/>
        <v>76.06</v>
      </c>
      <c r="AA30" s="1216" t="str">
        <f t="shared" si="41"/>
        <v/>
      </c>
      <c r="AB30" s="1217" t="str">
        <f t="shared" si="41"/>
        <v/>
      </c>
      <c r="AC30" s="1216" t="str">
        <f t="shared" si="41"/>
        <v/>
      </c>
      <c r="AD30" s="1218" t="str">
        <f t="shared" si="41"/>
        <v/>
      </c>
      <c r="AE30" s="1219">
        <f t="shared" si="27"/>
        <v>77.05</v>
      </c>
      <c r="AF30" s="282">
        <f t="shared" si="28"/>
        <v>76.02</v>
      </c>
      <c r="AG30" s="282" t="str">
        <f t="shared" si="29"/>
        <v>cukup</v>
      </c>
      <c r="AH30" s="282" t="str">
        <f t="shared" si="29"/>
        <v>cukup</v>
      </c>
      <c r="AI30" s="282">
        <f t="shared" si="30"/>
        <v>5</v>
      </c>
      <c r="AJ30" s="283">
        <f t="shared" si="31"/>
        <v>2</v>
      </c>
      <c r="AK30" s="284" t="str">
        <f t="shared" si="32"/>
        <v>Memiliki kemampuan cukup dalam Menganalisi hubungan antara gaya dan getaran dan Menganalisis interaksi hubungan antar gaya</v>
      </c>
      <c r="AL30" s="276">
        <v>76</v>
      </c>
      <c r="AM30" s="277">
        <v>76</v>
      </c>
      <c r="AN30" s="277">
        <v>76</v>
      </c>
      <c r="AO30" s="277">
        <v>76</v>
      </c>
      <c r="AP30" s="277"/>
      <c r="AQ30" s="277"/>
      <c r="AR30" s="277"/>
      <c r="AS30" s="280"/>
      <c r="AT30" s="277"/>
      <c r="AU30" s="278"/>
      <c r="AV30" s="285">
        <f t="shared" si="33"/>
        <v>76</v>
      </c>
      <c r="AW30" s="296" t="str">
        <f t="shared" si="34"/>
        <v>C</v>
      </c>
      <c r="AX30" s="1220">
        <f t="shared" ref="AX30:BG55" si="42">IF(AL30="","",AL30+AX$12)</f>
        <v>76.010000000000005</v>
      </c>
      <c r="AY30" s="1221">
        <f t="shared" si="42"/>
        <v>76.02</v>
      </c>
      <c r="AZ30" s="1221">
        <f t="shared" si="42"/>
        <v>76.03</v>
      </c>
      <c r="BA30" s="1221">
        <f t="shared" si="42"/>
        <v>76.040000000000006</v>
      </c>
      <c r="BB30" s="1221" t="str">
        <f t="shared" si="42"/>
        <v/>
      </c>
      <c r="BC30" s="1221" t="str">
        <f t="shared" si="42"/>
        <v/>
      </c>
      <c r="BD30" s="1221" t="str">
        <f t="shared" si="42"/>
        <v/>
      </c>
      <c r="BE30" s="1222" t="str">
        <f t="shared" si="42"/>
        <v/>
      </c>
      <c r="BF30" s="1221" t="str">
        <f t="shared" si="42"/>
        <v/>
      </c>
      <c r="BG30" s="1223" t="str">
        <f t="shared" si="42"/>
        <v/>
      </c>
      <c r="BH30" s="286">
        <f t="shared" si="35"/>
        <v>76.040000000000006</v>
      </c>
      <c r="BI30" s="286">
        <f t="shared" si="36"/>
        <v>76.010000000000005</v>
      </c>
      <c r="BJ30" s="287" t="str">
        <f t="shared" si="37"/>
        <v>cukup</v>
      </c>
      <c r="BK30" s="287" t="str">
        <f t="shared" si="37"/>
        <v>cukup</v>
      </c>
      <c r="BL30" s="286">
        <f t="shared" si="38"/>
        <v>4</v>
      </c>
      <c r="BM30" s="288">
        <f t="shared" si="39"/>
        <v>1</v>
      </c>
      <c r="BN30" s="289" t="str">
        <f t="shared" si="40"/>
        <v>Memiliki keterampilan cukup dalam KD keterampilan 4 Ekonomi dan Melakukan percobaan getaran harmonis pada ayunan sederhana</v>
      </c>
      <c r="BO30" s="67"/>
    </row>
    <row r="31" spans="1:67" ht="33" customHeight="1">
      <c r="A31" s="67"/>
      <c r="B31" s="272">
        <f t="shared" si="23"/>
        <v>18</v>
      </c>
      <c r="C31" s="273">
        <f>IF(Data!F22="","",Data!F22)</f>
        <v>0</v>
      </c>
      <c r="D31" s="274" t="str">
        <f>IF(Data!H22="","",Data!H22)</f>
        <v>Jelita Anita Boimau</v>
      </c>
      <c r="E31" s="275" t="str">
        <f>IF(Data!I22="","",Data!I22)</f>
        <v>P</v>
      </c>
      <c r="F31" s="276"/>
      <c r="G31" s="276">
        <v>77</v>
      </c>
      <c r="H31" s="277">
        <v>78</v>
      </c>
      <c r="I31" s="277">
        <v>79</v>
      </c>
      <c r="J31" s="277">
        <v>77</v>
      </c>
      <c r="K31" s="277">
        <v>78</v>
      </c>
      <c r="L31" s="277"/>
      <c r="M31" s="280"/>
      <c r="N31" s="277"/>
      <c r="O31" s="278"/>
      <c r="P31" s="279">
        <f t="shared" si="24"/>
        <v>78</v>
      </c>
      <c r="Q31" s="277">
        <v>88</v>
      </c>
      <c r="R31" s="280">
        <v>79</v>
      </c>
      <c r="S31" s="281">
        <f t="shared" si="25"/>
        <v>81</v>
      </c>
      <c r="T31" s="295" t="str">
        <f t="shared" si="26"/>
        <v>C</v>
      </c>
      <c r="U31" s="1215" t="str">
        <f t="shared" si="41"/>
        <v/>
      </c>
      <c r="V31" s="1216">
        <f t="shared" si="41"/>
        <v>77.02</v>
      </c>
      <c r="W31" s="1216">
        <f t="shared" si="41"/>
        <v>78.03</v>
      </c>
      <c r="X31" s="1216">
        <f t="shared" si="41"/>
        <v>79.040000000000006</v>
      </c>
      <c r="Y31" s="1216">
        <f t="shared" si="41"/>
        <v>77.05</v>
      </c>
      <c r="Z31" s="1216">
        <f t="shared" si="41"/>
        <v>78.06</v>
      </c>
      <c r="AA31" s="1216" t="str">
        <f t="shared" si="41"/>
        <v/>
      </c>
      <c r="AB31" s="1217" t="str">
        <f t="shared" si="41"/>
        <v/>
      </c>
      <c r="AC31" s="1216" t="str">
        <f t="shared" si="41"/>
        <v/>
      </c>
      <c r="AD31" s="1218" t="str">
        <f t="shared" si="41"/>
        <v/>
      </c>
      <c r="AE31" s="1219">
        <f t="shared" si="27"/>
        <v>79.040000000000006</v>
      </c>
      <c r="AF31" s="282">
        <f t="shared" si="28"/>
        <v>77.02</v>
      </c>
      <c r="AG31" s="282" t="str">
        <f t="shared" si="29"/>
        <v>cukup</v>
      </c>
      <c r="AH31" s="282" t="str">
        <f t="shared" si="29"/>
        <v>cukup</v>
      </c>
      <c r="AI31" s="282">
        <f t="shared" si="30"/>
        <v>4</v>
      </c>
      <c r="AJ31" s="283">
        <f t="shared" si="31"/>
        <v>2</v>
      </c>
      <c r="AK31" s="284" t="str">
        <f t="shared" si="32"/>
        <v>Memiliki kemampuan cukup dalam Menganalisis konsep energi, usaha dan perubahan energi dan Menganalisis interaksi hubungan antar gaya</v>
      </c>
      <c r="AL31" s="276">
        <v>88</v>
      </c>
      <c r="AM31" s="277">
        <v>88</v>
      </c>
      <c r="AN31" s="277">
        <v>88</v>
      </c>
      <c r="AO31" s="277">
        <v>88</v>
      </c>
      <c r="AP31" s="277"/>
      <c r="AQ31" s="277"/>
      <c r="AR31" s="277"/>
      <c r="AS31" s="280"/>
      <c r="AT31" s="277"/>
      <c r="AU31" s="278"/>
      <c r="AV31" s="285">
        <f t="shared" si="33"/>
        <v>88</v>
      </c>
      <c r="AW31" s="296" t="str">
        <f t="shared" si="34"/>
        <v>B</v>
      </c>
      <c r="AX31" s="1220">
        <f t="shared" si="42"/>
        <v>88.01</v>
      </c>
      <c r="AY31" s="1221">
        <f t="shared" si="42"/>
        <v>88.02</v>
      </c>
      <c r="AZ31" s="1221">
        <f t="shared" si="42"/>
        <v>88.03</v>
      </c>
      <c r="BA31" s="1221">
        <f t="shared" si="42"/>
        <v>88.04</v>
      </c>
      <c r="BB31" s="1221" t="str">
        <f t="shared" si="42"/>
        <v/>
      </c>
      <c r="BC31" s="1221" t="str">
        <f t="shared" si="42"/>
        <v/>
      </c>
      <c r="BD31" s="1221" t="str">
        <f t="shared" si="42"/>
        <v/>
      </c>
      <c r="BE31" s="1222" t="str">
        <f t="shared" si="42"/>
        <v/>
      </c>
      <c r="BF31" s="1221" t="str">
        <f t="shared" si="42"/>
        <v/>
      </c>
      <c r="BG31" s="1223" t="str">
        <f t="shared" si="42"/>
        <v/>
      </c>
      <c r="BH31" s="286">
        <f t="shared" si="35"/>
        <v>88.04</v>
      </c>
      <c r="BI31" s="286">
        <f t="shared" si="36"/>
        <v>88.01</v>
      </c>
      <c r="BJ31" s="287" t="str">
        <f t="shared" si="37"/>
        <v>baik</v>
      </c>
      <c r="BK31" s="287" t="str">
        <f t="shared" si="37"/>
        <v>baik</v>
      </c>
      <c r="BL31" s="286">
        <f t="shared" si="38"/>
        <v>4</v>
      </c>
      <c r="BM31" s="288">
        <f t="shared" si="39"/>
        <v>1</v>
      </c>
      <c r="BN31" s="289" t="str">
        <f t="shared" si="40"/>
        <v>Memiliki keterampilan baik dalam KD keterampilan 4 Ekonomi dan Melakukan percobaan getaran harmonis pada ayunan sederhana</v>
      </c>
      <c r="BO31" s="67"/>
    </row>
    <row r="32" spans="1:67" ht="33" customHeight="1">
      <c r="A32" s="67"/>
      <c r="B32" s="272">
        <f t="shared" si="23"/>
        <v>19</v>
      </c>
      <c r="C32" s="273">
        <f>IF(Data!F23="","",Data!F23)</f>
        <v>0</v>
      </c>
      <c r="D32" s="274" t="str">
        <f>IF(Data!H23="","",Data!H23)</f>
        <v>Jidon Nubatonis</v>
      </c>
      <c r="E32" s="275" t="str">
        <f>IF(Data!I23="","",Data!I23)</f>
        <v>L</v>
      </c>
      <c r="F32" s="276"/>
      <c r="G32" s="276">
        <v>77</v>
      </c>
      <c r="H32" s="277">
        <v>78</v>
      </c>
      <c r="I32" s="277">
        <v>79</v>
      </c>
      <c r="J32" s="277">
        <v>77</v>
      </c>
      <c r="K32" s="277">
        <v>78</v>
      </c>
      <c r="L32" s="277"/>
      <c r="M32" s="280"/>
      <c r="N32" s="277"/>
      <c r="O32" s="278"/>
      <c r="P32" s="279">
        <f t="shared" si="24"/>
        <v>78</v>
      </c>
      <c r="Q32" s="277">
        <v>85</v>
      </c>
      <c r="R32" s="280">
        <v>87</v>
      </c>
      <c r="S32" s="281">
        <f t="shared" si="25"/>
        <v>82</v>
      </c>
      <c r="T32" s="295" t="str">
        <f t="shared" si="26"/>
        <v>C</v>
      </c>
      <c r="U32" s="1215" t="str">
        <f t="shared" si="41"/>
        <v/>
      </c>
      <c r="V32" s="1216">
        <f t="shared" si="41"/>
        <v>77.02</v>
      </c>
      <c r="W32" s="1216">
        <f t="shared" si="41"/>
        <v>78.03</v>
      </c>
      <c r="X32" s="1216">
        <f t="shared" si="41"/>
        <v>79.040000000000006</v>
      </c>
      <c r="Y32" s="1216">
        <f t="shared" si="41"/>
        <v>77.05</v>
      </c>
      <c r="Z32" s="1216">
        <f t="shared" si="41"/>
        <v>78.06</v>
      </c>
      <c r="AA32" s="1216" t="str">
        <f t="shared" si="41"/>
        <v/>
      </c>
      <c r="AB32" s="1217" t="str">
        <f t="shared" si="41"/>
        <v/>
      </c>
      <c r="AC32" s="1216" t="str">
        <f t="shared" si="41"/>
        <v/>
      </c>
      <c r="AD32" s="1218" t="str">
        <f t="shared" si="41"/>
        <v/>
      </c>
      <c r="AE32" s="1219">
        <f t="shared" si="27"/>
        <v>79.040000000000006</v>
      </c>
      <c r="AF32" s="282">
        <f t="shared" si="28"/>
        <v>77.02</v>
      </c>
      <c r="AG32" s="282" t="str">
        <f t="shared" si="29"/>
        <v>cukup</v>
      </c>
      <c r="AH32" s="282" t="str">
        <f t="shared" si="29"/>
        <v>cukup</v>
      </c>
      <c r="AI32" s="282">
        <f t="shared" si="30"/>
        <v>4</v>
      </c>
      <c r="AJ32" s="283">
        <f t="shared" si="31"/>
        <v>2</v>
      </c>
      <c r="AK32" s="284" t="str">
        <f t="shared" si="32"/>
        <v>Memiliki kemampuan cukup dalam Menganalisis konsep energi, usaha dan perubahan energi dan Menganalisis interaksi hubungan antar gaya</v>
      </c>
      <c r="AL32" s="276">
        <v>88</v>
      </c>
      <c r="AM32" s="277">
        <v>88</v>
      </c>
      <c r="AN32" s="277">
        <v>88</v>
      </c>
      <c r="AO32" s="277">
        <v>88</v>
      </c>
      <c r="AP32" s="277"/>
      <c r="AQ32" s="277"/>
      <c r="AR32" s="277"/>
      <c r="AS32" s="280"/>
      <c r="AT32" s="277"/>
      <c r="AU32" s="278"/>
      <c r="AV32" s="285">
        <f t="shared" si="33"/>
        <v>88</v>
      </c>
      <c r="AW32" s="296" t="str">
        <f t="shared" si="34"/>
        <v>B</v>
      </c>
      <c r="AX32" s="1220">
        <f t="shared" si="42"/>
        <v>88.01</v>
      </c>
      <c r="AY32" s="1221">
        <f t="shared" si="42"/>
        <v>88.02</v>
      </c>
      <c r="AZ32" s="1221">
        <f t="shared" si="42"/>
        <v>88.03</v>
      </c>
      <c r="BA32" s="1221">
        <f t="shared" si="42"/>
        <v>88.04</v>
      </c>
      <c r="BB32" s="1221" t="str">
        <f t="shared" si="42"/>
        <v/>
      </c>
      <c r="BC32" s="1221" t="str">
        <f t="shared" si="42"/>
        <v/>
      </c>
      <c r="BD32" s="1221" t="str">
        <f t="shared" si="42"/>
        <v/>
      </c>
      <c r="BE32" s="1222" t="str">
        <f t="shared" si="42"/>
        <v/>
      </c>
      <c r="BF32" s="1221" t="str">
        <f t="shared" si="42"/>
        <v/>
      </c>
      <c r="BG32" s="1223" t="str">
        <f t="shared" si="42"/>
        <v/>
      </c>
      <c r="BH32" s="286">
        <f t="shared" si="35"/>
        <v>88.04</v>
      </c>
      <c r="BI32" s="286">
        <f t="shared" si="36"/>
        <v>88.01</v>
      </c>
      <c r="BJ32" s="287" t="str">
        <f t="shared" si="37"/>
        <v>baik</v>
      </c>
      <c r="BK32" s="287" t="str">
        <f t="shared" si="37"/>
        <v>baik</v>
      </c>
      <c r="BL32" s="286">
        <f t="shared" si="38"/>
        <v>4</v>
      </c>
      <c r="BM32" s="288">
        <f t="shared" si="39"/>
        <v>1</v>
      </c>
      <c r="BN32" s="289" t="str">
        <f t="shared" si="40"/>
        <v>Memiliki keterampilan baik dalam KD keterampilan 4 Ekonomi dan Melakukan percobaan getaran harmonis pada ayunan sederhana</v>
      </c>
      <c r="BO32" s="67"/>
    </row>
    <row r="33" spans="1:67" ht="33" customHeight="1">
      <c r="A33" s="67"/>
      <c r="B33" s="272">
        <f t="shared" si="23"/>
        <v>20</v>
      </c>
      <c r="C33" s="273">
        <f>IF(Data!F24="","",Data!F24)</f>
        <v>0</v>
      </c>
      <c r="D33" s="274" t="str">
        <f>IF(Data!H24="","",Data!H24)</f>
        <v>Jitro Andro Baran</v>
      </c>
      <c r="E33" s="275" t="str">
        <f>IF(Data!I24="","",Data!I24)</f>
        <v>L</v>
      </c>
      <c r="F33" s="276"/>
      <c r="G33" s="276">
        <v>76</v>
      </c>
      <c r="H33" s="277">
        <v>77</v>
      </c>
      <c r="I33" s="277">
        <v>76</v>
      </c>
      <c r="J33" s="277">
        <v>77</v>
      </c>
      <c r="K33" s="277">
        <v>76</v>
      </c>
      <c r="L33" s="277"/>
      <c r="M33" s="280"/>
      <c r="N33" s="277"/>
      <c r="O33" s="278"/>
      <c r="P33" s="279">
        <f t="shared" si="24"/>
        <v>76</v>
      </c>
      <c r="Q33" s="277">
        <v>85</v>
      </c>
      <c r="R33" s="280">
        <v>87</v>
      </c>
      <c r="S33" s="281">
        <f t="shared" si="25"/>
        <v>81</v>
      </c>
      <c r="T33" s="295" t="str">
        <f t="shared" si="26"/>
        <v>C</v>
      </c>
      <c r="U33" s="1215" t="str">
        <f t="shared" si="41"/>
        <v/>
      </c>
      <c r="V33" s="1216">
        <f t="shared" si="41"/>
        <v>76.02</v>
      </c>
      <c r="W33" s="1216">
        <f t="shared" si="41"/>
        <v>77.03</v>
      </c>
      <c r="X33" s="1216">
        <f t="shared" si="41"/>
        <v>76.040000000000006</v>
      </c>
      <c r="Y33" s="1216">
        <f t="shared" si="41"/>
        <v>77.05</v>
      </c>
      <c r="Z33" s="1216">
        <f t="shared" si="41"/>
        <v>76.06</v>
      </c>
      <c r="AA33" s="1216" t="str">
        <f t="shared" si="41"/>
        <v/>
      </c>
      <c r="AB33" s="1217" t="str">
        <f t="shared" si="41"/>
        <v/>
      </c>
      <c r="AC33" s="1216" t="str">
        <f t="shared" si="41"/>
        <v/>
      </c>
      <c r="AD33" s="1218" t="str">
        <f t="shared" si="41"/>
        <v/>
      </c>
      <c r="AE33" s="1219">
        <f t="shared" si="27"/>
        <v>77.05</v>
      </c>
      <c r="AF33" s="282">
        <f t="shared" si="28"/>
        <v>76.02</v>
      </c>
      <c r="AG33" s="282" t="str">
        <f t="shared" si="29"/>
        <v>cukup</v>
      </c>
      <c r="AH33" s="282" t="str">
        <f t="shared" si="29"/>
        <v>cukup</v>
      </c>
      <c r="AI33" s="282">
        <f t="shared" si="30"/>
        <v>5</v>
      </c>
      <c r="AJ33" s="283">
        <f t="shared" si="31"/>
        <v>2</v>
      </c>
      <c r="AK33" s="284" t="str">
        <f t="shared" si="32"/>
        <v>Memiliki kemampuan cukup dalam Menganalisi hubungan antara gaya dan getaran dan Menganalisis interaksi hubungan antar gaya</v>
      </c>
      <c r="AL33" s="276">
        <v>88</v>
      </c>
      <c r="AM33" s="277">
        <v>88</v>
      </c>
      <c r="AN33" s="277">
        <v>88</v>
      </c>
      <c r="AO33" s="277">
        <v>88</v>
      </c>
      <c r="AP33" s="277"/>
      <c r="AQ33" s="277"/>
      <c r="AR33" s="277"/>
      <c r="AS33" s="280"/>
      <c r="AT33" s="277"/>
      <c r="AU33" s="278"/>
      <c r="AV33" s="285">
        <f t="shared" si="33"/>
        <v>88</v>
      </c>
      <c r="AW33" s="296" t="str">
        <f t="shared" si="34"/>
        <v>B</v>
      </c>
      <c r="AX33" s="1220">
        <f t="shared" si="42"/>
        <v>88.01</v>
      </c>
      <c r="AY33" s="1221">
        <f t="shared" si="42"/>
        <v>88.02</v>
      </c>
      <c r="AZ33" s="1221">
        <f t="shared" si="42"/>
        <v>88.03</v>
      </c>
      <c r="BA33" s="1221">
        <f t="shared" si="42"/>
        <v>88.04</v>
      </c>
      <c r="BB33" s="1221" t="str">
        <f t="shared" si="42"/>
        <v/>
      </c>
      <c r="BC33" s="1221" t="str">
        <f t="shared" si="42"/>
        <v/>
      </c>
      <c r="BD33" s="1221" t="str">
        <f t="shared" si="42"/>
        <v/>
      </c>
      <c r="BE33" s="1222" t="str">
        <f t="shared" si="42"/>
        <v/>
      </c>
      <c r="BF33" s="1221" t="str">
        <f t="shared" si="42"/>
        <v/>
      </c>
      <c r="BG33" s="1223" t="str">
        <f t="shared" si="42"/>
        <v/>
      </c>
      <c r="BH33" s="286">
        <f t="shared" si="35"/>
        <v>88.04</v>
      </c>
      <c r="BI33" s="286">
        <f t="shared" si="36"/>
        <v>88.01</v>
      </c>
      <c r="BJ33" s="287" t="str">
        <f t="shared" si="37"/>
        <v>baik</v>
      </c>
      <c r="BK33" s="287" t="str">
        <f t="shared" si="37"/>
        <v>baik</v>
      </c>
      <c r="BL33" s="286">
        <f t="shared" si="38"/>
        <v>4</v>
      </c>
      <c r="BM33" s="288">
        <f t="shared" si="39"/>
        <v>1</v>
      </c>
      <c r="BN33" s="289" t="str">
        <f t="shared" si="40"/>
        <v>Memiliki keterampilan baik dalam KD keterampilan 4 Ekonomi dan Melakukan percobaan getaran harmonis pada ayunan sederhana</v>
      </c>
      <c r="BO33" s="67"/>
    </row>
    <row r="34" spans="1:67" ht="33" customHeight="1">
      <c r="A34" s="67"/>
      <c r="B34" s="272">
        <f t="shared" si="23"/>
        <v>21</v>
      </c>
      <c r="C34" s="273">
        <f>IF(Data!F25="","",Data!F25)</f>
        <v>0</v>
      </c>
      <c r="D34" s="274" t="str">
        <f>IF(Data!H25="","",Data!H25)</f>
        <v>Juan Manuel Boys</v>
      </c>
      <c r="E34" s="275" t="str">
        <f>IF(Data!I25="","",Data!I25)</f>
        <v>L</v>
      </c>
      <c r="F34" s="276"/>
      <c r="G34" s="276">
        <v>77</v>
      </c>
      <c r="H34" s="277">
        <v>78</v>
      </c>
      <c r="I34" s="277">
        <v>79</v>
      </c>
      <c r="J34" s="277">
        <v>77</v>
      </c>
      <c r="K34" s="277">
        <v>78</v>
      </c>
      <c r="L34" s="277"/>
      <c r="M34" s="280"/>
      <c r="N34" s="277"/>
      <c r="O34" s="278"/>
      <c r="P34" s="279">
        <f t="shared" si="24"/>
        <v>78</v>
      </c>
      <c r="Q34" s="277">
        <v>85</v>
      </c>
      <c r="R34" s="280">
        <v>87</v>
      </c>
      <c r="S34" s="281">
        <f t="shared" si="25"/>
        <v>82</v>
      </c>
      <c r="T34" s="295" t="str">
        <f t="shared" si="26"/>
        <v>C</v>
      </c>
      <c r="U34" s="1215" t="str">
        <f t="shared" si="41"/>
        <v/>
      </c>
      <c r="V34" s="1216">
        <f t="shared" si="41"/>
        <v>77.02</v>
      </c>
      <c r="W34" s="1216">
        <f t="shared" si="41"/>
        <v>78.03</v>
      </c>
      <c r="X34" s="1216">
        <f t="shared" si="41"/>
        <v>79.040000000000006</v>
      </c>
      <c r="Y34" s="1216">
        <f t="shared" si="41"/>
        <v>77.05</v>
      </c>
      <c r="Z34" s="1216">
        <f t="shared" si="41"/>
        <v>78.06</v>
      </c>
      <c r="AA34" s="1216" t="str">
        <f t="shared" si="41"/>
        <v/>
      </c>
      <c r="AB34" s="1217" t="str">
        <f t="shared" si="41"/>
        <v/>
      </c>
      <c r="AC34" s="1216" t="str">
        <f t="shared" si="41"/>
        <v/>
      </c>
      <c r="AD34" s="1218" t="str">
        <f t="shared" si="41"/>
        <v/>
      </c>
      <c r="AE34" s="1219">
        <f t="shared" si="27"/>
        <v>79.040000000000006</v>
      </c>
      <c r="AF34" s="282">
        <f t="shared" si="28"/>
        <v>77.02</v>
      </c>
      <c r="AG34" s="282" t="str">
        <f t="shared" si="29"/>
        <v>cukup</v>
      </c>
      <c r="AH34" s="282" t="str">
        <f t="shared" si="29"/>
        <v>cukup</v>
      </c>
      <c r="AI34" s="282">
        <f t="shared" si="30"/>
        <v>4</v>
      </c>
      <c r="AJ34" s="283">
        <f t="shared" si="31"/>
        <v>2</v>
      </c>
      <c r="AK34" s="284" t="str">
        <f t="shared" si="32"/>
        <v>Memiliki kemampuan cukup dalam Menganalisis konsep energi, usaha dan perubahan energi dan Menganalisis interaksi hubungan antar gaya</v>
      </c>
      <c r="AL34" s="276">
        <v>88</v>
      </c>
      <c r="AM34" s="277">
        <v>88</v>
      </c>
      <c r="AN34" s="277">
        <v>88</v>
      </c>
      <c r="AO34" s="277">
        <v>88</v>
      </c>
      <c r="AP34" s="277"/>
      <c r="AQ34" s="277"/>
      <c r="AR34" s="277"/>
      <c r="AS34" s="280"/>
      <c r="AT34" s="277"/>
      <c r="AU34" s="278"/>
      <c r="AV34" s="285">
        <f t="shared" si="33"/>
        <v>88</v>
      </c>
      <c r="AW34" s="296" t="str">
        <f t="shared" si="34"/>
        <v>B</v>
      </c>
      <c r="AX34" s="1220">
        <f t="shared" si="42"/>
        <v>88.01</v>
      </c>
      <c r="AY34" s="1221">
        <f t="shared" si="42"/>
        <v>88.02</v>
      </c>
      <c r="AZ34" s="1221">
        <f t="shared" si="42"/>
        <v>88.03</v>
      </c>
      <c r="BA34" s="1221">
        <f t="shared" si="42"/>
        <v>88.04</v>
      </c>
      <c r="BB34" s="1221" t="str">
        <f t="shared" si="42"/>
        <v/>
      </c>
      <c r="BC34" s="1221" t="str">
        <f t="shared" si="42"/>
        <v/>
      </c>
      <c r="BD34" s="1221" t="str">
        <f t="shared" si="42"/>
        <v/>
      </c>
      <c r="BE34" s="1222" t="str">
        <f t="shared" si="42"/>
        <v/>
      </c>
      <c r="BF34" s="1221" t="str">
        <f t="shared" si="42"/>
        <v/>
      </c>
      <c r="BG34" s="1223" t="str">
        <f t="shared" si="42"/>
        <v/>
      </c>
      <c r="BH34" s="286">
        <f t="shared" si="35"/>
        <v>88.04</v>
      </c>
      <c r="BI34" s="286">
        <f t="shared" si="36"/>
        <v>88.01</v>
      </c>
      <c r="BJ34" s="287" t="str">
        <f t="shared" si="37"/>
        <v>baik</v>
      </c>
      <c r="BK34" s="287" t="str">
        <f t="shared" si="37"/>
        <v>baik</v>
      </c>
      <c r="BL34" s="286">
        <f t="shared" si="38"/>
        <v>4</v>
      </c>
      <c r="BM34" s="288">
        <f t="shared" si="39"/>
        <v>1</v>
      </c>
      <c r="BN34" s="289" t="str">
        <f t="shared" si="40"/>
        <v>Memiliki keterampilan baik dalam KD keterampilan 4 Ekonomi dan Melakukan percobaan getaran harmonis pada ayunan sederhana</v>
      </c>
      <c r="BO34" s="67"/>
    </row>
    <row r="35" spans="1:67" ht="33" customHeight="1">
      <c r="A35" s="67"/>
      <c r="B35" s="272">
        <f t="shared" si="23"/>
        <v>22</v>
      </c>
      <c r="C35" s="273">
        <f>IF(Data!F26="","",Data!F26)</f>
        <v>0</v>
      </c>
      <c r="D35" s="274" t="str">
        <f>IF(Data!H26="","",Data!H26)</f>
        <v>Krisyanti Ernela Kesnay</v>
      </c>
      <c r="E35" s="275" t="str">
        <f>IF(Data!I26="","",Data!I26)</f>
        <v>P</v>
      </c>
      <c r="F35" s="276"/>
      <c r="G35" s="276">
        <v>77</v>
      </c>
      <c r="H35" s="277">
        <v>78</v>
      </c>
      <c r="I35" s="277">
        <v>79</v>
      </c>
      <c r="J35" s="277">
        <v>77</v>
      </c>
      <c r="K35" s="277">
        <v>78</v>
      </c>
      <c r="L35" s="277"/>
      <c r="M35" s="280"/>
      <c r="N35" s="277"/>
      <c r="O35" s="278"/>
      <c r="P35" s="279">
        <f t="shared" si="24"/>
        <v>78</v>
      </c>
      <c r="Q35" s="277">
        <v>85</v>
      </c>
      <c r="R35" s="280">
        <v>87</v>
      </c>
      <c r="S35" s="281">
        <f t="shared" si="25"/>
        <v>82</v>
      </c>
      <c r="T35" s="295" t="str">
        <f t="shared" si="26"/>
        <v>C</v>
      </c>
      <c r="U35" s="1215" t="str">
        <f t="shared" si="41"/>
        <v/>
      </c>
      <c r="V35" s="1216">
        <f t="shared" si="41"/>
        <v>77.02</v>
      </c>
      <c r="W35" s="1216">
        <f t="shared" si="41"/>
        <v>78.03</v>
      </c>
      <c r="X35" s="1216">
        <f t="shared" si="41"/>
        <v>79.040000000000006</v>
      </c>
      <c r="Y35" s="1216">
        <f t="shared" si="41"/>
        <v>77.05</v>
      </c>
      <c r="Z35" s="1216">
        <f t="shared" si="41"/>
        <v>78.06</v>
      </c>
      <c r="AA35" s="1216" t="str">
        <f t="shared" si="41"/>
        <v/>
      </c>
      <c r="AB35" s="1217" t="str">
        <f t="shared" si="41"/>
        <v/>
      </c>
      <c r="AC35" s="1216" t="str">
        <f t="shared" si="41"/>
        <v/>
      </c>
      <c r="AD35" s="1218" t="str">
        <f t="shared" si="41"/>
        <v/>
      </c>
      <c r="AE35" s="1219">
        <f t="shared" si="27"/>
        <v>79.040000000000006</v>
      </c>
      <c r="AF35" s="282">
        <f t="shared" si="28"/>
        <v>77.02</v>
      </c>
      <c r="AG35" s="282" t="str">
        <f t="shared" si="29"/>
        <v>cukup</v>
      </c>
      <c r="AH35" s="282" t="str">
        <f t="shared" si="29"/>
        <v>cukup</v>
      </c>
      <c r="AI35" s="282">
        <f t="shared" si="30"/>
        <v>4</v>
      </c>
      <c r="AJ35" s="283">
        <f t="shared" si="31"/>
        <v>2</v>
      </c>
      <c r="AK35" s="284" t="str">
        <f t="shared" si="32"/>
        <v>Memiliki kemampuan cukup dalam Menganalisis konsep energi, usaha dan perubahan energi dan Menganalisis interaksi hubungan antar gaya</v>
      </c>
      <c r="AL35" s="276">
        <v>88</v>
      </c>
      <c r="AM35" s="277">
        <v>88</v>
      </c>
      <c r="AN35" s="277">
        <v>88</v>
      </c>
      <c r="AO35" s="277">
        <v>88</v>
      </c>
      <c r="AP35" s="277"/>
      <c r="AQ35" s="277"/>
      <c r="AR35" s="277"/>
      <c r="AS35" s="280"/>
      <c r="AT35" s="277"/>
      <c r="AU35" s="278"/>
      <c r="AV35" s="285">
        <f t="shared" si="33"/>
        <v>88</v>
      </c>
      <c r="AW35" s="296" t="str">
        <f t="shared" si="34"/>
        <v>B</v>
      </c>
      <c r="AX35" s="1220">
        <f t="shared" si="42"/>
        <v>88.01</v>
      </c>
      <c r="AY35" s="1221">
        <f t="shared" si="42"/>
        <v>88.02</v>
      </c>
      <c r="AZ35" s="1221">
        <f t="shared" si="42"/>
        <v>88.03</v>
      </c>
      <c r="BA35" s="1221">
        <f t="shared" si="42"/>
        <v>88.04</v>
      </c>
      <c r="BB35" s="1221" t="str">
        <f t="shared" si="42"/>
        <v/>
      </c>
      <c r="BC35" s="1221" t="str">
        <f t="shared" si="42"/>
        <v/>
      </c>
      <c r="BD35" s="1221" t="str">
        <f t="shared" si="42"/>
        <v/>
      </c>
      <c r="BE35" s="1222" t="str">
        <f t="shared" si="42"/>
        <v/>
      </c>
      <c r="BF35" s="1221" t="str">
        <f t="shared" si="42"/>
        <v/>
      </c>
      <c r="BG35" s="1223" t="str">
        <f t="shared" si="42"/>
        <v/>
      </c>
      <c r="BH35" s="286">
        <f t="shared" si="35"/>
        <v>88.04</v>
      </c>
      <c r="BI35" s="286">
        <f t="shared" si="36"/>
        <v>88.01</v>
      </c>
      <c r="BJ35" s="287" t="str">
        <f t="shared" si="37"/>
        <v>baik</v>
      </c>
      <c r="BK35" s="287" t="str">
        <f t="shared" si="37"/>
        <v>baik</v>
      </c>
      <c r="BL35" s="286">
        <f t="shared" si="38"/>
        <v>4</v>
      </c>
      <c r="BM35" s="288">
        <f t="shared" si="39"/>
        <v>1</v>
      </c>
      <c r="BN35" s="289" t="str">
        <f t="shared" si="40"/>
        <v>Memiliki keterampilan baik dalam KD keterampilan 4 Ekonomi dan Melakukan percobaan getaran harmonis pada ayunan sederhana</v>
      </c>
      <c r="BO35" s="67"/>
    </row>
    <row r="36" spans="1:67" ht="33" customHeight="1">
      <c r="A36" s="67"/>
      <c r="B36" s="272">
        <f t="shared" si="23"/>
        <v>23</v>
      </c>
      <c r="C36" s="273">
        <f>IF(Data!F27="","",Data!F27)</f>
        <v>0</v>
      </c>
      <c r="D36" s="274" t="str">
        <f>IF(Data!H27="","",Data!H27)</f>
        <v>Leni Aknesia Knoan</v>
      </c>
      <c r="E36" s="275" t="str">
        <f>IF(Data!I27="","",Data!I27)</f>
        <v>P</v>
      </c>
      <c r="F36" s="276"/>
      <c r="G36" s="276">
        <v>77</v>
      </c>
      <c r="H36" s="277">
        <v>78</v>
      </c>
      <c r="I36" s="277">
        <v>79</v>
      </c>
      <c r="J36" s="277">
        <v>77</v>
      </c>
      <c r="K36" s="277">
        <v>78</v>
      </c>
      <c r="L36" s="277"/>
      <c r="M36" s="280"/>
      <c r="N36" s="277"/>
      <c r="O36" s="278"/>
      <c r="P36" s="279">
        <f t="shared" si="24"/>
        <v>78</v>
      </c>
      <c r="Q36" s="277">
        <v>86</v>
      </c>
      <c r="R36" s="280">
        <v>86</v>
      </c>
      <c r="S36" s="281">
        <f t="shared" si="25"/>
        <v>82</v>
      </c>
      <c r="T36" s="295" t="str">
        <f t="shared" si="26"/>
        <v>C</v>
      </c>
      <c r="U36" s="1215" t="str">
        <f t="shared" si="41"/>
        <v/>
      </c>
      <c r="V36" s="1216">
        <f t="shared" si="41"/>
        <v>77.02</v>
      </c>
      <c r="W36" s="1216">
        <f t="shared" si="41"/>
        <v>78.03</v>
      </c>
      <c r="X36" s="1216">
        <f t="shared" si="41"/>
        <v>79.040000000000006</v>
      </c>
      <c r="Y36" s="1216">
        <f t="shared" si="41"/>
        <v>77.05</v>
      </c>
      <c r="Z36" s="1216">
        <f t="shared" si="41"/>
        <v>78.06</v>
      </c>
      <c r="AA36" s="1216" t="str">
        <f t="shared" si="41"/>
        <v/>
      </c>
      <c r="AB36" s="1217" t="str">
        <f t="shared" si="41"/>
        <v/>
      </c>
      <c r="AC36" s="1216" t="str">
        <f t="shared" si="41"/>
        <v/>
      </c>
      <c r="AD36" s="1218" t="str">
        <f t="shared" si="41"/>
        <v/>
      </c>
      <c r="AE36" s="1219">
        <f t="shared" si="27"/>
        <v>79.040000000000006</v>
      </c>
      <c r="AF36" s="282">
        <f t="shared" si="28"/>
        <v>77.02</v>
      </c>
      <c r="AG36" s="282" t="str">
        <f t="shared" si="29"/>
        <v>cukup</v>
      </c>
      <c r="AH36" s="282" t="str">
        <f t="shared" si="29"/>
        <v>cukup</v>
      </c>
      <c r="AI36" s="282">
        <f t="shared" si="30"/>
        <v>4</v>
      </c>
      <c r="AJ36" s="283">
        <f t="shared" si="31"/>
        <v>2</v>
      </c>
      <c r="AK36" s="284" t="str">
        <f t="shared" si="32"/>
        <v>Memiliki kemampuan cukup dalam Menganalisis konsep energi, usaha dan perubahan energi dan Menganalisis interaksi hubungan antar gaya</v>
      </c>
      <c r="AL36" s="276">
        <v>88</v>
      </c>
      <c r="AM36" s="277">
        <v>88</v>
      </c>
      <c r="AN36" s="277">
        <v>88</v>
      </c>
      <c r="AO36" s="277">
        <v>88</v>
      </c>
      <c r="AP36" s="277"/>
      <c r="AQ36" s="277"/>
      <c r="AR36" s="277"/>
      <c r="AS36" s="280"/>
      <c r="AT36" s="277"/>
      <c r="AU36" s="278"/>
      <c r="AV36" s="285">
        <f t="shared" si="33"/>
        <v>88</v>
      </c>
      <c r="AW36" s="296" t="str">
        <f t="shared" si="34"/>
        <v>B</v>
      </c>
      <c r="AX36" s="1220">
        <f t="shared" si="42"/>
        <v>88.01</v>
      </c>
      <c r="AY36" s="1221">
        <f t="shared" si="42"/>
        <v>88.02</v>
      </c>
      <c r="AZ36" s="1221">
        <f t="shared" si="42"/>
        <v>88.03</v>
      </c>
      <c r="BA36" s="1221">
        <f t="shared" si="42"/>
        <v>88.04</v>
      </c>
      <c r="BB36" s="1221" t="str">
        <f t="shared" si="42"/>
        <v/>
      </c>
      <c r="BC36" s="1221" t="str">
        <f t="shared" si="42"/>
        <v/>
      </c>
      <c r="BD36" s="1221" t="str">
        <f t="shared" si="42"/>
        <v/>
      </c>
      <c r="BE36" s="1222" t="str">
        <f t="shared" si="42"/>
        <v/>
      </c>
      <c r="BF36" s="1221" t="str">
        <f t="shared" si="42"/>
        <v/>
      </c>
      <c r="BG36" s="1223" t="str">
        <f t="shared" si="42"/>
        <v/>
      </c>
      <c r="BH36" s="286">
        <f t="shared" si="35"/>
        <v>88.04</v>
      </c>
      <c r="BI36" s="286">
        <f t="shared" si="36"/>
        <v>88.01</v>
      </c>
      <c r="BJ36" s="287" t="str">
        <f t="shared" si="37"/>
        <v>baik</v>
      </c>
      <c r="BK36" s="287" t="str">
        <f t="shared" si="37"/>
        <v>baik</v>
      </c>
      <c r="BL36" s="286">
        <f t="shared" si="38"/>
        <v>4</v>
      </c>
      <c r="BM36" s="288">
        <f t="shared" si="39"/>
        <v>1</v>
      </c>
      <c r="BN36" s="289" t="str">
        <f t="shared" si="40"/>
        <v>Memiliki keterampilan baik dalam KD keterampilan 4 Ekonomi dan Melakukan percobaan getaran harmonis pada ayunan sederhana</v>
      </c>
      <c r="BO36" s="67"/>
    </row>
    <row r="37" spans="1:67" ht="33" customHeight="1">
      <c r="A37" s="67"/>
      <c r="B37" s="272">
        <f t="shared" si="23"/>
        <v>24</v>
      </c>
      <c r="C37" s="273">
        <f>IF(Data!F28="","",Data!F28)</f>
        <v>0</v>
      </c>
      <c r="D37" s="274" t="str">
        <f>IF(Data!H28="","",Data!H28)</f>
        <v>Marlon Dioninsius Lalus</v>
      </c>
      <c r="E37" s="275" t="str">
        <f>IF(Data!I28="","",Data!I28)</f>
        <v>L</v>
      </c>
      <c r="F37" s="276"/>
      <c r="G37" s="276">
        <v>77</v>
      </c>
      <c r="H37" s="277">
        <v>78</v>
      </c>
      <c r="I37" s="277">
        <v>79</v>
      </c>
      <c r="J37" s="277">
        <v>77</v>
      </c>
      <c r="K37" s="277">
        <v>78</v>
      </c>
      <c r="L37" s="277"/>
      <c r="M37" s="280"/>
      <c r="N37" s="277"/>
      <c r="O37" s="278"/>
      <c r="P37" s="279">
        <f t="shared" si="24"/>
        <v>78</v>
      </c>
      <c r="Q37" s="277">
        <v>86</v>
      </c>
      <c r="R37" s="280">
        <v>86</v>
      </c>
      <c r="S37" s="281">
        <f t="shared" si="25"/>
        <v>82</v>
      </c>
      <c r="T37" s="295" t="str">
        <f t="shared" si="26"/>
        <v>C</v>
      </c>
      <c r="U37" s="1215" t="str">
        <f t="shared" si="41"/>
        <v/>
      </c>
      <c r="V37" s="1216">
        <f t="shared" si="41"/>
        <v>77.02</v>
      </c>
      <c r="W37" s="1216">
        <f t="shared" si="41"/>
        <v>78.03</v>
      </c>
      <c r="X37" s="1216">
        <f t="shared" si="41"/>
        <v>79.040000000000006</v>
      </c>
      <c r="Y37" s="1216">
        <f t="shared" si="41"/>
        <v>77.05</v>
      </c>
      <c r="Z37" s="1216">
        <f t="shared" si="41"/>
        <v>78.06</v>
      </c>
      <c r="AA37" s="1216" t="str">
        <f t="shared" si="41"/>
        <v/>
      </c>
      <c r="AB37" s="1217" t="str">
        <f t="shared" si="41"/>
        <v/>
      </c>
      <c r="AC37" s="1216" t="str">
        <f t="shared" si="41"/>
        <v/>
      </c>
      <c r="AD37" s="1218" t="str">
        <f t="shared" si="41"/>
        <v/>
      </c>
      <c r="AE37" s="1219">
        <f t="shared" si="27"/>
        <v>79.040000000000006</v>
      </c>
      <c r="AF37" s="282">
        <f t="shared" si="28"/>
        <v>77.02</v>
      </c>
      <c r="AG37" s="282" t="str">
        <f t="shared" si="29"/>
        <v>cukup</v>
      </c>
      <c r="AH37" s="282" t="str">
        <f t="shared" si="29"/>
        <v>cukup</v>
      </c>
      <c r="AI37" s="282">
        <f t="shared" si="30"/>
        <v>4</v>
      </c>
      <c r="AJ37" s="283">
        <f t="shared" si="31"/>
        <v>2</v>
      </c>
      <c r="AK37" s="284" t="str">
        <f t="shared" si="32"/>
        <v>Memiliki kemampuan cukup dalam Menganalisis konsep energi, usaha dan perubahan energi dan Menganalisis interaksi hubungan antar gaya</v>
      </c>
      <c r="AL37" s="276">
        <v>88</v>
      </c>
      <c r="AM37" s="277">
        <v>88</v>
      </c>
      <c r="AN37" s="277">
        <v>88</v>
      </c>
      <c r="AO37" s="277">
        <v>88</v>
      </c>
      <c r="AP37" s="277"/>
      <c r="AQ37" s="277"/>
      <c r="AR37" s="277"/>
      <c r="AS37" s="280"/>
      <c r="AT37" s="277"/>
      <c r="AU37" s="278"/>
      <c r="AV37" s="285">
        <f t="shared" si="33"/>
        <v>88</v>
      </c>
      <c r="AW37" s="296" t="str">
        <f t="shared" si="34"/>
        <v>B</v>
      </c>
      <c r="AX37" s="1220">
        <f t="shared" si="42"/>
        <v>88.01</v>
      </c>
      <c r="AY37" s="1221">
        <f t="shared" si="42"/>
        <v>88.02</v>
      </c>
      <c r="AZ37" s="1221">
        <f t="shared" si="42"/>
        <v>88.03</v>
      </c>
      <c r="BA37" s="1221">
        <f t="shared" si="42"/>
        <v>88.04</v>
      </c>
      <c r="BB37" s="1221" t="str">
        <f t="shared" si="42"/>
        <v/>
      </c>
      <c r="BC37" s="1221" t="str">
        <f t="shared" si="42"/>
        <v/>
      </c>
      <c r="BD37" s="1221" t="str">
        <f t="shared" si="42"/>
        <v/>
      </c>
      <c r="BE37" s="1222" t="str">
        <f t="shared" si="42"/>
        <v/>
      </c>
      <c r="BF37" s="1221" t="str">
        <f t="shared" si="42"/>
        <v/>
      </c>
      <c r="BG37" s="1223" t="str">
        <f t="shared" si="42"/>
        <v/>
      </c>
      <c r="BH37" s="286">
        <f t="shared" si="35"/>
        <v>88.04</v>
      </c>
      <c r="BI37" s="286">
        <f t="shared" si="36"/>
        <v>88.01</v>
      </c>
      <c r="BJ37" s="287" t="str">
        <f t="shared" si="37"/>
        <v>baik</v>
      </c>
      <c r="BK37" s="287" t="str">
        <f t="shared" si="37"/>
        <v>baik</v>
      </c>
      <c r="BL37" s="286">
        <f t="shared" si="38"/>
        <v>4</v>
      </c>
      <c r="BM37" s="288">
        <f t="shared" si="39"/>
        <v>1</v>
      </c>
      <c r="BN37" s="289" t="str">
        <f t="shared" si="40"/>
        <v>Memiliki keterampilan baik dalam KD keterampilan 4 Ekonomi dan Melakukan percobaan getaran harmonis pada ayunan sederhana</v>
      </c>
      <c r="BO37" s="67"/>
    </row>
    <row r="38" spans="1:67" ht="33" customHeight="1">
      <c r="A38" s="67"/>
      <c r="B38" s="272">
        <f t="shared" si="23"/>
        <v>25</v>
      </c>
      <c r="C38" s="273">
        <f>IF(Data!F29="","",Data!F29)</f>
        <v>0</v>
      </c>
      <c r="D38" s="274" t="str">
        <f>IF(Data!H29="","",Data!H29)</f>
        <v>Maya Trifena Niobe</v>
      </c>
      <c r="E38" s="275" t="str">
        <f>IF(Data!I29="","",Data!I29)</f>
        <v>P</v>
      </c>
      <c r="F38" s="276"/>
      <c r="G38" s="276">
        <v>77</v>
      </c>
      <c r="H38" s="277">
        <v>78</v>
      </c>
      <c r="I38" s="277">
        <v>79</v>
      </c>
      <c r="J38" s="277">
        <v>77</v>
      </c>
      <c r="K38" s="277">
        <v>78</v>
      </c>
      <c r="L38" s="277"/>
      <c r="M38" s="280"/>
      <c r="N38" s="277"/>
      <c r="O38" s="278"/>
      <c r="P38" s="279">
        <f t="shared" si="24"/>
        <v>78</v>
      </c>
      <c r="Q38" s="277">
        <v>87</v>
      </c>
      <c r="R38" s="280">
        <v>87</v>
      </c>
      <c r="S38" s="281">
        <f t="shared" si="25"/>
        <v>83</v>
      </c>
      <c r="T38" s="295" t="str">
        <f t="shared" si="26"/>
        <v>C</v>
      </c>
      <c r="U38" s="1215" t="str">
        <f t="shared" si="41"/>
        <v/>
      </c>
      <c r="V38" s="1216">
        <f t="shared" si="41"/>
        <v>77.02</v>
      </c>
      <c r="W38" s="1216">
        <f t="shared" si="41"/>
        <v>78.03</v>
      </c>
      <c r="X38" s="1216">
        <f t="shared" si="41"/>
        <v>79.040000000000006</v>
      </c>
      <c r="Y38" s="1216">
        <f t="shared" si="41"/>
        <v>77.05</v>
      </c>
      <c r="Z38" s="1216">
        <f t="shared" si="41"/>
        <v>78.06</v>
      </c>
      <c r="AA38" s="1216" t="str">
        <f t="shared" si="41"/>
        <v/>
      </c>
      <c r="AB38" s="1217" t="str">
        <f t="shared" si="41"/>
        <v/>
      </c>
      <c r="AC38" s="1216" t="str">
        <f t="shared" si="41"/>
        <v/>
      </c>
      <c r="AD38" s="1218" t="str">
        <f t="shared" si="41"/>
        <v/>
      </c>
      <c r="AE38" s="1219">
        <f t="shared" si="27"/>
        <v>79.040000000000006</v>
      </c>
      <c r="AF38" s="282">
        <f t="shared" si="28"/>
        <v>77.02</v>
      </c>
      <c r="AG38" s="282" t="str">
        <f t="shared" si="29"/>
        <v>cukup</v>
      </c>
      <c r="AH38" s="282" t="str">
        <f t="shared" si="29"/>
        <v>cukup</v>
      </c>
      <c r="AI38" s="282">
        <f t="shared" si="30"/>
        <v>4</v>
      </c>
      <c r="AJ38" s="283">
        <f t="shared" si="31"/>
        <v>2</v>
      </c>
      <c r="AK38" s="284" t="str">
        <f t="shared" si="32"/>
        <v>Memiliki kemampuan cukup dalam Menganalisis konsep energi, usaha dan perubahan energi dan Menganalisis interaksi hubungan antar gaya</v>
      </c>
      <c r="AL38" s="276">
        <v>88</v>
      </c>
      <c r="AM38" s="277">
        <v>88</v>
      </c>
      <c r="AN38" s="277">
        <v>88</v>
      </c>
      <c r="AO38" s="277">
        <v>88</v>
      </c>
      <c r="AP38" s="277"/>
      <c r="AQ38" s="277"/>
      <c r="AR38" s="277"/>
      <c r="AS38" s="280"/>
      <c r="AT38" s="277"/>
      <c r="AU38" s="278"/>
      <c r="AV38" s="285">
        <f t="shared" si="33"/>
        <v>88</v>
      </c>
      <c r="AW38" s="296" t="str">
        <f t="shared" si="34"/>
        <v>B</v>
      </c>
      <c r="AX38" s="1220">
        <f t="shared" si="42"/>
        <v>88.01</v>
      </c>
      <c r="AY38" s="1221">
        <f t="shared" si="42"/>
        <v>88.02</v>
      </c>
      <c r="AZ38" s="1221">
        <f t="shared" si="42"/>
        <v>88.03</v>
      </c>
      <c r="BA38" s="1221">
        <f t="shared" si="42"/>
        <v>88.04</v>
      </c>
      <c r="BB38" s="1221" t="str">
        <f t="shared" si="42"/>
        <v/>
      </c>
      <c r="BC38" s="1221" t="str">
        <f t="shared" si="42"/>
        <v/>
      </c>
      <c r="BD38" s="1221" t="str">
        <f t="shared" si="42"/>
        <v/>
      </c>
      <c r="BE38" s="1222" t="str">
        <f t="shared" si="42"/>
        <v/>
      </c>
      <c r="BF38" s="1221" t="str">
        <f t="shared" si="42"/>
        <v/>
      </c>
      <c r="BG38" s="1223" t="str">
        <f t="shared" si="42"/>
        <v/>
      </c>
      <c r="BH38" s="286">
        <f t="shared" si="35"/>
        <v>88.04</v>
      </c>
      <c r="BI38" s="286">
        <f t="shared" si="36"/>
        <v>88.01</v>
      </c>
      <c r="BJ38" s="287" t="str">
        <f t="shared" si="37"/>
        <v>baik</v>
      </c>
      <c r="BK38" s="287" t="str">
        <f t="shared" si="37"/>
        <v>baik</v>
      </c>
      <c r="BL38" s="286">
        <f t="shared" si="38"/>
        <v>4</v>
      </c>
      <c r="BM38" s="288">
        <f t="shared" si="39"/>
        <v>1</v>
      </c>
      <c r="BN38" s="289" t="str">
        <f t="shared" si="40"/>
        <v>Memiliki keterampilan baik dalam KD keterampilan 4 Ekonomi dan Melakukan percobaan getaran harmonis pada ayunan sederhana</v>
      </c>
      <c r="BO38" s="67"/>
    </row>
    <row r="39" spans="1:67" ht="33" customHeight="1">
      <c r="A39" s="67"/>
      <c r="B39" s="272">
        <f t="shared" si="23"/>
        <v>26</v>
      </c>
      <c r="C39" s="273">
        <f>IF(Data!F30="","",Data!F30)</f>
        <v>0</v>
      </c>
      <c r="D39" s="274" t="str">
        <f>IF(Data!H30="","",Data!H30)</f>
        <v>Misel Miranda Sora</v>
      </c>
      <c r="E39" s="275" t="str">
        <f>IF(Data!I30="","",Data!I30)</f>
        <v>P</v>
      </c>
      <c r="F39" s="276"/>
      <c r="G39" s="276">
        <v>77</v>
      </c>
      <c r="H39" s="277">
        <v>78</v>
      </c>
      <c r="I39" s="277">
        <v>79</v>
      </c>
      <c r="J39" s="277">
        <v>77</v>
      </c>
      <c r="K39" s="277">
        <v>78</v>
      </c>
      <c r="L39" s="277"/>
      <c r="M39" s="280"/>
      <c r="N39" s="277"/>
      <c r="O39" s="278"/>
      <c r="P39" s="279">
        <f t="shared" si="24"/>
        <v>78</v>
      </c>
      <c r="Q39" s="277">
        <v>86</v>
      </c>
      <c r="R39" s="280">
        <v>86</v>
      </c>
      <c r="S39" s="281">
        <f t="shared" si="25"/>
        <v>82</v>
      </c>
      <c r="T39" s="295" t="str">
        <f t="shared" si="26"/>
        <v>C</v>
      </c>
      <c r="U39" s="1215" t="str">
        <f t="shared" si="41"/>
        <v/>
      </c>
      <c r="V39" s="1216">
        <f t="shared" si="41"/>
        <v>77.02</v>
      </c>
      <c r="W39" s="1216">
        <f t="shared" si="41"/>
        <v>78.03</v>
      </c>
      <c r="X39" s="1216">
        <f t="shared" si="41"/>
        <v>79.040000000000006</v>
      </c>
      <c r="Y39" s="1216">
        <f t="shared" si="41"/>
        <v>77.05</v>
      </c>
      <c r="Z39" s="1216">
        <f t="shared" si="41"/>
        <v>78.06</v>
      </c>
      <c r="AA39" s="1216" t="str">
        <f t="shared" si="41"/>
        <v/>
      </c>
      <c r="AB39" s="1217" t="str">
        <f t="shared" si="41"/>
        <v/>
      </c>
      <c r="AC39" s="1216" t="str">
        <f t="shared" si="41"/>
        <v/>
      </c>
      <c r="AD39" s="1218" t="str">
        <f t="shared" si="41"/>
        <v/>
      </c>
      <c r="AE39" s="1219">
        <f t="shared" si="27"/>
        <v>79.040000000000006</v>
      </c>
      <c r="AF39" s="282">
        <f t="shared" si="28"/>
        <v>77.02</v>
      </c>
      <c r="AG39" s="282" t="str">
        <f t="shared" si="29"/>
        <v>cukup</v>
      </c>
      <c r="AH39" s="282" t="str">
        <f t="shared" si="29"/>
        <v>cukup</v>
      </c>
      <c r="AI39" s="282">
        <f t="shared" si="30"/>
        <v>4</v>
      </c>
      <c r="AJ39" s="283">
        <f t="shared" si="31"/>
        <v>2</v>
      </c>
      <c r="AK39" s="284" t="str">
        <f t="shared" si="32"/>
        <v>Memiliki kemampuan cukup dalam Menganalisis konsep energi, usaha dan perubahan energi dan Menganalisis interaksi hubungan antar gaya</v>
      </c>
      <c r="AL39" s="276">
        <v>88</v>
      </c>
      <c r="AM39" s="277">
        <v>88</v>
      </c>
      <c r="AN39" s="277">
        <v>88</v>
      </c>
      <c r="AO39" s="277">
        <v>88</v>
      </c>
      <c r="AP39" s="277"/>
      <c r="AQ39" s="277"/>
      <c r="AR39" s="277"/>
      <c r="AS39" s="280"/>
      <c r="AT39" s="277"/>
      <c r="AU39" s="278"/>
      <c r="AV39" s="285">
        <f t="shared" si="33"/>
        <v>88</v>
      </c>
      <c r="AW39" s="296" t="str">
        <f t="shared" si="34"/>
        <v>B</v>
      </c>
      <c r="AX39" s="1220">
        <f t="shared" si="42"/>
        <v>88.01</v>
      </c>
      <c r="AY39" s="1221">
        <f t="shared" si="42"/>
        <v>88.02</v>
      </c>
      <c r="AZ39" s="1221">
        <f t="shared" si="42"/>
        <v>88.03</v>
      </c>
      <c r="BA39" s="1221">
        <f t="shared" si="42"/>
        <v>88.04</v>
      </c>
      <c r="BB39" s="1221" t="str">
        <f t="shared" si="42"/>
        <v/>
      </c>
      <c r="BC39" s="1221" t="str">
        <f t="shared" si="42"/>
        <v/>
      </c>
      <c r="BD39" s="1221" t="str">
        <f t="shared" si="42"/>
        <v/>
      </c>
      <c r="BE39" s="1222" t="str">
        <f t="shared" si="42"/>
        <v/>
      </c>
      <c r="BF39" s="1221" t="str">
        <f t="shared" si="42"/>
        <v/>
      </c>
      <c r="BG39" s="1223" t="str">
        <f t="shared" si="42"/>
        <v/>
      </c>
      <c r="BH39" s="286">
        <f t="shared" si="35"/>
        <v>88.04</v>
      </c>
      <c r="BI39" s="286">
        <f t="shared" si="36"/>
        <v>88.01</v>
      </c>
      <c r="BJ39" s="287" t="str">
        <f t="shared" si="37"/>
        <v>baik</v>
      </c>
      <c r="BK39" s="287" t="str">
        <f t="shared" si="37"/>
        <v>baik</v>
      </c>
      <c r="BL39" s="286">
        <f t="shared" si="38"/>
        <v>4</v>
      </c>
      <c r="BM39" s="288">
        <f t="shared" si="39"/>
        <v>1</v>
      </c>
      <c r="BN39" s="289" t="str">
        <f t="shared" si="40"/>
        <v>Memiliki keterampilan baik dalam KD keterampilan 4 Ekonomi dan Melakukan percobaan getaran harmonis pada ayunan sederhana</v>
      </c>
      <c r="BO39" s="67"/>
    </row>
    <row r="40" spans="1:67" ht="33" customHeight="1">
      <c r="A40" s="67"/>
      <c r="B40" s="272">
        <f t="shared" si="23"/>
        <v>27</v>
      </c>
      <c r="C40" s="273">
        <f>IF(Data!F31="","",Data!F31)</f>
        <v>0</v>
      </c>
      <c r="D40" s="274" t="str">
        <f>IF(Data!H31="","",Data!H31)</f>
        <v>Nofianti Tainmeta</v>
      </c>
      <c r="E40" s="275" t="str">
        <f>IF(Data!I31="","",Data!I31)</f>
        <v>P</v>
      </c>
      <c r="F40" s="276"/>
      <c r="G40" s="276">
        <v>77</v>
      </c>
      <c r="H40" s="277">
        <v>78</v>
      </c>
      <c r="I40" s="277">
        <v>79</v>
      </c>
      <c r="J40" s="277">
        <v>77</v>
      </c>
      <c r="K40" s="277">
        <v>78</v>
      </c>
      <c r="L40" s="277"/>
      <c r="M40" s="280"/>
      <c r="N40" s="277"/>
      <c r="O40" s="278"/>
      <c r="P40" s="279">
        <f t="shared" si="24"/>
        <v>78</v>
      </c>
      <c r="Q40" s="277">
        <v>88</v>
      </c>
      <c r="R40" s="280">
        <v>86</v>
      </c>
      <c r="S40" s="281">
        <f t="shared" si="25"/>
        <v>83</v>
      </c>
      <c r="T40" s="295" t="str">
        <f t="shared" si="26"/>
        <v>C</v>
      </c>
      <c r="U40" s="1215" t="str">
        <f t="shared" si="41"/>
        <v/>
      </c>
      <c r="V40" s="1216">
        <f t="shared" si="41"/>
        <v>77.02</v>
      </c>
      <c r="W40" s="1216">
        <f t="shared" si="41"/>
        <v>78.03</v>
      </c>
      <c r="X40" s="1216">
        <f t="shared" si="41"/>
        <v>79.040000000000006</v>
      </c>
      <c r="Y40" s="1216">
        <f t="shared" si="41"/>
        <v>77.05</v>
      </c>
      <c r="Z40" s="1216">
        <f t="shared" si="41"/>
        <v>78.06</v>
      </c>
      <c r="AA40" s="1216" t="str">
        <f t="shared" si="41"/>
        <v/>
      </c>
      <c r="AB40" s="1217" t="str">
        <f t="shared" si="41"/>
        <v/>
      </c>
      <c r="AC40" s="1216" t="str">
        <f t="shared" si="41"/>
        <v/>
      </c>
      <c r="AD40" s="1218" t="str">
        <f t="shared" si="41"/>
        <v/>
      </c>
      <c r="AE40" s="1219">
        <f t="shared" si="27"/>
        <v>79.040000000000006</v>
      </c>
      <c r="AF40" s="282">
        <f t="shared" si="28"/>
        <v>77.02</v>
      </c>
      <c r="AG40" s="282" t="str">
        <f t="shared" si="29"/>
        <v>cukup</v>
      </c>
      <c r="AH40" s="282" t="str">
        <f t="shared" si="29"/>
        <v>cukup</v>
      </c>
      <c r="AI40" s="282">
        <f t="shared" si="30"/>
        <v>4</v>
      </c>
      <c r="AJ40" s="283">
        <f t="shared" si="31"/>
        <v>2</v>
      </c>
      <c r="AK40" s="284" t="str">
        <f t="shared" si="32"/>
        <v>Memiliki kemampuan cukup dalam Menganalisis konsep energi, usaha dan perubahan energi dan Menganalisis interaksi hubungan antar gaya</v>
      </c>
      <c r="AL40" s="276">
        <v>88</v>
      </c>
      <c r="AM40" s="277">
        <v>88</v>
      </c>
      <c r="AN40" s="277">
        <v>88</v>
      </c>
      <c r="AO40" s="277">
        <v>88</v>
      </c>
      <c r="AP40" s="277"/>
      <c r="AQ40" s="277"/>
      <c r="AR40" s="277"/>
      <c r="AS40" s="280"/>
      <c r="AT40" s="277"/>
      <c r="AU40" s="278"/>
      <c r="AV40" s="285">
        <f t="shared" si="33"/>
        <v>88</v>
      </c>
      <c r="AW40" s="296" t="str">
        <f t="shared" si="34"/>
        <v>B</v>
      </c>
      <c r="AX40" s="1220">
        <f t="shared" si="42"/>
        <v>88.01</v>
      </c>
      <c r="AY40" s="1221">
        <f t="shared" si="42"/>
        <v>88.02</v>
      </c>
      <c r="AZ40" s="1221">
        <f t="shared" si="42"/>
        <v>88.03</v>
      </c>
      <c r="BA40" s="1221">
        <f t="shared" si="42"/>
        <v>88.04</v>
      </c>
      <c r="BB40" s="1221" t="str">
        <f t="shared" si="42"/>
        <v/>
      </c>
      <c r="BC40" s="1221" t="str">
        <f t="shared" si="42"/>
        <v/>
      </c>
      <c r="BD40" s="1221" t="str">
        <f t="shared" si="42"/>
        <v/>
      </c>
      <c r="BE40" s="1222" t="str">
        <f t="shared" si="42"/>
        <v/>
      </c>
      <c r="BF40" s="1221" t="str">
        <f t="shared" si="42"/>
        <v/>
      </c>
      <c r="BG40" s="1223" t="str">
        <f t="shared" si="42"/>
        <v/>
      </c>
      <c r="BH40" s="286">
        <f t="shared" si="35"/>
        <v>88.04</v>
      </c>
      <c r="BI40" s="286">
        <f t="shared" si="36"/>
        <v>88.01</v>
      </c>
      <c r="BJ40" s="287" t="str">
        <f t="shared" si="37"/>
        <v>baik</v>
      </c>
      <c r="BK40" s="287" t="str">
        <f t="shared" si="37"/>
        <v>baik</v>
      </c>
      <c r="BL40" s="286">
        <f t="shared" si="38"/>
        <v>4</v>
      </c>
      <c r="BM40" s="288">
        <f t="shared" si="39"/>
        <v>1</v>
      </c>
      <c r="BN40" s="289" t="str">
        <f t="shared" si="40"/>
        <v>Memiliki keterampilan baik dalam KD keterampilan 4 Ekonomi dan Melakukan percobaan getaran harmonis pada ayunan sederhana</v>
      </c>
      <c r="BO40" s="67"/>
    </row>
    <row r="41" spans="1:67" ht="33" customHeight="1">
      <c r="A41" s="67"/>
      <c r="B41" s="272">
        <f t="shared" si="23"/>
        <v>28</v>
      </c>
      <c r="C41" s="273">
        <f>IF(Data!F32="","",Data!F32)</f>
        <v>0</v>
      </c>
      <c r="D41" s="274" t="str">
        <f>IF(Data!H32="","",Data!H32)</f>
        <v>Ofni Antrikus Banun</v>
      </c>
      <c r="E41" s="275" t="str">
        <f>IF(Data!I32="","",Data!I32)</f>
        <v>L</v>
      </c>
      <c r="F41" s="276"/>
      <c r="G41" s="276">
        <v>76</v>
      </c>
      <c r="H41" s="277">
        <v>77</v>
      </c>
      <c r="I41" s="277">
        <v>76</v>
      </c>
      <c r="J41" s="277">
        <v>77</v>
      </c>
      <c r="K41" s="277">
        <v>76</v>
      </c>
      <c r="L41" s="277"/>
      <c r="M41" s="280"/>
      <c r="N41" s="277"/>
      <c r="O41" s="278"/>
      <c r="P41" s="279">
        <f t="shared" si="24"/>
        <v>76</v>
      </c>
      <c r="Q41" s="277">
        <v>79</v>
      </c>
      <c r="R41" s="280">
        <v>78</v>
      </c>
      <c r="S41" s="281">
        <f t="shared" si="25"/>
        <v>77</v>
      </c>
      <c r="T41" s="295" t="str">
        <f t="shared" si="26"/>
        <v>C</v>
      </c>
      <c r="U41" s="1215" t="str">
        <f t="shared" si="41"/>
        <v/>
      </c>
      <c r="V41" s="1216">
        <f t="shared" si="41"/>
        <v>76.02</v>
      </c>
      <c r="W41" s="1216">
        <f t="shared" si="41"/>
        <v>77.03</v>
      </c>
      <c r="X41" s="1216">
        <f t="shared" si="41"/>
        <v>76.040000000000006</v>
      </c>
      <c r="Y41" s="1216">
        <f t="shared" si="41"/>
        <v>77.05</v>
      </c>
      <c r="Z41" s="1216">
        <f t="shared" si="41"/>
        <v>76.06</v>
      </c>
      <c r="AA41" s="1216" t="str">
        <f t="shared" si="41"/>
        <v/>
      </c>
      <c r="AB41" s="1217" t="str">
        <f t="shared" si="41"/>
        <v/>
      </c>
      <c r="AC41" s="1216" t="str">
        <f t="shared" si="41"/>
        <v/>
      </c>
      <c r="AD41" s="1218" t="str">
        <f t="shared" si="41"/>
        <v/>
      </c>
      <c r="AE41" s="1219">
        <f t="shared" si="27"/>
        <v>77.05</v>
      </c>
      <c r="AF41" s="282">
        <f t="shared" si="28"/>
        <v>76.02</v>
      </c>
      <c r="AG41" s="282" t="str">
        <f t="shared" si="29"/>
        <v>cukup</v>
      </c>
      <c r="AH41" s="282" t="str">
        <f t="shared" si="29"/>
        <v>cukup</v>
      </c>
      <c r="AI41" s="282">
        <f t="shared" si="30"/>
        <v>5</v>
      </c>
      <c r="AJ41" s="283">
        <f t="shared" si="31"/>
        <v>2</v>
      </c>
      <c r="AK41" s="284" t="str">
        <f t="shared" si="32"/>
        <v>Memiliki kemampuan cukup dalam Menganalisi hubungan antara gaya dan getaran dan Menganalisis interaksi hubungan antar gaya</v>
      </c>
      <c r="AL41" s="276">
        <v>76</v>
      </c>
      <c r="AM41" s="277">
        <v>76</v>
      </c>
      <c r="AN41" s="277">
        <v>76</v>
      </c>
      <c r="AO41" s="277">
        <v>76</v>
      </c>
      <c r="AP41" s="277"/>
      <c r="AQ41" s="277"/>
      <c r="AR41" s="277"/>
      <c r="AS41" s="280"/>
      <c r="AT41" s="277"/>
      <c r="AU41" s="278"/>
      <c r="AV41" s="285">
        <f t="shared" si="33"/>
        <v>76</v>
      </c>
      <c r="AW41" s="296" t="str">
        <f t="shared" si="34"/>
        <v>C</v>
      </c>
      <c r="AX41" s="1220">
        <f t="shared" si="42"/>
        <v>76.010000000000005</v>
      </c>
      <c r="AY41" s="1221">
        <f t="shared" si="42"/>
        <v>76.02</v>
      </c>
      <c r="AZ41" s="1221">
        <f t="shared" si="42"/>
        <v>76.03</v>
      </c>
      <c r="BA41" s="1221">
        <f t="shared" si="42"/>
        <v>76.040000000000006</v>
      </c>
      <c r="BB41" s="1221" t="str">
        <f t="shared" si="42"/>
        <v/>
      </c>
      <c r="BC41" s="1221" t="str">
        <f t="shared" si="42"/>
        <v/>
      </c>
      <c r="BD41" s="1221" t="str">
        <f t="shared" si="42"/>
        <v/>
      </c>
      <c r="BE41" s="1222" t="str">
        <f t="shared" si="42"/>
        <v/>
      </c>
      <c r="BF41" s="1221" t="str">
        <f t="shared" si="42"/>
        <v/>
      </c>
      <c r="BG41" s="1223" t="str">
        <f t="shared" si="42"/>
        <v/>
      </c>
      <c r="BH41" s="286">
        <f t="shared" si="35"/>
        <v>76.040000000000006</v>
      </c>
      <c r="BI41" s="286">
        <f t="shared" si="36"/>
        <v>76.010000000000005</v>
      </c>
      <c r="BJ41" s="287" t="str">
        <f t="shared" si="37"/>
        <v>cukup</v>
      </c>
      <c r="BK41" s="287" t="str">
        <f t="shared" si="37"/>
        <v>cukup</v>
      </c>
      <c r="BL41" s="286">
        <f t="shared" si="38"/>
        <v>4</v>
      </c>
      <c r="BM41" s="288">
        <f t="shared" si="39"/>
        <v>1</v>
      </c>
      <c r="BN41" s="289" t="str">
        <f t="shared" si="40"/>
        <v>Memiliki keterampilan cukup dalam KD keterampilan 4 Ekonomi dan Melakukan percobaan getaran harmonis pada ayunan sederhana</v>
      </c>
      <c r="BO41" s="67"/>
    </row>
    <row r="42" spans="1:67" ht="33" customHeight="1">
      <c r="A42" s="67"/>
      <c r="B42" s="272">
        <f t="shared" si="23"/>
        <v>29</v>
      </c>
      <c r="C42" s="273">
        <f>IF(Data!F33="","",Data!F33)</f>
        <v>0</v>
      </c>
      <c r="D42" s="274" t="str">
        <f>IF(Data!H33="","",Data!H33)</f>
        <v>Roiyandi Saebesi</v>
      </c>
      <c r="E42" s="275" t="str">
        <f>IF(Data!I33="","",Data!I33)</f>
        <v>L</v>
      </c>
      <c r="F42" s="276"/>
      <c r="G42" s="276">
        <v>77</v>
      </c>
      <c r="H42" s="277">
        <v>78</v>
      </c>
      <c r="I42" s="277">
        <v>79</v>
      </c>
      <c r="J42" s="277">
        <v>77</v>
      </c>
      <c r="K42" s="277">
        <v>78</v>
      </c>
      <c r="L42" s="277"/>
      <c r="M42" s="280"/>
      <c r="N42" s="277"/>
      <c r="O42" s="278"/>
      <c r="P42" s="279">
        <f t="shared" si="24"/>
        <v>78</v>
      </c>
      <c r="Q42" s="277">
        <v>85</v>
      </c>
      <c r="R42" s="280">
        <v>87</v>
      </c>
      <c r="S42" s="281">
        <f t="shared" si="25"/>
        <v>82</v>
      </c>
      <c r="T42" s="295" t="str">
        <f t="shared" si="26"/>
        <v>C</v>
      </c>
      <c r="U42" s="1215" t="str">
        <f t="shared" si="41"/>
        <v/>
      </c>
      <c r="V42" s="1216">
        <f t="shared" si="41"/>
        <v>77.02</v>
      </c>
      <c r="W42" s="1216">
        <f t="shared" si="41"/>
        <v>78.03</v>
      </c>
      <c r="X42" s="1216">
        <f t="shared" si="41"/>
        <v>79.040000000000006</v>
      </c>
      <c r="Y42" s="1216">
        <f t="shared" si="41"/>
        <v>77.05</v>
      </c>
      <c r="Z42" s="1216">
        <f t="shared" si="41"/>
        <v>78.06</v>
      </c>
      <c r="AA42" s="1216" t="str">
        <f t="shared" si="41"/>
        <v/>
      </c>
      <c r="AB42" s="1217" t="str">
        <f t="shared" si="41"/>
        <v/>
      </c>
      <c r="AC42" s="1216" t="str">
        <f t="shared" si="41"/>
        <v/>
      </c>
      <c r="AD42" s="1218" t="str">
        <f t="shared" si="41"/>
        <v/>
      </c>
      <c r="AE42" s="1219">
        <f t="shared" si="27"/>
        <v>79.040000000000006</v>
      </c>
      <c r="AF42" s="282">
        <f t="shared" si="28"/>
        <v>77.02</v>
      </c>
      <c r="AG42" s="282" t="str">
        <f t="shared" si="29"/>
        <v>cukup</v>
      </c>
      <c r="AH42" s="282" t="str">
        <f t="shared" si="29"/>
        <v>cukup</v>
      </c>
      <c r="AI42" s="282">
        <f t="shared" si="30"/>
        <v>4</v>
      </c>
      <c r="AJ42" s="283">
        <f t="shared" si="31"/>
        <v>2</v>
      </c>
      <c r="AK42" s="284" t="str">
        <f t="shared" si="32"/>
        <v>Memiliki kemampuan cukup dalam Menganalisis konsep energi, usaha dan perubahan energi dan Menganalisis interaksi hubungan antar gaya</v>
      </c>
      <c r="AL42" s="276">
        <v>88</v>
      </c>
      <c r="AM42" s="277">
        <v>88</v>
      </c>
      <c r="AN42" s="277">
        <v>88</v>
      </c>
      <c r="AO42" s="277">
        <v>88</v>
      </c>
      <c r="AP42" s="277"/>
      <c r="AQ42" s="277"/>
      <c r="AR42" s="277"/>
      <c r="AS42" s="280"/>
      <c r="AT42" s="277"/>
      <c r="AU42" s="278"/>
      <c r="AV42" s="285">
        <f t="shared" si="33"/>
        <v>88</v>
      </c>
      <c r="AW42" s="296" t="str">
        <f t="shared" si="34"/>
        <v>B</v>
      </c>
      <c r="AX42" s="1220">
        <f t="shared" si="42"/>
        <v>88.01</v>
      </c>
      <c r="AY42" s="1221">
        <f t="shared" si="42"/>
        <v>88.02</v>
      </c>
      <c r="AZ42" s="1221">
        <f t="shared" si="42"/>
        <v>88.03</v>
      </c>
      <c r="BA42" s="1221">
        <f t="shared" si="42"/>
        <v>88.04</v>
      </c>
      <c r="BB42" s="1221" t="str">
        <f t="shared" si="42"/>
        <v/>
      </c>
      <c r="BC42" s="1221" t="str">
        <f t="shared" si="42"/>
        <v/>
      </c>
      <c r="BD42" s="1221" t="str">
        <f t="shared" si="42"/>
        <v/>
      </c>
      <c r="BE42" s="1222" t="str">
        <f t="shared" si="42"/>
        <v/>
      </c>
      <c r="BF42" s="1221" t="str">
        <f t="shared" si="42"/>
        <v/>
      </c>
      <c r="BG42" s="1223" t="str">
        <f t="shared" si="42"/>
        <v/>
      </c>
      <c r="BH42" s="286">
        <f t="shared" si="35"/>
        <v>88.04</v>
      </c>
      <c r="BI42" s="286">
        <f t="shared" si="36"/>
        <v>88.01</v>
      </c>
      <c r="BJ42" s="287" t="str">
        <f t="shared" si="37"/>
        <v>baik</v>
      </c>
      <c r="BK42" s="287" t="str">
        <f t="shared" si="37"/>
        <v>baik</v>
      </c>
      <c r="BL42" s="286">
        <f t="shared" si="38"/>
        <v>4</v>
      </c>
      <c r="BM42" s="288">
        <f t="shared" si="39"/>
        <v>1</v>
      </c>
      <c r="BN42" s="289" t="str">
        <f t="shared" si="40"/>
        <v>Memiliki keterampilan baik dalam KD keterampilan 4 Ekonomi dan Melakukan percobaan getaran harmonis pada ayunan sederhana</v>
      </c>
      <c r="BO42" s="67"/>
    </row>
    <row r="43" spans="1:67" ht="33" customHeight="1">
      <c r="A43" s="67"/>
      <c r="B43" s="272">
        <f t="shared" si="23"/>
        <v>30</v>
      </c>
      <c r="C43" s="273">
        <f>IF(Data!F34="","",Data!F34)</f>
        <v>0</v>
      </c>
      <c r="D43" s="274" t="str">
        <f>IF(Data!H34="","",Data!H34)</f>
        <v>Roni Yohanis Bira</v>
      </c>
      <c r="E43" s="275" t="str">
        <f>IF(Data!I34="","",Data!I34)</f>
        <v>L</v>
      </c>
      <c r="F43" s="276"/>
      <c r="G43" s="276">
        <v>77</v>
      </c>
      <c r="H43" s="277">
        <v>78</v>
      </c>
      <c r="I43" s="277">
        <v>79</v>
      </c>
      <c r="J43" s="277">
        <v>77</v>
      </c>
      <c r="K43" s="277">
        <v>78</v>
      </c>
      <c r="L43" s="277"/>
      <c r="M43" s="280"/>
      <c r="N43" s="277"/>
      <c r="O43" s="278"/>
      <c r="P43" s="279">
        <f t="shared" si="24"/>
        <v>78</v>
      </c>
      <c r="Q43" s="277">
        <v>85</v>
      </c>
      <c r="R43" s="280">
        <v>87</v>
      </c>
      <c r="S43" s="281">
        <f t="shared" si="25"/>
        <v>82</v>
      </c>
      <c r="T43" s="295" t="str">
        <f t="shared" si="26"/>
        <v>C</v>
      </c>
      <c r="U43" s="1215" t="str">
        <f t="shared" si="41"/>
        <v/>
      </c>
      <c r="V43" s="1216">
        <f t="shared" si="41"/>
        <v>77.02</v>
      </c>
      <c r="W43" s="1216">
        <f t="shared" si="41"/>
        <v>78.03</v>
      </c>
      <c r="X43" s="1216">
        <f t="shared" si="41"/>
        <v>79.040000000000006</v>
      </c>
      <c r="Y43" s="1216">
        <f t="shared" si="41"/>
        <v>77.05</v>
      </c>
      <c r="Z43" s="1216">
        <f t="shared" si="41"/>
        <v>78.06</v>
      </c>
      <c r="AA43" s="1216" t="str">
        <f t="shared" si="41"/>
        <v/>
      </c>
      <c r="AB43" s="1217" t="str">
        <f t="shared" si="41"/>
        <v/>
      </c>
      <c r="AC43" s="1216" t="str">
        <f t="shared" si="41"/>
        <v/>
      </c>
      <c r="AD43" s="1218" t="str">
        <f t="shared" si="41"/>
        <v/>
      </c>
      <c r="AE43" s="1219">
        <f t="shared" si="27"/>
        <v>79.040000000000006</v>
      </c>
      <c r="AF43" s="282">
        <f t="shared" si="28"/>
        <v>77.02</v>
      </c>
      <c r="AG43" s="282" t="str">
        <f t="shared" si="29"/>
        <v>cukup</v>
      </c>
      <c r="AH43" s="282" t="str">
        <f t="shared" si="29"/>
        <v>cukup</v>
      </c>
      <c r="AI43" s="282">
        <f t="shared" si="30"/>
        <v>4</v>
      </c>
      <c r="AJ43" s="283">
        <f t="shared" si="31"/>
        <v>2</v>
      </c>
      <c r="AK43" s="284" t="str">
        <f t="shared" si="32"/>
        <v>Memiliki kemampuan cukup dalam Menganalisis konsep energi, usaha dan perubahan energi dan Menganalisis interaksi hubungan antar gaya</v>
      </c>
      <c r="AL43" s="276">
        <v>88</v>
      </c>
      <c r="AM43" s="277">
        <v>88</v>
      </c>
      <c r="AN43" s="277">
        <v>88</v>
      </c>
      <c r="AO43" s="277">
        <v>88</v>
      </c>
      <c r="AP43" s="277"/>
      <c r="AQ43" s="277"/>
      <c r="AR43" s="277"/>
      <c r="AS43" s="280"/>
      <c r="AT43" s="277"/>
      <c r="AU43" s="278"/>
      <c r="AV43" s="285">
        <f t="shared" si="33"/>
        <v>88</v>
      </c>
      <c r="AW43" s="296" t="str">
        <f t="shared" si="34"/>
        <v>B</v>
      </c>
      <c r="AX43" s="1220">
        <f t="shared" si="42"/>
        <v>88.01</v>
      </c>
      <c r="AY43" s="1221">
        <f t="shared" si="42"/>
        <v>88.02</v>
      </c>
      <c r="AZ43" s="1221">
        <f t="shared" si="42"/>
        <v>88.03</v>
      </c>
      <c r="BA43" s="1221">
        <f t="shared" si="42"/>
        <v>88.04</v>
      </c>
      <c r="BB43" s="1221" t="str">
        <f t="shared" si="42"/>
        <v/>
      </c>
      <c r="BC43" s="1221" t="str">
        <f t="shared" si="42"/>
        <v/>
      </c>
      <c r="BD43" s="1221" t="str">
        <f t="shared" si="42"/>
        <v/>
      </c>
      <c r="BE43" s="1222" t="str">
        <f t="shared" si="42"/>
        <v/>
      </c>
      <c r="BF43" s="1221" t="str">
        <f t="shared" si="42"/>
        <v/>
      </c>
      <c r="BG43" s="1223" t="str">
        <f t="shared" si="42"/>
        <v/>
      </c>
      <c r="BH43" s="286">
        <f t="shared" si="35"/>
        <v>88.04</v>
      </c>
      <c r="BI43" s="286">
        <f t="shared" si="36"/>
        <v>88.01</v>
      </c>
      <c r="BJ43" s="287" t="str">
        <f t="shared" si="37"/>
        <v>baik</v>
      </c>
      <c r="BK43" s="287" t="str">
        <f t="shared" si="37"/>
        <v>baik</v>
      </c>
      <c r="BL43" s="286">
        <f t="shared" si="38"/>
        <v>4</v>
      </c>
      <c r="BM43" s="288">
        <f t="shared" si="39"/>
        <v>1</v>
      </c>
      <c r="BN43" s="289" t="str">
        <f t="shared" si="40"/>
        <v>Memiliki keterampilan baik dalam KD keterampilan 4 Ekonomi dan Melakukan percobaan getaran harmonis pada ayunan sederhana</v>
      </c>
      <c r="BO43" s="67"/>
    </row>
    <row r="44" spans="1:67" ht="33" customHeight="1">
      <c r="A44" s="67"/>
      <c r="B44" s="272">
        <f t="shared" si="23"/>
        <v>31</v>
      </c>
      <c r="C44" s="273">
        <f>IF(Data!F35="","",Data!F35)</f>
        <v>0</v>
      </c>
      <c r="D44" s="274" t="str">
        <f>IF(Data!H35="","",Data!H35)</f>
        <v>Sinta Norliana Funan</v>
      </c>
      <c r="E44" s="275" t="str">
        <f>IF(Data!I35="","",Data!I35)</f>
        <v>P</v>
      </c>
      <c r="F44" s="276"/>
      <c r="G44" s="276">
        <v>77</v>
      </c>
      <c r="H44" s="277">
        <v>78</v>
      </c>
      <c r="I44" s="277">
        <v>79</v>
      </c>
      <c r="J44" s="277">
        <v>77</v>
      </c>
      <c r="K44" s="277">
        <v>78</v>
      </c>
      <c r="L44" s="277"/>
      <c r="M44" s="280"/>
      <c r="N44" s="277"/>
      <c r="O44" s="278"/>
      <c r="P44" s="279">
        <f t="shared" si="24"/>
        <v>78</v>
      </c>
      <c r="Q44" s="277">
        <v>84</v>
      </c>
      <c r="R44" s="280">
        <v>83</v>
      </c>
      <c r="S44" s="281">
        <f t="shared" si="25"/>
        <v>81</v>
      </c>
      <c r="T44" s="295" t="str">
        <f t="shared" si="26"/>
        <v>C</v>
      </c>
      <c r="U44" s="1215" t="str">
        <f t="shared" si="41"/>
        <v/>
      </c>
      <c r="V44" s="1216">
        <f t="shared" si="41"/>
        <v>77.02</v>
      </c>
      <c r="W44" s="1216">
        <f t="shared" si="41"/>
        <v>78.03</v>
      </c>
      <c r="X44" s="1216">
        <f t="shared" si="41"/>
        <v>79.040000000000006</v>
      </c>
      <c r="Y44" s="1216">
        <f t="shared" si="41"/>
        <v>77.05</v>
      </c>
      <c r="Z44" s="1216">
        <f t="shared" si="41"/>
        <v>78.06</v>
      </c>
      <c r="AA44" s="1216" t="str">
        <f t="shared" si="41"/>
        <v/>
      </c>
      <c r="AB44" s="1217" t="str">
        <f t="shared" si="41"/>
        <v/>
      </c>
      <c r="AC44" s="1216" t="str">
        <f t="shared" si="41"/>
        <v/>
      </c>
      <c r="AD44" s="1218" t="str">
        <f t="shared" si="41"/>
        <v/>
      </c>
      <c r="AE44" s="1219">
        <f t="shared" si="27"/>
        <v>79.040000000000006</v>
      </c>
      <c r="AF44" s="282">
        <f t="shared" si="28"/>
        <v>77.02</v>
      </c>
      <c r="AG44" s="282" t="str">
        <f t="shared" si="29"/>
        <v>cukup</v>
      </c>
      <c r="AH44" s="282" t="str">
        <f t="shared" si="29"/>
        <v>cukup</v>
      </c>
      <c r="AI44" s="282">
        <f t="shared" si="30"/>
        <v>4</v>
      </c>
      <c r="AJ44" s="283">
        <f t="shared" si="31"/>
        <v>2</v>
      </c>
      <c r="AK44" s="284" t="str">
        <f t="shared" si="32"/>
        <v>Memiliki kemampuan cukup dalam Menganalisis konsep energi, usaha dan perubahan energi dan Menganalisis interaksi hubungan antar gaya</v>
      </c>
      <c r="AL44" s="276">
        <v>88</v>
      </c>
      <c r="AM44" s="277">
        <v>88</v>
      </c>
      <c r="AN44" s="277">
        <v>88</v>
      </c>
      <c r="AO44" s="277">
        <v>88</v>
      </c>
      <c r="AP44" s="277"/>
      <c r="AQ44" s="277"/>
      <c r="AR44" s="277"/>
      <c r="AS44" s="280"/>
      <c r="AT44" s="277"/>
      <c r="AU44" s="278"/>
      <c r="AV44" s="285">
        <f t="shared" si="33"/>
        <v>88</v>
      </c>
      <c r="AW44" s="296" t="str">
        <f t="shared" si="34"/>
        <v>B</v>
      </c>
      <c r="AX44" s="1220">
        <f t="shared" si="42"/>
        <v>88.01</v>
      </c>
      <c r="AY44" s="1221">
        <f t="shared" si="42"/>
        <v>88.02</v>
      </c>
      <c r="AZ44" s="1221">
        <f t="shared" si="42"/>
        <v>88.03</v>
      </c>
      <c r="BA44" s="1221">
        <f t="shared" si="42"/>
        <v>88.04</v>
      </c>
      <c r="BB44" s="1221" t="str">
        <f t="shared" si="42"/>
        <v/>
      </c>
      <c r="BC44" s="1221" t="str">
        <f t="shared" si="42"/>
        <v/>
      </c>
      <c r="BD44" s="1221" t="str">
        <f t="shared" si="42"/>
        <v/>
      </c>
      <c r="BE44" s="1222" t="str">
        <f t="shared" si="42"/>
        <v/>
      </c>
      <c r="BF44" s="1221" t="str">
        <f t="shared" si="42"/>
        <v/>
      </c>
      <c r="BG44" s="1223" t="str">
        <f t="shared" si="42"/>
        <v/>
      </c>
      <c r="BH44" s="286">
        <f t="shared" si="35"/>
        <v>88.04</v>
      </c>
      <c r="BI44" s="286">
        <f t="shared" si="36"/>
        <v>88.01</v>
      </c>
      <c r="BJ44" s="287" t="str">
        <f t="shared" si="37"/>
        <v>baik</v>
      </c>
      <c r="BK44" s="287" t="str">
        <f t="shared" si="37"/>
        <v>baik</v>
      </c>
      <c r="BL44" s="286">
        <f t="shared" si="38"/>
        <v>4</v>
      </c>
      <c r="BM44" s="288">
        <f t="shared" si="39"/>
        <v>1</v>
      </c>
      <c r="BN44" s="289" t="str">
        <f t="shared" si="40"/>
        <v>Memiliki keterampilan baik dalam KD keterampilan 4 Ekonomi dan Melakukan percobaan getaran harmonis pada ayunan sederhana</v>
      </c>
      <c r="BO44" s="67"/>
    </row>
    <row r="45" spans="1:67" ht="33" customHeight="1">
      <c r="A45" s="67"/>
      <c r="B45" s="272">
        <f t="shared" si="23"/>
        <v>32</v>
      </c>
      <c r="C45" s="273">
        <f>IF(Data!F36="","",Data!F36)</f>
        <v>0</v>
      </c>
      <c r="D45" s="274" t="str">
        <f>IF(Data!H36="","",Data!H36)</f>
        <v>Stevi Otnial Loemnanu</v>
      </c>
      <c r="E45" s="275" t="str">
        <f>IF(Data!I36="","",Data!I36)</f>
        <v>L</v>
      </c>
      <c r="F45" s="276"/>
      <c r="G45" s="276">
        <v>77</v>
      </c>
      <c r="H45" s="277">
        <v>78</v>
      </c>
      <c r="I45" s="277">
        <v>79</v>
      </c>
      <c r="J45" s="277">
        <v>77</v>
      </c>
      <c r="K45" s="277">
        <v>78</v>
      </c>
      <c r="L45" s="277"/>
      <c r="M45" s="280"/>
      <c r="N45" s="277"/>
      <c r="O45" s="278"/>
      <c r="P45" s="279">
        <f t="shared" si="24"/>
        <v>78</v>
      </c>
      <c r="Q45" s="277">
        <v>87</v>
      </c>
      <c r="R45" s="280">
        <v>85</v>
      </c>
      <c r="S45" s="281">
        <f t="shared" si="25"/>
        <v>82</v>
      </c>
      <c r="T45" s="295" t="str">
        <f t="shared" si="26"/>
        <v>C</v>
      </c>
      <c r="U45" s="1215" t="str">
        <f t="shared" si="41"/>
        <v/>
      </c>
      <c r="V45" s="1216">
        <f t="shared" si="41"/>
        <v>77.02</v>
      </c>
      <c r="W45" s="1216">
        <f t="shared" si="41"/>
        <v>78.03</v>
      </c>
      <c r="X45" s="1216">
        <f t="shared" si="41"/>
        <v>79.040000000000006</v>
      </c>
      <c r="Y45" s="1216">
        <f t="shared" si="41"/>
        <v>77.05</v>
      </c>
      <c r="Z45" s="1216">
        <f t="shared" si="41"/>
        <v>78.06</v>
      </c>
      <c r="AA45" s="1216" t="str">
        <f t="shared" si="41"/>
        <v/>
      </c>
      <c r="AB45" s="1217" t="str">
        <f t="shared" si="41"/>
        <v/>
      </c>
      <c r="AC45" s="1216" t="str">
        <f t="shared" si="41"/>
        <v/>
      </c>
      <c r="AD45" s="1218" t="str">
        <f t="shared" si="41"/>
        <v/>
      </c>
      <c r="AE45" s="1219">
        <f t="shared" si="27"/>
        <v>79.040000000000006</v>
      </c>
      <c r="AF45" s="282">
        <f t="shared" si="28"/>
        <v>77.02</v>
      </c>
      <c r="AG45" s="282" t="str">
        <f t="shared" si="29"/>
        <v>cukup</v>
      </c>
      <c r="AH45" s="282" t="str">
        <f t="shared" si="29"/>
        <v>cukup</v>
      </c>
      <c r="AI45" s="282">
        <f t="shared" si="30"/>
        <v>4</v>
      </c>
      <c r="AJ45" s="283">
        <f t="shared" si="31"/>
        <v>2</v>
      </c>
      <c r="AK45" s="284" t="str">
        <f t="shared" si="32"/>
        <v>Memiliki kemampuan cukup dalam Menganalisis konsep energi, usaha dan perubahan energi dan Menganalisis interaksi hubungan antar gaya</v>
      </c>
      <c r="AL45" s="276">
        <v>88</v>
      </c>
      <c r="AM45" s="277">
        <v>88</v>
      </c>
      <c r="AN45" s="277">
        <v>88</v>
      </c>
      <c r="AO45" s="277">
        <v>88</v>
      </c>
      <c r="AP45" s="277"/>
      <c r="AQ45" s="277"/>
      <c r="AR45" s="277"/>
      <c r="AS45" s="280"/>
      <c r="AT45" s="277"/>
      <c r="AU45" s="278"/>
      <c r="AV45" s="285">
        <f t="shared" si="33"/>
        <v>88</v>
      </c>
      <c r="AW45" s="296" t="str">
        <f t="shared" si="34"/>
        <v>B</v>
      </c>
      <c r="AX45" s="1220">
        <f t="shared" si="42"/>
        <v>88.01</v>
      </c>
      <c r="AY45" s="1221">
        <f t="shared" si="42"/>
        <v>88.02</v>
      </c>
      <c r="AZ45" s="1221">
        <f t="shared" si="42"/>
        <v>88.03</v>
      </c>
      <c r="BA45" s="1221">
        <f t="shared" si="42"/>
        <v>88.04</v>
      </c>
      <c r="BB45" s="1221" t="str">
        <f t="shared" si="42"/>
        <v/>
      </c>
      <c r="BC45" s="1221" t="str">
        <f t="shared" si="42"/>
        <v/>
      </c>
      <c r="BD45" s="1221" t="str">
        <f t="shared" si="42"/>
        <v/>
      </c>
      <c r="BE45" s="1222" t="str">
        <f t="shared" si="42"/>
        <v/>
      </c>
      <c r="BF45" s="1221" t="str">
        <f t="shared" si="42"/>
        <v/>
      </c>
      <c r="BG45" s="1223" t="str">
        <f t="shared" si="42"/>
        <v/>
      </c>
      <c r="BH45" s="286">
        <f t="shared" si="35"/>
        <v>88.04</v>
      </c>
      <c r="BI45" s="286">
        <f t="shared" si="36"/>
        <v>88.01</v>
      </c>
      <c r="BJ45" s="287" t="str">
        <f t="shared" si="37"/>
        <v>baik</v>
      </c>
      <c r="BK45" s="287" t="str">
        <f t="shared" si="37"/>
        <v>baik</v>
      </c>
      <c r="BL45" s="286">
        <f t="shared" si="38"/>
        <v>4</v>
      </c>
      <c r="BM45" s="288">
        <f t="shared" si="39"/>
        <v>1</v>
      </c>
      <c r="BN45" s="289" t="str">
        <f t="shared" si="40"/>
        <v>Memiliki keterampilan baik dalam KD keterampilan 4 Ekonomi dan Melakukan percobaan getaran harmonis pada ayunan sederhana</v>
      </c>
      <c r="BO45" s="67"/>
    </row>
    <row r="46" spans="1:67" ht="33" customHeight="1">
      <c r="A46" s="67"/>
      <c r="B46" s="272">
        <f t="shared" si="23"/>
        <v>33</v>
      </c>
      <c r="C46" s="273">
        <f>IF(Data!F37="","",Data!F37)</f>
        <v>0</v>
      </c>
      <c r="D46" s="274" t="str">
        <f>IF(Data!H37="","",Data!H37)</f>
        <v>Venciani Sefrianti Sufnera</v>
      </c>
      <c r="E46" s="275" t="str">
        <f>IF(Data!I37="","",Data!I37)</f>
        <v>P</v>
      </c>
      <c r="F46" s="276"/>
      <c r="G46" s="276">
        <v>77</v>
      </c>
      <c r="H46" s="277">
        <v>78</v>
      </c>
      <c r="I46" s="277">
        <v>79</v>
      </c>
      <c r="J46" s="277">
        <v>77</v>
      </c>
      <c r="K46" s="277">
        <v>78</v>
      </c>
      <c r="L46" s="277"/>
      <c r="M46" s="280"/>
      <c r="N46" s="277"/>
      <c r="O46" s="278"/>
      <c r="P46" s="279">
        <f t="shared" si="24"/>
        <v>78</v>
      </c>
      <c r="Q46" s="277">
        <v>85</v>
      </c>
      <c r="R46" s="280">
        <v>87</v>
      </c>
      <c r="S46" s="281">
        <f t="shared" si="25"/>
        <v>82</v>
      </c>
      <c r="T46" s="295" t="str">
        <f t="shared" si="26"/>
        <v>C</v>
      </c>
      <c r="U46" s="1215" t="str">
        <f t="shared" si="41"/>
        <v/>
      </c>
      <c r="V46" s="1216">
        <f t="shared" si="41"/>
        <v>77.02</v>
      </c>
      <c r="W46" s="1216">
        <f t="shared" si="41"/>
        <v>78.03</v>
      </c>
      <c r="X46" s="1216">
        <f t="shared" si="41"/>
        <v>79.040000000000006</v>
      </c>
      <c r="Y46" s="1216">
        <f t="shared" si="41"/>
        <v>77.05</v>
      </c>
      <c r="Z46" s="1216">
        <f t="shared" si="41"/>
        <v>78.06</v>
      </c>
      <c r="AA46" s="1216" t="str">
        <f t="shared" si="41"/>
        <v/>
      </c>
      <c r="AB46" s="1217" t="str">
        <f t="shared" si="41"/>
        <v/>
      </c>
      <c r="AC46" s="1216" t="str">
        <f t="shared" si="41"/>
        <v/>
      </c>
      <c r="AD46" s="1218" t="str">
        <f t="shared" si="41"/>
        <v/>
      </c>
      <c r="AE46" s="1219">
        <f t="shared" si="27"/>
        <v>79.040000000000006</v>
      </c>
      <c r="AF46" s="282">
        <f t="shared" si="28"/>
        <v>77.02</v>
      </c>
      <c r="AG46" s="282" t="str">
        <f t="shared" si="29"/>
        <v>cukup</v>
      </c>
      <c r="AH46" s="282" t="str">
        <f t="shared" si="29"/>
        <v>cukup</v>
      </c>
      <c r="AI46" s="282">
        <f t="shared" si="30"/>
        <v>4</v>
      </c>
      <c r="AJ46" s="283">
        <f t="shared" si="31"/>
        <v>2</v>
      </c>
      <c r="AK46" s="284" t="str">
        <f t="shared" si="32"/>
        <v>Memiliki kemampuan cukup dalam Menganalisis konsep energi, usaha dan perubahan energi dan Menganalisis interaksi hubungan antar gaya</v>
      </c>
      <c r="AL46" s="276">
        <v>88</v>
      </c>
      <c r="AM46" s="277">
        <v>88</v>
      </c>
      <c r="AN46" s="277">
        <v>88</v>
      </c>
      <c r="AO46" s="277">
        <v>88</v>
      </c>
      <c r="AP46" s="277"/>
      <c r="AQ46" s="277"/>
      <c r="AR46" s="277"/>
      <c r="AS46" s="280"/>
      <c r="AT46" s="277"/>
      <c r="AU46" s="278"/>
      <c r="AV46" s="285">
        <f t="shared" si="33"/>
        <v>88</v>
      </c>
      <c r="AW46" s="296" t="str">
        <f t="shared" si="34"/>
        <v>B</v>
      </c>
      <c r="AX46" s="1220">
        <f t="shared" si="42"/>
        <v>88.01</v>
      </c>
      <c r="AY46" s="1221">
        <f t="shared" si="42"/>
        <v>88.02</v>
      </c>
      <c r="AZ46" s="1221">
        <f t="shared" si="42"/>
        <v>88.03</v>
      </c>
      <c r="BA46" s="1221">
        <f t="shared" si="42"/>
        <v>88.04</v>
      </c>
      <c r="BB46" s="1221" t="str">
        <f t="shared" si="42"/>
        <v/>
      </c>
      <c r="BC46" s="1221" t="str">
        <f t="shared" si="42"/>
        <v/>
      </c>
      <c r="BD46" s="1221" t="str">
        <f t="shared" si="42"/>
        <v/>
      </c>
      <c r="BE46" s="1222" t="str">
        <f t="shared" si="42"/>
        <v/>
      </c>
      <c r="BF46" s="1221" t="str">
        <f t="shared" si="42"/>
        <v/>
      </c>
      <c r="BG46" s="1223" t="str">
        <f t="shared" si="42"/>
        <v/>
      </c>
      <c r="BH46" s="286">
        <f t="shared" si="35"/>
        <v>88.04</v>
      </c>
      <c r="BI46" s="286">
        <f t="shared" si="36"/>
        <v>88.01</v>
      </c>
      <c r="BJ46" s="287" t="str">
        <f t="shared" si="37"/>
        <v>baik</v>
      </c>
      <c r="BK46" s="287" t="str">
        <f t="shared" si="37"/>
        <v>baik</v>
      </c>
      <c r="BL46" s="286">
        <f t="shared" si="38"/>
        <v>4</v>
      </c>
      <c r="BM46" s="288">
        <f t="shared" si="39"/>
        <v>1</v>
      </c>
      <c r="BN46" s="289" t="str">
        <f t="shared" si="40"/>
        <v>Memiliki keterampilan baik dalam KD keterampilan 4 Ekonomi dan Melakukan percobaan getaran harmonis pada ayunan sederhana</v>
      </c>
      <c r="BO46" s="67"/>
    </row>
    <row r="47" spans="1:67" ht="33" customHeight="1">
      <c r="A47" s="67"/>
      <c r="B47" s="272">
        <f t="shared" si="23"/>
        <v>34</v>
      </c>
      <c r="C47" s="273">
        <f>IF(Data!F38="","",Data!F38)</f>
        <v>0</v>
      </c>
      <c r="D47" s="274" t="str">
        <f>IF(Data!H38="","",Data!H38)</f>
        <v>Yangres Nitti</v>
      </c>
      <c r="E47" s="275" t="str">
        <f>IF(Data!I38="","",Data!I38)</f>
        <v>L</v>
      </c>
      <c r="F47" s="276"/>
      <c r="G47" s="276">
        <v>77</v>
      </c>
      <c r="H47" s="277">
        <v>78</v>
      </c>
      <c r="I47" s="277">
        <v>79</v>
      </c>
      <c r="J47" s="277">
        <v>77</v>
      </c>
      <c r="K47" s="277">
        <v>78</v>
      </c>
      <c r="L47" s="277"/>
      <c r="M47" s="280"/>
      <c r="N47" s="277"/>
      <c r="O47" s="278"/>
      <c r="P47" s="279">
        <f t="shared" si="24"/>
        <v>78</v>
      </c>
      <c r="Q47" s="277">
        <v>85</v>
      </c>
      <c r="R47" s="280">
        <v>87</v>
      </c>
      <c r="S47" s="281">
        <f t="shared" si="25"/>
        <v>82</v>
      </c>
      <c r="T47" s="295" t="str">
        <f t="shared" si="26"/>
        <v>C</v>
      </c>
      <c r="U47" s="1215" t="str">
        <f t="shared" si="41"/>
        <v/>
      </c>
      <c r="V47" s="1216">
        <f t="shared" si="41"/>
        <v>77.02</v>
      </c>
      <c r="W47" s="1216">
        <f t="shared" si="41"/>
        <v>78.03</v>
      </c>
      <c r="X47" s="1216">
        <f t="shared" si="41"/>
        <v>79.040000000000006</v>
      </c>
      <c r="Y47" s="1216">
        <f t="shared" si="41"/>
        <v>77.05</v>
      </c>
      <c r="Z47" s="1216">
        <f t="shared" si="41"/>
        <v>78.06</v>
      </c>
      <c r="AA47" s="1216" t="str">
        <f t="shared" si="41"/>
        <v/>
      </c>
      <c r="AB47" s="1217" t="str">
        <f t="shared" si="41"/>
        <v/>
      </c>
      <c r="AC47" s="1216" t="str">
        <f t="shared" si="41"/>
        <v/>
      </c>
      <c r="AD47" s="1218" t="str">
        <f t="shared" si="41"/>
        <v/>
      </c>
      <c r="AE47" s="1219">
        <f t="shared" si="27"/>
        <v>79.040000000000006</v>
      </c>
      <c r="AF47" s="282">
        <f t="shared" si="28"/>
        <v>77.02</v>
      </c>
      <c r="AG47" s="282" t="str">
        <f t="shared" si="29"/>
        <v>cukup</v>
      </c>
      <c r="AH47" s="282" t="str">
        <f t="shared" si="29"/>
        <v>cukup</v>
      </c>
      <c r="AI47" s="282">
        <f t="shared" si="30"/>
        <v>4</v>
      </c>
      <c r="AJ47" s="283">
        <f t="shared" si="31"/>
        <v>2</v>
      </c>
      <c r="AK47" s="284" t="str">
        <f t="shared" si="32"/>
        <v>Memiliki kemampuan cukup dalam Menganalisis konsep energi, usaha dan perubahan energi dan Menganalisis interaksi hubungan antar gaya</v>
      </c>
      <c r="AL47" s="276">
        <v>88</v>
      </c>
      <c r="AM47" s="277">
        <v>88</v>
      </c>
      <c r="AN47" s="277">
        <v>88</v>
      </c>
      <c r="AO47" s="277">
        <v>88</v>
      </c>
      <c r="AP47" s="277"/>
      <c r="AQ47" s="277"/>
      <c r="AR47" s="277"/>
      <c r="AS47" s="280"/>
      <c r="AT47" s="277"/>
      <c r="AU47" s="278"/>
      <c r="AV47" s="285">
        <f t="shared" si="33"/>
        <v>88</v>
      </c>
      <c r="AW47" s="296" t="str">
        <f t="shared" si="34"/>
        <v>B</v>
      </c>
      <c r="AX47" s="1220">
        <f t="shared" si="42"/>
        <v>88.01</v>
      </c>
      <c r="AY47" s="1221">
        <f t="shared" si="42"/>
        <v>88.02</v>
      </c>
      <c r="AZ47" s="1221">
        <f t="shared" si="42"/>
        <v>88.03</v>
      </c>
      <c r="BA47" s="1221">
        <f t="shared" si="42"/>
        <v>88.04</v>
      </c>
      <c r="BB47" s="1221" t="str">
        <f t="shared" si="42"/>
        <v/>
      </c>
      <c r="BC47" s="1221" t="str">
        <f t="shared" si="42"/>
        <v/>
      </c>
      <c r="BD47" s="1221" t="str">
        <f t="shared" si="42"/>
        <v/>
      </c>
      <c r="BE47" s="1222" t="str">
        <f t="shared" si="42"/>
        <v/>
      </c>
      <c r="BF47" s="1221" t="str">
        <f t="shared" si="42"/>
        <v/>
      </c>
      <c r="BG47" s="1223" t="str">
        <f t="shared" si="42"/>
        <v/>
      </c>
      <c r="BH47" s="286">
        <f t="shared" si="35"/>
        <v>88.04</v>
      </c>
      <c r="BI47" s="286">
        <f t="shared" si="36"/>
        <v>88.01</v>
      </c>
      <c r="BJ47" s="287" t="str">
        <f t="shared" si="37"/>
        <v>baik</v>
      </c>
      <c r="BK47" s="287" t="str">
        <f t="shared" si="37"/>
        <v>baik</v>
      </c>
      <c r="BL47" s="286">
        <f t="shared" si="38"/>
        <v>4</v>
      </c>
      <c r="BM47" s="288">
        <f t="shared" si="39"/>
        <v>1</v>
      </c>
      <c r="BN47" s="289" t="str">
        <f t="shared" si="40"/>
        <v>Memiliki keterampilan baik dalam KD keterampilan 4 Ekonomi dan Melakukan percobaan getaran harmonis pada ayunan sederhana</v>
      </c>
      <c r="BO47" s="67"/>
    </row>
    <row r="48" spans="1:67" ht="33" customHeight="1">
      <c r="A48" s="67"/>
      <c r="B48" s="272">
        <f t="shared" si="23"/>
        <v>35</v>
      </c>
      <c r="C48" s="273">
        <f>IF(Data!F39="","",Data!F39)</f>
        <v>0</v>
      </c>
      <c r="D48" s="274" t="str">
        <f>IF(Data!H39="","",Data!H39)</f>
        <v>Yefta Trianus Mau</v>
      </c>
      <c r="E48" s="275" t="str">
        <f>IF(Data!I39="","",Data!I39)</f>
        <v>L</v>
      </c>
      <c r="F48" s="276"/>
      <c r="G48" s="276">
        <v>77</v>
      </c>
      <c r="H48" s="277">
        <v>78</v>
      </c>
      <c r="I48" s="277">
        <v>79</v>
      </c>
      <c r="J48" s="277">
        <v>77</v>
      </c>
      <c r="K48" s="277">
        <v>78</v>
      </c>
      <c r="L48" s="277"/>
      <c r="M48" s="280"/>
      <c r="N48" s="277"/>
      <c r="O48" s="278"/>
      <c r="P48" s="279">
        <f t="shared" si="24"/>
        <v>78</v>
      </c>
      <c r="Q48" s="277">
        <v>87</v>
      </c>
      <c r="R48" s="280">
        <v>86</v>
      </c>
      <c r="S48" s="281">
        <f t="shared" si="25"/>
        <v>82</v>
      </c>
      <c r="T48" s="295" t="str">
        <f t="shared" si="26"/>
        <v>C</v>
      </c>
      <c r="U48" s="1215" t="str">
        <f t="shared" si="41"/>
        <v/>
      </c>
      <c r="V48" s="1216">
        <f t="shared" si="41"/>
        <v>77.02</v>
      </c>
      <c r="W48" s="1216">
        <f t="shared" si="41"/>
        <v>78.03</v>
      </c>
      <c r="X48" s="1216">
        <f t="shared" si="41"/>
        <v>79.040000000000006</v>
      </c>
      <c r="Y48" s="1216">
        <f t="shared" si="41"/>
        <v>77.05</v>
      </c>
      <c r="Z48" s="1216">
        <f t="shared" si="41"/>
        <v>78.06</v>
      </c>
      <c r="AA48" s="1216" t="str">
        <f t="shared" si="41"/>
        <v/>
      </c>
      <c r="AB48" s="1217" t="str">
        <f t="shared" si="41"/>
        <v/>
      </c>
      <c r="AC48" s="1216" t="str">
        <f t="shared" si="41"/>
        <v/>
      </c>
      <c r="AD48" s="1218" t="str">
        <f t="shared" si="41"/>
        <v/>
      </c>
      <c r="AE48" s="1219">
        <f t="shared" si="27"/>
        <v>79.040000000000006</v>
      </c>
      <c r="AF48" s="282">
        <f t="shared" si="28"/>
        <v>77.02</v>
      </c>
      <c r="AG48" s="282" t="str">
        <f t="shared" si="29"/>
        <v>cukup</v>
      </c>
      <c r="AH48" s="282" t="str">
        <f t="shared" si="29"/>
        <v>cukup</v>
      </c>
      <c r="AI48" s="282">
        <f t="shared" si="30"/>
        <v>4</v>
      </c>
      <c r="AJ48" s="283">
        <f t="shared" si="31"/>
        <v>2</v>
      </c>
      <c r="AK48" s="284" t="str">
        <f t="shared" si="32"/>
        <v>Memiliki kemampuan cukup dalam Menganalisis konsep energi, usaha dan perubahan energi dan Menganalisis interaksi hubungan antar gaya</v>
      </c>
      <c r="AL48" s="276">
        <v>88</v>
      </c>
      <c r="AM48" s="277">
        <v>88</v>
      </c>
      <c r="AN48" s="277">
        <v>88</v>
      </c>
      <c r="AO48" s="277">
        <v>88</v>
      </c>
      <c r="AP48" s="277"/>
      <c r="AQ48" s="277"/>
      <c r="AR48" s="277"/>
      <c r="AS48" s="280"/>
      <c r="AT48" s="277"/>
      <c r="AU48" s="278"/>
      <c r="AV48" s="285">
        <f t="shared" si="33"/>
        <v>88</v>
      </c>
      <c r="AW48" s="296" t="str">
        <f t="shared" si="34"/>
        <v>B</v>
      </c>
      <c r="AX48" s="1220">
        <f t="shared" si="42"/>
        <v>88.01</v>
      </c>
      <c r="AY48" s="1221">
        <f t="shared" si="42"/>
        <v>88.02</v>
      </c>
      <c r="AZ48" s="1221">
        <f t="shared" si="42"/>
        <v>88.03</v>
      </c>
      <c r="BA48" s="1221">
        <f t="shared" si="42"/>
        <v>88.04</v>
      </c>
      <c r="BB48" s="1221" t="str">
        <f t="shared" si="42"/>
        <v/>
      </c>
      <c r="BC48" s="1221" t="str">
        <f t="shared" si="42"/>
        <v/>
      </c>
      <c r="BD48" s="1221" t="str">
        <f t="shared" si="42"/>
        <v/>
      </c>
      <c r="BE48" s="1222" t="str">
        <f t="shared" si="42"/>
        <v/>
      </c>
      <c r="BF48" s="1221" t="str">
        <f t="shared" si="42"/>
        <v/>
      </c>
      <c r="BG48" s="1223" t="str">
        <f t="shared" si="42"/>
        <v/>
      </c>
      <c r="BH48" s="286">
        <f t="shared" si="35"/>
        <v>88.04</v>
      </c>
      <c r="BI48" s="286">
        <f t="shared" si="36"/>
        <v>88.01</v>
      </c>
      <c r="BJ48" s="287" t="str">
        <f t="shared" si="37"/>
        <v>baik</v>
      </c>
      <c r="BK48" s="287" t="str">
        <f t="shared" si="37"/>
        <v>baik</v>
      </c>
      <c r="BL48" s="286">
        <f t="shared" si="38"/>
        <v>4</v>
      </c>
      <c r="BM48" s="288">
        <f t="shared" si="39"/>
        <v>1</v>
      </c>
      <c r="BN48" s="289" t="str">
        <f t="shared" si="40"/>
        <v>Memiliki keterampilan baik dalam KD keterampilan 4 Ekonomi dan Melakukan percobaan getaran harmonis pada ayunan sederhana</v>
      </c>
      <c r="BO48" s="67"/>
    </row>
    <row r="49" spans="1:67" ht="33" customHeight="1">
      <c r="A49" s="67"/>
      <c r="B49" s="272">
        <f t="shared" si="23"/>
        <v>36</v>
      </c>
      <c r="C49" s="273">
        <f>IF(Data!F40="","",Data!F40)</f>
        <v>0</v>
      </c>
      <c r="D49" s="274" t="str">
        <f>IF(Data!H40="","",Data!H40)</f>
        <v>Yuliana Febriyanti Nggeon</v>
      </c>
      <c r="E49" s="275" t="str">
        <f>IF(Data!I40="","",Data!I40)</f>
        <v>P</v>
      </c>
      <c r="F49" s="276"/>
      <c r="G49" s="276">
        <v>77</v>
      </c>
      <c r="H49" s="277">
        <v>78</v>
      </c>
      <c r="I49" s="277">
        <v>79</v>
      </c>
      <c r="J49" s="277">
        <v>77</v>
      </c>
      <c r="K49" s="277">
        <v>78</v>
      </c>
      <c r="L49" s="277"/>
      <c r="M49" s="280"/>
      <c r="N49" s="277"/>
      <c r="O49" s="278"/>
      <c r="P49" s="279">
        <f t="shared" si="24"/>
        <v>78</v>
      </c>
      <c r="Q49" s="277">
        <v>85</v>
      </c>
      <c r="R49" s="280">
        <v>87</v>
      </c>
      <c r="S49" s="281">
        <f t="shared" si="25"/>
        <v>82</v>
      </c>
      <c r="T49" s="295" t="str">
        <f t="shared" si="26"/>
        <v>C</v>
      </c>
      <c r="U49" s="1215" t="str">
        <f t="shared" si="41"/>
        <v/>
      </c>
      <c r="V49" s="1216">
        <f t="shared" si="41"/>
        <v>77.02</v>
      </c>
      <c r="W49" s="1216">
        <f t="shared" si="41"/>
        <v>78.03</v>
      </c>
      <c r="X49" s="1216">
        <f t="shared" si="41"/>
        <v>79.040000000000006</v>
      </c>
      <c r="Y49" s="1216">
        <f t="shared" si="41"/>
        <v>77.05</v>
      </c>
      <c r="Z49" s="1216">
        <f t="shared" si="41"/>
        <v>78.06</v>
      </c>
      <c r="AA49" s="1216" t="str">
        <f t="shared" si="41"/>
        <v/>
      </c>
      <c r="AB49" s="1217" t="str">
        <f t="shared" si="41"/>
        <v/>
      </c>
      <c r="AC49" s="1216" t="str">
        <f t="shared" si="41"/>
        <v/>
      </c>
      <c r="AD49" s="1218" t="str">
        <f t="shared" si="41"/>
        <v/>
      </c>
      <c r="AE49" s="1219">
        <f t="shared" si="27"/>
        <v>79.040000000000006</v>
      </c>
      <c r="AF49" s="282">
        <f t="shared" si="28"/>
        <v>77.02</v>
      </c>
      <c r="AG49" s="282" t="str">
        <f t="shared" si="29"/>
        <v>cukup</v>
      </c>
      <c r="AH49" s="282" t="str">
        <f t="shared" si="29"/>
        <v>cukup</v>
      </c>
      <c r="AI49" s="282">
        <f t="shared" si="30"/>
        <v>4</v>
      </c>
      <c r="AJ49" s="283">
        <f t="shared" si="31"/>
        <v>2</v>
      </c>
      <c r="AK49" s="284" t="str">
        <f t="shared" si="32"/>
        <v>Memiliki kemampuan cukup dalam Menganalisis konsep energi, usaha dan perubahan energi dan Menganalisis interaksi hubungan antar gaya</v>
      </c>
      <c r="AL49" s="276">
        <v>88</v>
      </c>
      <c r="AM49" s="277">
        <v>88</v>
      </c>
      <c r="AN49" s="277">
        <v>88</v>
      </c>
      <c r="AO49" s="277">
        <v>88</v>
      </c>
      <c r="AP49" s="277"/>
      <c r="AQ49" s="277"/>
      <c r="AR49" s="277"/>
      <c r="AS49" s="280"/>
      <c r="AT49" s="277"/>
      <c r="AU49" s="278"/>
      <c r="AV49" s="285">
        <f t="shared" si="33"/>
        <v>88</v>
      </c>
      <c r="AW49" s="296" t="str">
        <f t="shared" si="34"/>
        <v>B</v>
      </c>
      <c r="AX49" s="1220">
        <f t="shared" si="42"/>
        <v>88.01</v>
      </c>
      <c r="AY49" s="1221">
        <f t="shared" si="42"/>
        <v>88.02</v>
      </c>
      <c r="AZ49" s="1221">
        <f t="shared" si="42"/>
        <v>88.03</v>
      </c>
      <c r="BA49" s="1221">
        <f t="shared" si="42"/>
        <v>88.04</v>
      </c>
      <c r="BB49" s="1221" t="str">
        <f t="shared" si="42"/>
        <v/>
      </c>
      <c r="BC49" s="1221" t="str">
        <f t="shared" si="42"/>
        <v/>
      </c>
      <c r="BD49" s="1221" t="str">
        <f t="shared" si="42"/>
        <v/>
      </c>
      <c r="BE49" s="1222" t="str">
        <f t="shared" si="42"/>
        <v/>
      </c>
      <c r="BF49" s="1221" t="str">
        <f t="shared" si="42"/>
        <v/>
      </c>
      <c r="BG49" s="1223" t="str">
        <f t="shared" si="42"/>
        <v/>
      </c>
      <c r="BH49" s="286">
        <f t="shared" si="35"/>
        <v>88.04</v>
      </c>
      <c r="BI49" s="286">
        <f t="shared" si="36"/>
        <v>88.01</v>
      </c>
      <c r="BJ49" s="287" t="str">
        <f t="shared" si="37"/>
        <v>baik</v>
      </c>
      <c r="BK49" s="287" t="str">
        <f t="shared" si="37"/>
        <v>baik</v>
      </c>
      <c r="BL49" s="286">
        <f t="shared" si="38"/>
        <v>4</v>
      </c>
      <c r="BM49" s="288">
        <f t="shared" si="39"/>
        <v>1</v>
      </c>
      <c r="BN49" s="289" t="str">
        <f t="shared" si="40"/>
        <v>Memiliki keterampilan baik dalam KD keterampilan 4 Ekonomi dan Melakukan percobaan getaran harmonis pada ayunan sederhana</v>
      </c>
      <c r="BO49" s="67"/>
    </row>
    <row r="50" spans="1:67" ht="33" customHeight="1">
      <c r="A50" s="67"/>
      <c r="B50" s="272">
        <f t="shared" si="23"/>
        <v>37</v>
      </c>
      <c r="C50" s="273">
        <f>IF(Data!F41="","",Data!F41)</f>
        <v>0</v>
      </c>
      <c r="D50" s="274" t="str">
        <f>IF(Data!H41="","",Data!H41)</f>
        <v>Yuninda Pono</v>
      </c>
      <c r="E50" s="275" t="str">
        <f>IF(Data!I41="","",Data!I41)</f>
        <v>P</v>
      </c>
      <c r="F50" s="276"/>
      <c r="G50" s="276">
        <v>77</v>
      </c>
      <c r="H50" s="277">
        <v>78</v>
      </c>
      <c r="I50" s="277">
        <v>79</v>
      </c>
      <c r="J50" s="277">
        <v>77</v>
      </c>
      <c r="K50" s="277">
        <v>78</v>
      </c>
      <c r="L50" s="277"/>
      <c r="M50" s="280"/>
      <c r="N50" s="277"/>
      <c r="O50" s="278"/>
      <c r="P50" s="279">
        <f t="shared" si="24"/>
        <v>78</v>
      </c>
      <c r="Q50" s="277">
        <v>85</v>
      </c>
      <c r="R50" s="280">
        <v>87</v>
      </c>
      <c r="S50" s="281">
        <f t="shared" si="25"/>
        <v>82</v>
      </c>
      <c r="T50" s="295" t="str">
        <f t="shared" si="26"/>
        <v>C</v>
      </c>
      <c r="U50" s="1215" t="str">
        <f t="shared" si="41"/>
        <v/>
      </c>
      <c r="V50" s="1216">
        <f t="shared" si="41"/>
        <v>77.02</v>
      </c>
      <c r="W50" s="1216">
        <f t="shared" si="41"/>
        <v>78.03</v>
      </c>
      <c r="X50" s="1216">
        <f t="shared" si="41"/>
        <v>79.040000000000006</v>
      </c>
      <c r="Y50" s="1216">
        <f t="shared" si="41"/>
        <v>77.05</v>
      </c>
      <c r="Z50" s="1216">
        <f t="shared" si="41"/>
        <v>78.06</v>
      </c>
      <c r="AA50" s="1216" t="str">
        <f t="shared" si="41"/>
        <v/>
      </c>
      <c r="AB50" s="1217" t="str">
        <f t="shared" si="41"/>
        <v/>
      </c>
      <c r="AC50" s="1216" t="str">
        <f t="shared" si="41"/>
        <v/>
      </c>
      <c r="AD50" s="1218" t="str">
        <f t="shared" si="41"/>
        <v/>
      </c>
      <c r="AE50" s="1219">
        <f t="shared" si="27"/>
        <v>79.040000000000006</v>
      </c>
      <c r="AF50" s="282">
        <f t="shared" si="28"/>
        <v>77.02</v>
      </c>
      <c r="AG50" s="282" t="str">
        <f t="shared" si="29"/>
        <v>cukup</v>
      </c>
      <c r="AH50" s="282" t="str">
        <f t="shared" si="29"/>
        <v>cukup</v>
      </c>
      <c r="AI50" s="282">
        <f t="shared" si="30"/>
        <v>4</v>
      </c>
      <c r="AJ50" s="283">
        <f t="shared" si="31"/>
        <v>2</v>
      </c>
      <c r="AK50" s="284" t="str">
        <f t="shared" si="32"/>
        <v>Memiliki kemampuan cukup dalam Menganalisis konsep energi, usaha dan perubahan energi dan Menganalisis interaksi hubungan antar gaya</v>
      </c>
      <c r="AL50" s="276">
        <v>88</v>
      </c>
      <c r="AM50" s="277">
        <v>88</v>
      </c>
      <c r="AN50" s="277">
        <v>88</v>
      </c>
      <c r="AO50" s="277">
        <v>88</v>
      </c>
      <c r="AP50" s="277"/>
      <c r="AQ50" s="277"/>
      <c r="AR50" s="277"/>
      <c r="AS50" s="280"/>
      <c r="AT50" s="277"/>
      <c r="AU50" s="278"/>
      <c r="AV50" s="285">
        <f t="shared" si="33"/>
        <v>88</v>
      </c>
      <c r="AW50" s="296" t="str">
        <f t="shared" si="34"/>
        <v>B</v>
      </c>
      <c r="AX50" s="1220">
        <f t="shared" si="42"/>
        <v>88.01</v>
      </c>
      <c r="AY50" s="1221">
        <f t="shared" si="42"/>
        <v>88.02</v>
      </c>
      <c r="AZ50" s="1221">
        <f t="shared" si="42"/>
        <v>88.03</v>
      </c>
      <c r="BA50" s="1221">
        <f t="shared" si="42"/>
        <v>88.04</v>
      </c>
      <c r="BB50" s="1221" t="str">
        <f t="shared" si="42"/>
        <v/>
      </c>
      <c r="BC50" s="1221" t="str">
        <f t="shared" si="42"/>
        <v/>
      </c>
      <c r="BD50" s="1221" t="str">
        <f t="shared" si="42"/>
        <v/>
      </c>
      <c r="BE50" s="1222" t="str">
        <f t="shared" si="42"/>
        <v/>
      </c>
      <c r="BF50" s="1221" t="str">
        <f t="shared" si="42"/>
        <v/>
      </c>
      <c r="BG50" s="1223" t="str">
        <f t="shared" si="42"/>
        <v/>
      </c>
      <c r="BH50" s="286">
        <f t="shared" si="35"/>
        <v>88.04</v>
      </c>
      <c r="BI50" s="286">
        <f t="shared" si="36"/>
        <v>88.01</v>
      </c>
      <c r="BJ50" s="287" t="str">
        <f t="shared" si="37"/>
        <v>baik</v>
      </c>
      <c r="BK50" s="287" t="str">
        <f t="shared" si="37"/>
        <v>baik</v>
      </c>
      <c r="BL50" s="286">
        <f t="shared" si="38"/>
        <v>4</v>
      </c>
      <c r="BM50" s="288">
        <f t="shared" si="39"/>
        <v>1</v>
      </c>
      <c r="BN50" s="289" t="str">
        <f t="shared" si="40"/>
        <v>Memiliki keterampilan baik dalam KD keterampilan 4 Ekonomi dan Melakukan percobaan getaran harmonis pada ayunan sederhana</v>
      </c>
      <c r="BO50" s="67"/>
    </row>
    <row r="51" spans="1:67" ht="33" customHeight="1">
      <c r="A51" s="67"/>
      <c r="B51" s="272" t="str">
        <f t="shared" si="23"/>
        <v/>
      </c>
      <c r="C51" s="273" t="str">
        <f>IF(Data!F42="","",Data!F42)</f>
        <v/>
      </c>
      <c r="D51" s="274" t="str">
        <f>IF(Data!H42="","",Data!H42)</f>
        <v/>
      </c>
      <c r="E51" s="275" t="str">
        <f>IF(Data!I42="","",Data!I42)</f>
        <v/>
      </c>
      <c r="F51" s="276"/>
      <c r="G51" s="277"/>
      <c r="H51" s="277"/>
      <c r="I51" s="277"/>
      <c r="J51" s="277"/>
      <c r="K51" s="277"/>
      <c r="L51" s="277"/>
      <c r="M51" s="280"/>
      <c r="N51" s="277"/>
      <c r="O51" s="278"/>
      <c r="P51" s="279" t="str">
        <f t="shared" si="24"/>
        <v/>
      </c>
      <c r="Q51" s="277"/>
      <c r="R51" s="280"/>
      <c r="S51" s="281" t="str">
        <f t="shared" si="25"/>
        <v/>
      </c>
      <c r="T51" s="295" t="str">
        <f t="shared" si="26"/>
        <v/>
      </c>
      <c r="U51" s="1215" t="str">
        <f t="shared" si="41"/>
        <v/>
      </c>
      <c r="V51" s="1216" t="str">
        <f t="shared" si="41"/>
        <v/>
      </c>
      <c r="W51" s="1216" t="str">
        <f t="shared" si="41"/>
        <v/>
      </c>
      <c r="X51" s="1216" t="str">
        <f t="shared" si="41"/>
        <v/>
      </c>
      <c r="Y51" s="1216" t="str">
        <f t="shared" si="41"/>
        <v/>
      </c>
      <c r="Z51" s="1216" t="str">
        <f t="shared" si="41"/>
        <v/>
      </c>
      <c r="AA51" s="1216" t="str">
        <f t="shared" si="41"/>
        <v/>
      </c>
      <c r="AB51" s="1217" t="str">
        <f t="shared" si="41"/>
        <v/>
      </c>
      <c r="AC51" s="1216" t="str">
        <f t="shared" si="41"/>
        <v/>
      </c>
      <c r="AD51" s="1218" t="str">
        <f t="shared" si="41"/>
        <v/>
      </c>
      <c r="AE51" s="1219">
        <f t="shared" si="27"/>
        <v>0</v>
      </c>
      <c r="AF51" s="282">
        <f t="shared" si="28"/>
        <v>0</v>
      </c>
      <c r="AG51" s="282" t="str">
        <f t="shared" si="29"/>
        <v>perlu dimaksimalkan</v>
      </c>
      <c r="AH51" s="282" t="str">
        <f t="shared" si="29"/>
        <v>perlu dimaksimalkan</v>
      </c>
      <c r="AI51" s="282" t="str">
        <f t="shared" si="30"/>
        <v/>
      </c>
      <c r="AJ51" s="283" t="str">
        <f t="shared" si="31"/>
        <v/>
      </c>
      <c r="AK51" s="284" t="str">
        <f t="shared" si="32"/>
        <v/>
      </c>
      <c r="AL51" s="276"/>
      <c r="AM51" s="277"/>
      <c r="AN51" s="277"/>
      <c r="AO51" s="277"/>
      <c r="AP51" s="277"/>
      <c r="AQ51" s="277"/>
      <c r="AR51" s="277"/>
      <c r="AS51" s="280"/>
      <c r="AT51" s="277"/>
      <c r="AU51" s="278"/>
      <c r="AV51" s="285" t="str">
        <f t="shared" si="33"/>
        <v/>
      </c>
      <c r="AW51" s="296" t="str">
        <f t="shared" si="34"/>
        <v/>
      </c>
      <c r="AX51" s="1220" t="str">
        <f t="shared" si="42"/>
        <v/>
      </c>
      <c r="AY51" s="1221" t="str">
        <f t="shared" si="42"/>
        <v/>
      </c>
      <c r="AZ51" s="1221" t="str">
        <f t="shared" si="42"/>
        <v/>
      </c>
      <c r="BA51" s="1221" t="str">
        <f t="shared" si="42"/>
        <v/>
      </c>
      <c r="BB51" s="1221" t="str">
        <f t="shared" si="42"/>
        <v/>
      </c>
      <c r="BC51" s="1221" t="str">
        <f t="shared" si="42"/>
        <v/>
      </c>
      <c r="BD51" s="1221" t="str">
        <f t="shared" si="42"/>
        <v/>
      </c>
      <c r="BE51" s="1222" t="str">
        <f t="shared" si="42"/>
        <v/>
      </c>
      <c r="BF51" s="1221" t="str">
        <f t="shared" si="42"/>
        <v/>
      </c>
      <c r="BG51" s="1223" t="str">
        <f t="shared" si="42"/>
        <v/>
      </c>
      <c r="BH51" s="286">
        <f t="shared" si="35"/>
        <v>0</v>
      </c>
      <c r="BI51" s="286">
        <f t="shared" si="36"/>
        <v>0</v>
      </c>
      <c r="BJ51" s="287" t="str">
        <f t="shared" si="37"/>
        <v>perlu dimaksimalkan</v>
      </c>
      <c r="BK51" s="287" t="str">
        <f t="shared" si="37"/>
        <v>perlu dimaksimalkan</v>
      </c>
      <c r="BL51" s="286" t="e">
        <f t="shared" si="38"/>
        <v>#N/A</v>
      </c>
      <c r="BM51" s="288" t="e">
        <f t="shared" si="39"/>
        <v>#N/A</v>
      </c>
      <c r="BN51" s="289" t="str">
        <f t="shared" si="40"/>
        <v/>
      </c>
      <c r="BO51" s="67"/>
    </row>
    <row r="52" spans="1:67" ht="33" customHeight="1">
      <c r="A52" s="67"/>
      <c r="B52" s="272" t="str">
        <f t="shared" si="23"/>
        <v/>
      </c>
      <c r="C52" s="273" t="str">
        <f>IF(Data!F43="","",Data!F43)</f>
        <v/>
      </c>
      <c r="D52" s="274" t="str">
        <f>IF(Data!H43="","",Data!H43)</f>
        <v/>
      </c>
      <c r="E52" s="275" t="str">
        <f>IF(Data!I43="","",Data!I43)</f>
        <v/>
      </c>
      <c r="F52" s="276"/>
      <c r="G52" s="277"/>
      <c r="H52" s="277"/>
      <c r="I52" s="277"/>
      <c r="J52" s="277"/>
      <c r="K52" s="277"/>
      <c r="L52" s="277"/>
      <c r="M52" s="280"/>
      <c r="N52" s="277"/>
      <c r="O52" s="278"/>
      <c r="P52" s="279" t="str">
        <f t="shared" si="24"/>
        <v/>
      </c>
      <c r="Q52" s="277"/>
      <c r="R52" s="280"/>
      <c r="S52" s="281" t="str">
        <f t="shared" si="25"/>
        <v/>
      </c>
      <c r="T52" s="295" t="str">
        <f t="shared" si="26"/>
        <v/>
      </c>
      <c r="U52" s="1215" t="str">
        <f t="shared" si="41"/>
        <v/>
      </c>
      <c r="V52" s="1216" t="str">
        <f t="shared" si="41"/>
        <v/>
      </c>
      <c r="W52" s="1216" t="str">
        <f t="shared" si="41"/>
        <v/>
      </c>
      <c r="X52" s="1216" t="str">
        <f t="shared" si="41"/>
        <v/>
      </c>
      <c r="Y52" s="1216" t="str">
        <f t="shared" si="41"/>
        <v/>
      </c>
      <c r="Z52" s="1216" t="str">
        <f t="shared" si="41"/>
        <v/>
      </c>
      <c r="AA52" s="1216" t="str">
        <f t="shared" si="41"/>
        <v/>
      </c>
      <c r="AB52" s="1217" t="str">
        <f t="shared" si="41"/>
        <v/>
      </c>
      <c r="AC52" s="1216" t="str">
        <f t="shared" si="41"/>
        <v/>
      </c>
      <c r="AD52" s="1218" t="str">
        <f t="shared" si="41"/>
        <v/>
      </c>
      <c r="AE52" s="1219">
        <f t="shared" si="27"/>
        <v>0</v>
      </c>
      <c r="AF52" s="282">
        <f t="shared" si="28"/>
        <v>0</v>
      </c>
      <c r="AG52" s="282" t="str">
        <f t="shared" si="29"/>
        <v>perlu dimaksimalkan</v>
      </c>
      <c r="AH52" s="282" t="str">
        <f t="shared" si="29"/>
        <v>perlu dimaksimalkan</v>
      </c>
      <c r="AI52" s="282" t="str">
        <f t="shared" si="30"/>
        <v/>
      </c>
      <c r="AJ52" s="283" t="str">
        <f t="shared" si="31"/>
        <v/>
      </c>
      <c r="AK52" s="284" t="str">
        <f t="shared" si="32"/>
        <v/>
      </c>
      <c r="AL52" s="276"/>
      <c r="AM52" s="277"/>
      <c r="AN52" s="277"/>
      <c r="AO52" s="277"/>
      <c r="AP52" s="277"/>
      <c r="AQ52" s="277"/>
      <c r="AR52" s="277"/>
      <c r="AS52" s="280"/>
      <c r="AT52" s="277"/>
      <c r="AU52" s="278"/>
      <c r="AV52" s="285" t="str">
        <f t="shared" si="33"/>
        <v/>
      </c>
      <c r="AW52" s="296" t="str">
        <f t="shared" si="34"/>
        <v/>
      </c>
      <c r="AX52" s="1220" t="str">
        <f t="shared" si="42"/>
        <v/>
      </c>
      <c r="AY52" s="1221" t="str">
        <f t="shared" si="42"/>
        <v/>
      </c>
      <c r="AZ52" s="1221" t="str">
        <f t="shared" si="42"/>
        <v/>
      </c>
      <c r="BA52" s="1221" t="str">
        <f t="shared" si="42"/>
        <v/>
      </c>
      <c r="BB52" s="1221" t="str">
        <f t="shared" si="42"/>
        <v/>
      </c>
      <c r="BC52" s="1221" t="str">
        <f t="shared" si="42"/>
        <v/>
      </c>
      <c r="BD52" s="1221" t="str">
        <f t="shared" si="42"/>
        <v/>
      </c>
      <c r="BE52" s="1222" t="str">
        <f t="shared" si="42"/>
        <v/>
      </c>
      <c r="BF52" s="1221" t="str">
        <f t="shared" si="42"/>
        <v/>
      </c>
      <c r="BG52" s="1223" t="str">
        <f t="shared" si="42"/>
        <v/>
      </c>
      <c r="BH52" s="286">
        <f t="shared" si="35"/>
        <v>0</v>
      </c>
      <c r="BI52" s="286">
        <f t="shared" si="36"/>
        <v>0</v>
      </c>
      <c r="BJ52" s="287" t="str">
        <f t="shared" si="37"/>
        <v>perlu dimaksimalkan</v>
      </c>
      <c r="BK52" s="287" t="str">
        <f t="shared" si="37"/>
        <v>perlu dimaksimalkan</v>
      </c>
      <c r="BL52" s="286" t="e">
        <f t="shared" si="38"/>
        <v>#N/A</v>
      </c>
      <c r="BM52" s="288" t="e">
        <f t="shared" si="39"/>
        <v>#N/A</v>
      </c>
      <c r="BN52" s="289" t="str">
        <f t="shared" si="40"/>
        <v/>
      </c>
      <c r="BO52" s="67"/>
    </row>
    <row r="53" spans="1:67" ht="33" customHeight="1">
      <c r="A53" s="67"/>
      <c r="B53" s="272" t="str">
        <f t="shared" si="23"/>
        <v/>
      </c>
      <c r="C53" s="273" t="str">
        <f>IF(Data!F44="","",Data!F44)</f>
        <v/>
      </c>
      <c r="D53" s="274" t="str">
        <f>IF(Data!H44="","",Data!H44)</f>
        <v/>
      </c>
      <c r="E53" s="275" t="str">
        <f>IF(Data!I44="","",Data!I44)</f>
        <v/>
      </c>
      <c r="F53" s="276"/>
      <c r="G53" s="277"/>
      <c r="H53" s="277"/>
      <c r="I53" s="277"/>
      <c r="J53" s="277"/>
      <c r="K53" s="277"/>
      <c r="L53" s="277"/>
      <c r="M53" s="280"/>
      <c r="N53" s="277"/>
      <c r="O53" s="278"/>
      <c r="P53" s="279" t="str">
        <f t="shared" si="24"/>
        <v/>
      </c>
      <c r="Q53" s="277"/>
      <c r="R53" s="280"/>
      <c r="S53" s="281" t="str">
        <f t="shared" si="25"/>
        <v/>
      </c>
      <c r="T53" s="295" t="str">
        <f t="shared" si="26"/>
        <v/>
      </c>
      <c r="U53" s="1215" t="str">
        <f t="shared" si="41"/>
        <v/>
      </c>
      <c r="V53" s="1216" t="str">
        <f t="shared" si="41"/>
        <v/>
      </c>
      <c r="W53" s="1216" t="str">
        <f t="shared" si="41"/>
        <v/>
      </c>
      <c r="X53" s="1216" t="str">
        <f t="shared" si="41"/>
        <v/>
      </c>
      <c r="Y53" s="1216" t="str">
        <f t="shared" si="41"/>
        <v/>
      </c>
      <c r="Z53" s="1216" t="str">
        <f t="shared" si="41"/>
        <v/>
      </c>
      <c r="AA53" s="1216" t="str">
        <f t="shared" si="41"/>
        <v/>
      </c>
      <c r="AB53" s="1217" t="str">
        <f t="shared" si="41"/>
        <v/>
      </c>
      <c r="AC53" s="1216" t="str">
        <f t="shared" si="41"/>
        <v/>
      </c>
      <c r="AD53" s="1218" t="str">
        <f t="shared" si="41"/>
        <v/>
      </c>
      <c r="AE53" s="1219">
        <f t="shared" si="27"/>
        <v>0</v>
      </c>
      <c r="AF53" s="282">
        <f t="shared" si="28"/>
        <v>0</v>
      </c>
      <c r="AG53" s="282" t="str">
        <f t="shared" si="29"/>
        <v>perlu dimaksimalkan</v>
      </c>
      <c r="AH53" s="282" t="str">
        <f t="shared" si="29"/>
        <v>perlu dimaksimalkan</v>
      </c>
      <c r="AI53" s="282" t="str">
        <f t="shared" si="30"/>
        <v/>
      </c>
      <c r="AJ53" s="283" t="str">
        <f t="shared" si="31"/>
        <v/>
      </c>
      <c r="AK53" s="284" t="str">
        <f t="shared" si="32"/>
        <v/>
      </c>
      <c r="AL53" s="276"/>
      <c r="AM53" s="277"/>
      <c r="AN53" s="277"/>
      <c r="AO53" s="277"/>
      <c r="AP53" s="277"/>
      <c r="AQ53" s="277"/>
      <c r="AR53" s="277"/>
      <c r="AS53" s="280"/>
      <c r="AT53" s="277"/>
      <c r="AU53" s="278"/>
      <c r="AV53" s="285" t="str">
        <f t="shared" si="33"/>
        <v/>
      </c>
      <c r="AW53" s="296" t="str">
        <f t="shared" si="34"/>
        <v/>
      </c>
      <c r="AX53" s="1220" t="str">
        <f t="shared" si="42"/>
        <v/>
      </c>
      <c r="AY53" s="1221" t="str">
        <f t="shared" si="42"/>
        <v/>
      </c>
      <c r="AZ53" s="1221" t="str">
        <f t="shared" si="42"/>
        <v/>
      </c>
      <c r="BA53" s="1221" t="str">
        <f t="shared" si="42"/>
        <v/>
      </c>
      <c r="BB53" s="1221" t="str">
        <f t="shared" si="42"/>
        <v/>
      </c>
      <c r="BC53" s="1221" t="str">
        <f t="shared" si="42"/>
        <v/>
      </c>
      <c r="BD53" s="1221" t="str">
        <f t="shared" si="42"/>
        <v/>
      </c>
      <c r="BE53" s="1222" t="str">
        <f t="shared" si="42"/>
        <v/>
      </c>
      <c r="BF53" s="1221" t="str">
        <f t="shared" si="42"/>
        <v/>
      </c>
      <c r="BG53" s="1223" t="str">
        <f t="shared" si="42"/>
        <v/>
      </c>
      <c r="BH53" s="286">
        <f t="shared" si="35"/>
        <v>0</v>
      </c>
      <c r="BI53" s="286">
        <f t="shared" si="36"/>
        <v>0</v>
      </c>
      <c r="BJ53" s="287" t="str">
        <f t="shared" si="37"/>
        <v>perlu dimaksimalkan</v>
      </c>
      <c r="BK53" s="287" t="str">
        <f t="shared" si="37"/>
        <v>perlu dimaksimalkan</v>
      </c>
      <c r="BL53" s="286" t="e">
        <f t="shared" si="38"/>
        <v>#N/A</v>
      </c>
      <c r="BM53" s="288" t="e">
        <f t="shared" si="39"/>
        <v>#N/A</v>
      </c>
      <c r="BN53" s="289" t="str">
        <f t="shared" si="40"/>
        <v/>
      </c>
      <c r="BO53" s="67"/>
    </row>
    <row r="54" spans="1:67" ht="33" customHeight="1">
      <c r="A54" s="67"/>
      <c r="B54" s="272" t="str">
        <f t="shared" si="23"/>
        <v/>
      </c>
      <c r="C54" s="273" t="str">
        <f>IF(Data!F45="","",Data!F45)</f>
        <v/>
      </c>
      <c r="D54" s="274" t="str">
        <f>IF(Data!H45="","",Data!H45)</f>
        <v/>
      </c>
      <c r="E54" s="275" t="str">
        <f>IF(Data!I45="","",Data!I45)</f>
        <v/>
      </c>
      <c r="F54" s="276"/>
      <c r="G54" s="277"/>
      <c r="H54" s="277"/>
      <c r="I54" s="277"/>
      <c r="J54" s="277"/>
      <c r="K54" s="277"/>
      <c r="L54" s="277"/>
      <c r="M54" s="280"/>
      <c r="N54" s="277"/>
      <c r="O54" s="278"/>
      <c r="P54" s="279" t="str">
        <f t="shared" si="24"/>
        <v/>
      </c>
      <c r="Q54" s="277"/>
      <c r="R54" s="280"/>
      <c r="S54" s="281" t="str">
        <f t="shared" si="25"/>
        <v/>
      </c>
      <c r="T54" s="295" t="str">
        <f t="shared" si="26"/>
        <v/>
      </c>
      <c r="U54" s="1215" t="str">
        <f t="shared" si="41"/>
        <v/>
      </c>
      <c r="V54" s="1216" t="str">
        <f t="shared" si="41"/>
        <v/>
      </c>
      <c r="W54" s="1216" t="str">
        <f t="shared" si="41"/>
        <v/>
      </c>
      <c r="X54" s="1216" t="str">
        <f t="shared" si="41"/>
        <v/>
      </c>
      <c r="Y54" s="1216" t="str">
        <f t="shared" si="41"/>
        <v/>
      </c>
      <c r="Z54" s="1216" t="str">
        <f t="shared" si="41"/>
        <v/>
      </c>
      <c r="AA54" s="1216" t="str">
        <f t="shared" si="41"/>
        <v/>
      </c>
      <c r="AB54" s="1217" t="str">
        <f t="shared" si="41"/>
        <v/>
      </c>
      <c r="AC54" s="1216" t="str">
        <f t="shared" si="41"/>
        <v/>
      </c>
      <c r="AD54" s="1218" t="str">
        <f t="shared" si="41"/>
        <v/>
      </c>
      <c r="AE54" s="1219">
        <f t="shared" si="27"/>
        <v>0</v>
      </c>
      <c r="AF54" s="282">
        <f t="shared" si="28"/>
        <v>0</v>
      </c>
      <c r="AG54" s="282" t="str">
        <f t="shared" si="29"/>
        <v>perlu dimaksimalkan</v>
      </c>
      <c r="AH54" s="282" t="str">
        <f t="shared" si="29"/>
        <v>perlu dimaksimalkan</v>
      </c>
      <c r="AI54" s="282" t="str">
        <f t="shared" si="30"/>
        <v/>
      </c>
      <c r="AJ54" s="283" t="str">
        <f t="shared" si="31"/>
        <v/>
      </c>
      <c r="AK54" s="284" t="str">
        <f t="shared" si="32"/>
        <v/>
      </c>
      <c r="AL54" s="276"/>
      <c r="AM54" s="277"/>
      <c r="AN54" s="277"/>
      <c r="AO54" s="277"/>
      <c r="AP54" s="277"/>
      <c r="AQ54" s="277"/>
      <c r="AR54" s="277"/>
      <c r="AS54" s="280"/>
      <c r="AT54" s="277"/>
      <c r="AU54" s="278"/>
      <c r="AV54" s="285" t="str">
        <f t="shared" si="33"/>
        <v/>
      </c>
      <c r="AW54" s="296" t="str">
        <f t="shared" si="34"/>
        <v/>
      </c>
      <c r="AX54" s="1220" t="str">
        <f t="shared" si="42"/>
        <v/>
      </c>
      <c r="AY54" s="1221" t="str">
        <f t="shared" si="42"/>
        <v/>
      </c>
      <c r="AZ54" s="1221" t="str">
        <f t="shared" si="42"/>
        <v/>
      </c>
      <c r="BA54" s="1221" t="str">
        <f t="shared" si="42"/>
        <v/>
      </c>
      <c r="BB54" s="1221" t="str">
        <f t="shared" si="42"/>
        <v/>
      </c>
      <c r="BC54" s="1221" t="str">
        <f t="shared" si="42"/>
        <v/>
      </c>
      <c r="BD54" s="1221" t="str">
        <f t="shared" si="42"/>
        <v/>
      </c>
      <c r="BE54" s="1222" t="str">
        <f t="shared" si="42"/>
        <v/>
      </c>
      <c r="BF54" s="1221" t="str">
        <f t="shared" si="42"/>
        <v/>
      </c>
      <c r="BG54" s="1223" t="str">
        <f t="shared" si="42"/>
        <v/>
      </c>
      <c r="BH54" s="286">
        <f t="shared" si="35"/>
        <v>0</v>
      </c>
      <c r="BI54" s="286">
        <f t="shared" si="36"/>
        <v>0</v>
      </c>
      <c r="BJ54" s="287" t="str">
        <f t="shared" si="37"/>
        <v>perlu dimaksimalkan</v>
      </c>
      <c r="BK54" s="287" t="str">
        <f t="shared" si="37"/>
        <v>perlu dimaksimalkan</v>
      </c>
      <c r="BL54" s="286" t="e">
        <f t="shared" si="38"/>
        <v>#N/A</v>
      </c>
      <c r="BM54" s="288" t="e">
        <f t="shared" si="39"/>
        <v>#N/A</v>
      </c>
      <c r="BN54" s="289" t="str">
        <f t="shared" si="40"/>
        <v/>
      </c>
      <c r="BO54" s="67"/>
    </row>
    <row r="55" spans="1:67" ht="33" customHeight="1">
      <c r="A55" s="67"/>
      <c r="B55" s="272" t="str">
        <f t="shared" si="23"/>
        <v/>
      </c>
      <c r="C55" s="273" t="str">
        <f>IF(Data!F46="","",Data!F46)</f>
        <v/>
      </c>
      <c r="D55" s="274" t="str">
        <f>IF(Data!H46="","",Data!H46)</f>
        <v/>
      </c>
      <c r="E55" s="275" t="str">
        <f>IF(Data!I46="","",Data!I46)</f>
        <v/>
      </c>
      <c r="F55" s="276"/>
      <c r="G55" s="277"/>
      <c r="H55" s="277"/>
      <c r="I55" s="277"/>
      <c r="J55" s="277"/>
      <c r="K55" s="277"/>
      <c r="L55" s="277"/>
      <c r="M55" s="280"/>
      <c r="N55" s="277"/>
      <c r="O55" s="278"/>
      <c r="P55" s="279" t="str">
        <f t="shared" si="24"/>
        <v/>
      </c>
      <c r="Q55" s="277"/>
      <c r="R55" s="280"/>
      <c r="S55" s="281" t="str">
        <f t="shared" si="25"/>
        <v/>
      </c>
      <c r="T55" s="295" t="str">
        <f t="shared" si="26"/>
        <v/>
      </c>
      <c r="U55" s="1215" t="str">
        <f t="shared" si="41"/>
        <v/>
      </c>
      <c r="V55" s="1216" t="str">
        <f t="shared" si="41"/>
        <v/>
      </c>
      <c r="W55" s="1216" t="str">
        <f t="shared" si="41"/>
        <v/>
      </c>
      <c r="X55" s="1216" t="str">
        <f t="shared" si="41"/>
        <v/>
      </c>
      <c r="Y55" s="1216" t="str">
        <f t="shared" si="41"/>
        <v/>
      </c>
      <c r="Z55" s="1216" t="str">
        <f t="shared" ref="Z55:AD63" si="43">IF(K55="","",K55+Z$13)</f>
        <v/>
      </c>
      <c r="AA55" s="1216" t="str">
        <f t="shared" si="43"/>
        <v/>
      </c>
      <c r="AB55" s="1217" t="str">
        <f t="shared" si="43"/>
        <v/>
      </c>
      <c r="AC55" s="1216" t="str">
        <f t="shared" si="43"/>
        <v/>
      </c>
      <c r="AD55" s="1218" t="str">
        <f t="shared" si="43"/>
        <v/>
      </c>
      <c r="AE55" s="1219">
        <f t="shared" si="27"/>
        <v>0</v>
      </c>
      <c r="AF55" s="282">
        <f t="shared" si="28"/>
        <v>0</v>
      </c>
      <c r="AG55" s="282" t="str">
        <f t="shared" si="29"/>
        <v>perlu dimaksimalkan</v>
      </c>
      <c r="AH55" s="282" t="str">
        <f t="shared" si="29"/>
        <v>perlu dimaksimalkan</v>
      </c>
      <c r="AI55" s="282" t="str">
        <f t="shared" si="30"/>
        <v/>
      </c>
      <c r="AJ55" s="283" t="str">
        <f t="shared" si="31"/>
        <v/>
      </c>
      <c r="AK55" s="284" t="str">
        <f t="shared" si="32"/>
        <v/>
      </c>
      <c r="AL55" s="276"/>
      <c r="AM55" s="277"/>
      <c r="AN55" s="277"/>
      <c r="AO55" s="277"/>
      <c r="AP55" s="277"/>
      <c r="AQ55" s="277"/>
      <c r="AR55" s="277"/>
      <c r="AS55" s="280"/>
      <c r="AT55" s="277"/>
      <c r="AU55" s="278"/>
      <c r="AV55" s="285" t="str">
        <f t="shared" si="33"/>
        <v/>
      </c>
      <c r="AW55" s="296" t="str">
        <f t="shared" si="34"/>
        <v/>
      </c>
      <c r="AX55" s="1220" t="str">
        <f t="shared" si="42"/>
        <v/>
      </c>
      <c r="AY55" s="1221" t="str">
        <f t="shared" si="42"/>
        <v/>
      </c>
      <c r="AZ55" s="1221" t="str">
        <f t="shared" si="42"/>
        <v/>
      </c>
      <c r="BA55" s="1221" t="str">
        <f t="shared" si="42"/>
        <v/>
      </c>
      <c r="BB55" s="1221" t="str">
        <f t="shared" si="42"/>
        <v/>
      </c>
      <c r="BC55" s="1221" t="str">
        <f t="shared" ref="BC55:BG63" si="44">IF(AQ55="","",AQ55+BC$12)</f>
        <v/>
      </c>
      <c r="BD55" s="1221" t="str">
        <f t="shared" si="44"/>
        <v/>
      </c>
      <c r="BE55" s="1222" t="str">
        <f t="shared" si="44"/>
        <v/>
      </c>
      <c r="BF55" s="1221" t="str">
        <f t="shared" si="44"/>
        <v/>
      </c>
      <c r="BG55" s="1223" t="str">
        <f t="shared" si="44"/>
        <v/>
      </c>
      <c r="BH55" s="286">
        <f t="shared" si="35"/>
        <v>0</v>
      </c>
      <c r="BI55" s="286">
        <f t="shared" si="36"/>
        <v>0</v>
      </c>
      <c r="BJ55" s="287" t="str">
        <f t="shared" si="37"/>
        <v>perlu dimaksimalkan</v>
      </c>
      <c r="BK55" s="287" t="str">
        <f t="shared" si="37"/>
        <v>perlu dimaksimalkan</v>
      </c>
      <c r="BL55" s="286" t="e">
        <f t="shared" si="38"/>
        <v>#N/A</v>
      </c>
      <c r="BM55" s="288" t="e">
        <f t="shared" si="39"/>
        <v>#N/A</v>
      </c>
      <c r="BN55" s="289" t="str">
        <f t="shared" si="40"/>
        <v/>
      </c>
      <c r="BO55" s="67"/>
    </row>
    <row r="56" spans="1:67" ht="33" customHeight="1">
      <c r="A56" s="67"/>
      <c r="B56" s="272" t="str">
        <f t="shared" si="23"/>
        <v/>
      </c>
      <c r="C56" s="273" t="str">
        <f>IF(Data!F47="","",Data!F47)</f>
        <v/>
      </c>
      <c r="D56" s="274" t="str">
        <f>IF(Data!H47="","",Data!H47)</f>
        <v/>
      </c>
      <c r="E56" s="275" t="str">
        <f>IF(Data!I47="","",Data!I47)</f>
        <v/>
      </c>
      <c r="F56" s="276"/>
      <c r="G56" s="277"/>
      <c r="H56" s="277"/>
      <c r="I56" s="277"/>
      <c r="J56" s="277"/>
      <c r="K56" s="277"/>
      <c r="L56" s="277"/>
      <c r="M56" s="280"/>
      <c r="N56" s="277"/>
      <c r="O56" s="278"/>
      <c r="P56" s="279" t="str">
        <f t="shared" si="24"/>
        <v/>
      </c>
      <c r="Q56" s="277"/>
      <c r="R56" s="280"/>
      <c r="S56" s="281" t="str">
        <f t="shared" si="25"/>
        <v/>
      </c>
      <c r="T56" s="295" t="str">
        <f t="shared" si="26"/>
        <v/>
      </c>
      <c r="U56" s="1215" t="str">
        <f t="shared" ref="U56:Y63" si="45">IF(F56="","",F56+U$13)</f>
        <v/>
      </c>
      <c r="V56" s="1216" t="str">
        <f t="shared" si="45"/>
        <v/>
      </c>
      <c r="W56" s="1216" t="str">
        <f t="shared" si="45"/>
        <v/>
      </c>
      <c r="X56" s="1216" t="str">
        <f t="shared" si="45"/>
        <v/>
      </c>
      <c r="Y56" s="1216" t="str">
        <f t="shared" si="45"/>
        <v/>
      </c>
      <c r="Z56" s="1216" t="str">
        <f t="shared" si="43"/>
        <v/>
      </c>
      <c r="AA56" s="1216" t="str">
        <f t="shared" si="43"/>
        <v/>
      </c>
      <c r="AB56" s="1217" t="str">
        <f t="shared" si="43"/>
        <v/>
      </c>
      <c r="AC56" s="1216" t="str">
        <f t="shared" si="43"/>
        <v/>
      </c>
      <c r="AD56" s="1218" t="str">
        <f t="shared" si="43"/>
        <v/>
      </c>
      <c r="AE56" s="1219">
        <f t="shared" si="27"/>
        <v>0</v>
      </c>
      <c r="AF56" s="282">
        <f t="shared" si="28"/>
        <v>0</v>
      </c>
      <c r="AG56" s="282" t="str">
        <f t="shared" si="29"/>
        <v>perlu dimaksimalkan</v>
      </c>
      <c r="AH56" s="282" t="str">
        <f t="shared" si="29"/>
        <v>perlu dimaksimalkan</v>
      </c>
      <c r="AI56" s="282" t="str">
        <f t="shared" si="30"/>
        <v/>
      </c>
      <c r="AJ56" s="283" t="str">
        <f t="shared" si="31"/>
        <v/>
      </c>
      <c r="AK56" s="284" t="str">
        <f t="shared" si="32"/>
        <v/>
      </c>
      <c r="AL56" s="276"/>
      <c r="AM56" s="277"/>
      <c r="AN56" s="277"/>
      <c r="AO56" s="277"/>
      <c r="AP56" s="277"/>
      <c r="AQ56" s="277"/>
      <c r="AR56" s="277"/>
      <c r="AS56" s="280"/>
      <c r="AT56" s="277"/>
      <c r="AU56" s="278"/>
      <c r="AV56" s="285" t="str">
        <f t="shared" si="33"/>
        <v/>
      </c>
      <c r="AW56" s="296" t="str">
        <f t="shared" si="34"/>
        <v/>
      </c>
      <c r="AX56" s="1220" t="str">
        <f t="shared" ref="AX56:BB63" si="46">IF(AL56="","",AL56+AX$12)</f>
        <v/>
      </c>
      <c r="AY56" s="1221" t="str">
        <f t="shared" si="46"/>
        <v/>
      </c>
      <c r="AZ56" s="1221" t="str">
        <f t="shared" si="46"/>
        <v/>
      </c>
      <c r="BA56" s="1221" t="str">
        <f t="shared" si="46"/>
        <v/>
      </c>
      <c r="BB56" s="1221" t="str">
        <f t="shared" si="46"/>
        <v/>
      </c>
      <c r="BC56" s="1221" t="str">
        <f t="shared" si="44"/>
        <v/>
      </c>
      <c r="BD56" s="1221" t="str">
        <f t="shared" si="44"/>
        <v/>
      </c>
      <c r="BE56" s="1222" t="str">
        <f t="shared" si="44"/>
        <v/>
      </c>
      <c r="BF56" s="1221" t="str">
        <f t="shared" si="44"/>
        <v/>
      </c>
      <c r="BG56" s="1223" t="str">
        <f t="shared" si="44"/>
        <v/>
      </c>
      <c r="BH56" s="286">
        <f t="shared" si="35"/>
        <v>0</v>
      </c>
      <c r="BI56" s="286">
        <f t="shared" si="36"/>
        <v>0</v>
      </c>
      <c r="BJ56" s="287" t="str">
        <f t="shared" si="37"/>
        <v>perlu dimaksimalkan</v>
      </c>
      <c r="BK56" s="287" t="str">
        <f t="shared" si="37"/>
        <v>perlu dimaksimalkan</v>
      </c>
      <c r="BL56" s="286" t="e">
        <f t="shared" si="38"/>
        <v>#N/A</v>
      </c>
      <c r="BM56" s="288" t="e">
        <f t="shared" si="39"/>
        <v>#N/A</v>
      </c>
      <c r="BN56" s="289" t="str">
        <f t="shared" si="40"/>
        <v/>
      </c>
      <c r="BO56" s="67"/>
    </row>
    <row r="57" spans="1:67" ht="33" customHeight="1">
      <c r="A57" s="67"/>
      <c r="B57" s="272" t="str">
        <f t="shared" si="23"/>
        <v/>
      </c>
      <c r="C57" s="273" t="str">
        <f>IF(Data!F48="","",Data!F48)</f>
        <v/>
      </c>
      <c r="D57" s="274" t="str">
        <f>IF(Data!H48="","",Data!H48)</f>
        <v/>
      </c>
      <c r="E57" s="275" t="str">
        <f>IF(Data!I48="","",Data!I48)</f>
        <v/>
      </c>
      <c r="F57" s="276"/>
      <c r="G57" s="277"/>
      <c r="H57" s="277"/>
      <c r="I57" s="277"/>
      <c r="J57" s="277"/>
      <c r="K57" s="277"/>
      <c r="L57" s="277"/>
      <c r="M57" s="280"/>
      <c r="N57" s="277"/>
      <c r="O57" s="278"/>
      <c r="P57" s="279" t="str">
        <f t="shared" si="24"/>
        <v/>
      </c>
      <c r="Q57" s="277"/>
      <c r="R57" s="280"/>
      <c r="S57" s="281" t="str">
        <f t="shared" si="25"/>
        <v/>
      </c>
      <c r="T57" s="295" t="str">
        <f t="shared" si="26"/>
        <v/>
      </c>
      <c r="U57" s="1215" t="str">
        <f t="shared" si="45"/>
        <v/>
      </c>
      <c r="V57" s="1216" t="str">
        <f t="shared" si="45"/>
        <v/>
      </c>
      <c r="W57" s="1216" t="str">
        <f t="shared" si="45"/>
        <v/>
      </c>
      <c r="X57" s="1216" t="str">
        <f t="shared" si="45"/>
        <v/>
      </c>
      <c r="Y57" s="1216" t="str">
        <f t="shared" si="45"/>
        <v/>
      </c>
      <c r="Z57" s="1216" t="str">
        <f t="shared" si="43"/>
        <v/>
      </c>
      <c r="AA57" s="1216" t="str">
        <f t="shared" si="43"/>
        <v/>
      </c>
      <c r="AB57" s="1217" t="str">
        <f t="shared" si="43"/>
        <v/>
      </c>
      <c r="AC57" s="1216" t="str">
        <f t="shared" si="43"/>
        <v/>
      </c>
      <c r="AD57" s="1218" t="str">
        <f t="shared" si="43"/>
        <v/>
      </c>
      <c r="AE57" s="1219">
        <f t="shared" si="27"/>
        <v>0</v>
      </c>
      <c r="AF57" s="282">
        <f t="shared" si="28"/>
        <v>0</v>
      </c>
      <c r="AG57" s="282" t="str">
        <f t="shared" si="29"/>
        <v>perlu dimaksimalkan</v>
      </c>
      <c r="AH57" s="282" t="str">
        <f t="shared" si="29"/>
        <v>perlu dimaksimalkan</v>
      </c>
      <c r="AI57" s="282" t="str">
        <f t="shared" si="30"/>
        <v/>
      </c>
      <c r="AJ57" s="283" t="str">
        <f t="shared" si="31"/>
        <v/>
      </c>
      <c r="AK57" s="284" t="str">
        <f t="shared" si="32"/>
        <v/>
      </c>
      <c r="AL57" s="276"/>
      <c r="AM57" s="277"/>
      <c r="AN57" s="277"/>
      <c r="AO57" s="277"/>
      <c r="AP57" s="277"/>
      <c r="AQ57" s="277"/>
      <c r="AR57" s="277"/>
      <c r="AS57" s="280"/>
      <c r="AT57" s="277"/>
      <c r="AU57" s="278"/>
      <c r="AV57" s="285" t="str">
        <f t="shared" si="33"/>
        <v/>
      </c>
      <c r="AW57" s="296" t="str">
        <f t="shared" si="34"/>
        <v/>
      </c>
      <c r="AX57" s="1220" t="str">
        <f t="shared" si="46"/>
        <v/>
      </c>
      <c r="AY57" s="1221" t="str">
        <f t="shared" si="46"/>
        <v/>
      </c>
      <c r="AZ57" s="1221" t="str">
        <f t="shared" si="46"/>
        <v/>
      </c>
      <c r="BA57" s="1221" t="str">
        <f t="shared" si="46"/>
        <v/>
      </c>
      <c r="BB57" s="1221" t="str">
        <f t="shared" si="46"/>
        <v/>
      </c>
      <c r="BC57" s="1221" t="str">
        <f t="shared" si="44"/>
        <v/>
      </c>
      <c r="BD57" s="1221" t="str">
        <f t="shared" si="44"/>
        <v/>
      </c>
      <c r="BE57" s="1222" t="str">
        <f t="shared" si="44"/>
        <v/>
      </c>
      <c r="BF57" s="1221" t="str">
        <f t="shared" si="44"/>
        <v/>
      </c>
      <c r="BG57" s="1223" t="str">
        <f t="shared" si="44"/>
        <v/>
      </c>
      <c r="BH57" s="286">
        <f t="shared" si="35"/>
        <v>0</v>
      </c>
      <c r="BI57" s="286">
        <f t="shared" si="36"/>
        <v>0</v>
      </c>
      <c r="BJ57" s="287" t="str">
        <f t="shared" si="37"/>
        <v>perlu dimaksimalkan</v>
      </c>
      <c r="BK57" s="287" t="str">
        <f t="shared" si="37"/>
        <v>perlu dimaksimalkan</v>
      </c>
      <c r="BL57" s="286" t="e">
        <f t="shared" si="38"/>
        <v>#N/A</v>
      </c>
      <c r="BM57" s="288" t="e">
        <f t="shared" si="39"/>
        <v>#N/A</v>
      </c>
      <c r="BN57" s="289" t="str">
        <f t="shared" si="40"/>
        <v/>
      </c>
      <c r="BO57" s="67"/>
    </row>
    <row r="58" spans="1:67" ht="33" customHeight="1">
      <c r="A58" s="67"/>
      <c r="B58" s="272" t="str">
        <f t="shared" si="23"/>
        <v/>
      </c>
      <c r="C58" s="273" t="str">
        <f>IF(Data!F49="","",Data!F49)</f>
        <v/>
      </c>
      <c r="D58" s="274" t="str">
        <f>IF(Data!H49="","",Data!H49)</f>
        <v/>
      </c>
      <c r="E58" s="275" t="str">
        <f>IF(Data!I49="","",Data!I49)</f>
        <v/>
      </c>
      <c r="F58" s="276"/>
      <c r="G58" s="277"/>
      <c r="H58" s="277"/>
      <c r="I58" s="277"/>
      <c r="J58" s="277"/>
      <c r="K58" s="277"/>
      <c r="L58" s="277"/>
      <c r="M58" s="280"/>
      <c r="N58" s="277"/>
      <c r="O58" s="278"/>
      <c r="P58" s="279" t="str">
        <f t="shared" si="24"/>
        <v/>
      </c>
      <c r="Q58" s="277"/>
      <c r="R58" s="280"/>
      <c r="S58" s="281" t="str">
        <f t="shared" si="25"/>
        <v/>
      </c>
      <c r="T58" s="295" t="str">
        <f t="shared" si="26"/>
        <v/>
      </c>
      <c r="U58" s="1215" t="str">
        <f t="shared" si="45"/>
        <v/>
      </c>
      <c r="V58" s="1216" t="str">
        <f t="shared" si="45"/>
        <v/>
      </c>
      <c r="W58" s="1216" t="str">
        <f t="shared" si="45"/>
        <v/>
      </c>
      <c r="X58" s="1216" t="str">
        <f t="shared" si="45"/>
        <v/>
      </c>
      <c r="Y58" s="1216" t="str">
        <f t="shared" si="45"/>
        <v/>
      </c>
      <c r="Z58" s="1216" t="str">
        <f t="shared" si="43"/>
        <v/>
      </c>
      <c r="AA58" s="1216" t="str">
        <f t="shared" si="43"/>
        <v/>
      </c>
      <c r="AB58" s="1217" t="str">
        <f t="shared" si="43"/>
        <v/>
      </c>
      <c r="AC58" s="1216" t="str">
        <f t="shared" si="43"/>
        <v/>
      </c>
      <c r="AD58" s="1218" t="str">
        <f t="shared" si="43"/>
        <v/>
      </c>
      <c r="AE58" s="1219">
        <f t="shared" si="27"/>
        <v>0</v>
      </c>
      <c r="AF58" s="282">
        <f t="shared" si="28"/>
        <v>0</v>
      </c>
      <c r="AG58" s="282" t="str">
        <f t="shared" si="29"/>
        <v>perlu dimaksimalkan</v>
      </c>
      <c r="AH58" s="282" t="str">
        <f t="shared" si="29"/>
        <v>perlu dimaksimalkan</v>
      </c>
      <c r="AI58" s="282" t="str">
        <f t="shared" si="30"/>
        <v/>
      </c>
      <c r="AJ58" s="283" t="str">
        <f t="shared" si="31"/>
        <v/>
      </c>
      <c r="AK58" s="284" t="str">
        <f t="shared" si="32"/>
        <v/>
      </c>
      <c r="AL58" s="276"/>
      <c r="AM58" s="277"/>
      <c r="AN58" s="277"/>
      <c r="AO58" s="277"/>
      <c r="AP58" s="277"/>
      <c r="AQ58" s="277"/>
      <c r="AR58" s="277"/>
      <c r="AS58" s="280"/>
      <c r="AT58" s="277"/>
      <c r="AU58" s="278"/>
      <c r="AV58" s="285" t="str">
        <f t="shared" si="33"/>
        <v/>
      </c>
      <c r="AW58" s="296" t="str">
        <f t="shared" si="34"/>
        <v/>
      </c>
      <c r="AX58" s="1220" t="str">
        <f t="shared" si="46"/>
        <v/>
      </c>
      <c r="AY58" s="1221" t="str">
        <f t="shared" si="46"/>
        <v/>
      </c>
      <c r="AZ58" s="1221" t="str">
        <f t="shared" si="46"/>
        <v/>
      </c>
      <c r="BA58" s="1221" t="str">
        <f t="shared" si="46"/>
        <v/>
      </c>
      <c r="BB58" s="1221" t="str">
        <f t="shared" si="46"/>
        <v/>
      </c>
      <c r="BC58" s="1221" t="str">
        <f t="shared" si="44"/>
        <v/>
      </c>
      <c r="BD58" s="1221" t="str">
        <f t="shared" si="44"/>
        <v/>
      </c>
      <c r="BE58" s="1222" t="str">
        <f t="shared" si="44"/>
        <v/>
      </c>
      <c r="BF58" s="1221" t="str">
        <f t="shared" si="44"/>
        <v/>
      </c>
      <c r="BG58" s="1223" t="str">
        <f t="shared" si="44"/>
        <v/>
      </c>
      <c r="BH58" s="286">
        <f t="shared" si="35"/>
        <v>0</v>
      </c>
      <c r="BI58" s="286">
        <f t="shared" si="36"/>
        <v>0</v>
      </c>
      <c r="BJ58" s="287" t="str">
        <f t="shared" si="37"/>
        <v>perlu dimaksimalkan</v>
      </c>
      <c r="BK58" s="287" t="str">
        <f t="shared" si="37"/>
        <v>perlu dimaksimalkan</v>
      </c>
      <c r="BL58" s="286" t="e">
        <f t="shared" si="38"/>
        <v>#N/A</v>
      </c>
      <c r="BM58" s="288" t="e">
        <f t="shared" si="39"/>
        <v>#N/A</v>
      </c>
      <c r="BN58" s="289" t="str">
        <f t="shared" si="40"/>
        <v/>
      </c>
      <c r="BO58" s="67"/>
    </row>
    <row r="59" spans="1:67" ht="33" customHeight="1">
      <c r="A59" s="67"/>
      <c r="B59" s="272" t="str">
        <f t="shared" si="23"/>
        <v/>
      </c>
      <c r="C59" s="273" t="str">
        <f>IF(Data!F50="","",Data!F50)</f>
        <v/>
      </c>
      <c r="D59" s="274" t="str">
        <f>IF(Data!H50="","",Data!H50)</f>
        <v/>
      </c>
      <c r="E59" s="275" t="str">
        <f>IF(Data!I50="","",Data!I50)</f>
        <v/>
      </c>
      <c r="F59" s="276"/>
      <c r="G59" s="277"/>
      <c r="H59" s="277"/>
      <c r="I59" s="277"/>
      <c r="J59" s="277"/>
      <c r="K59" s="277"/>
      <c r="L59" s="277"/>
      <c r="M59" s="280"/>
      <c r="N59" s="277"/>
      <c r="O59" s="278"/>
      <c r="P59" s="279" t="str">
        <f t="shared" si="24"/>
        <v/>
      </c>
      <c r="Q59" s="277"/>
      <c r="R59" s="280"/>
      <c r="S59" s="281" t="str">
        <f t="shared" si="25"/>
        <v/>
      </c>
      <c r="T59" s="295" t="str">
        <f t="shared" si="26"/>
        <v/>
      </c>
      <c r="U59" s="1215" t="str">
        <f t="shared" si="45"/>
        <v/>
      </c>
      <c r="V59" s="1216" t="str">
        <f t="shared" si="45"/>
        <v/>
      </c>
      <c r="W59" s="1216" t="str">
        <f t="shared" si="45"/>
        <v/>
      </c>
      <c r="X59" s="1216" t="str">
        <f t="shared" si="45"/>
        <v/>
      </c>
      <c r="Y59" s="1216" t="str">
        <f t="shared" si="45"/>
        <v/>
      </c>
      <c r="Z59" s="1216" t="str">
        <f t="shared" si="43"/>
        <v/>
      </c>
      <c r="AA59" s="1216" t="str">
        <f t="shared" si="43"/>
        <v/>
      </c>
      <c r="AB59" s="1217" t="str">
        <f t="shared" si="43"/>
        <v/>
      </c>
      <c r="AC59" s="1216" t="str">
        <f t="shared" si="43"/>
        <v/>
      </c>
      <c r="AD59" s="1218" t="str">
        <f t="shared" si="43"/>
        <v/>
      </c>
      <c r="AE59" s="1219">
        <f t="shared" si="27"/>
        <v>0</v>
      </c>
      <c r="AF59" s="282">
        <f t="shared" si="28"/>
        <v>0</v>
      </c>
      <c r="AG59" s="282" t="str">
        <f t="shared" si="29"/>
        <v>perlu dimaksimalkan</v>
      </c>
      <c r="AH59" s="282" t="str">
        <f t="shared" si="29"/>
        <v>perlu dimaksimalkan</v>
      </c>
      <c r="AI59" s="282" t="str">
        <f t="shared" si="30"/>
        <v/>
      </c>
      <c r="AJ59" s="283" t="str">
        <f t="shared" si="31"/>
        <v/>
      </c>
      <c r="AK59" s="284" t="str">
        <f t="shared" si="32"/>
        <v/>
      </c>
      <c r="AL59" s="276"/>
      <c r="AM59" s="277"/>
      <c r="AN59" s="277"/>
      <c r="AO59" s="277"/>
      <c r="AP59" s="277"/>
      <c r="AQ59" s="277"/>
      <c r="AR59" s="277"/>
      <c r="AS59" s="280"/>
      <c r="AT59" s="277"/>
      <c r="AU59" s="278"/>
      <c r="AV59" s="285" t="str">
        <f t="shared" si="33"/>
        <v/>
      </c>
      <c r="AW59" s="296" t="str">
        <f t="shared" si="34"/>
        <v/>
      </c>
      <c r="AX59" s="1220" t="str">
        <f t="shared" si="46"/>
        <v/>
      </c>
      <c r="AY59" s="1221" t="str">
        <f t="shared" si="46"/>
        <v/>
      </c>
      <c r="AZ59" s="1221" t="str">
        <f t="shared" si="46"/>
        <v/>
      </c>
      <c r="BA59" s="1221" t="str">
        <f t="shared" si="46"/>
        <v/>
      </c>
      <c r="BB59" s="1221" t="str">
        <f t="shared" si="46"/>
        <v/>
      </c>
      <c r="BC59" s="1221" t="str">
        <f t="shared" si="44"/>
        <v/>
      </c>
      <c r="BD59" s="1221" t="str">
        <f t="shared" si="44"/>
        <v/>
      </c>
      <c r="BE59" s="1222" t="str">
        <f t="shared" si="44"/>
        <v/>
      </c>
      <c r="BF59" s="1221" t="str">
        <f t="shared" si="44"/>
        <v/>
      </c>
      <c r="BG59" s="1223" t="str">
        <f t="shared" si="44"/>
        <v/>
      </c>
      <c r="BH59" s="286">
        <f t="shared" si="35"/>
        <v>0</v>
      </c>
      <c r="BI59" s="286">
        <f t="shared" si="36"/>
        <v>0</v>
      </c>
      <c r="BJ59" s="287" t="str">
        <f t="shared" si="37"/>
        <v>perlu dimaksimalkan</v>
      </c>
      <c r="BK59" s="287" t="str">
        <f t="shared" si="37"/>
        <v>perlu dimaksimalkan</v>
      </c>
      <c r="BL59" s="286" t="e">
        <f t="shared" si="38"/>
        <v>#N/A</v>
      </c>
      <c r="BM59" s="288" t="e">
        <f t="shared" si="39"/>
        <v>#N/A</v>
      </c>
      <c r="BN59" s="289" t="str">
        <f t="shared" si="40"/>
        <v/>
      </c>
      <c r="BO59" s="67"/>
    </row>
    <row r="60" spans="1:67" ht="33" customHeight="1">
      <c r="A60" s="67"/>
      <c r="B60" s="272" t="str">
        <f t="shared" si="23"/>
        <v/>
      </c>
      <c r="C60" s="273" t="str">
        <f>IF(Data!F51="","",Data!F51)</f>
        <v/>
      </c>
      <c r="D60" s="274" t="str">
        <f>IF(Data!H51="","",Data!H51)</f>
        <v/>
      </c>
      <c r="E60" s="275" t="str">
        <f>IF(Data!I51="","",Data!I51)</f>
        <v/>
      </c>
      <c r="F60" s="276"/>
      <c r="G60" s="277"/>
      <c r="H60" s="277"/>
      <c r="I60" s="277"/>
      <c r="J60" s="277"/>
      <c r="K60" s="277"/>
      <c r="L60" s="277"/>
      <c r="M60" s="280"/>
      <c r="N60" s="277"/>
      <c r="O60" s="278"/>
      <c r="P60" s="279" t="str">
        <f t="shared" si="24"/>
        <v/>
      </c>
      <c r="Q60" s="277"/>
      <c r="R60" s="280"/>
      <c r="S60" s="281" t="str">
        <f t="shared" si="25"/>
        <v/>
      </c>
      <c r="T60" s="295" t="str">
        <f t="shared" si="26"/>
        <v/>
      </c>
      <c r="U60" s="1215" t="str">
        <f t="shared" si="45"/>
        <v/>
      </c>
      <c r="V60" s="1216" t="str">
        <f t="shared" si="45"/>
        <v/>
      </c>
      <c r="W60" s="1216" t="str">
        <f t="shared" si="45"/>
        <v/>
      </c>
      <c r="X60" s="1216" t="str">
        <f t="shared" si="45"/>
        <v/>
      </c>
      <c r="Y60" s="1216" t="str">
        <f t="shared" si="45"/>
        <v/>
      </c>
      <c r="Z60" s="1216" t="str">
        <f t="shared" si="43"/>
        <v/>
      </c>
      <c r="AA60" s="1216" t="str">
        <f t="shared" si="43"/>
        <v/>
      </c>
      <c r="AB60" s="1217" t="str">
        <f t="shared" si="43"/>
        <v/>
      </c>
      <c r="AC60" s="1216" t="str">
        <f t="shared" si="43"/>
        <v/>
      </c>
      <c r="AD60" s="1218" t="str">
        <f t="shared" si="43"/>
        <v/>
      </c>
      <c r="AE60" s="1219">
        <f t="shared" si="27"/>
        <v>0</v>
      </c>
      <c r="AF60" s="282">
        <f t="shared" si="28"/>
        <v>0</v>
      </c>
      <c r="AG60" s="282" t="str">
        <f t="shared" si="29"/>
        <v>perlu dimaksimalkan</v>
      </c>
      <c r="AH60" s="282" t="str">
        <f t="shared" si="29"/>
        <v>perlu dimaksimalkan</v>
      </c>
      <c r="AI60" s="282" t="str">
        <f t="shared" si="30"/>
        <v/>
      </c>
      <c r="AJ60" s="283" t="str">
        <f t="shared" si="31"/>
        <v/>
      </c>
      <c r="AK60" s="284" t="str">
        <f t="shared" si="32"/>
        <v/>
      </c>
      <c r="AL60" s="276"/>
      <c r="AM60" s="277"/>
      <c r="AN60" s="277"/>
      <c r="AO60" s="277"/>
      <c r="AP60" s="277"/>
      <c r="AQ60" s="277"/>
      <c r="AR60" s="277"/>
      <c r="AS60" s="280"/>
      <c r="AT60" s="277"/>
      <c r="AU60" s="278"/>
      <c r="AV60" s="285" t="str">
        <f t="shared" si="33"/>
        <v/>
      </c>
      <c r="AW60" s="296" t="str">
        <f t="shared" si="34"/>
        <v/>
      </c>
      <c r="AX60" s="1220" t="str">
        <f t="shared" si="46"/>
        <v/>
      </c>
      <c r="AY60" s="1221" t="str">
        <f t="shared" si="46"/>
        <v/>
      </c>
      <c r="AZ60" s="1221" t="str">
        <f t="shared" si="46"/>
        <v/>
      </c>
      <c r="BA60" s="1221" t="str">
        <f t="shared" si="46"/>
        <v/>
      </c>
      <c r="BB60" s="1221" t="str">
        <f t="shared" si="46"/>
        <v/>
      </c>
      <c r="BC60" s="1221" t="str">
        <f t="shared" si="44"/>
        <v/>
      </c>
      <c r="BD60" s="1221" t="str">
        <f t="shared" si="44"/>
        <v/>
      </c>
      <c r="BE60" s="1222" t="str">
        <f t="shared" si="44"/>
        <v/>
      </c>
      <c r="BF60" s="1221" t="str">
        <f t="shared" si="44"/>
        <v/>
      </c>
      <c r="BG60" s="1223" t="str">
        <f t="shared" si="44"/>
        <v/>
      </c>
      <c r="BH60" s="286">
        <f t="shared" si="35"/>
        <v>0</v>
      </c>
      <c r="BI60" s="286">
        <f t="shared" si="36"/>
        <v>0</v>
      </c>
      <c r="BJ60" s="287" t="str">
        <f t="shared" si="37"/>
        <v>perlu dimaksimalkan</v>
      </c>
      <c r="BK60" s="287" t="str">
        <f t="shared" si="37"/>
        <v>perlu dimaksimalkan</v>
      </c>
      <c r="BL60" s="286" t="e">
        <f t="shared" si="38"/>
        <v>#N/A</v>
      </c>
      <c r="BM60" s="288" t="e">
        <f t="shared" si="39"/>
        <v>#N/A</v>
      </c>
      <c r="BN60" s="289" t="str">
        <f t="shared" si="40"/>
        <v/>
      </c>
      <c r="BO60" s="67"/>
    </row>
    <row r="61" spans="1:67" ht="33" customHeight="1">
      <c r="A61" s="67"/>
      <c r="B61" s="272" t="str">
        <f t="shared" si="23"/>
        <v/>
      </c>
      <c r="C61" s="273" t="str">
        <f>IF(Data!F52="","",Data!F52)</f>
        <v/>
      </c>
      <c r="D61" s="274" t="str">
        <f>IF(Data!H52="","",Data!H52)</f>
        <v/>
      </c>
      <c r="E61" s="275" t="str">
        <f>IF(Data!I52="","",Data!I52)</f>
        <v/>
      </c>
      <c r="F61" s="276"/>
      <c r="G61" s="277"/>
      <c r="H61" s="277"/>
      <c r="I61" s="277"/>
      <c r="J61" s="277"/>
      <c r="K61" s="277"/>
      <c r="L61" s="277"/>
      <c r="M61" s="280"/>
      <c r="N61" s="277"/>
      <c r="O61" s="278"/>
      <c r="P61" s="279" t="str">
        <f t="shared" si="24"/>
        <v/>
      </c>
      <c r="Q61" s="277"/>
      <c r="R61" s="280"/>
      <c r="S61" s="281" t="str">
        <f t="shared" si="25"/>
        <v/>
      </c>
      <c r="T61" s="295" t="str">
        <f t="shared" si="26"/>
        <v/>
      </c>
      <c r="U61" s="1215" t="str">
        <f t="shared" si="45"/>
        <v/>
      </c>
      <c r="V61" s="1216" t="str">
        <f t="shared" si="45"/>
        <v/>
      </c>
      <c r="W61" s="1216" t="str">
        <f t="shared" si="45"/>
        <v/>
      </c>
      <c r="X61" s="1216" t="str">
        <f t="shared" si="45"/>
        <v/>
      </c>
      <c r="Y61" s="1216" t="str">
        <f t="shared" si="45"/>
        <v/>
      </c>
      <c r="Z61" s="1216" t="str">
        <f t="shared" si="43"/>
        <v/>
      </c>
      <c r="AA61" s="1216" t="str">
        <f t="shared" si="43"/>
        <v/>
      </c>
      <c r="AB61" s="1217" t="str">
        <f t="shared" si="43"/>
        <v/>
      </c>
      <c r="AC61" s="1216" t="str">
        <f t="shared" si="43"/>
        <v/>
      </c>
      <c r="AD61" s="1218" t="str">
        <f t="shared" si="43"/>
        <v/>
      </c>
      <c r="AE61" s="1219">
        <f t="shared" si="27"/>
        <v>0</v>
      </c>
      <c r="AF61" s="282">
        <f t="shared" si="28"/>
        <v>0</v>
      </c>
      <c r="AG61" s="282" t="str">
        <f t="shared" si="29"/>
        <v>perlu dimaksimalkan</v>
      </c>
      <c r="AH61" s="282" t="str">
        <f t="shared" si="29"/>
        <v>perlu dimaksimalkan</v>
      </c>
      <c r="AI61" s="282" t="str">
        <f t="shared" si="30"/>
        <v/>
      </c>
      <c r="AJ61" s="283" t="str">
        <f t="shared" si="31"/>
        <v/>
      </c>
      <c r="AK61" s="284" t="str">
        <f t="shared" si="32"/>
        <v/>
      </c>
      <c r="AL61" s="276"/>
      <c r="AM61" s="277"/>
      <c r="AN61" s="277"/>
      <c r="AO61" s="277"/>
      <c r="AP61" s="277"/>
      <c r="AQ61" s="277"/>
      <c r="AR61" s="277"/>
      <c r="AS61" s="280"/>
      <c r="AT61" s="277"/>
      <c r="AU61" s="278"/>
      <c r="AV61" s="285" t="str">
        <f t="shared" si="33"/>
        <v/>
      </c>
      <c r="AW61" s="296" t="str">
        <f t="shared" si="34"/>
        <v/>
      </c>
      <c r="AX61" s="1220" t="str">
        <f t="shared" si="46"/>
        <v/>
      </c>
      <c r="AY61" s="1221" t="str">
        <f t="shared" si="46"/>
        <v/>
      </c>
      <c r="AZ61" s="1221" t="str">
        <f t="shared" si="46"/>
        <v/>
      </c>
      <c r="BA61" s="1221" t="str">
        <f t="shared" si="46"/>
        <v/>
      </c>
      <c r="BB61" s="1221" t="str">
        <f t="shared" si="46"/>
        <v/>
      </c>
      <c r="BC61" s="1221" t="str">
        <f t="shared" si="44"/>
        <v/>
      </c>
      <c r="BD61" s="1221" t="str">
        <f t="shared" si="44"/>
        <v/>
      </c>
      <c r="BE61" s="1222" t="str">
        <f t="shared" si="44"/>
        <v/>
      </c>
      <c r="BF61" s="1221" t="str">
        <f t="shared" si="44"/>
        <v/>
      </c>
      <c r="BG61" s="1223" t="str">
        <f t="shared" si="44"/>
        <v/>
      </c>
      <c r="BH61" s="286">
        <f t="shared" si="35"/>
        <v>0</v>
      </c>
      <c r="BI61" s="286">
        <f t="shared" si="36"/>
        <v>0</v>
      </c>
      <c r="BJ61" s="287" t="str">
        <f t="shared" si="37"/>
        <v>perlu dimaksimalkan</v>
      </c>
      <c r="BK61" s="287" t="str">
        <f t="shared" si="37"/>
        <v>perlu dimaksimalkan</v>
      </c>
      <c r="BL61" s="286" t="e">
        <f t="shared" si="38"/>
        <v>#N/A</v>
      </c>
      <c r="BM61" s="288" t="e">
        <f t="shared" si="39"/>
        <v>#N/A</v>
      </c>
      <c r="BN61" s="289" t="str">
        <f t="shared" si="40"/>
        <v/>
      </c>
      <c r="BO61" s="67"/>
    </row>
    <row r="62" spans="1:67" ht="33" customHeight="1">
      <c r="A62" s="67"/>
      <c r="B62" s="272" t="str">
        <f t="shared" si="23"/>
        <v/>
      </c>
      <c r="C62" s="273" t="str">
        <f>IF(Data!F53="","",Data!F53)</f>
        <v/>
      </c>
      <c r="D62" s="274" t="str">
        <f>IF(Data!H53="","",Data!H53)</f>
        <v/>
      </c>
      <c r="E62" s="275" t="str">
        <f>IF(Data!I53="","",Data!I53)</f>
        <v/>
      </c>
      <c r="F62" s="276"/>
      <c r="G62" s="277"/>
      <c r="H62" s="277"/>
      <c r="I62" s="277"/>
      <c r="J62" s="277"/>
      <c r="K62" s="277"/>
      <c r="L62" s="277"/>
      <c r="M62" s="280"/>
      <c r="N62" s="277"/>
      <c r="O62" s="278"/>
      <c r="P62" s="279" t="str">
        <f t="shared" si="24"/>
        <v/>
      </c>
      <c r="Q62" s="277"/>
      <c r="R62" s="280"/>
      <c r="S62" s="281" t="str">
        <f t="shared" si="25"/>
        <v/>
      </c>
      <c r="T62" s="295" t="str">
        <f t="shared" si="26"/>
        <v/>
      </c>
      <c r="U62" s="1215" t="str">
        <f t="shared" si="45"/>
        <v/>
      </c>
      <c r="V62" s="1216" t="str">
        <f t="shared" si="45"/>
        <v/>
      </c>
      <c r="W62" s="1216" t="str">
        <f t="shared" si="45"/>
        <v/>
      </c>
      <c r="X62" s="1216" t="str">
        <f t="shared" si="45"/>
        <v/>
      </c>
      <c r="Y62" s="1216" t="str">
        <f t="shared" si="45"/>
        <v/>
      </c>
      <c r="Z62" s="1216" t="str">
        <f t="shared" si="43"/>
        <v/>
      </c>
      <c r="AA62" s="1216" t="str">
        <f t="shared" si="43"/>
        <v/>
      </c>
      <c r="AB62" s="1217" t="str">
        <f t="shared" si="43"/>
        <v/>
      </c>
      <c r="AC62" s="1216" t="str">
        <f t="shared" si="43"/>
        <v/>
      </c>
      <c r="AD62" s="1218" t="str">
        <f t="shared" si="43"/>
        <v/>
      </c>
      <c r="AE62" s="1219">
        <f t="shared" si="27"/>
        <v>0</v>
      </c>
      <c r="AF62" s="282">
        <f t="shared" si="28"/>
        <v>0</v>
      </c>
      <c r="AG62" s="282" t="str">
        <f t="shared" si="29"/>
        <v>perlu dimaksimalkan</v>
      </c>
      <c r="AH62" s="282" t="str">
        <f t="shared" si="29"/>
        <v>perlu dimaksimalkan</v>
      </c>
      <c r="AI62" s="282" t="str">
        <f t="shared" si="30"/>
        <v/>
      </c>
      <c r="AJ62" s="283" t="str">
        <f t="shared" si="31"/>
        <v/>
      </c>
      <c r="AK62" s="284" t="str">
        <f t="shared" si="32"/>
        <v/>
      </c>
      <c r="AL62" s="276"/>
      <c r="AM62" s="277"/>
      <c r="AN62" s="277"/>
      <c r="AO62" s="277"/>
      <c r="AP62" s="277"/>
      <c r="AQ62" s="277"/>
      <c r="AR62" s="277"/>
      <c r="AS62" s="280"/>
      <c r="AT62" s="277"/>
      <c r="AU62" s="278"/>
      <c r="AV62" s="285" t="str">
        <f t="shared" si="33"/>
        <v/>
      </c>
      <c r="AW62" s="296" t="str">
        <f t="shared" si="34"/>
        <v/>
      </c>
      <c r="AX62" s="1220" t="str">
        <f t="shared" si="46"/>
        <v/>
      </c>
      <c r="AY62" s="1221" t="str">
        <f t="shared" si="46"/>
        <v/>
      </c>
      <c r="AZ62" s="1221" t="str">
        <f t="shared" si="46"/>
        <v/>
      </c>
      <c r="BA62" s="1221" t="str">
        <f t="shared" si="46"/>
        <v/>
      </c>
      <c r="BB62" s="1221" t="str">
        <f t="shared" si="46"/>
        <v/>
      </c>
      <c r="BC62" s="1221" t="str">
        <f t="shared" si="44"/>
        <v/>
      </c>
      <c r="BD62" s="1221" t="str">
        <f t="shared" si="44"/>
        <v/>
      </c>
      <c r="BE62" s="1222" t="str">
        <f t="shared" si="44"/>
        <v/>
      </c>
      <c r="BF62" s="1221" t="str">
        <f t="shared" si="44"/>
        <v/>
      </c>
      <c r="BG62" s="1223" t="str">
        <f t="shared" si="44"/>
        <v/>
      </c>
      <c r="BH62" s="286">
        <f t="shared" si="35"/>
        <v>0</v>
      </c>
      <c r="BI62" s="286">
        <f t="shared" si="36"/>
        <v>0</v>
      </c>
      <c r="BJ62" s="287" t="str">
        <f t="shared" si="37"/>
        <v>perlu dimaksimalkan</v>
      </c>
      <c r="BK62" s="287" t="str">
        <f t="shared" si="37"/>
        <v>perlu dimaksimalkan</v>
      </c>
      <c r="BL62" s="286" t="e">
        <f t="shared" si="38"/>
        <v>#N/A</v>
      </c>
      <c r="BM62" s="288" t="e">
        <f t="shared" si="39"/>
        <v>#N/A</v>
      </c>
      <c r="BN62" s="289" t="str">
        <f t="shared" si="40"/>
        <v/>
      </c>
      <c r="BO62" s="67"/>
    </row>
    <row r="63" spans="1:67" ht="33" customHeight="1">
      <c r="A63" s="67"/>
      <c r="B63" s="272" t="str">
        <f t="shared" si="23"/>
        <v/>
      </c>
      <c r="C63" s="273" t="str">
        <f>IF(Data!F54="","",Data!F54)</f>
        <v/>
      </c>
      <c r="D63" s="274" t="str">
        <f>IF(Data!H54="","",Data!H54)</f>
        <v/>
      </c>
      <c r="E63" s="275" t="str">
        <f>IF(Data!I54="","",Data!I54)</f>
        <v/>
      </c>
      <c r="F63" s="276"/>
      <c r="G63" s="277"/>
      <c r="H63" s="277"/>
      <c r="I63" s="277"/>
      <c r="J63" s="277"/>
      <c r="K63" s="277"/>
      <c r="L63" s="277"/>
      <c r="M63" s="280"/>
      <c r="N63" s="277"/>
      <c r="O63" s="278"/>
      <c r="P63" s="279" t="str">
        <f t="shared" si="24"/>
        <v/>
      </c>
      <c r="Q63" s="277"/>
      <c r="R63" s="280"/>
      <c r="S63" s="281" t="str">
        <f t="shared" si="25"/>
        <v/>
      </c>
      <c r="T63" s="295" t="str">
        <f t="shared" si="26"/>
        <v/>
      </c>
      <c r="U63" s="1215" t="str">
        <f t="shared" si="45"/>
        <v/>
      </c>
      <c r="V63" s="1216" t="str">
        <f t="shared" si="45"/>
        <v/>
      </c>
      <c r="W63" s="1216" t="str">
        <f t="shared" si="45"/>
        <v/>
      </c>
      <c r="X63" s="1216" t="str">
        <f t="shared" si="45"/>
        <v/>
      </c>
      <c r="Y63" s="1216" t="str">
        <f t="shared" si="45"/>
        <v/>
      </c>
      <c r="Z63" s="1216" t="str">
        <f t="shared" si="43"/>
        <v/>
      </c>
      <c r="AA63" s="1216" t="str">
        <f t="shared" si="43"/>
        <v/>
      </c>
      <c r="AB63" s="1217" t="str">
        <f t="shared" si="43"/>
        <v/>
      </c>
      <c r="AC63" s="1216" t="str">
        <f t="shared" si="43"/>
        <v/>
      </c>
      <c r="AD63" s="1218" t="str">
        <f t="shared" si="43"/>
        <v/>
      </c>
      <c r="AE63" s="1219">
        <f t="shared" si="27"/>
        <v>0</v>
      </c>
      <c r="AF63" s="282">
        <f t="shared" si="28"/>
        <v>0</v>
      </c>
      <c r="AG63" s="282" t="str">
        <f t="shared" si="29"/>
        <v>perlu dimaksimalkan</v>
      </c>
      <c r="AH63" s="282" t="str">
        <f t="shared" si="29"/>
        <v>perlu dimaksimalkan</v>
      </c>
      <c r="AI63" s="282" t="str">
        <f t="shared" si="30"/>
        <v/>
      </c>
      <c r="AJ63" s="283" t="str">
        <f t="shared" si="31"/>
        <v/>
      </c>
      <c r="AK63" s="284" t="str">
        <f t="shared" si="32"/>
        <v/>
      </c>
      <c r="AL63" s="276"/>
      <c r="AM63" s="277"/>
      <c r="AN63" s="277"/>
      <c r="AO63" s="277"/>
      <c r="AP63" s="277"/>
      <c r="AQ63" s="277"/>
      <c r="AR63" s="277"/>
      <c r="AS63" s="280"/>
      <c r="AT63" s="277"/>
      <c r="AU63" s="278"/>
      <c r="AV63" s="285" t="str">
        <f t="shared" si="33"/>
        <v/>
      </c>
      <c r="AW63" s="296" t="str">
        <f t="shared" si="34"/>
        <v/>
      </c>
      <c r="AX63" s="1220" t="str">
        <f t="shared" si="46"/>
        <v/>
      </c>
      <c r="AY63" s="1221" t="str">
        <f t="shared" si="46"/>
        <v/>
      </c>
      <c r="AZ63" s="1221" t="str">
        <f t="shared" si="46"/>
        <v/>
      </c>
      <c r="BA63" s="1221" t="str">
        <f t="shared" si="46"/>
        <v/>
      </c>
      <c r="BB63" s="1221" t="str">
        <f t="shared" si="46"/>
        <v/>
      </c>
      <c r="BC63" s="1221" t="str">
        <f t="shared" si="44"/>
        <v/>
      </c>
      <c r="BD63" s="1221" t="str">
        <f t="shared" si="44"/>
        <v/>
      </c>
      <c r="BE63" s="1222" t="str">
        <f t="shared" si="44"/>
        <v/>
      </c>
      <c r="BF63" s="1221" t="str">
        <f t="shared" si="44"/>
        <v/>
      </c>
      <c r="BG63" s="1223" t="str">
        <f t="shared" si="44"/>
        <v/>
      </c>
      <c r="BH63" s="286">
        <f t="shared" si="35"/>
        <v>0</v>
      </c>
      <c r="BI63" s="286">
        <f t="shared" si="36"/>
        <v>0</v>
      </c>
      <c r="BJ63" s="287" t="str">
        <f t="shared" si="37"/>
        <v>perlu dimaksimalkan</v>
      </c>
      <c r="BK63" s="287" t="str">
        <f t="shared" si="37"/>
        <v>perlu dimaksimalkan</v>
      </c>
      <c r="BL63" s="286" t="e">
        <f t="shared" si="38"/>
        <v>#N/A</v>
      </c>
      <c r="BM63" s="288" t="e">
        <f t="shared" si="39"/>
        <v>#N/A</v>
      </c>
      <c r="BN63" s="289" t="str">
        <f t="shared" si="40"/>
        <v/>
      </c>
      <c r="BO63" s="67"/>
    </row>
    <row r="64" spans="1:67">
      <c r="A64" s="67"/>
      <c r="B64" s="109">
        <v>1</v>
      </c>
      <c r="C64" s="109">
        <v>2</v>
      </c>
      <c r="D64" s="109">
        <v>3</v>
      </c>
      <c r="E64" s="109">
        <v>4</v>
      </c>
      <c r="F64" s="109">
        <v>5</v>
      </c>
      <c r="G64" s="109">
        <v>6</v>
      </c>
      <c r="H64" s="109">
        <v>7</v>
      </c>
      <c r="I64" s="109">
        <v>8</v>
      </c>
      <c r="J64" s="109">
        <v>9</v>
      </c>
      <c r="K64" s="109">
        <v>10</v>
      </c>
      <c r="L64" s="109">
        <v>11</v>
      </c>
      <c r="M64" s="109">
        <v>12</v>
      </c>
      <c r="N64" s="109">
        <v>13</v>
      </c>
      <c r="O64" s="109">
        <v>14</v>
      </c>
      <c r="P64" s="109">
        <v>15</v>
      </c>
      <c r="Q64" s="109">
        <v>16</v>
      </c>
      <c r="R64" s="109">
        <v>17</v>
      </c>
      <c r="S64" s="109">
        <v>18</v>
      </c>
      <c r="T64" s="109">
        <v>19</v>
      </c>
      <c r="U64" s="109">
        <v>20</v>
      </c>
      <c r="V64" s="109">
        <v>21</v>
      </c>
      <c r="W64" s="109">
        <v>22</v>
      </c>
      <c r="X64" s="109">
        <v>23</v>
      </c>
      <c r="Y64" s="109">
        <v>24</v>
      </c>
      <c r="Z64" s="109">
        <v>25</v>
      </c>
      <c r="AA64" s="109">
        <v>26</v>
      </c>
      <c r="AB64" s="109">
        <v>27</v>
      </c>
      <c r="AC64" s="109">
        <v>28</v>
      </c>
      <c r="AD64" s="109">
        <v>29</v>
      </c>
      <c r="AE64" s="109">
        <v>30</v>
      </c>
      <c r="AF64" s="109">
        <v>31</v>
      </c>
      <c r="AG64" s="109">
        <v>32</v>
      </c>
      <c r="AH64" s="109">
        <v>33</v>
      </c>
      <c r="AI64" s="109">
        <v>34</v>
      </c>
      <c r="AJ64" s="109">
        <v>35</v>
      </c>
      <c r="AK64" s="109">
        <v>36</v>
      </c>
      <c r="AL64" s="109">
        <v>37</v>
      </c>
      <c r="AM64" s="109">
        <v>38</v>
      </c>
      <c r="AN64" s="109">
        <v>39</v>
      </c>
      <c r="AO64" s="109">
        <v>40</v>
      </c>
      <c r="AP64" s="109">
        <v>41</v>
      </c>
      <c r="AQ64" s="109">
        <v>42</v>
      </c>
      <c r="AR64" s="109">
        <v>43</v>
      </c>
      <c r="AS64" s="109">
        <v>44</v>
      </c>
      <c r="AT64" s="109">
        <v>45</v>
      </c>
      <c r="AU64" s="109">
        <v>46</v>
      </c>
      <c r="AV64" s="109">
        <v>47</v>
      </c>
      <c r="AW64" s="109">
        <v>48</v>
      </c>
      <c r="AX64" s="109">
        <v>49</v>
      </c>
      <c r="AY64" s="109">
        <v>50</v>
      </c>
      <c r="AZ64" s="109">
        <v>51</v>
      </c>
      <c r="BA64" s="109">
        <v>52</v>
      </c>
      <c r="BB64" s="109">
        <v>53</v>
      </c>
      <c r="BC64" s="109">
        <v>54</v>
      </c>
      <c r="BD64" s="109">
        <v>55</v>
      </c>
      <c r="BE64" s="109">
        <v>56</v>
      </c>
      <c r="BF64" s="109">
        <v>57</v>
      </c>
      <c r="BG64" s="109">
        <v>58</v>
      </c>
      <c r="BH64" s="109">
        <v>59</v>
      </c>
      <c r="BI64" s="109">
        <v>60</v>
      </c>
      <c r="BJ64" s="109">
        <v>61</v>
      </c>
      <c r="BK64" s="109">
        <v>62</v>
      </c>
      <c r="BL64" s="109">
        <v>63</v>
      </c>
      <c r="BM64" s="109">
        <v>64</v>
      </c>
      <c r="BN64" s="109">
        <v>65</v>
      </c>
      <c r="BO64" s="67"/>
    </row>
    <row r="65" spans="1:67" ht="17.25" customHeight="1">
      <c r="A65" s="67"/>
      <c r="B65" s="84"/>
      <c r="C65" s="82"/>
      <c r="D65" s="81"/>
      <c r="E65" s="81"/>
      <c r="F65" s="1693" t="str">
        <f>Data2!$L$16</f>
        <v>MULTI KKM</v>
      </c>
      <c r="G65" s="1694"/>
      <c r="H65" s="1694"/>
      <c r="I65" s="1694"/>
      <c r="J65" s="1694"/>
      <c r="K65" s="1694"/>
      <c r="L65" s="1694"/>
      <c r="M65" s="1694"/>
      <c r="N65" s="1694"/>
      <c r="O65" s="1694"/>
      <c r="P65" s="1694"/>
      <c r="Q65" s="1695"/>
      <c r="R65" s="81"/>
      <c r="S65" s="82"/>
      <c r="T65" s="81"/>
      <c r="U65" s="81"/>
      <c r="V65" s="81"/>
      <c r="W65" s="81"/>
      <c r="X65" s="81"/>
      <c r="Y65" s="81"/>
      <c r="Z65" s="81"/>
      <c r="AA65" s="81"/>
      <c r="AB65" s="81"/>
      <c r="AC65" s="81"/>
      <c r="AD65" s="81"/>
      <c r="AE65" s="81"/>
      <c r="AF65" s="81"/>
      <c r="AG65" s="81"/>
      <c r="AH65" s="81"/>
      <c r="AI65" s="81"/>
      <c r="AJ65" s="81"/>
      <c r="AK65" s="81"/>
      <c r="AL65" s="1693" t="str">
        <f>Data2!$L$16</f>
        <v>MULTI KKM</v>
      </c>
      <c r="AM65" s="1694"/>
      <c r="AN65" s="1694"/>
      <c r="AO65" s="1694"/>
      <c r="AP65" s="1694"/>
      <c r="AQ65" s="1694"/>
      <c r="AR65" s="1694"/>
      <c r="AS65" s="1694"/>
      <c r="AT65" s="1694"/>
      <c r="AU65" s="1694"/>
      <c r="AV65" s="1695"/>
      <c r="AW65" s="81"/>
      <c r="AX65" s="81"/>
      <c r="AY65" s="81"/>
      <c r="AZ65" s="81"/>
      <c r="BA65" s="81"/>
      <c r="BB65" s="81"/>
      <c r="BC65" s="81"/>
      <c r="BD65" s="81"/>
      <c r="BE65" s="81"/>
      <c r="BF65" s="81"/>
      <c r="BG65" s="81"/>
      <c r="BH65" s="81"/>
      <c r="BI65" s="81"/>
      <c r="BJ65" s="81"/>
      <c r="BK65" s="81"/>
      <c r="BL65" s="81"/>
      <c r="BM65" s="81"/>
      <c r="BN65" s="81"/>
      <c r="BO65" s="67"/>
    </row>
    <row r="66" spans="1:67" ht="12.75" hidden="1">
      <c r="A66" s="67"/>
      <c r="B66" s="81"/>
      <c r="C66" s="85"/>
      <c r="D66" s="86"/>
      <c r="E66" s="81"/>
      <c r="F66" s="1691" t="s">
        <v>31</v>
      </c>
      <c r="G66" s="1691"/>
      <c r="H66" s="1691"/>
      <c r="I66" s="1691"/>
      <c r="J66" s="1691"/>
      <c r="K66" s="1691"/>
      <c r="L66" s="1691"/>
      <c r="M66" s="1691"/>
      <c r="N66" s="1691"/>
      <c r="O66" s="1691"/>
      <c r="P66" s="1691"/>
      <c r="Q66" s="1691"/>
      <c r="R66" s="81"/>
      <c r="S66" s="81"/>
      <c r="T66" s="88"/>
      <c r="U66" s="88"/>
      <c r="V66" s="88"/>
      <c r="W66" s="88"/>
      <c r="X66" s="88"/>
      <c r="Y66" s="88"/>
      <c r="Z66" s="88"/>
      <c r="AA66" s="88"/>
      <c r="AB66" s="88"/>
      <c r="AC66" s="88"/>
      <c r="AD66" s="88"/>
      <c r="AE66" s="88"/>
      <c r="AF66" s="88"/>
      <c r="AG66" s="88"/>
      <c r="AH66" s="88"/>
      <c r="AI66" s="88"/>
      <c r="AJ66" s="88"/>
      <c r="AK66" s="88"/>
      <c r="AL66" s="1691" t="s">
        <v>32</v>
      </c>
      <c r="AM66" s="1691"/>
      <c r="AN66" s="1691"/>
      <c r="AO66" s="1691"/>
      <c r="AP66" s="1691"/>
      <c r="AQ66" s="1691"/>
      <c r="AR66" s="1691"/>
      <c r="AS66" s="1691"/>
      <c r="AT66" s="1691"/>
      <c r="AU66" s="1691"/>
      <c r="AV66" s="1691"/>
      <c r="AW66" s="81"/>
      <c r="AX66" s="81"/>
      <c r="AY66" s="81"/>
      <c r="AZ66" s="81"/>
      <c r="BA66" s="81"/>
      <c r="BB66" s="81"/>
      <c r="BC66" s="81"/>
      <c r="BD66" s="81"/>
      <c r="BE66" s="81"/>
      <c r="BF66" s="81"/>
      <c r="BG66" s="81"/>
      <c r="BH66" s="81"/>
      <c r="BI66" s="81"/>
      <c r="BJ66" s="81"/>
      <c r="BK66" s="81"/>
      <c r="BL66" s="81"/>
      <c r="BM66" s="81"/>
      <c r="BN66" s="81"/>
      <c r="BO66" s="67"/>
    </row>
    <row r="67" spans="1:67" ht="15" hidden="1" customHeight="1">
      <c r="A67" s="67"/>
      <c r="B67" s="81"/>
      <c r="C67" s="85"/>
      <c r="D67" s="81"/>
      <c r="E67" s="81"/>
      <c r="F67" s="1692" t="s">
        <v>27</v>
      </c>
      <c r="G67" s="1692"/>
      <c r="H67" s="1692"/>
      <c r="I67" s="1690" t="s">
        <v>28</v>
      </c>
      <c r="J67" s="1690"/>
      <c r="K67" s="1690"/>
      <c r="L67" s="1690"/>
      <c r="M67" s="1690"/>
      <c r="N67" s="1690"/>
      <c r="O67" s="1690"/>
      <c r="P67" s="1690"/>
      <c r="Q67" s="1690"/>
      <c r="R67" s="81"/>
      <c r="S67" s="82"/>
      <c r="T67" s="89"/>
      <c r="U67" s="89"/>
      <c r="V67" s="89"/>
      <c r="W67" s="89"/>
      <c r="X67" s="89"/>
      <c r="Y67" s="89"/>
      <c r="Z67" s="89"/>
      <c r="AA67" s="89"/>
      <c r="AB67" s="89"/>
      <c r="AC67" s="89"/>
      <c r="AD67" s="89"/>
      <c r="AE67" s="89"/>
      <c r="AF67" s="89"/>
      <c r="AG67" s="89"/>
      <c r="AH67" s="89"/>
      <c r="AI67" s="89"/>
      <c r="AJ67" s="89"/>
      <c r="AK67" s="89"/>
      <c r="AL67" s="1692" t="s">
        <v>27</v>
      </c>
      <c r="AM67" s="1692"/>
      <c r="AN67" s="1692"/>
      <c r="AO67" s="1690" t="s">
        <v>28</v>
      </c>
      <c r="AP67" s="1690"/>
      <c r="AQ67" s="1690"/>
      <c r="AR67" s="1690"/>
      <c r="AS67" s="1690"/>
      <c r="AT67" s="1690"/>
      <c r="AU67" s="1690"/>
      <c r="AV67" s="1690"/>
      <c r="AW67" s="81"/>
      <c r="AX67" s="81"/>
      <c r="AY67" s="81"/>
      <c r="AZ67" s="81"/>
      <c r="BA67" s="81"/>
      <c r="BB67" s="81"/>
      <c r="BC67" s="81"/>
      <c r="BD67" s="81"/>
      <c r="BE67" s="81"/>
      <c r="BF67" s="81"/>
      <c r="BG67" s="81"/>
      <c r="BH67" s="81"/>
      <c r="BI67" s="81"/>
      <c r="BJ67" s="81"/>
      <c r="BK67" s="81"/>
      <c r="BL67" s="81"/>
      <c r="BM67" s="81"/>
      <c r="BN67" s="81"/>
      <c r="BO67" s="67"/>
    </row>
    <row r="68" spans="1:67" ht="15" hidden="1" customHeight="1">
      <c r="A68" s="67"/>
      <c r="B68" s="81"/>
      <c r="C68" s="85"/>
      <c r="D68" s="81"/>
      <c r="E68" s="81"/>
      <c r="F68" s="347">
        <f>H69+1</f>
        <v>93</v>
      </c>
      <c r="G68" s="348" t="s">
        <v>5</v>
      </c>
      <c r="H68" s="347">
        <v>100</v>
      </c>
      <c r="I68" s="1658" t="str">
        <f>Data2!L6</f>
        <v>sangat baik</v>
      </c>
      <c r="J68" s="1658"/>
      <c r="K68" s="1658"/>
      <c r="L68" s="1658"/>
      <c r="M68" s="1658"/>
      <c r="N68" s="1658"/>
      <c r="O68" s="1658"/>
      <c r="P68" s="1658"/>
      <c r="Q68" s="1658"/>
      <c r="R68" s="339"/>
      <c r="S68" s="340"/>
      <c r="T68" s="341"/>
      <c r="U68" s="341"/>
      <c r="V68" s="341"/>
      <c r="W68" s="341"/>
      <c r="X68" s="341"/>
      <c r="Y68" s="341"/>
      <c r="Z68" s="341"/>
      <c r="AA68" s="341"/>
      <c r="AB68" s="341"/>
      <c r="AC68" s="341"/>
      <c r="AD68" s="341"/>
      <c r="AE68" s="341"/>
      <c r="AF68" s="341"/>
      <c r="AG68" s="341"/>
      <c r="AH68" s="341"/>
      <c r="AI68" s="341"/>
      <c r="AJ68" s="341"/>
      <c r="AK68" s="341"/>
      <c r="AL68" s="347">
        <f t="shared" ref="AL68:AL69" si="47">F68</f>
        <v>93</v>
      </c>
      <c r="AM68" s="349" t="s">
        <v>5</v>
      </c>
      <c r="AN68" s="347">
        <v>100</v>
      </c>
      <c r="AO68" s="1658" t="str">
        <f>I68</f>
        <v>sangat baik</v>
      </c>
      <c r="AP68" s="1658"/>
      <c r="AQ68" s="1658"/>
      <c r="AR68" s="1658"/>
      <c r="AS68" s="1658"/>
      <c r="AT68" s="1658"/>
      <c r="AU68" s="1658"/>
      <c r="AV68" s="1658"/>
      <c r="AW68" s="81"/>
      <c r="AX68" s="81"/>
      <c r="AY68" s="81"/>
      <c r="AZ68" s="81"/>
      <c r="BA68" s="81"/>
      <c r="BB68" s="81"/>
      <c r="BC68" s="81"/>
      <c r="BD68" s="81"/>
      <c r="BE68" s="81"/>
      <c r="BF68" s="81"/>
      <c r="BG68" s="81"/>
      <c r="BH68" s="81"/>
      <c r="BI68" s="81"/>
      <c r="BJ68" s="81"/>
      <c r="BK68" s="81"/>
      <c r="BL68" s="81"/>
      <c r="BM68" s="81"/>
      <c r="BN68" s="81"/>
      <c r="BO68" s="67"/>
    </row>
    <row r="69" spans="1:67" ht="15" hidden="1" customHeight="1">
      <c r="A69" s="67"/>
      <c r="B69" s="81"/>
      <c r="C69" s="85"/>
      <c r="D69" s="81"/>
      <c r="E69" s="81"/>
      <c r="F69" s="347">
        <f>H70+1</f>
        <v>85</v>
      </c>
      <c r="G69" s="348" t="s">
        <v>5</v>
      </c>
      <c r="H69" s="347">
        <f>ROUNDDOWN(F69+(H68-F69)/2,0)</f>
        <v>92</v>
      </c>
      <c r="I69" s="1658" t="str">
        <f>Data2!L7</f>
        <v>baik</v>
      </c>
      <c r="J69" s="1658"/>
      <c r="K69" s="1658"/>
      <c r="L69" s="1658"/>
      <c r="M69" s="1658"/>
      <c r="N69" s="1658"/>
      <c r="O69" s="1658"/>
      <c r="P69" s="1658"/>
      <c r="Q69" s="1658"/>
      <c r="R69" s="339"/>
      <c r="S69" s="340"/>
      <c r="T69" s="341"/>
      <c r="U69" s="341"/>
      <c r="V69" s="341"/>
      <c r="W69" s="341"/>
      <c r="X69" s="341"/>
      <c r="Y69" s="341"/>
      <c r="Z69" s="341"/>
      <c r="AA69" s="341"/>
      <c r="AB69" s="341"/>
      <c r="AC69" s="341"/>
      <c r="AD69" s="341"/>
      <c r="AE69" s="341"/>
      <c r="AF69" s="341"/>
      <c r="AG69" s="341"/>
      <c r="AH69" s="341"/>
      <c r="AI69" s="341"/>
      <c r="AJ69" s="341"/>
      <c r="AK69" s="341"/>
      <c r="AL69" s="347">
        <f t="shared" si="47"/>
        <v>85</v>
      </c>
      <c r="AM69" s="349" t="s">
        <v>5</v>
      </c>
      <c r="AN69" s="347">
        <f t="shared" ref="AN69" si="48">H69</f>
        <v>92</v>
      </c>
      <c r="AO69" s="1658" t="str">
        <f>I69</f>
        <v>baik</v>
      </c>
      <c r="AP69" s="1658"/>
      <c r="AQ69" s="1658"/>
      <c r="AR69" s="1658"/>
      <c r="AS69" s="1658"/>
      <c r="AT69" s="1658"/>
      <c r="AU69" s="1658"/>
      <c r="AV69" s="1658"/>
      <c r="AW69" s="81"/>
      <c r="AX69" s="81"/>
      <c r="AY69" s="81"/>
      <c r="AZ69" s="81"/>
      <c r="BA69" s="81"/>
      <c r="BB69" s="81"/>
      <c r="BC69" s="81"/>
      <c r="BD69" s="81"/>
      <c r="BE69" s="81"/>
      <c r="BF69" s="81"/>
      <c r="BG69" s="81"/>
      <c r="BH69" s="81"/>
      <c r="BI69" s="81"/>
      <c r="BJ69" s="81"/>
      <c r="BK69" s="81"/>
      <c r="BL69" s="81"/>
      <c r="BM69" s="81"/>
      <c r="BN69" s="81"/>
      <c r="BO69" s="67"/>
    </row>
    <row r="70" spans="1:67" ht="12.75" hidden="1" customHeight="1">
      <c r="A70" s="67"/>
      <c r="B70" s="81"/>
      <c r="C70" s="87"/>
      <c r="D70" s="81"/>
      <c r="E70" s="81"/>
      <c r="F70" s="347">
        <f>Data2!G22</f>
        <v>76</v>
      </c>
      <c r="G70" s="348" t="s">
        <v>5</v>
      </c>
      <c r="H70" s="347">
        <f>ROUNDDOWN(F70+(H68-F70)/3,0)</f>
        <v>84</v>
      </c>
      <c r="I70" s="1658" t="str">
        <f>Data2!L8</f>
        <v>cukup</v>
      </c>
      <c r="J70" s="1658"/>
      <c r="K70" s="1658"/>
      <c r="L70" s="1658"/>
      <c r="M70" s="1658"/>
      <c r="N70" s="1658"/>
      <c r="O70" s="1658"/>
      <c r="P70" s="1658"/>
      <c r="Q70" s="1658"/>
      <c r="R70" s="342"/>
      <c r="S70" s="340"/>
      <c r="T70" s="341"/>
      <c r="U70" s="341"/>
      <c r="V70" s="341"/>
      <c r="W70" s="341"/>
      <c r="X70" s="341"/>
      <c r="Y70" s="341"/>
      <c r="Z70" s="341"/>
      <c r="AA70" s="341"/>
      <c r="AB70" s="341"/>
      <c r="AC70" s="341"/>
      <c r="AD70" s="341"/>
      <c r="AE70" s="341"/>
      <c r="AF70" s="341"/>
      <c r="AG70" s="341"/>
      <c r="AH70" s="341"/>
      <c r="AI70" s="341"/>
      <c r="AJ70" s="341"/>
      <c r="AK70" s="341"/>
      <c r="AL70" s="347">
        <f>F70</f>
        <v>76</v>
      </c>
      <c r="AM70" s="349" t="s">
        <v>5</v>
      </c>
      <c r="AN70" s="347">
        <f>H70</f>
        <v>84</v>
      </c>
      <c r="AO70" s="1658" t="str">
        <f>I70</f>
        <v>cukup</v>
      </c>
      <c r="AP70" s="1658"/>
      <c r="AQ70" s="1658"/>
      <c r="AR70" s="1658"/>
      <c r="AS70" s="1658"/>
      <c r="AT70" s="1658"/>
      <c r="AU70" s="1658"/>
      <c r="AV70" s="1658"/>
      <c r="AW70" s="107"/>
      <c r="AX70" s="107"/>
      <c r="AY70" s="107"/>
      <c r="AZ70" s="107"/>
      <c r="BA70" s="107"/>
      <c r="BB70" s="107"/>
      <c r="BC70" s="107"/>
      <c r="BD70" s="107"/>
      <c r="BE70" s="107"/>
      <c r="BF70" s="107"/>
      <c r="BG70" s="107"/>
      <c r="BH70" s="81"/>
      <c r="BI70" s="81"/>
      <c r="BJ70" s="81"/>
      <c r="BK70" s="81"/>
      <c r="BL70" s="81"/>
      <c r="BM70" s="81"/>
      <c r="BN70" s="81"/>
      <c r="BO70" s="67"/>
    </row>
    <row r="71" spans="1:67" ht="12.75" hidden="1">
      <c r="A71" s="67"/>
      <c r="B71" s="81"/>
      <c r="C71" s="82"/>
      <c r="D71" s="81"/>
      <c r="E71" s="81"/>
      <c r="F71" s="347">
        <v>0</v>
      </c>
      <c r="G71" s="348" t="s">
        <v>5</v>
      </c>
      <c r="H71" s="347">
        <f>F70-1</f>
        <v>75</v>
      </c>
      <c r="I71" s="1658" t="str">
        <f>Data2!L9</f>
        <v>perlu dimaksimalkan</v>
      </c>
      <c r="J71" s="1658"/>
      <c r="K71" s="1658"/>
      <c r="L71" s="1658"/>
      <c r="M71" s="1658"/>
      <c r="N71" s="1658"/>
      <c r="O71" s="1658"/>
      <c r="P71" s="1658"/>
      <c r="Q71" s="1658"/>
      <c r="R71" s="339"/>
      <c r="S71" s="340"/>
      <c r="T71" s="339"/>
      <c r="U71" s="339"/>
      <c r="V71" s="339"/>
      <c r="W71" s="339"/>
      <c r="X71" s="339"/>
      <c r="Y71" s="339"/>
      <c r="Z71" s="339"/>
      <c r="AA71" s="339"/>
      <c r="AB71" s="339"/>
      <c r="AC71" s="339"/>
      <c r="AD71" s="339"/>
      <c r="AE71" s="339"/>
      <c r="AF71" s="339"/>
      <c r="AG71" s="339"/>
      <c r="AH71" s="339"/>
      <c r="AI71" s="339"/>
      <c r="AJ71" s="339"/>
      <c r="AK71" s="339"/>
      <c r="AL71" s="347">
        <v>0</v>
      </c>
      <c r="AM71" s="349" t="s">
        <v>5</v>
      </c>
      <c r="AN71" s="347">
        <f t="shared" ref="AN71" si="49">H71</f>
        <v>75</v>
      </c>
      <c r="AO71" s="1658" t="str">
        <f>I71</f>
        <v>perlu dimaksimalkan</v>
      </c>
      <c r="AP71" s="1658"/>
      <c r="AQ71" s="1658"/>
      <c r="AR71" s="1658"/>
      <c r="AS71" s="1658"/>
      <c r="AT71" s="1658"/>
      <c r="AU71" s="1658"/>
      <c r="AV71" s="1658"/>
      <c r="AW71" s="81"/>
      <c r="AX71" s="81"/>
      <c r="AY71" s="81"/>
      <c r="AZ71" s="81"/>
      <c r="BA71" s="81"/>
      <c r="BB71" s="81"/>
      <c r="BC71" s="81"/>
      <c r="BD71" s="81"/>
      <c r="BE71" s="81"/>
      <c r="BF71" s="81"/>
      <c r="BG71" s="81"/>
      <c r="BH71" s="81"/>
      <c r="BI71" s="81"/>
      <c r="BJ71" s="81"/>
      <c r="BK71" s="81"/>
      <c r="BL71" s="81"/>
      <c r="BM71" s="81"/>
      <c r="BN71" s="81"/>
      <c r="BO71" s="67"/>
    </row>
    <row r="72" spans="1:67" ht="12.75" hidden="1">
      <c r="A72" s="67"/>
      <c r="B72" s="81"/>
      <c r="C72" s="82"/>
      <c r="D72" s="81"/>
      <c r="E72" s="81"/>
      <c r="F72" s="85"/>
      <c r="G72" s="90"/>
      <c r="H72" s="90"/>
      <c r="I72" s="90"/>
      <c r="J72" s="82"/>
      <c r="K72" s="82"/>
      <c r="L72" s="82"/>
      <c r="M72" s="82"/>
      <c r="N72" s="81"/>
      <c r="O72" s="81"/>
      <c r="P72" s="81"/>
      <c r="Q72" s="81"/>
      <c r="R72" s="81"/>
      <c r="S72" s="82"/>
      <c r="T72" s="81"/>
      <c r="U72" s="81"/>
      <c r="V72" s="81"/>
      <c r="W72" s="81"/>
      <c r="X72" s="81"/>
      <c r="Y72" s="81"/>
      <c r="Z72" s="81"/>
      <c r="AA72" s="81"/>
      <c r="AB72" s="81"/>
      <c r="AC72" s="81"/>
      <c r="AD72" s="81"/>
      <c r="AE72" s="81"/>
      <c r="AF72" s="81"/>
      <c r="AG72" s="81"/>
      <c r="AH72" s="81"/>
      <c r="AI72" s="81"/>
      <c r="AJ72" s="81"/>
      <c r="AK72" s="81"/>
      <c r="AL72" s="81"/>
      <c r="AM72" s="82"/>
      <c r="AN72" s="82"/>
      <c r="AO72" s="82"/>
      <c r="AP72" s="82"/>
      <c r="AQ72" s="82"/>
      <c r="AR72" s="82"/>
      <c r="AS72" s="82"/>
      <c r="AT72" s="81"/>
      <c r="AU72" s="81"/>
      <c r="AV72" s="81"/>
      <c r="AW72" s="81"/>
      <c r="AX72" s="81"/>
      <c r="AY72" s="81"/>
      <c r="AZ72" s="81"/>
      <c r="BA72" s="81"/>
      <c r="BB72" s="81"/>
      <c r="BC72" s="81"/>
      <c r="BD72" s="81"/>
      <c r="BE72" s="81"/>
      <c r="BF72" s="81"/>
      <c r="BG72" s="81"/>
      <c r="BH72" s="81"/>
      <c r="BI72" s="81"/>
      <c r="BJ72" s="81"/>
      <c r="BK72" s="81"/>
      <c r="BL72" s="81"/>
      <c r="BM72" s="81"/>
      <c r="BN72" s="81"/>
      <c r="BO72" s="67"/>
    </row>
    <row r="73" spans="1:67" ht="12.75" hidden="1" customHeight="1">
      <c r="F73" s="1704" t="s">
        <v>31</v>
      </c>
      <c r="G73" s="1705"/>
      <c r="H73" s="1705"/>
      <c r="I73" s="1705"/>
      <c r="J73" s="1705"/>
      <c r="K73" s="1705"/>
      <c r="L73" s="1705"/>
      <c r="M73" s="1705"/>
      <c r="N73" s="1705"/>
      <c r="O73" s="1705"/>
      <c r="P73" s="1705"/>
      <c r="Q73" s="1706"/>
      <c r="AL73" s="1659" t="s">
        <v>32</v>
      </c>
      <c r="AM73" s="1659"/>
      <c r="AN73" s="1659"/>
      <c r="AO73" s="1659"/>
      <c r="AP73" s="1659"/>
      <c r="AQ73" s="1659"/>
      <c r="AR73" s="1659"/>
      <c r="AS73" s="1659"/>
      <c r="AT73" s="1659"/>
      <c r="AU73" s="1659"/>
      <c r="AV73" s="1659"/>
    </row>
    <row r="74" spans="1:67" ht="13.5" hidden="1" customHeight="1">
      <c r="F74" s="1660" t="s">
        <v>27</v>
      </c>
      <c r="G74" s="1660"/>
      <c r="H74" s="1660"/>
      <c r="I74" s="1659" t="s">
        <v>28</v>
      </c>
      <c r="J74" s="1659"/>
      <c r="K74" s="1659"/>
      <c r="L74" s="1659"/>
      <c r="M74" s="1659"/>
      <c r="N74" s="1659"/>
      <c r="O74" s="1659"/>
      <c r="P74" s="1659"/>
      <c r="Q74" s="1659"/>
      <c r="AL74" s="1660" t="s">
        <v>27</v>
      </c>
      <c r="AM74" s="1660"/>
      <c r="AN74" s="1660"/>
      <c r="AO74" s="1659" t="s">
        <v>28</v>
      </c>
      <c r="AP74" s="1659"/>
      <c r="AQ74" s="1659"/>
      <c r="AR74" s="1659"/>
      <c r="AS74" s="1659"/>
      <c r="AT74" s="1659"/>
      <c r="AU74" s="1659"/>
      <c r="AV74" s="1659"/>
    </row>
    <row r="75" spans="1:67" ht="12.75" hidden="1" customHeight="1">
      <c r="C75" s="2"/>
      <c r="F75" s="1360">
        <f>IF($F$65="KKM TUNGGAL",Data2!I6,F68)</f>
        <v>93</v>
      </c>
      <c r="G75" s="1361" t="s">
        <v>5</v>
      </c>
      <c r="H75" s="1360">
        <f>IF($F$65="KKM TUNGGAL",Data2!K6,H68)</f>
        <v>100</v>
      </c>
      <c r="I75" s="1697" t="str">
        <f>IF($F$65="KKM TUNGGAL",Data2!L6,I68)</f>
        <v>sangat baik</v>
      </c>
      <c r="J75" s="1698"/>
      <c r="K75" s="1698"/>
      <c r="L75" s="1698"/>
      <c r="M75" s="1698"/>
      <c r="N75" s="1698"/>
      <c r="O75" s="1698"/>
      <c r="P75" s="1699"/>
      <c r="Q75" s="9" t="str">
        <f>Data2!L12</f>
        <v>A</v>
      </c>
      <c r="S75" s="2"/>
      <c r="AL75" s="9">
        <f>F75</f>
        <v>93</v>
      </c>
      <c r="AM75" s="7" t="s">
        <v>5</v>
      </c>
      <c r="AN75" s="9">
        <f>H75</f>
        <v>100</v>
      </c>
      <c r="AO75" s="1357" t="str">
        <f t="shared" ref="AO75" si="50">I75</f>
        <v>sangat baik</v>
      </c>
      <c r="AP75" s="1358"/>
      <c r="AQ75" s="1358"/>
      <c r="AR75" s="1358"/>
      <c r="AS75" s="1358"/>
      <c r="AT75" s="1358"/>
      <c r="AU75" s="1359"/>
      <c r="AV75" s="9" t="str">
        <f>Data2!L12</f>
        <v>A</v>
      </c>
    </row>
    <row r="76" spans="1:67" ht="12.75" hidden="1" customHeight="1">
      <c r="C76" s="2"/>
      <c r="F76" s="1360">
        <f>IF($F$65="KKM TUNGGAL",Data2!I7,F69)</f>
        <v>85</v>
      </c>
      <c r="G76" s="1361" t="s">
        <v>5</v>
      </c>
      <c r="H76" s="1360">
        <f>IF($F$65="KKM TUNGGAL",Data2!K7,H69)+0.5</f>
        <v>92.5</v>
      </c>
      <c r="I76" s="1697" t="str">
        <f>IF($F$65="KKM TUNGGAL",Data2!L7,I69)</f>
        <v>baik</v>
      </c>
      <c r="J76" s="1698"/>
      <c r="K76" s="1698"/>
      <c r="L76" s="1698"/>
      <c r="M76" s="1698"/>
      <c r="N76" s="1698"/>
      <c r="O76" s="1698"/>
      <c r="P76" s="1699"/>
      <c r="Q76" s="9" t="str">
        <f>Data2!L13</f>
        <v>B</v>
      </c>
      <c r="AL76" s="9">
        <f t="shared" ref="AL76:AN78" si="51">F76</f>
        <v>85</v>
      </c>
      <c r="AM76" s="7" t="s">
        <v>5</v>
      </c>
      <c r="AN76" s="9">
        <f t="shared" si="51"/>
        <v>92.5</v>
      </c>
      <c r="AO76" s="1357" t="str">
        <f>I76</f>
        <v>baik</v>
      </c>
      <c r="AP76" s="1358"/>
      <c r="AQ76" s="1358"/>
      <c r="AR76" s="1358"/>
      <c r="AS76" s="1358"/>
      <c r="AT76" s="1358"/>
      <c r="AU76" s="1359"/>
      <c r="AV76" s="9" t="str">
        <f>Data2!L13</f>
        <v>B</v>
      </c>
    </row>
    <row r="77" spans="1:67" ht="12.75" hidden="1" customHeight="1">
      <c r="C77" s="2"/>
      <c r="F77" s="1360">
        <f>IF($F$65="KKM TUNGGAL",Data2!I8,F70)</f>
        <v>76</v>
      </c>
      <c r="G77" s="1361" t="s">
        <v>5</v>
      </c>
      <c r="H77" s="1360">
        <f>IF($F$65="KKM TUNGGAL",Data2!K8,H70)+0.5</f>
        <v>84.5</v>
      </c>
      <c r="I77" s="1697" t="str">
        <f>IF($F$65="KKM TUNGGAL",Data2!L8,I70)</f>
        <v>cukup</v>
      </c>
      <c r="J77" s="1698"/>
      <c r="K77" s="1698"/>
      <c r="L77" s="1698"/>
      <c r="M77" s="1698"/>
      <c r="N77" s="1698"/>
      <c r="O77" s="1698"/>
      <c r="P77" s="1699"/>
      <c r="Q77" s="9" t="str">
        <f>Data2!L14</f>
        <v>C</v>
      </c>
      <c r="AL77" s="9">
        <f t="shared" si="51"/>
        <v>76</v>
      </c>
      <c r="AM77" s="7" t="s">
        <v>5</v>
      </c>
      <c r="AN77" s="9">
        <f t="shared" si="51"/>
        <v>84.5</v>
      </c>
      <c r="AO77" s="1357" t="str">
        <f t="shared" ref="AO77:AO78" si="52">I77</f>
        <v>cukup</v>
      </c>
      <c r="AP77" s="1358"/>
      <c r="AQ77" s="1358"/>
      <c r="AR77" s="1358"/>
      <c r="AS77" s="1358"/>
      <c r="AT77" s="1358"/>
      <c r="AU77" s="1359"/>
      <c r="AV77" s="9" t="str">
        <f>Data2!L14</f>
        <v>C</v>
      </c>
    </row>
    <row r="78" spans="1:67" ht="12.75" hidden="1" customHeight="1">
      <c r="C78" s="2"/>
      <c r="F78" s="1360">
        <f>IF($F$65="KKM TUNGGAL",Data2!I9,F71)</f>
        <v>0</v>
      </c>
      <c r="G78" s="1361" t="s">
        <v>5</v>
      </c>
      <c r="H78" s="1360">
        <f>IF($F$65="KKM TUNGGAL",Data2!K9,H71)+0.5</f>
        <v>75.5</v>
      </c>
      <c r="I78" s="1697" t="str">
        <f>IF($F$65="KKM TUNGGAL",Data2!L9,I71)</f>
        <v>perlu dimaksimalkan</v>
      </c>
      <c r="J78" s="1698"/>
      <c r="K78" s="1698"/>
      <c r="L78" s="1698"/>
      <c r="M78" s="1698"/>
      <c r="N78" s="1698"/>
      <c r="O78" s="1698"/>
      <c r="P78" s="1699"/>
      <c r="Q78" s="9" t="str">
        <f>Data2!L15</f>
        <v>D</v>
      </c>
      <c r="AL78" s="9">
        <f t="shared" si="51"/>
        <v>0</v>
      </c>
      <c r="AM78" s="7" t="s">
        <v>5</v>
      </c>
      <c r="AN78" s="9">
        <f t="shared" si="51"/>
        <v>75.5</v>
      </c>
      <c r="AO78" s="1357" t="str">
        <f t="shared" si="52"/>
        <v>perlu dimaksimalkan</v>
      </c>
      <c r="AP78" s="1358"/>
      <c r="AQ78" s="1358"/>
      <c r="AR78" s="1358"/>
      <c r="AS78" s="1358"/>
      <c r="AT78" s="1358"/>
      <c r="AU78" s="1359"/>
      <c r="AV78" s="9" t="str">
        <f>Data2!L15</f>
        <v>D</v>
      </c>
    </row>
    <row r="79" spans="1:67" ht="12" hidden="1" customHeight="1"/>
    <row r="80" spans="1:67" ht="12.75" hidden="1" customHeight="1">
      <c r="N80" s="1"/>
      <c r="O80" s="1"/>
      <c r="P80" s="1"/>
      <c r="Q80" s="1"/>
      <c r="AT80" s="1"/>
      <c r="AU80" s="1"/>
      <c r="AV80" s="1"/>
    </row>
    <row r="81" spans="3:48" ht="12" hidden="1" customHeight="1"/>
    <row r="82" spans="3:48" ht="12.75" hidden="1" customHeight="1">
      <c r="C82" s="2"/>
      <c r="AL82" s="10"/>
      <c r="AM82" s="8"/>
      <c r="AN82" s="10"/>
      <c r="AO82" s="1657"/>
      <c r="AP82" s="1657"/>
      <c r="AQ82" s="1657"/>
      <c r="AR82" s="1657"/>
      <c r="AS82" s="1657"/>
      <c r="AT82" s="1657"/>
      <c r="AU82" s="1657"/>
      <c r="AV82" s="1657"/>
    </row>
    <row r="83" spans="3:48" ht="12.75" hidden="1" customHeight="1">
      <c r="C83" s="2"/>
      <c r="AL83" s="10"/>
      <c r="AM83" s="8"/>
      <c r="AN83" s="10"/>
      <c r="AO83" s="1657"/>
      <c r="AP83" s="1657"/>
      <c r="AQ83" s="1657"/>
      <c r="AR83" s="1657"/>
      <c r="AS83" s="1657"/>
      <c r="AT83" s="1657"/>
      <c r="AU83" s="1657"/>
      <c r="AV83" s="1657"/>
    </row>
    <row r="84" spans="3:48" ht="12.75" hidden="1" customHeight="1">
      <c r="C84" s="2"/>
      <c r="AL84" s="10"/>
      <c r="AM84" s="8"/>
      <c r="AN84" s="10"/>
      <c r="AO84" s="512"/>
      <c r="AP84" s="512"/>
      <c r="AQ84" s="512"/>
      <c r="AR84" s="1159"/>
      <c r="AS84" s="1159"/>
      <c r="AT84" s="512"/>
      <c r="AU84" s="512"/>
      <c r="AV84" s="512"/>
    </row>
    <row r="85" spans="3:48" ht="12.75" hidden="1" customHeight="1">
      <c r="C85" s="2"/>
      <c r="AL85" s="10"/>
      <c r="AM85" s="8"/>
      <c r="AN85" s="10"/>
      <c r="AO85" s="512"/>
      <c r="AP85" s="512"/>
      <c r="AQ85" s="512"/>
      <c r="AR85" s="1159"/>
      <c r="AS85" s="1159"/>
      <c r="AT85" s="512"/>
      <c r="AU85" s="512"/>
      <c r="AV85" s="512"/>
    </row>
    <row r="86" spans="3:48" ht="12" hidden="1" customHeight="1"/>
    <row r="87" spans="3:48" ht="12" hidden="1" customHeight="1"/>
    <row r="88" spans="3:48" ht="12" hidden="1" customHeight="1"/>
    <row r="89" spans="3:48" ht="12" hidden="1" customHeight="1"/>
    <row r="90" spans="3:48" ht="12" hidden="1" customHeight="1"/>
    <row r="91" spans="3:48" ht="12" hidden="1" customHeight="1">
      <c r="C91" s="2"/>
      <c r="F91" s="2"/>
      <c r="G91" s="2"/>
      <c r="H91" s="2"/>
      <c r="I91" s="2"/>
      <c r="J91" s="2"/>
      <c r="K91" s="2"/>
      <c r="L91" s="2"/>
      <c r="M91" s="2"/>
      <c r="S91" s="2"/>
      <c r="AL91" s="2"/>
      <c r="AM91" s="2"/>
      <c r="AN91" s="2"/>
      <c r="AO91" s="2"/>
      <c r="AP91" s="2"/>
      <c r="AQ91" s="2"/>
      <c r="AR91" s="2"/>
      <c r="AS91" s="2"/>
    </row>
    <row r="92" spans="3:48" ht="12" hidden="1" customHeight="1">
      <c r="C92" s="2"/>
      <c r="F92" s="2"/>
      <c r="G92" s="2"/>
      <c r="H92" s="2"/>
      <c r="I92" s="2"/>
      <c r="J92" s="2"/>
      <c r="K92" s="2"/>
      <c r="L92" s="2"/>
      <c r="M92" s="2"/>
      <c r="S92" s="2"/>
      <c r="AL92" s="2"/>
      <c r="AM92" s="2"/>
      <c r="AN92" s="2"/>
      <c r="AO92" s="2"/>
      <c r="AP92" s="2"/>
      <c r="AQ92" s="2"/>
      <c r="AR92" s="2"/>
      <c r="AS92" s="2"/>
    </row>
    <row r="93" spans="3:48" hidden="1"/>
    <row r="94" spans="3:48" hidden="1"/>
    <row r="95" spans="3:48" hidden="1"/>
    <row r="96" spans="3:48" hidden="1"/>
    <row r="97" hidden="1"/>
    <row r="98" hidden="1"/>
    <row r="99" hidden="1"/>
    <row r="100" hidden="1"/>
    <row r="101" hidden="1"/>
    <row r="102" hidden="1"/>
    <row r="103" hidden="1"/>
  </sheetData>
  <mergeCells count="70">
    <mergeCell ref="D1:E2"/>
    <mergeCell ref="B3:C4"/>
    <mergeCell ref="D3:E6"/>
    <mergeCell ref="B6:C6"/>
    <mergeCell ref="B7:C7"/>
    <mergeCell ref="D7:E9"/>
    <mergeCell ref="B8:C8"/>
    <mergeCell ref="B9:C9"/>
    <mergeCell ref="B1:C2"/>
    <mergeCell ref="F3:F6"/>
    <mergeCell ref="G3:R6"/>
    <mergeCell ref="AL4:AL5"/>
    <mergeCell ref="AM4:AU5"/>
    <mergeCell ref="AL6:AL7"/>
    <mergeCell ref="AM6:AU7"/>
    <mergeCell ref="F7:F10"/>
    <mergeCell ref="G7:R10"/>
    <mergeCell ref="AL8:AL11"/>
    <mergeCell ref="AM8:AU11"/>
    <mergeCell ref="G11:R11"/>
    <mergeCell ref="G1:R1"/>
    <mergeCell ref="AM1:AU1"/>
    <mergeCell ref="G2:R2"/>
    <mergeCell ref="AL2:AL3"/>
    <mergeCell ref="AM2:AU3"/>
    <mergeCell ref="I78:P78"/>
    <mergeCell ref="AO82:AV82"/>
    <mergeCell ref="AO83:AV83"/>
    <mergeCell ref="I75:P75"/>
    <mergeCell ref="I76:P76"/>
    <mergeCell ref="I77:P77"/>
    <mergeCell ref="I71:Q71"/>
    <mergeCell ref="AO71:AV71"/>
    <mergeCell ref="F73:Q73"/>
    <mergeCell ref="AL73:AV73"/>
    <mergeCell ref="F74:H74"/>
    <mergeCell ref="I74:Q74"/>
    <mergeCell ref="AL74:AN74"/>
    <mergeCell ref="AO74:AV74"/>
    <mergeCell ref="I68:Q68"/>
    <mergeCell ref="AO68:AV68"/>
    <mergeCell ref="I69:Q69"/>
    <mergeCell ref="AO69:AV69"/>
    <mergeCell ref="I70:Q70"/>
    <mergeCell ref="AO70:AV70"/>
    <mergeCell ref="F65:Q65"/>
    <mergeCell ref="AL65:AV65"/>
    <mergeCell ref="F66:Q66"/>
    <mergeCell ref="AL66:AV66"/>
    <mergeCell ref="F67:H67"/>
    <mergeCell ref="I67:Q67"/>
    <mergeCell ref="AL67:AN67"/>
    <mergeCell ref="AO67:AV67"/>
    <mergeCell ref="BN12:BN13"/>
    <mergeCell ref="AG13:AH13"/>
    <mergeCell ref="AI13:AJ13"/>
    <mergeCell ref="BJ13:BK13"/>
    <mergeCell ref="BL13:BM13"/>
    <mergeCell ref="AV12:AV13"/>
    <mergeCell ref="AW12:AW13"/>
    <mergeCell ref="B10:C11"/>
    <mergeCell ref="D10:E11"/>
    <mergeCell ref="S12:S13"/>
    <mergeCell ref="T12:T13"/>
    <mergeCell ref="AK12:AK13"/>
    <mergeCell ref="B12:B13"/>
    <mergeCell ref="C12:C13"/>
    <mergeCell ref="D12:D13"/>
    <mergeCell ref="E12:E13"/>
    <mergeCell ref="F12:O12"/>
  </mergeCells>
  <conditionalFormatting sqref="B14:E63">
    <cfRule type="expression" dxfId="1730" priority="1361">
      <formula>AND($B14&lt;&gt;"",$B15="")</formula>
    </cfRule>
    <cfRule type="expression" dxfId="1729" priority="1362">
      <formula>$B14=""</formula>
    </cfRule>
  </conditionalFormatting>
  <conditionalFormatting sqref="B56:E56">
    <cfRule type="expression" dxfId="1728" priority="1363">
      <formula>AND($B56&lt;&gt;"",$B63="")</formula>
    </cfRule>
    <cfRule type="expression" dxfId="1727" priority="1364">
      <formula>$B56=""</formula>
    </cfRule>
  </conditionalFormatting>
  <conditionalFormatting sqref="B50:E50">
    <cfRule type="expression" dxfId="1726" priority="1365">
      <formula>AND($B50&lt;&gt;"",$B63="")</formula>
    </cfRule>
    <cfRule type="expression" dxfId="1725" priority="1366">
      <formula>$B50=""</formula>
    </cfRule>
  </conditionalFormatting>
  <conditionalFormatting sqref="B43:E44">
    <cfRule type="expression" dxfId="1724" priority="1367">
      <formula>AND($B43&lt;&gt;"",$B62="")</formula>
    </cfRule>
    <cfRule type="expression" dxfId="1723" priority="1368">
      <formula>$B43=""</formula>
    </cfRule>
  </conditionalFormatting>
  <conditionalFormatting sqref="B63:E63">
    <cfRule type="expression" dxfId="1722" priority="1369">
      <formula>AND($B63&lt;&gt;"",#REF!="")</formula>
    </cfRule>
    <cfRule type="expression" dxfId="1721" priority="1370">
      <formula>$B63=""</formula>
    </cfRule>
  </conditionalFormatting>
  <conditionalFormatting sqref="B61:E61">
    <cfRule type="expression" dxfId="1720" priority="1371">
      <formula>AND($B61&lt;&gt;"",$B64="")</formula>
    </cfRule>
    <cfRule type="expression" dxfId="1719" priority="1372">
      <formula>$B61=""</formula>
    </cfRule>
  </conditionalFormatting>
  <conditionalFormatting sqref="B57:E60">
    <cfRule type="expression" dxfId="1718" priority="1373">
      <formula>AND($B57&lt;&gt;"",#REF!="")</formula>
    </cfRule>
    <cfRule type="expression" dxfId="1717" priority="1374">
      <formula>$B57=""</formula>
    </cfRule>
  </conditionalFormatting>
  <conditionalFormatting sqref="B55:E55">
    <cfRule type="expression" dxfId="1716" priority="1375">
      <formula>AND($B55&lt;&gt;"",$B64="")</formula>
    </cfRule>
    <cfRule type="expression" dxfId="1715" priority="1376">
      <formula>$B55=""</formula>
    </cfRule>
  </conditionalFormatting>
  <conditionalFormatting sqref="B51:E54">
    <cfRule type="expression" dxfId="1714" priority="1377">
      <formula>AND($B51&lt;&gt;"",#REF!="")</formula>
    </cfRule>
    <cfRule type="expression" dxfId="1713" priority="1378">
      <formula>$B51=""</formula>
    </cfRule>
  </conditionalFormatting>
  <conditionalFormatting sqref="B49:E49">
    <cfRule type="expression" dxfId="1712" priority="1379">
      <formula>AND($B49&lt;&gt;"",$B64="")</formula>
    </cfRule>
    <cfRule type="expression" dxfId="1711" priority="1380">
      <formula>$B49=""</formula>
    </cfRule>
  </conditionalFormatting>
  <conditionalFormatting sqref="B45:E63">
    <cfRule type="expression" dxfId="1710" priority="1381">
      <formula>AND($B45&lt;&gt;"",#REF!="")</formula>
    </cfRule>
    <cfRule type="expression" dxfId="1709" priority="1382">
      <formula>$B45=""</formula>
    </cfRule>
  </conditionalFormatting>
  <conditionalFormatting sqref="R70 F66:Q71">
    <cfRule type="expression" dxfId="1708" priority="1383">
      <formula>$F$65="SAMA DENGAN DATA"</formula>
    </cfRule>
  </conditionalFormatting>
  <conditionalFormatting sqref="F66:Q71">
    <cfRule type="expression" dxfId="1707" priority="1384">
      <formula>$F$65="kkm tunggal"</formula>
    </cfRule>
  </conditionalFormatting>
  <conditionalFormatting sqref="AW70:BG70 AL66:AV71">
    <cfRule type="expression" dxfId="1706" priority="1385">
      <formula>$AL$65="SAMA DENGAN DATA"</formula>
    </cfRule>
  </conditionalFormatting>
  <conditionalFormatting sqref="AL66:AV71">
    <cfRule type="expression" dxfId="1705" priority="1386">
      <formula>$AL$65="KKM TUNGGAL"</formula>
    </cfRule>
  </conditionalFormatting>
  <conditionalFormatting sqref="B61:E63">
    <cfRule type="expression" dxfId="1704" priority="3748">
      <formula>AND($B61&lt;&gt;"",$B65="")</formula>
    </cfRule>
    <cfRule type="expression" dxfId="1703" priority="3749">
      <formula>$B61=""</formula>
    </cfRule>
  </conditionalFormatting>
  <conditionalFormatting sqref="B50:E60">
    <cfRule type="expression" dxfId="1702" priority="3750">
      <formula>AND($B50&lt;&gt;"",#REF!="")</formula>
    </cfRule>
    <cfRule type="expression" dxfId="1701" priority="3751">
      <formula>$B50=""</formula>
    </cfRule>
  </conditionalFormatting>
  <conditionalFormatting sqref="U14:AB63 P51:S63 AV14:BE63 AE14:AK63 BH14:BN63 P14:P50 S14:S50">
    <cfRule type="expression" dxfId="1700" priority="1274">
      <formula>AND($B14&lt;&gt;"",$B15="")</formula>
    </cfRule>
    <cfRule type="expression" dxfId="1699" priority="1275">
      <formula>$B14=""</formula>
    </cfRule>
  </conditionalFormatting>
  <conditionalFormatting sqref="T14:T63">
    <cfRule type="expression" dxfId="1698" priority="1272">
      <formula>AND($B14&lt;&gt;"",$B15="")</formula>
    </cfRule>
    <cfRule type="expression" dxfId="1697" priority="1273">
      <formula>$B14=""</formula>
    </cfRule>
  </conditionalFormatting>
  <conditionalFormatting sqref="AV14">
    <cfRule type="expression" dxfId="1696" priority="1270">
      <formula>AND($B14&lt;&gt;"",$B15="")</formula>
    </cfRule>
    <cfRule type="expression" dxfId="1695" priority="1271">
      <formula>$B14=""</formula>
    </cfRule>
  </conditionalFormatting>
  <conditionalFormatting sqref="P56:S56 U56:AB56 BH56:BN56 AE56:AK56 AV56:BE56">
    <cfRule type="expression" dxfId="1694" priority="1276">
      <formula>AND($B56&lt;&gt;"",$B63="")</formula>
    </cfRule>
    <cfRule type="expression" dxfId="1693" priority="1277">
      <formula>$B56=""</formula>
    </cfRule>
  </conditionalFormatting>
  <conditionalFormatting sqref="P50 U50:AB50 BH50:BN50 AE50:AK50 AV50:BE50 S50">
    <cfRule type="expression" dxfId="1692" priority="1278">
      <formula>AND($B50&lt;&gt;"",$B63="")</formula>
    </cfRule>
    <cfRule type="expression" dxfId="1691" priority="1279">
      <formula>$B50=""</formula>
    </cfRule>
  </conditionalFormatting>
  <conditionalFormatting sqref="P43:P44 U43:AB44 BH43:BN44 AE43:AK44 AV43:BE44 S43:S44">
    <cfRule type="expression" dxfId="1690" priority="1280">
      <formula>AND($B43&lt;&gt;"",$B62="")</formula>
    </cfRule>
    <cfRule type="expression" dxfId="1689" priority="1281">
      <formula>$B43=""</formula>
    </cfRule>
  </conditionalFormatting>
  <conditionalFormatting sqref="P63:S63 U63:AB63 BH63:BN63 AE63:AK63 AV63:BE63">
    <cfRule type="expression" dxfId="1688" priority="1282">
      <formula>AND($B63&lt;&gt;"",#REF!="")</formula>
    </cfRule>
    <cfRule type="expression" dxfId="1687" priority="1283">
      <formula>$B63=""</formula>
    </cfRule>
  </conditionalFormatting>
  <conditionalFormatting sqref="P61:S61 U61:AB61 BH61:BN61 AE61:AK61 AV61:BE61">
    <cfRule type="expression" dxfId="1686" priority="1284">
      <formula>AND($B61&lt;&gt;"",$B64="")</formula>
    </cfRule>
    <cfRule type="expression" dxfId="1685" priority="1285">
      <formula>$B61=""</formula>
    </cfRule>
  </conditionalFormatting>
  <conditionalFormatting sqref="P57:S60 U57:AB60 BH57:BN60 AE57:AK60 AV57:BE60">
    <cfRule type="expression" dxfId="1684" priority="1286">
      <formula>AND($B57&lt;&gt;"",#REF!="")</formula>
    </cfRule>
    <cfRule type="expression" dxfId="1683" priority="1287">
      <formula>$B57=""</formula>
    </cfRule>
  </conditionalFormatting>
  <conditionalFormatting sqref="P55:S55 U55:AB55 BH55:BN55 AE55:AK55 AV55:BE55">
    <cfRule type="expression" dxfId="1682" priority="1288">
      <formula>AND($B55&lt;&gt;"",$B64="")</formula>
    </cfRule>
    <cfRule type="expression" dxfId="1681" priority="1289">
      <formula>$B55=""</formula>
    </cfRule>
  </conditionalFormatting>
  <conditionalFormatting sqref="P51:S54 U51:AB54 BH51:BN54 AE51:AK54 AV51:BE54">
    <cfRule type="expression" dxfId="1680" priority="1290">
      <formula>AND($B51&lt;&gt;"",#REF!="")</formula>
    </cfRule>
    <cfRule type="expression" dxfId="1679" priority="1291">
      <formula>$B51=""</formula>
    </cfRule>
  </conditionalFormatting>
  <conditionalFormatting sqref="F49 U49:AK49 L49:P49 S49 AP49:BN49">
    <cfRule type="expression" dxfId="1678" priority="1292">
      <formula>AND($B49&lt;&gt;"",$B64="")</formula>
    </cfRule>
    <cfRule type="expression" dxfId="1677" priority="1293">
      <formula>$B49=""</formula>
    </cfRule>
  </conditionalFormatting>
  <conditionalFormatting sqref="P51:S63 U45:AB63 BH45:BN63 AE45:AK63 AV45:BE63 P45:P50 S45:S50">
    <cfRule type="expression" dxfId="1676" priority="1294">
      <formula>AND($B45&lt;&gt;"",#REF!="")</formula>
    </cfRule>
    <cfRule type="expression" dxfId="1675" priority="1295">
      <formula>$B45=""</formula>
    </cfRule>
  </conditionalFormatting>
  <conditionalFormatting sqref="T16:T63">
    <cfRule type="expression" dxfId="1674" priority="1268">
      <formula>AND($B16&lt;&gt;"",$B17="")</formula>
    </cfRule>
    <cfRule type="expression" dxfId="1673" priority="1269">
      <formula>$B16=""</formula>
    </cfRule>
  </conditionalFormatting>
  <conditionalFormatting sqref="U13:AB13 AX12:BG12">
    <cfRule type="expression" dxfId="1672" priority="1267">
      <formula>COUNTA(U$14:U$63)&gt;0</formula>
    </cfRule>
  </conditionalFormatting>
  <conditionalFormatting sqref="F51:M63 F14:F50 L14:M50">
    <cfRule type="expression" dxfId="1671" priority="1246">
      <formula>AND($B14&lt;&gt;"",$B15="")</formula>
    </cfRule>
    <cfRule type="expression" dxfId="1670" priority="1247">
      <formula>$B14=""</formula>
    </cfRule>
  </conditionalFormatting>
  <conditionalFormatting sqref="F56:M56">
    <cfRule type="expression" dxfId="1669" priority="1248">
      <formula>AND($B56&lt;&gt;"",$B63="")</formula>
    </cfRule>
    <cfRule type="expression" dxfId="1668" priority="1249">
      <formula>$B56=""</formula>
    </cfRule>
  </conditionalFormatting>
  <conditionalFormatting sqref="F50 L50:M50">
    <cfRule type="expression" dxfId="1667" priority="1250">
      <formula>AND($B50&lt;&gt;"",$B63="")</formula>
    </cfRule>
    <cfRule type="expression" dxfId="1666" priority="1251">
      <formula>$B50=""</formula>
    </cfRule>
  </conditionalFormatting>
  <conditionalFormatting sqref="F43:F44 L43:M44">
    <cfRule type="expression" dxfId="1665" priority="1252">
      <formula>AND($B43&lt;&gt;"",$B62="")</formula>
    </cfRule>
    <cfRule type="expression" dxfId="1664" priority="1253">
      <formula>$B43=""</formula>
    </cfRule>
  </conditionalFormatting>
  <conditionalFormatting sqref="F63:M63">
    <cfRule type="expression" dxfId="1663" priority="1254">
      <formula>AND($B63&lt;&gt;"",#REF!="")</formula>
    </cfRule>
    <cfRule type="expression" dxfId="1662" priority="1255">
      <formula>$B63=""</formula>
    </cfRule>
  </conditionalFormatting>
  <conditionalFormatting sqref="F61:M61">
    <cfRule type="expression" dxfId="1661" priority="1256">
      <formula>AND($B61&lt;&gt;"",$B64="")</formula>
    </cfRule>
    <cfRule type="expression" dxfId="1660" priority="1257">
      <formula>$B61=""</formula>
    </cfRule>
  </conditionalFormatting>
  <conditionalFormatting sqref="F57:M60">
    <cfRule type="expression" dxfId="1659" priority="1258">
      <formula>AND($B57&lt;&gt;"",#REF!="")</formula>
    </cfRule>
    <cfRule type="expression" dxfId="1658" priority="1259">
      <formula>$B57=""</formula>
    </cfRule>
  </conditionalFormatting>
  <conditionalFormatting sqref="F55:M55">
    <cfRule type="expression" dxfId="1657" priority="1260">
      <formula>AND($B55&lt;&gt;"",$B64="")</formula>
    </cfRule>
    <cfRule type="expression" dxfId="1656" priority="1261">
      <formula>$B55=""</formula>
    </cfRule>
  </conditionalFormatting>
  <conditionalFormatting sqref="F51:M54">
    <cfRule type="expression" dxfId="1655" priority="1262">
      <formula>AND($B51&lt;&gt;"",#REF!="")</formula>
    </cfRule>
    <cfRule type="expression" dxfId="1654" priority="1263">
      <formula>$B51=""</formula>
    </cfRule>
  </conditionalFormatting>
  <conditionalFormatting sqref="F51:M63 F45:F50 L45:M50">
    <cfRule type="expression" dxfId="1653" priority="1264">
      <formula>AND($B45&lt;&gt;"",#REF!="")</formula>
    </cfRule>
    <cfRule type="expression" dxfId="1652" priority="1265">
      <formula>$B45=""</formula>
    </cfRule>
  </conditionalFormatting>
  <conditionalFormatting sqref="F13:M13">
    <cfRule type="expression" dxfId="1651" priority="1245">
      <formula>COUNTA(F$14:F$63)&gt;0</formula>
    </cfRule>
  </conditionalFormatting>
  <conditionalFormatting sqref="F51:M63 F14:F50 L14:M50">
    <cfRule type="expression" dxfId="1650" priority="1266">
      <formula>COUNTIF($U14:$AB14,F14)&gt;1</formula>
    </cfRule>
  </conditionalFormatting>
  <conditionalFormatting sqref="AC14:AD63">
    <cfRule type="expression" dxfId="1649" priority="1225">
      <formula>AND($B14&lt;&gt;"",$B15="")</formula>
    </cfRule>
    <cfRule type="expression" dxfId="1648" priority="1226">
      <formula>$B14=""</formula>
    </cfRule>
  </conditionalFormatting>
  <conditionalFormatting sqref="AC56:AD56">
    <cfRule type="expression" dxfId="1647" priority="1227">
      <formula>AND($B56&lt;&gt;"",$B63="")</formula>
    </cfRule>
    <cfRule type="expression" dxfId="1646" priority="1228">
      <formula>$B56=""</formula>
    </cfRule>
  </conditionalFormatting>
  <conditionalFormatting sqref="AC50:AD50">
    <cfRule type="expression" dxfId="1645" priority="1229">
      <formula>AND($B50&lt;&gt;"",$B63="")</formula>
    </cfRule>
    <cfRule type="expression" dxfId="1644" priority="1230">
      <formula>$B50=""</formula>
    </cfRule>
  </conditionalFormatting>
  <conditionalFormatting sqref="AC43:AD44">
    <cfRule type="expression" dxfId="1643" priority="1231">
      <formula>AND($B43&lt;&gt;"",$B62="")</formula>
    </cfRule>
    <cfRule type="expression" dxfId="1642" priority="1232">
      <formula>$B43=""</formula>
    </cfRule>
  </conditionalFormatting>
  <conditionalFormatting sqref="AC63:AD63">
    <cfRule type="expression" dxfId="1641" priority="1233">
      <formula>AND($B63&lt;&gt;"",#REF!="")</formula>
    </cfRule>
    <cfRule type="expression" dxfId="1640" priority="1234">
      <formula>$B63=""</formula>
    </cfRule>
  </conditionalFormatting>
  <conditionalFormatting sqref="AC61:AD61">
    <cfRule type="expression" dxfId="1639" priority="1235">
      <formula>AND($B61&lt;&gt;"",$B64="")</formula>
    </cfRule>
    <cfRule type="expression" dxfId="1638" priority="1236">
      <formula>$B61=""</formula>
    </cfRule>
  </conditionalFormatting>
  <conditionalFormatting sqref="AC57:AD60">
    <cfRule type="expression" dxfId="1637" priority="1237">
      <formula>AND($B57&lt;&gt;"",#REF!="")</formula>
    </cfRule>
    <cfRule type="expression" dxfId="1636" priority="1238">
      <formula>$B57=""</formula>
    </cfRule>
  </conditionalFormatting>
  <conditionalFormatting sqref="AC55:AD55">
    <cfRule type="expression" dxfId="1635" priority="1239">
      <formula>AND($B55&lt;&gt;"",$B64="")</formula>
    </cfRule>
    <cfRule type="expression" dxfId="1634" priority="1240">
      <formula>$B55=""</formula>
    </cfRule>
  </conditionalFormatting>
  <conditionalFormatting sqref="AC51:AD54">
    <cfRule type="expression" dxfId="1633" priority="1241">
      <formula>AND($B51&lt;&gt;"",#REF!="")</formula>
    </cfRule>
    <cfRule type="expression" dxfId="1632" priority="1242">
      <formula>$B51=""</formula>
    </cfRule>
  </conditionalFormatting>
  <conditionalFormatting sqref="AC45:AD63">
    <cfRule type="expression" dxfId="1631" priority="1243">
      <formula>AND($B45&lt;&gt;"",#REF!="")</formula>
    </cfRule>
    <cfRule type="expression" dxfId="1630" priority="1244">
      <formula>$B45=""</formula>
    </cfRule>
  </conditionalFormatting>
  <conditionalFormatting sqref="AC13:AD13">
    <cfRule type="expression" dxfId="1629" priority="1224">
      <formula>COUNTA(AC$14:AC$63)&gt;0</formula>
    </cfRule>
  </conditionalFormatting>
  <conditionalFormatting sqref="N14:O63">
    <cfRule type="expression" dxfId="1628" priority="1203">
      <formula>AND($B14&lt;&gt;"",$B15="")</formula>
    </cfRule>
    <cfRule type="expression" dxfId="1627" priority="1204">
      <formula>$B14=""</formula>
    </cfRule>
  </conditionalFormatting>
  <conditionalFormatting sqref="N56:O56">
    <cfRule type="expression" dxfId="1626" priority="1205">
      <formula>AND($B56&lt;&gt;"",$B63="")</formula>
    </cfRule>
    <cfRule type="expression" dxfId="1625" priority="1206">
      <formula>$B56=""</formula>
    </cfRule>
  </conditionalFormatting>
  <conditionalFormatting sqref="N50:O50">
    <cfRule type="expression" dxfId="1624" priority="1207">
      <formula>AND($B50&lt;&gt;"",$B63="")</formula>
    </cfRule>
    <cfRule type="expression" dxfId="1623" priority="1208">
      <formula>$B50=""</formula>
    </cfRule>
  </conditionalFormatting>
  <conditionalFormatting sqref="N43:O44">
    <cfRule type="expression" dxfId="1622" priority="1209">
      <formula>AND($B43&lt;&gt;"",$B62="")</formula>
    </cfRule>
    <cfRule type="expression" dxfId="1621" priority="1210">
      <formula>$B43=""</formula>
    </cfRule>
  </conditionalFormatting>
  <conditionalFormatting sqref="N63:O63">
    <cfRule type="expression" dxfId="1620" priority="1211">
      <formula>AND($B63&lt;&gt;"",#REF!="")</formula>
    </cfRule>
    <cfRule type="expression" dxfId="1619" priority="1212">
      <formula>$B63=""</formula>
    </cfRule>
  </conditionalFormatting>
  <conditionalFormatting sqref="N61:O61">
    <cfRule type="expression" dxfId="1618" priority="1213">
      <formula>AND($B61&lt;&gt;"",$B64="")</formula>
    </cfRule>
    <cfRule type="expression" dxfId="1617" priority="1214">
      <formula>$B61=""</formula>
    </cfRule>
  </conditionalFormatting>
  <conditionalFormatting sqref="N57:O60">
    <cfRule type="expression" dxfId="1616" priority="1215">
      <formula>AND($B57&lt;&gt;"",#REF!="")</formula>
    </cfRule>
    <cfRule type="expression" dxfId="1615" priority="1216">
      <formula>$B57=""</formula>
    </cfRule>
  </conditionalFormatting>
  <conditionalFormatting sqref="N55:O55">
    <cfRule type="expression" dxfId="1614" priority="1217">
      <formula>AND($B55&lt;&gt;"",$B64="")</formula>
    </cfRule>
    <cfRule type="expression" dxfId="1613" priority="1218">
      <formula>$B55=""</formula>
    </cfRule>
  </conditionalFormatting>
  <conditionalFormatting sqref="N51:O54">
    <cfRule type="expression" dxfId="1612" priority="1219">
      <formula>AND($B51&lt;&gt;"",#REF!="")</formula>
    </cfRule>
    <cfRule type="expression" dxfId="1611" priority="1220">
      <formula>$B51=""</formula>
    </cfRule>
  </conditionalFormatting>
  <conditionalFormatting sqref="N45:O63">
    <cfRule type="expression" dxfId="1610" priority="1221">
      <formula>AND($B45&lt;&gt;"",#REF!="")</formula>
    </cfRule>
    <cfRule type="expression" dxfId="1609" priority="1222">
      <formula>$B45=""</formula>
    </cfRule>
  </conditionalFormatting>
  <conditionalFormatting sqref="N13:O13">
    <cfRule type="expression" dxfId="1608" priority="1202">
      <formula>COUNTA(N$14:N$63)&gt;0</formula>
    </cfRule>
  </conditionalFormatting>
  <conditionalFormatting sqref="N14:O63">
    <cfRule type="expression" dxfId="1607" priority="1223">
      <formula>COUNTIF($U14:$AB14,N14)&gt;1</formula>
    </cfRule>
  </conditionalFormatting>
  <conditionalFormatting sqref="BF14:BG63">
    <cfRule type="expression" dxfId="1606" priority="1182">
      <formula>AND($B14&lt;&gt;"",$B15="")</formula>
    </cfRule>
    <cfRule type="expression" dxfId="1605" priority="1183">
      <formula>$B14=""</formula>
    </cfRule>
  </conditionalFormatting>
  <conditionalFormatting sqref="BF56:BG56">
    <cfRule type="expression" dxfId="1604" priority="1184">
      <formula>AND($B56&lt;&gt;"",$B63="")</formula>
    </cfRule>
    <cfRule type="expression" dxfId="1603" priority="1185">
      <formula>$B56=""</formula>
    </cfRule>
  </conditionalFormatting>
  <conditionalFormatting sqref="BF50:BG50">
    <cfRule type="expression" dxfId="1602" priority="1186">
      <formula>AND($B50&lt;&gt;"",$B63="")</formula>
    </cfRule>
    <cfRule type="expression" dxfId="1601" priority="1187">
      <formula>$B50=""</formula>
    </cfRule>
  </conditionalFormatting>
  <conditionalFormatting sqref="BF43:BG44">
    <cfRule type="expression" dxfId="1600" priority="1188">
      <formula>AND($B43&lt;&gt;"",$B62="")</formula>
    </cfRule>
    <cfRule type="expression" dxfId="1599" priority="1189">
      <formula>$B43=""</formula>
    </cfRule>
  </conditionalFormatting>
  <conditionalFormatting sqref="BF63:BG63">
    <cfRule type="expression" dxfId="1598" priority="1190">
      <formula>AND($B63&lt;&gt;"",#REF!="")</formula>
    </cfRule>
    <cfRule type="expression" dxfId="1597" priority="1191">
      <formula>$B63=""</formula>
    </cfRule>
  </conditionalFormatting>
  <conditionalFormatting sqref="BF61:BG61">
    <cfRule type="expression" dxfId="1596" priority="1192">
      <formula>AND($B61&lt;&gt;"",$B64="")</formula>
    </cfRule>
    <cfRule type="expression" dxfId="1595" priority="1193">
      <formula>$B61=""</formula>
    </cfRule>
  </conditionalFormatting>
  <conditionalFormatting sqref="BF57:BG60">
    <cfRule type="expression" dxfId="1594" priority="1194">
      <formula>AND($B57&lt;&gt;"",#REF!="")</formula>
    </cfRule>
    <cfRule type="expression" dxfId="1593" priority="1195">
      <formula>$B57=""</formula>
    </cfRule>
  </conditionalFormatting>
  <conditionalFormatting sqref="BF55:BG55">
    <cfRule type="expression" dxfId="1592" priority="1196">
      <formula>AND($B55&lt;&gt;"",$B64="")</formula>
    </cfRule>
    <cfRule type="expression" dxfId="1591" priority="1197">
      <formula>$B55=""</formula>
    </cfRule>
  </conditionalFormatting>
  <conditionalFormatting sqref="BF51:BG54">
    <cfRule type="expression" dxfId="1590" priority="1198">
      <formula>AND($B51&lt;&gt;"",#REF!="")</formula>
    </cfRule>
    <cfRule type="expression" dxfId="1589" priority="1199">
      <formula>$B51=""</formula>
    </cfRule>
  </conditionalFormatting>
  <conditionalFormatting sqref="BF45:BG63">
    <cfRule type="expression" dxfId="1588" priority="1200">
      <formula>AND($B45&lt;&gt;"",#REF!="")</formula>
    </cfRule>
    <cfRule type="expression" dxfId="1587" priority="1201">
      <formula>$B45=""</formula>
    </cfRule>
  </conditionalFormatting>
  <conditionalFormatting sqref="AL51:AS63 AP14:AS50">
    <cfRule type="expression" dxfId="1586" priority="1161">
      <formula>AND($B14&lt;&gt;"",$B15="")</formula>
    </cfRule>
    <cfRule type="expression" dxfId="1585" priority="1162">
      <formula>$B14=""</formula>
    </cfRule>
  </conditionalFormatting>
  <conditionalFormatting sqref="AL56:AS56">
    <cfRule type="expression" dxfId="1584" priority="1163">
      <formula>AND($B56&lt;&gt;"",$B63="")</formula>
    </cfRule>
    <cfRule type="expression" dxfId="1583" priority="1164">
      <formula>$B56=""</formula>
    </cfRule>
  </conditionalFormatting>
  <conditionalFormatting sqref="AP50:AS50">
    <cfRule type="expression" dxfId="1582" priority="1165">
      <formula>AND($B50&lt;&gt;"",$B63="")</formula>
    </cfRule>
    <cfRule type="expression" dxfId="1581" priority="1166">
      <formula>$B50=""</formula>
    </cfRule>
  </conditionalFormatting>
  <conditionalFormatting sqref="AP43:AS44">
    <cfRule type="expression" dxfId="1580" priority="1167">
      <formula>AND($B43&lt;&gt;"",$B62="")</formula>
    </cfRule>
    <cfRule type="expression" dxfId="1579" priority="1168">
      <formula>$B43=""</formula>
    </cfRule>
  </conditionalFormatting>
  <conditionalFormatting sqref="AL63:AS63">
    <cfRule type="expression" dxfId="1578" priority="1169">
      <formula>AND($B63&lt;&gt;"",#REF!="")</formula>
    </cfRule>
    <cfRule type="expression" dxfId="1577" priority="1170">
      <formula>$B63=""</formula>
    </cfRule>
  </conditionalFormatting>
  <conditionalFormatting sqref="AL61:AS61">
    <cfRule type="expression" dxfId="1576" priority="1171">
      <formula>AND($B61&lt;&gt;"",$B64="")</formula>
    </cfRule>
    <cfRule type="expression" dxfId="1575" priority="1172">
      <formula>$B61=""</formula>
    </cfRule>
  </conditionalFormatting>
  <conditionalFormatting sqref="AL57:AS60">
    <cfRule type="expression" dxfId="1574" priority="1173">
      <formula>AND($B57&lt;&gt;"",#REF!="")</formula>
    </cfRule>
    <cfRule type="expression" dxfId="1573" priority="1174">
      <formula>$B57=""</formula>
    </cfRule>
  </conditionalFormatting>
  <conditionalFormatting sqref="AL55:AS55">
    <cfRule type="expression" dxfId="1572" priority="1175">
      <formula>AND($B55&lt;&gt;"",$B64="")</formula>
    </cfRule>
    <cfRule type="expression" dxfId="1571" priority="1176">
      <formula>$B55=""</formula>
    </cfRule>
  </conditionalFormatting>
  <conditionalFormatting sqref="AL51:AS54">
    <cfRule type="expression" dxfId="1570" priority="1177">
      <formula>AND($B51&lt;&gt;"",#REF!="")</formula>
    </cfRule>
    <cfRule type="expression" dxfId="1569" priority="1178">
      <formula>$B51=""</formula>
    </cfRule>
  </conditionalFormatting>
  <conditionalFormatting sqref="AL51:AS63 AP45:AS50">
    <cfRule type="expression" dxfId="1568" priority="1179">
      <formula>AND($B45&lt;&gt;"",#REF!="")</formula>
    </cfRule>
    <cfRule type="expression" dxfId="1567" priority="1180">
      <formula>$B45=""</formula>
    </cfRule>
  </conditionalFormatting>
  <conditionalFormatting sqref="AL12:AU12">
    <cfRule type="expression" dxfId="1566" priority="1160">
      <formula>COUNTA(AL$14:AL$63)&gt;0</formula>
    </cfRule>
  </conditionalFormatting>
  <conditionalFormatting sqref="AT14:AU63">
    <cfRule type="expression" dxfId="1565" priority="1140">
      <formula>AND($B14&lt;&gt;"",$B15="")</formula>
    </cfRule>
    <cfRule type="expression" dxfId="1564" priority="1141">
      <formula>$B14=""</formula>
    </cfRule>
  </conditionalFormatting>
  <conditionalFormatting sqref="AT56:AU56">
    <cfRule type="expression" dxfId="1563" priority="1142">
      <formula>AND($B56&lt;&gt;"",$B63="")</formula>
    </cfRule>
    <cfRule type="expression" dxfId="1562" priority="1143">
      <formula>$B56=""</formula>
    </cfRule>
  </conditionalFormatting>
  <conditionalFormatting sqref="AT50:AU50">
    <cfRule type="expression" dxfId="1561" priority="1144">
      <formula>AND($B50&lt;&gt;"",$B63="")</formula>
    </cfRule>
    <cfRule type="expression" dxfId="1560" priority="1145">
      <formula>$B50=""</formula>
    </cfRule>
  </conditionalFormatting>
  <conditionalFormatting sqref="AT43:AU44">
    <cfRule type="expression" dxfId="1559" priority="1146">
      <formula>AND($B43&lt;&gt;"",$B62="")</formula>
    </cfRule>
    <cfRule type="expression" dxfId="1558" priority="1147">
      <formula>$B43=""</formula>
    </cfRule>
  </conditionalFormatting>
  <conditionalFormatting sqref="AT63:AU63">
    <cfRule type="expression" dxfId="1557" priority="1148">
      <formula>AND($B63&lt;&gt;"",#REF!="")</formula>
    </cfRule>
    <cfRule type="expression" dxfId="1556" priority="1149">
      <formula>$B63=""</formula>
    </cfRule>
  </conditionalFormatting>
  <conditionalFormatting sqref="AT61:AU61">
    <cfRule type="expression" dxfId="1555" priority="1150">
      <formula>AND($B61&lt;&gt;"",$B64="")</formula>
    </cfRule>
    <cfRule type="expression" dxfId="1554" priority="1151">
      <formula>$B61=""</formula>
    </cfRule>
  </conditionalFormatting>
  <conditionalFormatting sqref="AT57:AU60">
    <cfRule type="expression" dxfId="1553" priority="1152">
      <formula>AND($B57&lt;&gt;"",#REF!="")</formula>
    </cfRule>
    <cfRule type="expression" dxfId="1552" priority="1153">
      <formula>$B57=""</formula>
    </cfRule>
  </conditionalFormatting>
  <conditionalFormatting sqref="AT55:AU55">
    <cfRule type="expression" dxfId="1551" priority="1154">
      <formula>AND($B55&lt;&gt;"",$B64="")</formula>
    </cfRule>
    <cfRule type="expression" dxfId="1550" priority="1155">
      <formula>$B55=""</formula>
    </cfRule>
  </conditionalFormatting>
  <conditionalFormatting sqref="AT51:AU54">
    <cfRule type="expression" dxfId="1549" priority="1156">
      <formula>AND($B51&lt;&gt;"",#REF!="")</formula>
    </cfRule>
    <cfRule type="expression" dxfId="1548" priority="1157">
      <formula>$B51=""</formula>
    </cfRule>
  </conditionalFormatting>
  <conditionalFormatting sqref="AT45:AU63">
    <cfRule type="expression" dxfId="1547" priority="1158">
      <formula>AND($B45&lt;&gt;"",#REF!="")</formula>
    </cfRule>
    <cfRule type="expression" dxfId="1546" priority="1159">
      <formula>$B45=""</formula>
    </cfRule>
  </conditionalFormatting>
  <conditionalFormatting sqref="AL51:AU63 AP14:AU50">
    <cfRule type="expression" dxfId="1545" priority="1181">
      <formula>COUNTIF($AX14:$BE14,AL14)&gt;1</formula>
    </cfRule>
  </conditionalFormatting>
  <conditionalFormatting sqref="F61:S63 U61:BN63">
    <cfRule type="expression" dxfId="1544" priority="1296">
      <formula>AND($B61&lt;&gt;"",$B65="")</formula>
    </cfRule>
    <cfRule type="expression" dxfId="1543" priority="1297">
      <formula>$B61=""</formula>
    </cfRule>
  </conditionalFormatting>
  <conditionalFormatting sqref="F51:S60 U51:BN60 F50 L50:P50 S50 U50:AK50 AP50:BN50">
    <cfRule type="expression" dxfId="1542" priority="1298">
      <formula>AND($B50&lt;&gt;"",#REF!="")</formula>
    </cfRule>
    <cfRule type="expression" dxfId="1541" priority="1299">
      <formula>$B50=""</formula>
    </cfRule>
  </conditionalFormatting>
  <conditionalFormatting sqref="T2">
    <cfRule type="expression" dxfId="1540" priority="1139">
      <formula>COUNTA(F$14:F$63)&gt;0</formula>
    </cfRule>
  </conditionalFormatting>
  <conditionalFormatting sqref="T3">
    <cfRule type="expression" dxfId="1539" priority="1300">
      <formula>COUNTA(G$14:G$63)&gt;0</formula>
    </cfRule>
  </conditionalFormatting>
  <conditionalFormatting sqref="T4">
    <cfRule type="expression" dxfId="1538" priority="1301">
      <formula>COUNTA(H$14:H$63)&gt;0</formula>
    </cfRule>
  </conditionalFormatting>
  <conditionalFormatting sqref="T5">
    <cfRule type="expression" dxfId="1537" priority="1302">
      <formula>COUNTA(I$14:I$63)&gt;0</formula>
    </cfRule>
  </conditionalFormatting>
  <conditionalFormatting sqref="T7">
    <cfRule type="expression" dxfId="1536" priority="1138">
      <formula>COUNTA(K$14:K$63)&gt;0</formula>
    </cfRule>
  </conditionalFormatting>
  <conditionalFormatting sqref="T11">
    <cfRule type="expression" dxfId="1535" priority="1303">
      <formula>COUNTA(O$14:O$63)&gt;0</formula>
    </cfRule>
  </conditionalFormatting>
  <conditionalFormatting sqref="T10">
    <cfRule type="expression" dxfId="1534" priority="1304">
      <formula>COUNTA(N$14:N$63)&gt;0</formula>
    </cfRule>
  </conditionalFormatting>
  <conditionalFormatting sqref="T9">
    <cfRule type="expression" dxfId="1533" priority="1305">
      <formula>COUNTA(M$14:M$63)&gt;0</formula>
    </cfRule>
  </conditionalFormatting>
  <conditionalFormatting sqref="T8">
    <cfRule type="expression" dxfId="1532" priority="1306">
      <formula>COUNTA(L$14:L$63)&gt;0</formula>
    </cfRule>
  </conditionalFormatting>
  <conditionalFormatting sqref="T6">
    <cfRule type="expression" dxfId="1531" priority="1137">
      <formula>COUNTA(J$14:J$63)&gt;0</formula>
    </cfRule>
  </conditionalFormatting>
  <conditionalFormatting sqref="AW2">
    <cfRule type="expression" dxfId="1530" priority="1136">
      <formula>COUNTA(AL$14:AL$63)&gt;0</formula>
    </cfRule>
  </conditionalFormatting>
  <conditionalFormatting sqref="AW3">
    <cfRule type="expression" dxfId="1529" priority="1135">
      <formula>COUNTA(AM$14:AM$63)&gt;0</formula>
    </cfRule>
  </conditionalFormatting>
  <conditionalFormatting sqref="AW4">
    <cfRule type="expression" dxfId="1528" priority="1134">
      <formula>COUNTA(AN$14:AN$63)&gt;0</formula>
    </cfRule>
  </conditionalFormatting>
  <conditionalFormatting sqref="AW5">
    <cfRule type="expression" dxfId="1527" priority="1133">
      <formula>COUNTA(AO$14:AO$63)&gt;0</formula>
    </cfRule>
  </conditionalFormatting>
  <conditionalFormatting sqref="AW6">
    <cfRule type="expression" dxfId="1526" priority="1132">
      <formula>COUNTA(AP$14:AP$63)&gt;0</formula>
    </cfRule>
  </conditionalFormatting>
  <conditionalFormatting sqref="AW7">
    <cfRule type="expression" dxfId="1525" priority="1131">
      <formula>COUNTA(AQ$14:AQ$63)&gt;0</formula>
    </cfRule>
  </conditionalFormatting>
  <conditionalFormatting sqref="AW8">
    <cfRule type="expression" dxfId="1524" priority="1130">
      <formula>COUNTA(AR$14:AR$63)&gt;0</formula>
    </cfRule>
  </conditionalFormatting>
  <conditionalFormatting sqref="AW9">
    <cfRule type="expression" dxfId="1523" priority="1129">
      <formula>COUNTA(AS$14:AS$63)&gt;0</formula>
    </cfRule>
  </conditionalFormatting>
  <conditionalFormatting sqref="AW10">
    <cfRule type="expression" dxfId="1522" priority="1128">
      <formula>COUNTA(AT$14:AT$63)&gt;0</formula>
    </cfRule>
  </conditionalFormatting>
  <conditionalFormatting sqref="AW11">
    <cfRule type="expression" dxfId="1521" priority="1127">
      <formula>COUNTA(AU$14:AU$63)&gt;0</formula>
    </cfRule>
  </conditionalFormatting>
  <conditionalFormatting sqref="G49:K49">
    <cfRule type="expression" dxfId="1520" priority="1123">
      <formula>AND($B49&lt;&gt;"",$B64="")</formula>
    </cfRule>
    <cfRule type="expression" dxfId="1519" priority="1124">
      <formula>$B49=""</formula>
    </cfRule>
  </conditionalFormatting>
  <conditionalFormatting sqref="G14:K50">
    <cfRule type="expression" dxfId="1518" priority="1114">
      <formula>AND($B14&lt;&gt;"",$B15="")</formula>
    </cfRule>
    <cfRule type="expression" dxfId="1517" priority="1115">
      <formula>$B14=""</formula>
    </cfRule>
  </conditionalFormatting>
  <conditionalFormatting sqref="G50:K50">
    <cfRule type="expression" dxfId="1516" priority="1116">
      <formula>AND($B50&lt;&gt;"",$B63="")</formula>
    </cfRule>
    <cfRule type="expression" dxfId="1515" priority="1117">
      <formula>$B50=""</formula>
    </cfRule>
  </conditionalFormatting>
  <conditionalFormatting sqref="G43:K44">
    <cfRule type="expression" dxfId="1514" priority="1118">
      <formula>AND($B43&lt;&gt;"",$B62="")</formula>
    </cfRule>
    <cfRule type="expression" dxfId="1513" priority="1119">
      <formula>$B43=""</formula>
    </cfRule>
  </conditionalFormatting>
  <conditionalFormatting sqref="G45:K50">
    <cfRule type="expression" dxfId="1512" priority="1120">
      <formula>AND($B45&lt;&gt;"",#REF!="")</formula>
    </cfRule>
    <cfRule type="expression" dxfId="1511" priority="1121">
      <formula>$B45=""</formula>
    </cfRule>
  </conditionalFormatting>
  <conditionalFormatting sqref="G14:K50">
    <cfRule type="expression" dxfId="1510" priority="1122">
      <formula>COUNTIF($U14:$AB14,G14)&gt;1</formula>
    </cfRule>
  </conditionalFormatting>
  <conditionalFormatting sqref="G50:K50">
    <cfRule type="expression" dxfId="1509" priority="1125">
      <formula>AND($B50&lt;&gt;"",#REF!="")</formula>
    </cfRule>
    <cfRule type="expression" dxfId="1508" priority="1126">
      <formula>$B50=""</formula>
    </cfRule>
  </conditionalFormatting>
  <conditionalFormatting sqref="G49:I49">
    <cfRule type="expression" dxfId="1507" priority="1112">
      <formula>AND($B49&lt;&gt;"",$B50="")</formula>
    </cfRule>
    <cfRule type="expression" dxfId="1506" priority="1113">
      <formula>$B49=""</formula>
    </cfRule>
  </conditionalFormatting>
  <conditionalFormatting sqref="G49:I49">
    <cfRule type="expression" dxfId="1505" priority="1111">
      <formula>COUNTIF($U49:$AB49,G49)&gt;1</formula>
    </cfRule>
  </conditionalFormatting>
  <conditionalFormatting sqref="G49:I49">
    <cfRule type="expression" dxfId="1504" priority="1109">
      <formula>AND($B49&lt;&gt;"",$B64="")</formula>
    </cfRule>
    <cfRule type="expression" dxfId="1503" priority="1110">
      <formula>$B49=""</formula>
    </cfRule>
  </conditionalFormatting>
  <conditionalFormatting sqref="G49:I49">
    <cfRule type="expression" dxfId="1502" priority="1107">
      <formula>AND($B49&lt;&gt;"",#REF!="")</formula>
    </cfRule>
    <cfRule type="expression" dxfId="1501" priority="1108">
      <formula>$B49=""</formula>
    </cfRule>
  </conditionalFormatting>
  <conditionalFormatting sqref="G30:I30">
    <cfRule type="expression" dxfId="1500" priority="1105">
      <formula>AND($B30&lt;&gt;"",$B45="")</formula>
    </cfRule>
    <cfRule type="expression" dxfId="1499" priority="1106">
      <formula>$B30=""</formula>
    </cfRule>
  </conditionalFormatting>
  <conditionalFormatting sqref="G30:I30">
    <cfRule type="expression" dxfId="1498" priority="1103">
      <formula>AND($B30&lt;&gt;"",#REF!="")</formula>
    </cfRule>
    <cfRule type="expression" dxfId="1497" priority="1104">
      <formula>$B30=""</formula>
    </cfRule>
  </conditionalFormatting>
  <conditionalFormatting sqref="G30:I30">
    <cfRule type="expression" dxfId="1496" priority="1101">
      <formula>AND($B30&lt;&gt;"",$B31="")</formula>
    </cfRule>
    <cfRule type="expression" dxfId="1495" priority="1102">
      <formula>$B30=""</formula>
    </cfRule>
  </conditionalFormatting>
  <conditionalFormatting sqref="G30:I30">
    <cfRule type="expression" dxfId="1494" priority="1100">
      <formula>COUNTIF($U30:$AB30,G30)&gt;1</formula>
    </cfRule>
  </conditionalFormatting>
  <conditionalFormatting sqref="G30:I30">
    <cfRule type="expression" dxfId="1493" priority="1098">
      <formula>AND($B30&lt;&gt;"",$B45="")</formula>
    </cfRule>
    <cfRule type="expression" dxfId="1492" priority="1099">
      <formula>$B30=""</formula>
    </cfRule>
  </conditionalFormatting>
  <conditionalFormatting sqref="G30:I30">
    <cfRule type="expression" dxfId="1491" priority="1096">
      <formula>AND($B30&lt;&gt;"",#REF!="")</formula>
    </cfRule>
    <cfRule type="expression" dxfId="1490" priority="1097">
      <formula>$B30=""</formula>
    </cfRule>
  </conditionalFormatting>
  <conditionalFormatting sqref="G25:I25">
    <cfRule type="expression" dxfId="1489" priority="1094">
      <formula>AND($B25&lt;&gt;"",$B40="")</formula>
    </cfRule>
    <cfRule type="expression" dxfId="1488" priority="1095">
      <formula>$B25=""</formula>
    </cfRule>
  </conditionalFormatting>
  <conditionalFormatting sqref="G25:I25">
    <cfRule type="expression" dxfId="1487" priority="1092">
      <formula>AND($B25&lt;&gt;"",#REF!="")</formula>
    </cfRule>
    <cfRule type="expression" dxfId="1486" priority="1093">
      <formula>$B25=""</formula>
    </cfRule>
  </conditionalFormatting>
  <conditionalFormatting sqref="G25:I25">
    <cfRule type="expression" dxfId="1485" priority="1090">
      <formula>AND($B25&lt;&gt;"",$B26="")</formula>
    </cfRule>
    <cfRule type="expression" dxfId="1484" priority="1091">
      <formula>$B25=""</formula>
    </cfRule>
  </conditionalFormatting>
  <conditionalFormatting sqref="G25:I25">
    <cfRule type="expression" dxfId="1483" priority="1089">
      <formula>COUNTIF($U25:$AB25,G25)&gt;1</formula>
    </cfRule>
  </conditionalFormatting>
  <conditionalFormatting sqref="G25:I25">
    <cfRule type="expression" dxfId="1482" priority="1087">
      <formula>AND($B25&lt;&gt;"",$B40="")</formula>
    </cfRule>
    <cfRule type="expression" dxfId="1481" priority="1088">
      <formula>$B25=""</formula>
    </cfRule>
  </conditionalFormatting>
  <conditionalFormatting sqref="G25:I25">
    <cfRule type="expression" dxfId="1480" priority="1085">
      <formula>AND($B25&lt;&gt;"",#REF!="")</formula>
    </cfRule>
    <cfRule type="expression" dxfId="1479" priority="1086">
      <formula>$B25=""</formula>
    </cfRule>
  </conditionalFormatting>
  <conditionalFormatting sqref="G22:I22">
    <cfRule type="expression" dxfId="1478" priority="1083">
      <formula>AND($B22&lt;&gt;"",$B37="")</formula>
    </cfRule>
    <cfRule type="expression" dxfId="1477" priority="1084">
      <formula>$B22=""</formula>
    </cfRule>
  </conditionalFormatting>
  <conditionalFormatting sqref="G22:I22">
    <cfRule type="expression" dxfId="1476" priority="1081">
      <formula>AND($B22&lt;&gt;"",#REF!="")</formula>
    </cfRule>
    <cfRule type="expression" dxfId="1475" priority="1082">
      <formula>$B22=""</formula>
    </cfRule>
  </conditionalFormatting>
  <conditionalFormatting sqref="G22:I22">
    <cfRule type="expression" dxfId="1474" priority="1079">
      <formula>AND($B22&lt;&gt;"",$B23="")</formula>
    </cfRule>
    <cfRule type="expression" dxfId="1473" priority="1080">
      <formula>$B22=""</formula>
    </cfRule>
  </conditionalFormatting>
  <conditionalFormatting sqref="G22:I22">
    <cfRule type="expression" dxfId="1472" priority="1078">
      <formula>COUNTIF($U22:$AB22,G22)&gt;1</formula>
    </cfRule>
  </conditionalFormatting>
  <conditionalFormatting sqref="G22:I22">
    <cfRule type="expression" dxfId="1471" priority="1076">
      <formula>AND($B22&lt;&gt;"",$B37="")</formula>
    </cfRule>
    <cfRule type="expression" dxfId="1470" priority="1077">
      <formula>$B22=""</formula>
    </cfRule>
  </conditionalFormatting>
  <conditionalFormatting sqref="G22:I22">
    <cfRule type="expression" dxfId="1469" priority="1074">
      <formula>AND($B22&lt;&gt;"",#REF!="")</formula>
    </cfRule>
    <cfRule type="expression" dxfId="1468" priority="1075">
      <formula>$B22=""</formula>
    </cfRule>
  </conditionalFormatting>
  <conditionalFormatting sqref="G21:I21">
    <cfRule type="expression" dxfId="1467" priority="1072">
      <formula>AND($B21&lt;&gt;"",$B36="")</formula>
    </cfRule>
    <cfRule type="expression" dxfId="1466" priority="1073">
      <formula>$B21=""</formula>
    </cfRule>
  </conditionalFormatting>
  <conditionalFormatting sqref="G21:I21">
    <cfRule type="expression" dxfId="1465" priority="1070">
      <formula>AND($B21&lt;&gt;"",#REF!="")</formula>
    </cfRule>
    <cfRule type="expression" dxfId="1464" priority="1071">
      <formula>$B21=""</formula>
    </cfRule>
  </conditionalFormatting>
  <conditionalFormatting sqref="G21:I21">
    <cfRule type="expression" dxfId="1463" priority="1068">
      <formula>AND($B21&lt;&gt;"",$B22="")</formula>
    </cfRule>
    <cfRule type="expression" dxfId="1462" priority="1069">
      <formula>$B21=""</formula>
    </cfRule>
  </conditionalFormatting>
  <conditionalFormatting sqref="G21:I21">
    <cfRule type="expression" dxfId="1461" priority="1067">
      <formula>COUNTIF($U21:$AB21,G21)&gt;1</formula>
    </cfRule>
  </conditionalFormatting>
  <conditionalFormatting sqref="G21:I21">
    <cfRule type="expression" dxfId="1460" priority="1065">
      <formula>AND($B21&lt;&gt;"",$B36="")</formula>
    </cfRule>
    <cfRule type="expression" dxfId="1459" priority="1066">
      <formula>$B21=""</formula>
    </cfRule>
  </conditionalFormatting>
  <conditionalFormatting sqref="G21:I21">
    <cfRule type="expression" dxfId="1458" priority="1063">
      <formula>AND($B21&lt;&gt;"",#REF!="")</formula>
    </cfRule>
    <cfRule type="expression" dxfId="1457" priority="1064">
      <formula>$B21=""</formula>
    </cfRule>
  </conditionalFormatting>
  <conditionalFormatting sqref="G34:I34">
    <cfRule type="expression" dxfId="1456" priority="1061">
      <formula>AND($B34&lt;&gt;"",$B49="")</formula>
    </cfRule>
    <cfRule type="expression" dxfId="1455" priority="1062">
      <formula>$B34=""</formula>
    </cfRule>
  </conditionalFormatting>
  <conditionalFormatting sqref="G34:I34">
    <cfRule type="expression" dxfId="1454" priority="1059">
      <formula>AND($B34&lt;&gt;"",#REF!="")</formula>
    </cfRule>
    <cfRule type="expression" dxfId="1453" priority="1060">
      <formula>$B34=""</formula>
    </cfRule>
  </conditionalFormatting>
  <conditionalFormatting sqref="G34:I34">
    <cfRule type="expression" dxfId="1452" priority="1057">
      <formula>AND($B34&lt;&gt;"",$B35="")</formula>
    </cfRule>
    <cfRule type="expression" dxfId="1451" priority="1058">
      <formula>$B34=""</formula>
    </cfRule>
  </conditionalFormatting>
  <conditionalFormatting sqref="G34:I34">
    <cfRule type="expression" dxfId="1450" priority="1056">
      <formula>COUNTIF($U34:$AB34,G34)&gt;1</formula>
    </cfRule>
  </conditionalFormatting>
  <conditionalFormatting sqref="G34:I34">
    <cfRule type="expression" dxfId="1449" priority="1054">
      <formula>AND($B34&lt;&gt;"",$B49="")</formula>
    </cfRule>
    <cfRule type="expression" dxfId="1448" priority="1055">
      <formula>$B34=""</formula>
    </cfRule>
  </conditionalFormatting>
  <conditionalFormatting sqref="G34:I34">
    <cfRule type="expression" dxfId="1447" priority="1052">
      <formula>AND($B34&lt;&gt;"",#REF!="")</formula>
    </cfRule>
    <cfRule type="expression" dxfId="1446" priority="1053">
      <formula>$B34=""</formula>
    </cfRule>
  </conditionalFormatting>
  <conditionalFormatting sqref="G24:I24">
    <cfRule type="expression" dxfId="1445" priority="1050">
      <formula>AND($B24&lt;&gt;"",$B39="")</formula>
    </cfRule>
    <cfRule type="expression" dxfId="1444" priority="1051">
      <formula>$B24=""</formula>
    </cfRule>
  </conditionalFormatting>
  <conditionalFormatting sqref="G24:I24">
    <cfRule type="expression" dxfId="1443" priority="1048">
      <formula>AND($B24&lt;&gt;"",#REF!="")</formula>
    </cfRule>
    <cfRule type="expression" dxfId="1442" priority="1049">
      <formula>$B24=""</formula>
    </cfRule>
  </conditionalFormatting>
  <conditionalFormatting sqref="G24:I24">
    <cfRule type="expression" dxfId="1441" priority="1046">
      <formula>AND($B24&lt;&gt;"",$B25="")</formula>
    </cfRule>
    <cfRule type="expression" dxfId="1440" priority="1047">
      <formula>$B24=""</formula>
    </cfRule>
  </conditionalFormatting>
  <conditionalFormatting sqref="G24:I24">
    <cfRule type="expression" dxfId="1439" priority="1045">
      <formula>COUNTIF($U24:$AB24,G24)&gt;1</formula>
    </cfRule>
  </conditionalFormatting>
  <conditionalFormatting sqref="G24:I24">
    <cfRule type="expression" dxfId="1438" priority="1043">
      <formula>AND($B24&lt;&gt;"",$B39="")</formula>
    </cfRule>
    <cfRule type="expression" dxfId="1437" priority="1044">
      <formula>$B24=""</formula>
    </cfRule>
  </conditionalFormatting>
  <conditionalFormatting sqref="G24:I24">
    <cfRule type="expression" dxfId="1436" priority="1041">
      <formula>AND($B24&lt;&gt;"",#REF!="")</formula>
    </cfRule>
    <cfRule type="expression" dxfId="1435" priority="1042">
      <formula>$B24=""</formula>
    </cfRule>
  </conditionalFormatting>
  <conditionalFormatting sqref="G25:I25">
    <cfRule type="expression" dxfId="1434" priority="1039">
      <formula>AND($B25&lt;&gt;"",$B40="")</formula>
    </cfRule>
    <cfRule type="expression" dxfId="1433" priority="1040">
      <formula>$B25=""</formula>
    </cfRule>
  </conditionalFormatting>
  <conditionalFormatting sqref="G25:I25">
    <cfRule type="expression" dxfId="1432" priority="1037">
      <formula>AND($B25&lt;&gt;"",#REF!="")</formula>
    </cfRule>
    <cfRule type="expression" dxfId="1431" priority="1038">
      <formula>$B25=""</formula>
    </cfRule>
  </conditionalFormatting>
  <conditionalFormatting sqref="G25:I25">
    <cfRule type="expression" dxfId="1430" priority="1035">
      <formula>AND($B25&lt;&gt;"",$B26="")</formula>
    </cfRule>
    <cfRule type="expression" dxfId="1429" priority="1036">
      <formula>$B25=""</formula>
    </cfRule>
  </conditionalFormatting>
  <conditionalFormatting sqref="G25:I25">
    <cfRule type="expression" dxfId="1428" priority="1034">
      <formula>COUNTIF($U25:$AB25,G25)&gt;1</formula>
    </cfRule>
  </conditionalFormatting>
  <conditionalFormatting sqref="G25:I25">
    <cfRule type="expression" dxfId="1427" priority="1032">
      <formula>AND($B25&lt;&gt;"",$B40="")</formula>
    </cfRule>
    <cfRule type="expression" dxfId="1426" priority="1033">
      <formula>$B25=""</formula>
    </cfRule>
  </conditionalFormatting>
  <conditionalFormatting sqref="G25:I25">
    <cfRule type="expression" dxfId="1425" priority="1030">
      <formula>AND($B25&lt;&gt;"",#REF!="")</formula>
    </cfRule>
    <cfRule type="expression" dxfId="1424" priority="1031">
      <formula>$B25=""</formula>
    </cfRule>
  </conditionalFormatting>
  <conditionalFormatting sqref="G26:I26">
    <cfRule type="expression" dxfId="1423" priority="1028">
      <formula>AND($B26&lt;&gt;"",$B41="")</formula>
    </cfRule>
    <cfRule type="expression" dxfId="1422" priority="1029">
      <formula>$B26=""</formula>
    </cfRule>
  </conditionalFormatting>
  <conditionalFormatting sqref="G26:I26">
    <cfRule type="expression" dxfId="1421" priority="1026">
      <formula>AND($B26&lt;&gt;"",#REF!="")</formula>
    </cfRule>
    <cfRule type="expression" dxfId="1420" priority="1027">
      <formula>$B26=""</formula>
    </cfRule>
  </conditionalFormatting>
  <conditionalFormatting sqref="G26:I26">
    <cfRule type="expression" dxfId="1419" priority="1024">
      <formula>AND($B26&lt;&gt;"",$B27="")</formula>
    </cfRule>
    <cfRule type="expression" dxfId="1418" priority="1025">
      <formula>$B26=""</formula>
    </cfRule>
  </conditionalFormatting>
  <conditionalFormatting sqref="G26:I26">
    <cfRule type="expression" dxfId="1417" priority="1023">
      <formula>COUNTIF($U26:$AB26,G26)&gt;1</formula>
    </cfRule>
  </conditionalFormatting>
  <conditionalFormatting sqref="G26:I26">
    <cfRule type="expression" dxfId="1416" priority="1021">
      <formula>AND($B26&lt;&gt;"",$B41="")</formula>
    </cfRule>
    <cfRule type="expression" dxfId="1415" priority="1022">
      <formula>$B26=""</formula>
    </cfRule>
  </conditionalFormatting>
  <conditionalFormatting sqref="G26:I26">
    <cfRule type="expression" dxfId="1414" priority="1019">
      <formula>AND($B26&lt;&gt;"",#REF!="")</formula>
    </cfRule>
    <cfRule type="expression" dxfId="1413" priority="1020">
      <formula>$B26=""</formula>
    </cfRule>
  </conditionalFormatting>
  <conditionalFormatting sqref="G28:I28">
    <cfRule type="expression" dxfId="1412" priority="1017">
      <formula>AND($B28&lt;&gt;"",$B43="")</formula>
    </cfRule>
    <cfRule type="expression" dxfId="1411" priority="1018">
      <formula>$B28=""</formula>
    </cfRule>
  </conditionalFormatting>
  <conditionalFormatting sqref="G28:I28">
    <cfRule type="expression" dxfId="1410" priority="1015">
      <formula>AND($B28&lt;&gt;"",#REF!="")</formula>
    </cfRule>
    <cfRule type="expression" dxfId="1409" priority="1016">
      <formula>$B28=""</formula>
    </cfRule>
  </conditionalFormatting>
  <conditionalFormatting sqref="G28:I28">
    <cfRule type="expression" dxfId="1408" priority="1013">
      <formula>AND($B28&lt;&gt;"",$B29="")</formula>
    </cfRule>
    <cfRule type="expression" dxfId="1407" priority="1014">
      <formula>$B28=""</formula>
    </cfRule>
  </conditionalFormatting>
  <conditionalFormatting sqref="G28:I28">
    <cfRule type="expression" dxfId="1406" priority="1012">
      <formula>COUNTIF($U28:$AB28,G28)&gt;1</formula>
    </cfRule>
  </conditionalFormatting>
  <conditionalFormatting sqref="G28:I28">
    <cfRule type="expression" dxfId="1405" priority="1010">
      <formula>AND($B28&lt;&gt;"",$B43="")</formula>
    </cfRule>
    <cfRule type="expression" dxfId="1404" priority="1011">
      <formula>$B28=""</formula>
    </cfRule>
  </conditionalFormatting>
  <conditionalFormatting sqref="G28:I28">
    <cfRule type="expression" dxfId="1403" priority="1008">
      <formula>AND($B28&lt;&gt;"",#REF!="")</formula>
    </cfRule>
    <cfRule type="expression" dxfId="1402" priority="1009">
      <formula>$B28=""</formula>
    </cfRule>
  </conditionalFormatting>
  <conditionalFormatting sqref="G29:I29">
    <cfRule type="expression" dxfId="1401" priority="1006">
      <formula>AND($B29&lt;&gt;"",$B44="")</formula>
    </cfRule>
    <cfRule type="expression" dxfId="1400" priority="1007">
      <formula>$B29=""</formula>
    </cfRule>
  </conditionalFormatting>
  <conditionalFormatting sqref="G29:I29">
    <cfRule type="expression" dxfId="1399" priority="1004">
      <formula>AND($B29&lt;&gt;"",#REF!="")</formula>
    </cfRule>
    <cfRule type="expression" dxfId="1398" priority="1005">
      <formula>$B29=""</formula>
    </cfRule>
  </conditionalFormatting>
  <conditionalFormatting sqref="G29:I29">
    <cfRule type="expression" dxfId="1397" priority="1002">
      <formula>AND($B29&lt;&gt;"",$B30="")</formula>
    </cfRule>
    <cfRule type="expression" dxfId="1396" priority="1003">
      <formula>$B29=""</formula>
    </cfRule>
  </conditionalFormatting>
  <conditionalFormatting sqref="G29:I29">
    <cfRule type="expression" dxfId="1395" priority="1001">
      <formula>COUNTIF($U29:$AB29,G29)&gt;1</formula>
    </cfRule>
  </conditionalFormatting>
  <conditionalFormatting sqref="G29:I29">
    <cfRule type="expression" dxfId="1394" priority="999">
      <formula>AND($B29&lt;&gt;"",$B44="")</formula>
    </cfRule>
    <cfRule type="expression" dxfId="1393" priority="1000">
      <formula>$B29=""</formula>
    </cfRule>
  </conditionalFormatting>
  <conditionalFormatting sqref="G29:I29">
    <cfRule type="expression" dxfId="1392" priority="997">
      <formula>AND($B29&lt;&gt;"",#REF!="")</formula>
    </cfRule>
    <cfRule type="expression" dxfId="1391" priority="998">
      <formula>$B29=""</formula>
    </cfRule>
  </conditionalFormatting>
  <conditionalFormatting sqref="G31:I31">
    <cfRule type="expression" dxfId="1390" priority="995">
      <formula>AND($B31&lt;&gt;"",$B46="")</formula>
    </cfRule>
    <cfRule type="expression" dxfId="1389" priority="996">
      <formula>$B31=""</formula>
    </cfRule>
  </conditionalFormatting>
  <conditionalFormatting sqref="G31:I31">
    <cfRule type="expression" dxfId="1388" priority="993">
      <formula>AND($B31&lt;&gt;"",#REF!="")</formula>
    </cfRule>
    <cfRule type="expression" dxfId="1387" priority="994">
      <formula>$B31=""</formula>
    </cfRule>
  </conditionalFormatting>
  <conditionalFormatting sqref="G31:I31">
    <cfRule type="expression" dxfId="1386" priority="991">
      <formula>AND($B31&lt;&gt;"",$B32="")</formula>
    </cfRule>
    <cfRule type="expression" dxfId="1385" priority="992">
      <formula>$B31=""</formula>
    </cfRule>
  </conditionalFormatting>
  <conditionalFormatting sqref="G31:I31">
    <cfRule type="expression" dxfId="1384" priority="990">
      <formula>COUNTIF($U31:$AB31,G31)&gt;1</formula>
    </cfRule>
  </conditionalFormatting>
  <conditionalFormatting sqref="G31:I31">
    <cfRule type="expression" dxfId="1383" priority="988">
      <formula>AND($B31&lt;&gt;"",$B46="")</formula>
    </cfRule>
    <cfRule type="expression" dxfId="1382" priority="989">
      <formula>$B31=""</formula>
    </cfRule>
  </conditionalFormatting>
  <conditionalFormatting sqref="G31:I31">
    <cfRule type="expression" dxfId="1381" priority="986">
      <formula>AND($B31&lt;&gt;"",#REF!="")</formula>
    </cfRule>
    <cfRule type="expression" dxfId="1380" priority="987">
      <formula>$B31=""</formula>
    </cfRule>
  </conditionalFormatting>
  <conditionalFormatting sqref="G32:I32">
    <cfRule type="expression" dxfId="1379" priority="984">
      <formula>AND($B32&lt;&gt;"",$B47="")</formula>
    </cfRule>
    <cfRule type="expression" dxfId="1378" priority="985">
      <formula>$B32=""</formula>
    </cfRule>
  </conditionalFormatting>
  <conditionalFormatting sqref="G32:I32">
    <cfRule type="expression" dxfId="1377" priority="982">
      <formula>AND($B32&lt;&gt;"",#REF!="")</formula>
    </cfRule>
    <cfRule type="expression" dxfId="1376" priority="983">
      <formula>$B32=""</formula>
    </cfRule>
  </conditionalFormatting>
  <conditionalFormatting sqref="G32:I32">
    <cfRule type="expression" dxfId="1375" priority="980">
      <formula>AND($B32&lt;&gt;"",$B33="")</formula>
    </cfRule>
    <cfRule type="expression" dxfId="1374" priority="981">
      <formula>$B32=""</formula>
    </cfRule>
  </conditionalFormatting>
  <conditionalFormatting sqref="G32:I32">
    <cfRule type="expression" dxfId="1373" priority="979">
      <formula>COUNTIF($U32:$AB32,G32)&gt;1</formula>
    </cfRule>
  </conditionalFormatting>
  <conditionalFormatting sqref="G32:I32">
    <cfRule type="expression" dxfId="1372" priority="977">
      <formula>AND($B32&lt;&gt;"",$B47="")</formula>
    </cfRule>
    <cfRule type="expression" dxfId="1371" priority="978">
      <formula>$B32=""</formula>
    </cfRule>
  </conditionalFormatting>
  <conditionalFormatting sqref="G32:I32">
    <cfRule type="expression" dxfId="1370" priority="975">
      <formula>AND($B32&lt;&gt;"",#REF!="")</formula>
    </cfRule>
    <cfRule type="expression" dxfId="1369" priority="976">
      <formula>$B32=""</formula>
    </cfRule>
  </conditionalFormatting>
  <conditionalFormatting sqref="G33:I33">
    <cfRule type="expression" dxfId="1368" priority="973">
      <formula>AND($B33&lt;&gt;"",$B48="")</formula>
    </cfRule>
    <cfRule type="expression" dxfId="1367" priority="974">
      <formula>$B33=""</formula>
    </cfRule>
  </conditionalFormatting>
  <conditionalFormatting sqref="G33:I33">
    <cfRule type="expression" dxfId="1366" priority="971">
      <formula>AND($B33&lt;&gt;"",#REF!="")</formula>
    </cfRule>
    <cfRule type="expression" dxfId="1365" priority="972">
      <formula>$B33=""</formula>
    </cfRule>
  </conditionalFormatting>
  <conditionalFormatting sqref="G33:I33">
    <cfRule type="expression" dxfId="1364" priority="969">
      <formula>AND($B33&lt;&gt;"",$B34="")</formula>
    </cfRule>
    <cfRule type="expression" dxfId="1363" priority="970">
      <formula>$B33=""</formula>
    </cfRule>
  </conditionalFormatting>
  <conditionalFormatting sqref="G33:I33">
    <cfRule type="expression" dxfId="1362" priority="968">
      <formula>COUNTIF($U33:$AB33,G33)&gt;1</formula>
    </cfRule>
  </conditionalFormatting>
  <conditionalFormatting sqref="G33:I33">
    <cfRule type="expression" dxfId="1361" priority="966">
      <formula>AND($B33&lt;&gt;"",$B48="")</formula>
    </cfRule>
    <cfRule type="expression" dxfId="1360" priority="967">
      <formula>$B33=""</formula>
    </cfRule>
  </conditionalFormatting>
  <conditionalFormatting sqref="G33:I33">
    <cfRule type="expression" dxfId="1359" priority="964">
      <formula>AND($B33&lt;&gt;"",#REF!="")</formula>
    </cfRule>
    <cfRule type="expression" dxfId="1358" priority="965">
      <formula>$B33=""</formula>
    </cfRule>
  </conditionalFormatting>
  <conditionalFormatting sqref="G34:I34">
    <cfRule type="expression" dxfId="1357" priority="962">
      <formula>AND($B34&lt;&gt;"",$B49="")</formula>
    </cfRule>
    <cfRule type="expression" dxfId="1356" priority="963">
      <formula>$B34=""</formula>
    </cfRule>
  </conditionalFormatting>
  <conditionalFormatting sqref="G34:I34">
    <cfRule type="expression" dxfId="1355" priority="960">
      <formula>AND($B34&lt;&gt;"",#REF!="")</formula>
    </cfRule>
    <cfRule type="expression" dxfId="1354" priority="961">
      <formula>$B34=""</formula>
    </cfRule>
  </conditionalFormatting>
  <conditionalFormatting sqref="G34:I34">
    <cfRule type="expression" dxfId="1353" priority="958">
      <formula>AND($B34&lt;&gt;"",$B35="")</formula>
    </cfRule>
    <cfRule type="expression" dxfId="1352" priority="959">
      <formula>$B34=""</formula>
    </cfRule>
  </conditionalFormatting>
  <conditionalFormatting sqref="G34:I34">
    <cfRule type="expression" dxfId="1351" priority="957">
      <formula>COUNTIF($U34:$AB34,G34)&gt;1</formula>
    </cfRule>
  </conditionalFormatting>
  <conditionalFormatting sqref="G34:I34">
    <cfRule type="expression" dxfId="1350" priority="955">
      <formula>AND($B34&lt;&gt;"",$B49="")</formula>
    </cfRule>
    <cfRule type="expression" dxfId="1349" priority="956">
      <formula>$B34=""</formula>
    </cfRule>
  </conditionalFormatting>
  <conditionalFormatting sqref="G34:I34">
    <cfRule type="expression" dxfId="1348" priority="953">
      <formula>AND($B34&lt;&gt;"",#REF!="")</formula>
    </cfRule>
    <cfRule type="expression" dxfId="1347" priority="954">
      <formula>$B34=""</formula>
    </cfRule>
  </conditionalFormatting>
  <conditionalFormatting sqref="G35:I35">
    <cfRule type="expression" dxfId="1346" priority="951">
      <formula>AND($B35&lt;&gt;"",$B50="")</formula>
    </cfRule>
    <cfRule type="expression" dxfId="1345" priority="952">
      <formula>$B35=""</formula>
    </cfRule>
  </conditionalFormatting>
  <conditionalFormatting sqref="G35:I35">
    <cfRule type="expression" dxfId="1344" priority="949">
      <formula>AND($B35&lt;&gt;"",#REF!="")</formula>
    </cfRule>
    <cfRule type="expression" dxfId="1343" priority="950">
      <formula>$B35=""</formula>
    </cfRule>
  </conditionalFormatting>
  <conditionalFormatting sqref="G35:I35">
    <cfRule type="expression" dxfId="1342" priority="947">
      <formula>AND($B35&lt;&gt;"",$B36="")</formula>
    </cfRule>
    <cfRule type="expression" dxfId="1341" priority="948">
      <formula>$B35=""</formula>
    </cfRule>
  </conditionalFormatting>
  <conditionalFormatting sqref="G35:I35">
    <cfRule type="expression" dxfId="1340" priority="946">
      <formula>COUNTIF($U35:$AB35,G35)&gt;1</formula>
    </cfRule>
  </conditionalFormatting>
  <conditionalFormatting sqref="G35:I35">
    <cfRule type="expression" dxfId="1339" priority="944">
      <formula>AND($B35&lt;&gt;"",$B50="")</formula>
    </cfRule>
    <cfRule type="expression" dxfId="1338" priority="945">
      <formula>$B35=""</formula>
    </cfRule>
  </conditionalFormatting>
  <conditionalFormatting sqref="G35:I35">
    <cfRule type="expression" dxfId="1337" priority="942">
      <formula>AND($B35&lt;&gt;"",#REF!="")</formula>
    </cfRule>
    <cfRule type="expression" dxfId="1336" priority="943">
      <formula>$B35=""</formula>
    </cfRule>
  </conditionalFormatting>
  <conditionalFormatting sqref="G36:I36">
    <cfRule type="expression" dxfId="1335" priority="940">
      <formula>AND($B36&lt;&gt;"",$B51="")</formula>
    </cfRule>
    <cfRule type="expression" dxfId="1334" priority="941">
      <formula>$B36=""</formula>
    </cfRule>
  </conditionalFormatting>
  <conditionalFormatting sqref="G36:I36">
    <cfRule type="expression" dxfId="1333" priority="938">
      <formula>AND($B36&lt;&gt;"",#REF!="")</formula>
    </cfRule>
    <cfRule type="expression" dxfId="1332" priority="939">
      <formula>$B36=""</formula>
    </cfRule>
  </conditionalFormatting>
  <conditionalFormatting sqref="G36:I36">
    <cfRule type="expression" dxfId="1331" priority="936">
      <formula>AND($B36&lt;&gt;"",$B37="")</formula>
    </cfRule>
    <cfRule type="expression" dxfId="1330" priority="937">
      <formula>$B36=""</formula>
    </cfRule>
  </conditionalFormatting>
  <conditionalFormatting sqref="G36:I36">
    <cfRule type="expression" dxfId="1329" priority="935">
      <formula>COUNTIF($U36:$AB36,G36)&gt;1</formula>
    </cfRule>
  </conditionalFormatting>
  <conditionalFormatting sqref="G36:I36">
    <cfRule type="expression" dxfId="1328" priority="933">
      <formula>AND($B36&lt;&gt;"",$B51="")</formula>
    </cfRule>
    <cfRule type="expression" dxfId="1327" priority="934">
      <formula>$B36=""</formula>
    </cfRule>
  </conditionalFormatting>
  <conditionalFormatting sqref="G36:I36">
    <cfRule type="expression" dxfId="1326" priority="931">
      <formula>AND($B36&lt;&gt;"",#REF!="")</formula>
    </cfRule>
    <cfRule type="expression" dxfId="1325" priority="932">
      <formula>$B36=""</formula>
    </cfRule>
  </conditionalFormatting>
  <conditionalFormatting sqref="G37:I37">
    <cfRule type="expression" dxfId="1324" priority="929">
      <formula>AND($B37&lt;&gt;"",$B52="")</formula>
    </cfRule>
    <cfRule type="expression" dxfId="1323" priority="930">
      <formula>$B37=""</formula>
    </cfRule>
  </conditionalFormatting>
  <conditionalFormatting sqref="G37:I37">
    <cfRule type="expression" dxfId="1322" priority="927">
      <formula>AND($B37&lt;&gt;"",#REF!="")</formula>
    </cfRule>
    <cfRule type="expression" dxfId="1321" priority="928">
      <formula>$B37=""</formula>
    </cfRule>
  </conditionalFormatting>
  <conditionalFormatting sqref="G37:I37">
    <cfRule type="expression" dxfId="1320" priority="925">
      <formula>AND($B37&lt;&gt;"",$B38="")</formula>
    </cfRule>
    <cfRule type="expression" dxfId="1319" priority="926">
      <formula>$B37=""</formula>
    </cfRule>
  </conditionalFormatting>
  <conditionalFormatting sqref="G37:I37">
    <cfRule type="expression" dxfId="1318" priority="924">
      <formula>COUNTIF($U37:$AB37,G37)&gt;1</formula>
    </cfRule>
  </conditionalFormatting>
  <conditionalFormatting sqref="G37:I37">
    <cfRule type="expression" dxfId="1317" priority="922">
      <formula>AND($B37&lt;&gt;"",$B52="")</formula>
    </cfRule>
    <cfRule type="expression" dxfId="1316" priority="923">
      <formula>$B37=""</formula>
    </cfRule>
  </conditionalFormatting>
  <conditionalFormatting sqref="G37:I37">
    <cfRule type="expression" dxfId="1315" priority="920">
      <formula>AND($B37&lt;&gt;"",#REF!="")</formula>
    </cfRule>
    <cfRule type="expression" dxfId="1314" priority="921">
      <formula>$B37=""</formula>
    </cfRule>
  </conditionalFormatting>
  <conditionalFormatting sqref="G39:I39">
    <cfRule type="expression" dxfId="1313" priority="918">
      <formula>AND($B39&lt;&gt;"",$B54="")</formula>
    </cfRule>
    <cfRule type="expression" dxfId="1312" priority="919">
      <formula>$B39=""</formula>
    </cfRule>
  </conditionalFormatting>
  <conditionalFormatting sqref="G39:I39">
    <cfRule type="expression" dxfId="1311" priority="916">
      <formula>AND($B39&lt;&gt;"",#REF!="")</formula>
    </cfRule>
    <cfRule type="expression" dxfId="1310" priority="917">
      <formula>$B39=""</formula>
    </cfRule>
  </conditionalFormatting>
  <conditionalFormatting sqref="G39:I39">
    <cfRule type="expression" dxfId="1309" priority="914">
      <formula>AND($B39&lt;&gt;"",$B40="")</formula>
    </cfRule>
    <cfRule type="expression" dxfId="1308" priority="915">
      <formula>$B39=""</formula>
    </cfRule>
  </conditionalFormatting>
  <conditionalFormatting sqref="G39:I39">
    <cfRule type="expression" dxfId="1307" priority="913">
      <formula>COUNTIF($U39:$AB39,G39)&gt;1</formula>
    </cfRule>
  </conditionalFormatting>
  <conditionalFormatting sqref="G39:I39">
    <cfRule type="expression" dxfId="1306" priority="911">
      <formula>AND($B39&lt;&gt;"",$B54="")</formula>
    </cfRule>
    <cfRule type="expression" dxfId="1305" priority="912">
      <formula>$B39=""</formula>
    </cfRule>
  </conditionalFormatting>
  <conditionalFormatting sqref="G39:I39">
    <cfRule type="expression" dxfId="1304" priority="909">
      <formula>AND($B39&lt;&gt;"",#REF!="")</formula>
    </cfRule>
    <cfRule type="expression" dxfId="1303" priority="910">
      <formula>$B39=""</formula>
    </cfRule>
  </conditionalFormatting>
  <conditionalFormatting sqref="G40:I40">
    <cfRule type="expression" dxfId="1302" priority="907">
      <formula>AND($B40&lt;&gt;"",$B55="")</formula>
    </cfRule>
    <cfRule type="expression" dxfId="1301" priority="908">
      <formula>$B40=""</formula>
    </cfRule>
  </conditionalFormatting>
  <conditionalFormatting sqref="G40:I40">
    <cfRule type="expression" dxfId="1300" priority="905">
      <formula>AND($B40&lt;&gt;"",#REF!="")</formula>
    </cfRule>
    <cfRule type="expression" dxfId="1299" priority="906">
      <formula>$B40=""</formula>
    </cfRule>
  </conditionalFormatting>
  <conditionalFormatting sqref="G40:I40">
    <cfRule type="expression" dxfId="1298" priority="903">
      <formula>AND($B40&lt;&gt;"",$B41="")</formula>
    </cfRule>
    <cfRule type="expression" dxfId="1297" priority="904">
      <formula>$B40=""</formula>
    </cfRule>
  </conditionalFormatting>
  <conditionalFormatting sqref="G40:I40">
    <cfRule type="expression" dxfId="1296" priority="902">
      <formula>COUNTIF($U40:$AB40,G40)&gt;1</formula>
    </cfRule>
  </conditionalFormatting>
  <conditionalFormatting sqref="G40:I40">
    <cfRule type="expression" dxfId="1295" priority="900">
      <formula>AND($B40&lt;&gt;"",$B55="")</formula>
    </cfRule>
    <cfRule type="expression" dxfId="1294" priority="901">
      <formula>$B40=""</formula>
    </cfRule>
  </conditionalFormatting>
  <conditionalFormatting sqref="G40:I40">
    <cfRule type="expression" dxfId="1293" priority="898">
      <formula>AND($B40&lt;&gt;"",#REF!="")</formula>
    </cfRule>
    <cfRule type="expression" dxfId="1292" priority="899">
      <formula>$B40=""</formula>
    </cfRule>
  </conditionalFormatting>
  <conditionalFormatting sqref="G42:I42">
    <cfRule type="expression" dxfId="1291" priority="896">
      <formula>AND($B42&lt;&gt;"",$B57="")</formula>
    </cfRule>
    <cfRule type="expression" dxfId="1290" priority="897">
      <formula>$B42=""</formula>
    </cfRule>
  </conditionalFormatting>
  <conditionalFormatting sqref="G42:I42">
    <cfRule type="expression" dxfId="1289" priority="894">
      <formula>AND($B42&lt;&gt;"",#REF!="")</formula>
    </cfRule>
    <cfRule type="expression" dxfId="1288" priority="895">
      <formula>$B42=""</formula>
    </cfRule>
  </conditionalFormatting>
  <conditionalFormatting sqref="G42:I42">
    <cfRule type="expression" dxfId="1287" priority="892">
      <formula>AND($B42&lt;&gt;"",$B43="")</formula>
    </cfRule>
    <cfRule type="expression" dxfId="1286" priority="893">
      <formula>$B42=""</formula>
    </cfRule>
  </conditionalFormatting>
  <conditionalFormatting sqref="G42:I42">
    <cfRule type="expression" dxfId="1285" priority="891">
      <formula>COUNTIF($U42:$AB42,G42)&gt;1</formula>
    </cfRule>
  </conditionalFormatting>
  <conditionalFormatting sqref="G42:I42">
    <cfRule type="expression" dxfId="1284" priority="889">
      <formula>AND($B42&lt;&gt;"",$B57="")</formula>
    </cfRule>
    <cfRule type="expression" dxfId="1283" priority="890">
      <formula>$B42=""</formula>
    </cfRule>
  </conditionalFormatting>
  <conditionalFormatting sqref="G42:I42">
    <cfRule type="expression" dxfId="1282" priority="887">
      <formula>AND($B42&lt;&gt;"",#REF!="")</formula>
    </cfRule>
    <cfRule type="expression" dxfId="1281" priority="888">
      <formula>$B42=""</formula>
    </cfRule>
  </conditionalFormatting>
  <conditionalFormatting sqref="G43:I43">
    <cfRule type="expression" dxfId="1280" priority="885">
      <formula>AND($B43&lt;&gt;"",$B58="")</formula>
    </cfRule>
    <cfRule type="expression" dxfId="1279" priority="886">
      <formula>$B43=""</formula>
    </cfRule>
  </conditionalFormatting>
  <conditionalFormatting sqref="G43:I43">
    <cfRule type="expression" dxfId="1278" priority="883">
      <formula>AND($B43&lt;&gt;"",#REF!="")</formula>
    </cfRule>
    <cfRule type="expression" dxfId="1277" priority="884">
      <formula>$B43=""</formula>
    </cfRule>
  </conditionalFormatting>
  <conditionalFormatting sqref="G43:I43">
    <cfRule type="expression" dxfId="1276" priority="881">
      <formula>AND($B43&lt;&gt;"",$B44="")</formula>
    </cfRule>
    <cfRule type="expression" dxfId="1275" priority="882">
      <formula>$B43=""</formula>
    </cfRule>
  </conditionalFormatting>
  <conditionalFormatting sqref="G43:I43">
    <cfRule type="expression" dxfId="1274" priority="880">
      <formula>COUNTIF($U43:$AB43,G43)&gt;1</formula>
    </cfRule>
  </conditionalFormatting>
  <conditionalFormatting sqref="G43:I43">
    <cfRule type="expression" dxfId="1273" priority="878">
      <formula>AND($B43&lt;&gt;"",$B58="")</formula>
    </cfRule>
    <cfRule type="expression" dxfId="1272" priority="879">
      <formula>$B43=""</formula>
    </cfRule>
  </conditionalFormatting>
  <conditionalFormatting sqref="G43:I43">
    <cfRule type="expression" dxfId="1271" priority="876">
      <formula>AND($B43&lt;&gt;"",#REF!="")</formula>
    </cfRule>
    <cfRule type="expression" dxfId="1270" priority="877">
      <formula>$B43=""</formula>
    </cfRule>
  </conditionalFormatting>
  <conditionalFormatting sqref="G44:I44">
    <cfRule type="expression" dxfId="1269" priority="874">
      <formula>AND($B44&lt;&gt;"",$B59="")</formula>
    </cfRule>
    <cfRule type="expression" dxfId="1268" priority="875">
      <formula>$B44=""</formula>
    </cfRule>
  </conditionalFormatting>
  <conditionalFormatting sqref="G44:I44">
    <cfRule type="expression" dxfId="1267" priority="872">
      <formula>AND($B44&lt;&gt;"",#REF!="")</formula>
    </cfRule>
    <cfRule type="expression" dxfId="1266" priority="873">
      <formula>$B44=""</formula>
    </cfRule>
  </conditionalFormatting>
  <conditionalFormatting sqref="G44:I44">
    <cfRule type="expression" dxfId="1265" priority="870">
      <formula>AND($B44&lt;&gt;"",$B45="")</formula>
    </cfRule>
    <cfRule type="expression" dxfId="1264" priority="871">
      <formula>$B44=""</formula>
    </cfRule>
  </conditionalFormatting>
  <conditionalFormatting sqref="G44:I44">
    <cfRule type="expression" dxfId="1263" priority="869">
      <formula>COUNTIF($U44:$AB44,G44)&gt;1</formula>
    </cfRule>
  </conditionalFormatting>
  <conditionalFormatting sqref="G44:I44">
    <cfRule type="expression" dxfId="1262" priority="867">
      <formula>AND($B44&lt;&gt;"",$B59="")</formula>
    </cfRule>
    <cfRule type="expression" dxfId="1261" priority="868">
      <formula>$B44=""</formula>
    </cfRule>
  </conditionalFormatting>
  <conditionalFormatting sqref="G44:I44">
    <cfRule type="expression" dxfId="1260" priority="865">
      <formula>AND($B44&lt;&gt;"",#REF!="")</formula>
    </cfRule>
    <cfRule type="expression" dxfId="1259" priority="866">
      <formula>$B44=""</formula>
    </cfRule>
  </conditionalFormatting>
  <conditionalFormatting sqref="G45:K45">
    <cfRule type="expression" dxfId="1258" priority="863">
      <formula>AND($B45&lt;&gt;"",$B64="")</formula>
    </cfRule>
    <cfRule type="expression" dxfId="1257" priority="864">
      <formula>$B45=""</formula>
    </cfRule>
  </conditionalFormatting>
  <conditionalFormatting sqref="G45:I45">
    <cfRule type="expression" dxfId="1256" priority="861">
      <formula>AND($B45&lt;&gt;"",$B60="")</formula>
    </cfRule>
    <cfRule type="expression" dxfId="1255" priority="862">
      <formula>$B45=""</formula>
    </cfRule>
  </conditionalFormatting>
  <conditionalFormatting sqref="G45:I45">
    <cfRule type="expression" dxfId="1254" priority="859">
      <formula>AND($B45&lt;&gt;"",#REF!="")</formula>
    </cfRule>
    <cfRule type="expression" dxfId="1253" priority="860">
      <formula>$B45=""</formula>
    </cfRule>
  </conditionalFormatting>
  <conditionalFormatting sqref="G45:I45">
    <cfRule type="expression" dxfId="1252" priority="857">
      <formula>AND($B45&lt;&gt;"",$B46="")</formula>
    </cfRule>
    <cfRule type="expression" dxfId="1251" priority="858">
      <formula>$B45=""</formula>
    </cfRule>
  </conditionalFormatting>
  <conditionalFormatting sqref="G45:I45">
    <cfRule type="expression" dxfId="1250" priority="856">
      <formula>COUNTIF($U45:$AB45,G45)&gt;1</formula>
    </cfRule>
  </conditionalFormatting>
  <conditionalFormatting sqref="G45:I45">
    <cfRule type="expression" dxfId="1249" priority="854">
      <formula>AND($B45&lt;&gt;"",$B60="")</formula>
    </cfRule>
    <cfRule type="expression" dxfId="1248" priority="855">
      <formula>$B45=""</formula>
    </cfRule>
  </conditionalFormatting>
  <conditionalFormatting sqref="G45:I45">
    <cfRule type="expression" dxfId="1247" priority="852">
      <formula>AND($B45&lt;&gt;"",#REF!="")</formula>
    </cfRule>
    <cfRule type="expression" dxfId="1246" priority="853">
      <formula>$B45=""</formula>
    </cfRule>
  </conditionalFormatting>
  <conditionalFormatting sqref="G46:K46">
    <cfRule type="expression" dxfId="1245" priority="850">
      <formula>AND($B46&lt;&gt;"",$B65="")</formula>
    </cfRule>
    <cfRule type="expression" dxfId="1244" priority="851">
      <formula>$B46=""</formula>
    </cfRule>
  </conditionalFormatting>
  <conditionalFormatting sqref="G46:I46">
    <cfRule type="expression" dxfId="1243" priority="848">
      <formula>AND($B46&lt;&gt;"",$B61="")</formula>
    </cfRule>
    <cfRule type="expression" dxfId="1242" priority="849">
      <formula>$B46=""</formula>
    </cfRule>
  </conditionalFormatting>
  <conditionalFormatting sqref="G46:I46">
    <cfRule type="expression" dxfId="1241" priority="846">
      <formula>AND($B46&lt;&gt;"",#REF!="")</formula>
    </cfRule>
    <cfRule type="expression" dxfId="1240" priority="847">
      <formula>$B46=""</formula>
    </cfRule>
  </conditionalFormatting>
  <conditionalFormatting sqref="G46:I46">
    <cfRule type="expression" dxfId="1239" priority="844">
      <formula>AND($B46&lt;&gt;"",$B47="")</formula>
    </cfRule>
    <cfRule type="expression" dxfId="1238" priority="845">
      <formula>$B46=""</formula>
    </cfRule>
  </conditionalFormatting>
  <conditionalFormatting sqref="G46:I46">
    <cfRule type="expression" dxfId="1237" priority="843">
      <formula>COUNTIF($U46:$AB46,G46)&gt;1</formula>
    </cfRule>
  </conditionalFormatting>
  <conditionalFormatting sqref="G46:I46">
    <cfRule type="expression" dxfId="1236" priority="841">
      <formula>AND($B46&lt;&gt;"",$B61="")</formula>
    </cfRule>
    <cfRule type="expression" dxfId="1235" priority="842">
      <formula>$B46=""</formula>
    </cfRule>
  </conditionalFormatting>
  <conditionalFormatting sqref="G46:I46">
    <cfRule type="expression" dxfId="1234" priority="839">
      <formula>AND($B46&lt;&gt;"",#REF!="")</formula>
    </cfRule>
    <cfRule type="expression" dxfId="1233" priority="840">
      <formula>$B46=""</formula>
    </cfRule>
  </conditionalFormatting>
  <conditionalFormatting sqref="G47:K47">
    <cfRule type="expression" dxfId="1232" priority="837">
      <formula>AND($B47&lt;&gt;"",$B66="")</formula>
    </cfRule>
    <cfRule type="expression" dxfId="1231" priority="838">
      <formula>$B47=""</formula>
    </cfRule>
  </conditionalFormatting>
  <conditionalFormatting sqref="G47:I47">
    <cfRule type="expression" dxfId="1230" priority="835">
      <formula>AND($B47&lt;&gt;"",$B62="")</formula>
    </cfRule>
    <cfRule type="expression" dxfId="1229" priority="836">
      <formula>$B47=""</formula>
    </cfRule>
  </conditionalFormatting>
  <conditionalFormatting sqref="G47:I47">
    <cfRule type="expression" dxfId="1228" priority="833">
      <formula>AND($B47&lt;&gt;"",#REF!="")</formula>
    </cfRule>
    <cfRule type="expression" dxfId="1227" priority="834">
      <formula>$B47=""</formula>
    </cfRule>
  </conditionalFormatting>
  <conditionalFormatting sqref="G47:I47">
    <cfRule type="expression" dxfId="1226" priority="831">
      <formula>AND($B47&lt;&gt;"",$B48="")</formula>
    </cfRule>
    <cfRule type="expression" dxfId="1225" priority="832">
      <formula>$B47=""</formula>
    </cfRule>
  </conditionalFormatting>
  <conditionalFormatting sqref="G47:I47">
    <cfRule type="expression" dxfId="1224" priority="830">
      <formula>COUNTIF($U47:$AB47,G47)&gt;1</formula>
    </cfRule>
  </conditionalFormatting>
  <conditionalFormatting sqref="G47:I47">
    <cfRule type="expression" dxfId="1223" priority="828">
      <formula>AND($B47&lt;&gt;"",$B62="")</formula>
    </cfRule>
    <cfRule type="expression" dxfId="1222" priority="829">
      <formula>$B47=""</formula>
    </cfRule>
  </conditionalFormatting>
  <conditionalFormatting sqref="G47:I47">
    <cfRule type="expression" dxfId="1221" priority="826">
      <formula>AND($B47&lt;&gt;"",#REF!="")</formula>
    </cfRule>
    <cfRule type="expression" dxfId="1220" priority="827">
      <formula>$B47=""</formula>
    </cfRule>
  </conditionalFormatting>
  <conditionalFormatting sqref="G48:K48">
    <cfRule type="expression" dxfId="1219" priority="824">
      <formula>AND($B48&lt;&gt;"",$B67="")</formula>
    </cfRule>
    <cfRule type="expression" dxfId="1218" priority="825">
      <formula>$B48=""</formula>
    </cfRule>
  </conditionalFormatting>
  <conditionalFormatting sqref="G48:I48">
    <cfRule type="expression" dxfId="1217" priority="822">
      <formula>AND($B48&lt;&gt;"",$B63="")</formula>
    </cfRule>
    <cfRule type="expression" dxfId="1216" priority="823">
      <formula>$B48=""</formula>
    </cfRule>
  </conditionalFormatting>
  <conditionalFormatting sqref="G48:I48">
    <cfRule type="expression" dxfId="1215" priority="820">
      <formula>AND($B48&lt;&gt;"",#REF!="")</formula>
    </cfRule>
    <cfRule type="expression" dxfId="1214" priority="821">
      <formula>$B48=""</formula>
    </cfRule>
  </conditionalFormatting>
  <conditionalFormatting sqref="G48:I48">
    <cfRule type="expression" dxfId="1213" priority="818">
      <formula>AND($B48&lt;&gt;"",$B49="")</formula>
    </cfRule>
    <cfRule type="expression" dxfId="1212" priority="819">
      <formula>$B48=""</formula>
    </cfRule>
  </conditionalFormatting>
  <conditionalFormatting sqref="G48:I48">
    <cfRule type="expression" dxfId="1211" priority="817">
      <formula>COUNTIF($U48:$AB48,G48)&gt;1</formula>
    </cfRule>
  </conditionalFormatting>
  <conditionalFormatting sqref="G48:I48">
    <cfRule type="expression" dxfId="1210" priority="815">
      <formula>AND($B48&lt;&gt;"",$B63="")</formula>
    </cfRule>
    <cfRule type="expression" dxfId="1209" priority="816">
      <formula>$B48=""</formula>
    </cfRule>
  </conditionalFormatting>
  <conditionalFormatting sqref="G48:I48">
    <cfRule type="expression" dxfId="1208" priority="813">
      <formula>AND($B48&lt;&gt;"",#REF!="")</formula>
    </cfRule>
    <cfRule type="expression" dxfId="1207" priority="814">
      <formula>$B48=""</formula>
    </cfRule>
  </conditionalFormatting>
  <conditionalFormatting sqref="G49:K49">
    <cfRule type="expression" dxfId="1206" priority="811">
      <formula>AND($B49&lt;&gt;"",$B68="")</formula>
    </cfRule>
    <cfRule type="expression" dxfId="1205" priority="812">
      <formula>$B49=""</formula>
    </cfRule>
  </conditionalFormatting>
  <conditionalFormatting sqref="G49:I49">
    <cfRule type="expression" dxfId="1204" priority="809">
      <formula>AND($B49&lt;&gt;"",$B64="")</formula>
    </cfRule>
    <cfRule type="expression" dxfId="1203" priority="810">
      <formula>$B49=""</formula>
    </cfRule>
  </conditionalFormatting>
  <conditionalFormatting sqref="G49:I49">
    <cfRule type="expression" dxfId="1202" priority="807">
      <formula>AND($B49&lt;&gt;"",#REF!="")</formula>
    </cfRule>
    <cfRule type="expression" dxfId="1201" priority="808">
      <formula>$B49=""</formula>
    </cfRule>
  </conditionalFormatting>
  <conditionalFormatting sqref="G49:I49">
    <cfRule type="expression" dxfId="1200" priority="805">
      <formula>AND($B49&lt;&gt;"",$B50="")</formula>
    </cfRule>
    <cfRule type="expression" dxfId="1199" priority="806">
      <formula>$B49=""</formula>
    </cfRule>
  </conditionalFormatting>
  <conditionalFormatting sqref="G49:I49">
    <cfRule type="expression" dxfId="1198" priority="804">
      <formula>COUNTIF($U49:$AB49,G49)&gt;1</formula>
    </cfRule>
  </conditionalFormatting>
  <conditionalFormatting sqref="G49:I49">
    <cfRule type="expression" dxfId="1197" priority="802">
      <formula>AND($B49&lt;&gt;"",$B64="")</formula>
    </cfRule>
    <cfRule type="expression" dxfId="1196" priority="803">
      <formula>$B49=""</formula>
    </cfRule>
  </conditionalFormatting>
  <conditionalFormatting sqref="G49:I49">
    <cfRule type="expression" dxfId="1195" priority="800">
      <formula>AND($B49&lt;&gt;"",#REF!="")</formula>
    </cfRule>
    <cfRule type="expression" dxfId="1194" priority="801">
      <formula>$B49=""</formula>
    </cfRule>
  </conditionalFormatting>
  <conditionalFormatting sqref="G50:K50">
    <cfRule type="expression" dxfId="1193" priority="798">
      <formula>AND($B50&lt;&gt;"",$B69="")</formula>
    </cfRule>
    <cfRule type="expression" dxfId="1192" priority="799">
      <formula>$B50=""</formula>
    </cfRule>
  </conditionalFormatting>
  <conditionalFormatting sqref="G50:I50">
    <cfRule type="expression" dxfId="1191" priority="796">
      <formula>AND($B50&lt;&gt;"",$B65="")</formula>
    </cfRule>
    <cfRule type="expression" dxfId="1190" priority="797">
      <formula>$B50=""</formula>
    </cfRule>
  </conditionalFormatting>
  <conditionalFormatting sqref="G50:I50">
    <cfRule type="expression" dxfId="1189" priority="794">
      <formula>AND($B50&lt;&gt;"",#REF!="")</formula>
    </cfRule>
    <cfRule type="expression" dxfId="1188" priority="795">
      <formula>$B50=""</formula>
    </cfRule>
  </conditionalFormatting>
  <conditionalFormatting sqref="G50:I50">
    <cfRule type="expression" dxfId="1187" priority="792">
      <formula>AND($B50&lt;&gt;"",$B51="")</formula>
    </cfRule>
    <cfRule type="expression" dxfId="1186" priority="793">
      <formula>$B50=""</formula>
    </cfRule>
  </conditionalFormatting>
  <conditionalFormatting sqref="G50:I50">
    <cfRule type="expression" dxfId="1185" priority="791">
      <formula>COUNTIF($U50:$AB50,G50)&gt;1</formula>
    </cfRule>
  </conditionalFormatting>
  <conditionalFormatting sqref="G50:I50">
    <cfRule type="expression" dxfId="1184" priority="789">
      <formula>AND($B50&lt;&gt;"",$B65="")</formula>
    </cfRule>
    <cfRule type="expression" dxfId="1183" priority="790">
      <formula>$B50=""</formula>
    </cfRule>
  </conditionalFormatting>
  <conditionalFormatting sqref="G50:I50">
    <cfRule type="expression" dxfId="1182" priority="787">
      <formula>AND($B50&lt;&gt;"",#REF!="")</formula>
    </cfRule>
    <cfRule type="expression" dxfId="1181" priority="788">
      <formula>$B50=""</formula>
    </cfRule>
  </conditionalFormatting>
  <conditionalFormatting sqref="G23:I23">
    <cfRule type="expression" dxfId="1180" priority="785">
      <formula>AND($B23&lt;&gt;"",$B38="")</formula>
    </cfRule>
    <cfRule type="expression" dxfId="1179" priority="786">
      <formula>$B23=""</formula>
    </cfRule>
  </conditionalFormatting>
  <conditionalFormatting sqref="G23:I23">
    <cfRule type="expression" dxfId="1178" priority="783">
      <formula>AND($B23&lt;&gt;"",#REF!="")</formula>
    </cfRule>
    <cfRule type="expression" dxfId="1177" priority="784">
      <formula>$B23=""</formula>
    </cfRule>
  </conditionalFormatting>
  <conditionalFormatting sqref="G23:I23">
    <cfRule type="expression" dxfId="1176" priority="781">
      <formula>AND($B23&lt;&gt;"",$B24="")</formula>
    </cfRule>
    <cfRule type="expression" dxfId="1175" priority="782">
      <formula>$B23=""</formula>
    </cfRule>
  </conditionalFormatting>
  <conditionalFormatting sqref="G23:I23">
    <cfRule type="expression" dxfId="1174" priority="780">
      <formula>COUNTIF($U23:$AB23,G23)&gt;1</formula>
    </cfRule>
  </conditionalFormatting>
  <conditionalFormatting sqref="G23:I23">
    <cfRule type="expression" dxfId="1173" priority="778">
      <formula>AND($B23&lt;&gt;"",$B38="")</formula>
    </cfRule>
    <cfRule type="expression" dxfId="1172" priority="779">
      <formula>$B23=""</formula>
    </cfRule>
  </conditionalFormatting>
  <conditionalFormatting sqref="G23:I23">
    <cfRule type="expression" dxfId="1171" priority="776">
      <formula>AND($B23&lt;&gt;"",#REF!="")</formula>
    </cfRule>
    <cfRule type="expression" dxfId="1170" priority="777">
      <formula>$B23=""</formula>
    </cfRule>
  </conditionalFormatting>
  <conditionalFormatting sqref="G27:I27">
    <cfRule type="expression" dxfId="1169" priority="774">
      <formula>AND($B27&lt;&gt;"",$B42="")</formula>
    </cfRule>
    <cfRule type="expression" dxfId="1168" priority="775">
      <formula>$B27=""</formula>
    </cfRule>
  </conditionalFormatting>
  <conditionalFormatting sqref="G27:I27">
    <cfRule type="expression" dxfId="1167" priority="772">
      <formula>AND($B27&lt;&gt;"",#REF!="")</formula>
    </cfRule>
    <cfRule type="expression" dxfId="1166" priority="773">
      <formula>$B27=""</formula>
    </cfRule>
  </conditionalFormatting>
  <conditionalFormatting sqref="G27:I27">
    <cfRule type="expression" dxfId="1165" priority="770">
      <formula>AND($B27&lt;&gt;"",$B28="")</formula>
    </cfRule>
    <cfRule type="expression" dxfId="1164" priority="771">
      <formula>$B27=""</formula>
    </cfRule>
  </conditionalFormatting>
  <conditionalFormatting sqref="G27:I27">
    <cfRule type="expression" dxfId="1163" priority="769">
      <formula>COUNTIF($U27:$AB27,G27)&gt;1</formula>
    </cfRule>
  </conditionalFormatting>
  <conditionalFormatting sqref="G27:I27">
    <cfRule type="expression" dxfId="1162" priority="767">
      <formula>AND($B27&lt;&gt;"",$B42="")</formula>
    </cfRule>
    <cfRule type="expression" dxfId="1161" priority="768">
      <formula>$B27=""</formula>
    </cfRule>
  </conditionalFormatting>
  <conditionalFormatting sqref="G27:I27">
    <cfRule type="expression" dxfId="1160" priority="765">
      <formula>AND($B27&lt;&gt;"",#REF!="")</formula>
    </cfRule>
    <cfRule type="expression" dxfId="1159" priority="766">
      <formula>$B27=""</formula>
    </cfRule>
  </conditionalFormatting>
  <conditionalFormatting sqref="G30:I30">
    <cfRule type="expression" dxfId="1158" priority="763">
      <formula>AND($B30&lt;&gt;"",$B45="")</formula>
    </cfRule>
    <cfRule type="expression" dxfId="1157" priority="764">
      <formula>$B30=""</formula>
    </cfRule>
  </conditionalFormatting>
  <conditionalFormatting sqref="G30:I30">
    <cfRule type="expression" dxfId="1156" priority="761">
      <formula>AND($B30&lt;&gt;"",#REF!="")</formula>
    </cfRule>
    <cfRule type="expression" dxfId="1155" priority="762">
      <formula>$B30=""</formula>
    </cfRule>
  </conditionalFormatting>
  <conditionalFormatting sqref="G30:I30">
    <cfRule type="expression" dxfId="1154" priority="759">
      <formula>AND($B30&lt;&gt;"",$B31="")</formula>
    </cfRule>
    <cfRule type="expression" dxfId="1153" priority="760">
      <formula>$B30=""</formula>
    </cfRule>
  </conditionalFormatting>
  <conditionalFormatting sqref="G30:I30">
    <cfRule type="expression" dxfId="1152" priority="758">
      <formula>COUNTIF($U30:$AB30,G30)&gt;1</formula>
    </cfRule>
  </conditionalFormatting>
  <conditionalFormatting sqref="G30:I30">
    <cfRule type="expression" dxfId="1151" priority="756">
      <formula>AND($B30&lt;&gt;"",$B45="")</formula>
    </cfRule>
    <cfRule type="expression" dxfId="1150" priority="757">
      <formula>$B30=""</formula>
    </cfRule>
  </conditionalFormatting>
  <conditionalFormatting sqref="G30:I30">
    <cfRule type="expression" dxfId="1149" priority="754">
      <formula>AND($B30&lt;&gt;"",#REF!="")</formula>
    </cfRule>
    <cfRule type="expression" dxfId="1148" priority="755">
      <formula>$B30=""</formula>
    </cfRule>
  </conditionalFormatting>
  <conditionalFormatting sqref="G33:I33">
    <cfRule type="expression" dxfId="1147" priority="752">
      <formula>AND($B33&lt;&gt;"",$B48="")</formula>
    </cfRule>
    <cfRule type="expression" dxfId="1146" priority="753">
      <formula>$B33=""</formula>
    </cfRule>
  </conditionalFormatting>
  <conditionalFormatting sqref="G33:I33">
    <cfRule type="expression" dxfId="1145" priority="750">
      <formula>AND($B33&lt;&gt;"",#REF!="")</formula>
    </cfRule>
    <cfRule type="expression" dxfId="1144" priority="751">
      <formula>$B33=""</formula>
    </cfRule>
  </conditionalFormatting>
  <conditionalFormatting sqref="G33:I33">
    <cfRule type="expression" dxfId="1143" priority="748">
      <formula>AND($B33&lt;&gt;"",$B34="")</formula>
    </cfRule>
    <cfRule type="expression" dxfId="1142" priority="749">
      <formula>$B33=""</formula>
    </cfRule>
  </conditionalFormatting>
  <conditionalFormatting sqref="G33:I33">
    <cfRule type="expression" dxfId="1141" priority="747">
      <formula>COUNTIF($U33:$AB33,G33)&gt;1</formula>
    </cfRule>
  </conditionalFormatting>
  <conditionalFormatting sqref="G33:I33">
    <cfRule type="expression" dxfId="1140" priority="745">
      <formula>AND($B33&lt;&gt;"",$B48="")</formula>
    </cfRule>
    <cfRule type="expression" dxfId="1139" priority="746">
      <formula>$B33=""</formula>
    </cfRule>
  </conditionalFormatting>
  <conditionalFormatting sqref="G33:I33">
    <cfRule type="expression" dxfId="1138" priority="743">
      <formula>AND($B33&lt;&gt;"",#REF!="")</formula>
    </cfRule>
    <cfRule type="expression" dxfId="1137" priority="744">
      <formula>$B33=""</formula>
    </cfRule>
  </conditionalFormatting>
  <conditionalFormatting sqref="G38:I38">
    <cfRule type="expression" dxfId="1136" priority="741">
      <formula>AND($B38&lt;&gt;"",$B53="")</formula>
    </cfRule>
    <cfRule type="expression" dxfId="1135" priority="742">
      <formula>$B38=""</formula>
    </cfRule>
  </conditionalFormatting>
  <conditionalFormatting sqref="G38:I38">
    <cfRule type="expression" dxfId="1134" priority="739">
      <formula>AND($B38&lt;&gt;"",#REF!="")</formula>
    </cfRule>
    <cfRule type="expression" dxfId="1133" priority="740">
      <formula>$B38=""</formula>
    </cfRule>
  </conditionalFormatting>
  <conditionalFormatting sqref="G38:I38">
    <cfRule type="expression" dxfId="1132" priority="737">
      <formula>AND($B38&lt;&gt;"",$B39="")</formula>
    </cfRule>
    <cfRule type="expression" dxfId="1131" priority="738">
      <formula>$B38=""</formula>
    </cfRule>
  </conditionalFormatting>
  <conditionalFormatting sqref="G38:I38">
    <cfRule type="expression" dxfId="1130" priority="736">
      <formula>COUNTIF($U38:$AB38,G38)&gt;1</formula>
    </cfRule>
  </conditionalFormatting>
  <conditionalFormatting sqref="G38:I38">
    <cfRule type="expression" dxfId="1129" priority="734">
      <formula>AND($B38&lt;&gt;"",$B53="")</formula>
    </cfRule>
    <cfRule type="expression" dxfId="1128" priority="735">
      <formula>$B38=""</formula>
    </cfRule>
  </conditionalFormatting>
  <conditionalFormatting sqref="G38:I38">
    <cfRule type="expression" dxfId="1127" priority="732">
      <formula>AND($B38&lt;&gt;"",#REF!="")</formula>
    </cfRule>
    <cfRule type="expression" dxfId="1126" priority="733">
      <formula>$B38=""</formula>
    </cfRule>
  </conditionalFormatting>
  <conditionalFormatting sqref="G41:I41">
    <cfRule type="expression" dxfId="1125" priority="730">
      <formula>AND($B41&lt;&gt;"",$B56="")</formula>
    </cfRule>
    <cfRule type="expression" dxfId="1124" priority="731">
      <formula>$B41=""</formula>
    </cfRule>
  </conditionalFormatting>
  <conditionalFormatting sqref="G41:I41">
    <cfRule type="expression" dxfId="1123" priority="728">
      <formula>AND($B41&lt;&gt;"",#REF!="")</formula>
    </cfRule>
    <cfRule type="expression" dxfId="1122" priority="729">
      <formula>$B41=""</formula>
    </cfRule>
  </conditionalFormatting>
  <conditionalFormatting sqref="G41:I41">
    <cfRule type="expression" dxfId="1121" priority="726">
      <formula>AND($B41&lt;&gt;"",$B42="")</formula>
    </cfRule>
    <cfRule type="expression" dxfId="1120" priority="727">
      <formula>$B41=""</formula>
    </cfRule>
  </conditionalFormatting>
  <conditionalFormatting sqref="G41:I41">
    <cfRule type="expression" dxfId="1119" priority="725">
      <formula>COUNTIF($U41:$AB41,G41)&gt;1</formula>
    </cfRule>
  </conditionalFormatting>
  <conditionalFormatting sqref="G41:I41">
    <cfRule type="expression" dxfId="1118" priority="723">
      <formula>AND($B41&lt;&gt;"",$B56="")</formula>
    </cfRule>
    <cfRule type="expression" dxfId="1117" priority="724">
      <formula>$B41=""</formula>
    </cfRule>
  </conditionalFormatting>
  <conditionalFormatting sqref="G41:I41">
    <cfRule type="expression" dxfId="1116" priority="721">
      <formula>AND($B41&lt;&gt;"",#REF!="")</formula>
    </cfRule>
    <cfRule type="expression" dxfId="1115" priority="722">
      <formula>$B41=""</formula>
    </cfRule>
  </conditionalFormatting>
  <conditionalFormatting sqref="G41:I41">
    <cfRule type="expression" dxfId="1114" priority="719">
      <formula>AND($B41&lt;&gt;"",$B56="")</formula>
    </cfRule>
    <cfRule type="expression" dxfId="1113" priority="720">
      <formula>$B41=""</formula>
    </cfRule>
  </conditionalFormatting>
  <conditionalFormatting sqref="G41:I41">
    <cfRule type="expression" dxfId="1112" priority="717">
      <formula>AND($B41&lt;&gt;"",#REF!="")</formula>
    </cfRule>
    <cfRule type="expression" dxfId="1111" priority="718">
      <formula>$B41=""</formula>
    </cfRule>
  </conditionalFormatting>
  <conditionalFormatting sqref="G41:I41">
    <cfRule type="expression" dxfId="1110" priority="715">
      <formula>AND($B41&lt;&gt;"",$B42="")</formula>
    </cfRule>
    <cfRule type="expression" dxfId="1109" priority="716">
      <formula>$B41=""</formula>
    </cfRule>
  </conditionalFormatting>
  <conditionalFormatting sqref="G41:I41">
    <cfRule type="expression" dxfId="1108" priority="714">
      <formula>COUNTIF($U41:$AB41,G41)&gt;1</formula>
    </cfRule>
  </conditionalFormatting>
  <conditionalFormatting sqref="G41:I41">
    <cfRule type="expression" dxfId="1107" priority="712">
      <formula>AND($B41&lt;&gt;"",$B56="")</formula>
    </cfRule>
    <cfRule type="expression" dxfId="1106" priority="713">
      <formula>$B41=""</formula>
    </cfRule>
  </conditionalFormatting>
  <conditionalFormatting sqref="G41:I41">
    <cfRule type="expression" dxfId="1105" priority="710">
      <formula>AND($B41&lt;&gt;"",#REF!="")</formula>
    </cfRule>
    <cfRule type="expression" dxfId="1104" priority="711">
      <formula>$B41=""</formula>
    </cfRule>
  </conditionalFormatting>
  <conditionalFormatting sqref="G43:I43">
    <cfRule type="expression" dxfId="1103" priority="708">
      <formula>AND($B43&lt;&gt;"",$B58="")</formula>
    </cfRule>
    <cfRule type="expression" dxfId="1102" priority="709">
      <formula>$B43=""</formula>
    </cfRule>
  </conditionalFormatting>
  <conditionalFormatting sqref="G43:I43">
    <cfRule type="expression" dxfId="1101" priority="706">
      <formula>AND($B43&lt;&gt;"",#REF!="")</formula>
    </cfRule>
    <cfRule type="expression" dxfId="1100" priority="707">
      <formula>$B43=""</formula>
    </cfRule>
  </conditionalFormatting>
  <conditionalFormatting sqref="G43:I43">
    <cfRule type="expression" dxfId="1099" priority="704">
      <formula>AND($B43&lt;&gt;"",$B44="")</formula>
    </cfRule>
    <cfRule type="expression" dxfId="1098" priority="705">
      <formula>$B43=""</formula>
    </cfRule>
  </conditionalFormatting>
  <conditionalFormatting sqref="G43:I43">
    <cfRule type="expression" dxfId="1097" priority="703">
      <formula>COUNTIF($U43:$AB43,G43)&gt;1</formula>
    </cfRule>
  </conditionalFormatting>
  <conditionalFormatting sqref="G43:I43">
    <cfRule type="expression" dxfId="1096" priority="701">
      <formula>AND($B43&lt;&gt;"",$B58="")</formula>
    </cfRule>
    <cfRule type="expression" dxfId="1095" priority="702">
      <formula>$B43=""</formula>
    </cfRule>
  </conditionalFormatting>
  <conditionalFormatting sqref="G43:I43">
    <cfRule type="expression" dxfId="1094" priority="699">
      <formula>AND($B43&lt;&gt;"",#REF!="")</formula>
    </cfRule>
    <cfRule type="expression" dxfId="1093" priority="700">
      <formula>$B43=""</formula>
    </cfRule>
  </conditionalFormatting>
  <conditionalFormatting sqref="G40:K40">
    <cfRule type="expression" dxfId="1092" priority="697">
      <formula>AND($B40&lt;&gt;"",$B59="")</formula>
    </cfRule>
    <cfRule type="expression" dxfId="1091" priority="698">
      <formula>$B40=""</formula>
    </cfRule>
  </conditionalFormatting>
  <conditionalFormatting sqref="G40:I40">
    <cfRule type="expression" dxfId="1090" priority="695">
      <formula>AND($B40&lt;&gt;"",$B55="")</formula>
    </cfRule>
    <cfRule type="expression" dxfId="1089" priority="696">
      <formula>$B40=""</formula>
    </cfRule>
  </conditionalFormatting>
  <conditionalFormatting sqref="G40:I40">
    <cfRule type="expression" dxfId="1088" priority="693">
      <formula>AND($B40&lt;&gt;"",#REF!="")</formula>
    </cfRule>
    <cfRule type="expression" dxfId="1087" priority="694">
      <formula>$B40=""</formula>
    </cfRule>
  </conditionalFormatting>
  <conditionalFormatting sqref="G40:I40">
    <cfRule type="expression" dxfId="1086" priority="691">
      <formula>AND($B40&lt;&gt;"",$B41="")</formula>
    </cfRule>
    <cfRule type="expression" dxfId="1085" priority="692">
      <formula>$B40=""</formula>
    </cfRule>
  </conditionalFormatting>
  <conditionalFormatting sqref="G40:I40">
    <cfRule type="expression" dxfId="1084" priority="690">
      <formula>COUNTIF($U40:$AB40,G40)&gt;1</formula>
    </cfRule>
  </conditionalFormatting>
  <conditionalFormatting sqref="G40:I40">
    <cfRule type="expression" dxfId="1083" priority="688">
      <formula>AND($B40&lt;&gt;"",$B55="")</formula>
    </cfRule>
    <cfRule type="expression" dxfId="1082" priority="689">
      <formula>$B40=""</formula>
    </cfRule>
  </conditionalFormatting>
  <conditionalFormatting sqref="G40:I40">
    <cfRule type="expression" dxfId="1081" priority="686">
      <formula>AND($B40&lt;&gt;"",#REF!="")</formula>
    </cfRule>
    <cfRule type="expression" dxfId="1080" priority="687">
      <formula>$B40=""</formula>
    </cfRule>
  </conditionalFormatting>
  <conditionalFormatting sqref="G40:I40">
    <cfRule type="expression" dxfId="1079" priority="684">
      <formula>AND($B40&lt;&gt;"",$B55="")</formula>
    </cfRule>
    <cfRule type="expression" dxfId="1078" priority="685">
      <formula>$B40=""</formula>
    </cfRule>
  </conditionalFormatting>
  <conditionalFormatting sqref="G40:I40">
    <cfRule type="expression" dxfId="1077" priority="682">
      <formula>AND($B40&lt;&gt;"",#REF!="")</formula>
    </cfRule>
    <cfRule type="expression" dxfId="1076" priority="683">
      <formula>$B40=""</formula>
    </cfRule>
  </conditionalFormatting>
  <conditionalFormatting sqref="G40:I40">
    <cfRule type="expression" dxfId="1075" priority="680">
      <formula>AND($B40&lt;&gt;"",$B41="")</formula>
    </cfRule>
    <cfRule type="expression" dxfId="1074" priority="681">
      <formula>$B40=""</formula>
    </cfRule>
  </conditionalFormatting>
  <conditionalFormatting sqref="G40:I40">
    <cfRule type="expression" dxfId="1073" priority="679">
      <formula>COUNTIF($U40:$AB40,G40)&gt;1</formula>
    </cfRule>
  </conditionalFormatting>
  <conditionalFormatting sqref="G40:I40">
    <cfRule type="expression" dxfId="1072" priority="677">
      <formula>AND($B40&lt;&gt;"",$B55="")</formula>
    </cfRule>
    <cfRule type="expression" dxfId="1071" priority="678">
      <formula>$B40=""</formula>
    </cfRule>
  </conditionalFormatting>
  <conditionalFormatting sqref="G40:I40">
    <cfRule type="expression" dxfId="1070" priority="675">
      <formula>AND($B40&lt;&gt;"",#REF!="")</formula>
    </cfRule>
    <cfRule type="expression" dxfId="1069" priority="676">
      <formula>$B40=""</formula>
    </cfRule>
  </conditionalFormatting>
  <conditionalFormatting sqref="G39:K39">
    <cfRule type="expression" dxfId="1068" priority="673">
      <formula>AND($B39&lt;&gt;"",$B58="")</formula>
    </cfRule>
    <cfRule type="expression" dxfId="1067" priority="674">
      <formula>$B39=""</formula>
    </cfRule>
  </conditionalFormatting>
  <conditionalFormatting sqref="G39:I39">
    <cfRule type="expression" dxfId="1066" priority="671">
      <formula>AND($B39&lt;&gt;"",$B54="")</formula>
    </cfRule>
    <cfRule type="expression" dxfId="1065" priority="672">
      <formula>$B39=""</formula>
    </cfRule>
  </conditionalFormatting>
  <conditionalFormatting sqref="G39:I39">
    <cfRule type="expression" dxfId="1064" priority="669">
      <formula>AND($B39&lt;&gt;"",#REF!="")</formula>
    </cfRule>
    <cfRule type="expression" dxfId="1063" priority="670">
      <formula>$B39=""</formula>
    </cfRule>
  </conditionalFormatting>
  <conditionalFormatting sqref="G39:I39">
    <cfRule type="expression" dxfId="1062" priority="667">
      <formula>AND($B39&lt;&gt;"",$B40="")</formula>
    </cfRule>
    <cfRule type="expression" dxfId="1061" priority="668">
      <formula>$B39=""</formula>
    </cfRule>
  </conditionalFormatting>
  <conditionalFormatting sqref="G39:I39">
    <cfRule type="expression" dxfId="1060" priority="666">
      <formula>COUNTIF($U39:$AB39,G39)&gt;1</formula>
    </cfRule>
  </conditionalFormatting>
  <conditionalFormatting sqref="G39:I39">
    <cfRule type="expression" dxfId="1059" priority="664">
      <formula>AND($B39&lt;&gt;"",$B54="")</formula>
    </cfRule>
    <cfRule type="expression" dxfId="1058" priority="665">
      <formula>$B39=""</formula>
    </cfRule>
  </conditionalFormatting>
  <conditionalFormatting sqref="G39:I39">
    <cfRule type="expression" dxfId="1057" priority="662">
      <formula>AND($B39&lt;&gt;"",#REF!="")</formula>
    </cfRule>
    <cfRule type="expression" dxfId="1056" priority="663">
      <formula>$B39=""</formula>
    </cfRule>
  </conditionalFormatting>
  <conditionalFormatting sqref="G39:I39">
    <cfRule type="expression" dxfId="1055" priority="660">
      <formula>AND($B39&lt;&gt;"",$B54="")</formula>
    </cfRule>
    <cfRule type="expression" dxfId="1054" priority="661">
      <formula>$B39=""</formula>
    </cfRule>
  </conditionalFormatting>
  <conditionalFormatting sqref="G39:I39">
    <cfRule type="expression" dxfId="1053" priority="658">
      <formula>AND($B39&lt;&gt;"",#REF!="")</formula>
    </cfRule>
    <cfRule type="expression" dxfId="1052" priority="659">
      <formula>$B39=""</formula>
    </cfRule>
  </conditionalFormatting>
  <conditionalFormatting sqref="G39:I39">
    <cfRule type="expression" dxfId="1051" priority="656">
      <formula>AND($B39&lt;&gt;"",$B40="")</formula>
    </cfRule>
    <cfRule type="expression" dxfId="1050" priority="657">
      <formula>$B39=""</formula>
    </cfRule>
  </conditionalFormatting>
  <conditionalFormatting sqref="G39:I39">
    <cfRule type="expression" dxfId="1049" priority="655">
      <formula>COUNTIF($U39:$AB39,G39)&gt;1</formula>
    </cfRule>
  </conditionalFormatting>
  <conditionalFormatting sqref="G39:I39">
    <cfRule type="expression" dxfId="1048" priority="653">
      <formula>AND($B39&lt;&gt;"",$B54="")</formula>
    </cfRule>
    <cfRule type="expression" dxfId="1047" priority="654">
      <formula>$B39=""</formula>
    </cfRule>
  </conditionalFormatting>
  <conditionalFormatting sqref="G39:I39">
    <cfRule type="expression" dxfId="1046" priority="651">
      <formula>AND($B39&lt;&gt;"",#REF!="")</formula>
    </cfRule>
    <cfRule type="expression" dxfId="1045" priority="652">
      <formula>$B39=""</formula>
    </cfRule>
  </conditionalFormatting>
  <conditionalFormatting sqref="G38:K38">
    <cfRule type="expression" dxfId="1044" priority="649">
      <formula>AND($B38&lt;&gt;"",$B57="")</formula>
    </cfRule>
    <cfRule type="expression" dxfId="1043" priority="650">
      <formula>$B38=""</formula>
    </cfRule>
  </conditionalFormatting>
  <conditionalFormatting sqref="G38:I38">
    <cfRule type="expression" dxfId="1042" priority="647">
      <formula>AND($B38&lt;&gt;"",$B53="")</formula>
    </cfRule>
    <cfRule type="expression" dxfId="1041" priority="648">
      <formula>$B38=""</formula>
    </cfRule>
  </conditionalFormatting>
  <conditionalFormatting sqref="G38:I38">
    <cfRule type="expression" dxfId="1040" priority="645">
      <formula>AND($B38&lt;&gt;"",#REF!="")</formula>
    </cfRule>
    <cfRule type="expression" dxfId="1039" priority="646">
      <formula>$B38=""</formula>
    </cfRule>
  </conditionalFormatting>
  <conditionalFormatting sqref="G38:I38">
    <cfRule type="expression" dxfId="1038" priority="643">
      <formula>AND($B38&lt;&gt;"",$B39="")</formula>
    </cfRule>
    <cfRule type="expression" dxfId="1037" priority="644">
      <formula>$B38=""</formula>
    </cfRule>
  </conditionalFormatting>
  <conditionalFormatting sqref="G38:I38">
    <cfRule type="expression" dxfId="1036" priority="642">
      <formula>COUNTIF($U38:$AB38,G38)&gt;1</formula>
    </cfRule>
  </conditionalFormatting>
  <conditionalFormatting sqref="G38:I38">
    <cfRule type="expression" dxfId="1035" priority="640">
      <formula>AND($B38&lt;&gt;"",$B53="")</formula>
    </cfRule>
    <cfRule type="expression" dxfId="1034" priority="641">
      <formula>$B38=""</formula>
    </cfRule>
  </conditionalFormatting>
  <conditionalFormatting sqref="G38:I38">
    <cfRule type="expression" dxfId="1033" priority="638">
      <formula>AND($B38&lt;&gt;"",#REF!="")</formula>
    </cfRule>
    <cfRule type="expression" dxfId="1032" priority="639">
      <formula>$B38=""</formula>
    </cfRule>
  </conditionalFormatting>
  <conditionalFormatting sqref="G38:I38">
    <cfRule type="expression" dxfId="1031" priority="636">
      <formula>AND($B38&lt;&gt;"",$B53="")</formula>
    </cfRule>
    <cfRule type="expression" dxfId="1030" priority="637">
      <formula>$B38=""</formula>
    </cfRule>
  </conditionalFormatting>
  <conditionalFormatting sqref="G38:I38">
    <cfRule type="expression" dxfId="1029" priority="634">
      <formula>AND($B38&lt;&gt;"",#REF!="")</formula>
    </cfRule>
    <cfRule type="expression" dxfId="1028" priority="635">
      <formula>$B38=""</formula>
    </cfRule>
  </conditionalFormatting>
  <conditionalFormatting sqref="G38:I38">
    <cfRule type="expression" dxfId="1027" priority="632">
      <formula>AND($B38&lt;&gt;"",$B39="")</formula>
    </cfRule>
    <cfRule type="expression" dxfId="1026" priority="633">
      <formula>$B38=""</formula>
    </cfRule>
  </conditionalFormatting>
  <conditionalFormatting sqref="G38:I38">
    <cfRule type="expression" dxfId="1025" priority="631">
      <formula>COUNTIF($U38:$AB38,G38)&gt;1</formula>
    </cfRule>
  </conditionalFormatting>
  <conditionalFormatting sqref="G38:I38">
    <cfRule type="expression" dxfId="1024" priority="629">
      <formula>AND($B38&lt;&gt;"",$B53="")</formula>
    </cfRule>
    <cfRule type="expression" dxfId="1023" priority="630">
      <formula>$B38=""</formula>
    </cfRule>
  </conditionalFormatting>
  <conditionalFormatting sqref="G38:I38">
    <cfRule type="expression" dxfId="1022" priority="627">
      <formula>AND($B38&lt;&gt;"",#REF!="")</formula>
    </cfRule>
    <cfRule type="expression" dxfId="1021" priority="628">
      <formula>$B38=""</formula>
    </cfRule>
  </conditionalFormatting>
  <conditionalFormatting sqref="G37:K37">
    <cfRule type="expression" dxfId="1020" priority="625">
      <formula>AND($B37&lt;&gt;"",$B56="")</formula>
    </cfRule>
    <cfRule type="expression" dxfId="1019" priority="626">
      <formula>$B37=""</formula>
    </cfRule>
  </conditionalFormatting>
  <conditionalFormatting sqref="G37:I37">
    <cfRule type="expression" dxfId="1018" priority="623">
      <formula>AND($B37&lt;&gt;"",$B52="")</formula>
    </cfRule>
    <cfRule type="expression" dxfId="1017" priority="624">
      <formula>$B37=""</formula>
    </cfRule>
  </conditionalFormatting>
  <conditionalFormatting sqref="G37:I37">
    <cfRule type="expression" dxfId="1016" priority="621">
      <formula>AND($B37&lt;&gt;"",#REF!="")</formula>
    </cfRule>
    <cfRule type="expression" dxfId="1015" priority="622">
      <formula>$B37=""</formula>
    </cfRule>
  </conditionalFormatting>
  <conditionalFormatting sqref="G37:I37">
    <cfRule type="expression" dxfId="1014" priority="619">
      <formula>AND($B37&lt;&gt;"",$B38="")</formula>
    </cfRule>
    <cfRule type="expression" dxfId="1013" priority="620">
      <formula>$B37=""</formula>
    </cfRule>
  </conditionalFormatting>
  <conditionalFormatting sqref="G37:I37">
    <cfRule type="expression" dxfId="1012" priority="618">
      <formula>COUNTIF($U37:$AB37,G37)&gt;1</formula>
    </cfRule>
  </conditionalFormatting>
  <conditionalFormatting sqref="G37:I37">
    <cfRule type="expression" dxfId="1011" priority="616">
      <formula>AND($B37&lt;&gt;"",$B52="")</formula>
    </cfRule>
    <cfRule type="expression" dxfId="1010" priority="617">
      <formula>$B37=""</formula>
    </cfRule>
  </conditionalFormatting>
  <conditionalFormatting sqref="G37:I37">
    <cfRule type="expression" dxfId="1009" priority="614">
      <formula>AND($B37&lt;&gt;"",#REF!="")</formula>
    </cfRule>
    <cfRule type="expression" dxfId="1008" priority="615">
      <formula>$B37=""</formula>
    </cfRule>
  </conditionalFormatting>
  <conditionalFormatting sqref="G37:I37">
    <cfRule type="expression" dxfId="1007" priority="612">
      <formula>AND($B37&lt;&gt;"",$B52="")</formula>
    </cfRule>
    <cfRule type="expression" dxfId="1006" priority="613">
      <formula>$B37=""</formula>
    </cfRule>
  </conditionalFormatting>
  <conditionalFormatting sqref="G37:I37">
    <cfRule type="expression" dxfId="1005" priority="610">
      <formula>AND($B37&lt;&gt;"",#REF!="")</formula>
    </cfRule>
    <cfRule type="expression" dxfId="1004" priority="611">
      <formula>$B37=""</formula>
    </cfRule>
  </conditionalFormatting>
  <conditionalFormatting sqref="G37:I37">
    <cfRule type="expression" dxfId="1003" priority="608">
      <formula>AND($B37&lt;&gt;"",$B38="")</formula>
    </cfRule>
    <cfRule type="expression" dxfId="1002" priority="609">
      <formula>$B37=""</formula>
    </cfRule>
  </conditionalFormatting>
  <conditionalFormatting sqref="G37:I37">
    <cfRule type="expression" dxfId="1001" priority="607">
      <formula>COUNTIF($U37:$AB37,G37)&gt;1</formula>
    </cfRule>
  </conditionalFormatting>
  <conditionalFormatting sqref="G37:I37">
    <cfRule type="expression" dxfId="1000" priority="605">
      <formula>AND($B37&lt;&gt;"",$B52="")</formula>
    </cfRule>
    <cfRule type="expression" dxfId="999" priority="606">
      <formula>$B37=""</formula>
    </cfRule>
  </conditionalFormatting>
  <conditionalFormatting sqref="G37:I37">
    <cfRule type="expression" dxfId="998" priority="603">
      <formula>AND($B37&lt;&gt;"",#REF!="")</formula>
    </cfRule>
    <cfRule type="expression" dxfId="997" priority="604">
      <formula>$B37=""</formula>
    </cfRule>
  </conditionalFormatting>
  <conditionalFormatting sqref="G36:K36">
    <cfRule type="expression" dxfId="996" priority="601">
      <formula>AND($B36&lt;&gt;"",$B55="")</formula>
    </cfRule>
    <cfRule type="expression" dxfId="995" priority="602">
      <formula>$B36=""</formula>
    </cfRule>
  </conditionalFormatting>
  <conditionalFormatting sqref="G36:I36">
    <cfRule type="expression" dxfId="994" priority="599">
      <formula>AND($B36&lt;&gt;"",$B51="")</formula>
    </cfRule>
    <cfRule type="expression" dxfId="993" priority="600">
      <formula>$B36=""</formula>
    </cfRule>
  </conditionalFormatting>
  <conditionalFormatting sqref="G36:I36">
    <cfRule type="expression" dxfId="992" priority="597">
      <formula>AND($B36&lt;&gt;"",#REF!="")</formula>
    </cfRule>
    <cfRule type="expression" dxfId="991" priority="598">
      <formula>$B36=""</formula>
    </cfRule>
  </conditionalFormatting>
  <conditionalFormatting sqref="G36:I36">
    <cfRule type="expression" dxfId="990" priority="595">
      <formula>AND($B36&lt;&gt;"",$B37="")</formula>
    </cfRule>
    <cfRule type="expression" dxfId="989" priority="596">
      <formula>$B36=""</formula>
    </cfRule>
  </conditionalFormatting>
  <conditionalFormatting sqref="G36:I36">
    <cfRule type="expression" dxfId="988" priority="594">
      <formula>COUNTIF($U36:$AB36,G36)&gt;1</formula>
    </cfRule>
  </conditionalFormatting>
  <conditionalFormatting sqref="G36:I36">
    <cfRule type="expression" dxfId="987" priority="592">
      <formula>AND($B36&lt;&gt;"",$B51="")</formula>
    </cfRule>
    <cfRule type="expression" dxfId="986" priority="593">
      <formula>$B36=""</formula>
    </cfRule>
  </conditionalFormatting>
  <conditionalFormatting sqref="G36:I36">
    <cfRule type="expression" dxfId="985" priority="590">
      <formula>AND($B36&lt;&gt;"",#REF!="")</formula>
    </cfRule>
    <cfRule type="expression" dxfId="984" priority="591">
      <formula>$B36=""</formula>
    </cfRule>
  </conditionalFormatting>
  <conditionalFormatting sqref="G36:I36">
    <cfRule type="expression" dxfId="983" priority="588">
      <formula>AND($B36&lt;&gt;"",$B51="")</formula>
    </cfRule>
    <cfRule type="expression" dxfId="982" priority="589">
      <formula>$B36=""</formula>
    </cfRule>
  </conditionalFormatting>
  <conditionalFormatting sqref="G36:I36">
    <cfRule type="expression" dxfId="981" priority="586">
      <formula>AND($B36&lt;&gt;"",#REF!="")</formula>
    </cfRule>
    <cfRule type="expression" dxfId="980" priority="587">
      <formula>$B36=""</formula>
    </cfRule>
  </conditionalFormatting>
  <conditionalFormatting sqref="G36:I36">
    <cfRule type="expression" dxfId="979" priority="584">
      <formula>AND($B36&lt;&gt;"",$B37="")</formula>
    </cfRule>
    <cfRule type="expression" dxfId="978" priority="585">
      <formula>$B36=""</formula>
    </cfRule>
  </conditionalFormatting>
  <conditionalFormatting sqref="G36:I36">
    <cfRule type="expression" dxfId="977" priority="583">
      <formula>COUNTIF($U36:$AB36,G36)&gt;1</formula>
    </cfRule>
  </conditionalFormatting>
  <conditionalFormatting sqref="G36:I36">
    <cfRule type="expression" dxfId="976" priority="581">
      <formula>AND($B36&lt;&gt;"",$B51="")</formula>
    </cfRule>
    <cfRule type="expression" dxfId="975" priority="582">
      <formula>$B36=""</formula>
    </cfRule>
  </conditionalFormatting>
  <conditionalFormatting sqref="G36:I36">
    <cfRule type="expression" dxfId="974" priority="579">
      <formula>AND($B36&lt;&gt;"",#REF!="")</formula>
    </cfRule>
    <cfRule type="expression" dxfId="973" priority="580">
      <formula>$B36=""</formula>
    </cfRule>
  </conditionalFormatting>
  <conditionalFormatting sqref="G35:K35">
    <cfRule type="expression" dxfId="972" priority="577">
      <formula>AND($B35&lt;&gt;"",$B54="")</formula>
    </cfRule>
    <cfRule type="expression" dxfId="971" priority="578">
      <formula>$B35=""</formula>
    </cfRule>
  </conditionalFormatting>
  <conditionalFormatting sqref="G35:I35">
    <cfRule type="expression" dxfId="970" priority="575">
      <formula>AND($B35&lt;&gt;"",$B50="")</formula>
    </cfRule>
    <cfRule type="expression" dxfId="969" priority="576">
      <formula>$B35=""</formula>
    </cfRule>
  </conditionalFormatting>
  <conditionalFormatting sqref="G35:I35">
    <cfRule type="expression" dxfId="968" priority="573">
      <formula>AND($B35&lt;&gt;"",#REF!="")</formula>
    </cfRule>
    <cfRule type="expression" dxfId="967" priority="574">
      <formula>$B35=""</formula>
    </cfRule>
  </conditionalFormatting>
  <conditionalFormatting sqref="G35:I35">
    <cfRule type="expression" dxfId="966" priority="571">
      <formula>AND($B35&lt;&gt;"",$B36="")</formula>
    </cfRule>
    <cfRule type="expression" dxfId="965" priority="572">
      <formula>$B35=""</formula>
    </cfRule>
  </conditionalFormatting>
  <conditionalFormatting sqref="G35:I35">
    <cfRule type="expression" dxfId="964" priority="570">
      <formula>COUNTIF($U35:$AB35,G35)&gt;1</formula>
    </cfRule>
  </conditionalFormatting>
  <conditionalFormatting sqref="G35:I35">
    <cfRule type="expression" dxfId="963" priority="568">
      <formula>AND($B35&lt;&gt;"",$B50="")</formula>
    </cfRule>
    <cfRule type="expression" dxfId="962" priority="569">
      <formula>$B35=""</formula>
    </cfRule>
  </conditionalFormatting>
  <conditionalFormatting sqref="G35:I35">
    <cfRule type="expression" dxfId="961" priority="566">
      <formula>AND($B35&lt;&gt;"",#REF!="")</formula>
    </cfRule>
    <cfRule type="expression" dxfId="960" priority="567">
      <formula>$B35=""</formula>
    </cfRule>
  </conditionalFormatting>
  <conditionalFormatting sqref="G35:I35">
    <cfRule type="expression" dxfId="959" priority="564">
      <formula>AND($B35&lt;&gt;"",$B50="")</formula>
    </cfRule>
    <cfRule type="expression" dxfId="958" priority="565">
      <formula>$B35=""</formula>
    </cfRule>
  </conditionalFormatting>
  <conditionalFormatting sqref="G35:I35">
    <cfRule type="expression" dxfId="957" priority="562">
      <formula>AND($B35&lt;&gt;"",#REF!="")</formula>
    </cfRule>
    <cfRule type="expression" dxfId="956" priority="563">
      <formula>$B35=""</formula>
    </cfRule>
  </conditionalFormatting>
  <conditionalFormatting sqref="G35:I35">
    <cfRule type="expression" dxfId="955" priority="560">
      <formula>AND($B35&lt;&gt;"",$B36="")</formula>
    </cfRule>
    <cfRule type="expression" dxfId="954" priority="561">
      <formula>$B35=""</formula>
    </cfRule>
  </conditionalFormatting>
  <conditionalFormatting sqref="G35:I35">
    <cfRule type="expression" dxfId="953" priority="559">
      <formula>COUNTIF($U35:$AB35,G35)&gt;1</formula>
    </cfRule>
  </conditionalFormatting>
  <conditionalFormatting sqref="G35:I35">
    <cfRule type="expression" dxfId="952" priority="557">
      <formula>AND($B35&lt;&gt;"",$B50="")</formula>
    </cfRule>
    <cfRule type="expression" dxfId="951" priority="558">
      <formula>$B35=""</formula>
    </cfRule>
  </conditionalFormatting>
  <conditionalFormatting sqref="G35:I35">
    <cfRule type="expression" dxfId="950" priority="555">
      <formula>AND($B35&lt;&gt;"",#REF!="")</formula>
    </cfRule>
    <cfRule type="expression" dxfId="949" priority="556">
      <formula>$B35=""</formula>
    </cfRule>
  </conditionalFormatting>
  <conditionalFormatting sqref="G34:K34">
    <cfRule type="expression" dxfId="948" priority="553">
      <formula>AND($B34&lt;&gt;"",$B53="")</formula>
    </cfRule>
    <cfRule type="expression" dxfId="947" priority="554">
      <formula>$B34=""</formula>
    </cfRule>
  </conditionalFormatting>
  <conditionalFormatting sqref="G34:I34">
    <cfRule type="expression" dxfId="946" priority="551">
      <formula>AND($B34&lt;&gt;"",$B49="")</formula>
    </cfRule>
    <cfRule type="expression" dxfId="945" priority="552">
      <formula>$B34=""</formula>
    </cfRule>
  </conditionalFormatting>
  <conditionalFormatting sqref="G34:I34">
    <cfRule type="expression" dxfId="944" priority="549">
      <formula>AND($B34&lt;&gt;"",#REF!="")</formula>
    </cfRule>
    <cfRule type="expression" dxfId="943" priority="550">
      <formula>$B34=""</formula>
    </cfRule>
  </conditionalFormatting>
  <conditionalFormatting sqref="G34:I34">
    <cfRule type="expression" dxfId="942" priority="547">
      <formula>AND($B34&lt;&gt;"",$B35="")</formula>
    </cfRule>
    <cfRule type="expression" dxfId="941" priority="548">
      <formula>$B34=""</formula>
    </cfRule>
  </conditionalFormatting>
  <conditionalFormatting sqref="G34:I34">
    <cfRule type="expression" dxfId="940" priority="546">
      <formula>COUNTIF($U34:$AB34,G34)&gt;1</formula>
    </cfRule>
  </conditionalFormatting>
  <conditionalFormatting sqref="G34:I34">
    <cfRule type="expression" dxfId="939" priority="544">
      <formula>AND($B34&lt;&gt;"",$B49="")</formula>
    </cfRule>
    <cfRule type="expression" dxfId="938" priority="545">
      <formula>$B34=""</formula>
    </cfRule>
  </conditionalFormatting>
  <conditionalFormatting sqref="G34:I34">
    <cfRule type="expression" dxfId="937" priority="542">
      <formula>AND($B34&lt;&gt;"",#REF!="")</formula>
    </cfRule>
    <cfRule type="expression" dxfId="936" priority="543">
      <formula>$B34=""</formula>
    </cfRule>
  </conditionalFormatting>
  <conditionalFormatting sqref="G34:I34">
    <cfRule type="expression" dxfId="935" priority="540">
      <formula>AND($B34&lt;&gt;"",$B49="")</formula>
    </cfRule>
    <cfRule type="expression" dxfId="934" priority="541">
      <formula>$B34=""</formula>
    </cfRule>
  </conditionalFormatting>
  <conditionalFormatting sqref="G34:I34">
    <cfRule type="expression" dxfId="933" priority="538">
      <formula>AND($B34&lt;&gt;"",#REF!="")</formula>
    </cfRule>
    <cfRule type="expression" dxfId="932" priority="539">
      <formula>$B34=""</formula>
    </cfRule>
  </conditionalFormatting>
  <conditionalFormatting sqref="G34:I34">
    <cfRule type="expression" dxfId="931" priority="536">
      <formula>AND($B34&lt;&gt;"",$B35="")</formula>
    </cfRule>
    <cfRule type="expression" dxfId="930" priority="537">
      <formula>$B34=""</formula>
    </cfRule>
  </conditionalFormatting>
  <conditionalFormatting sqref="G34:I34">
    <cfRule type="expression" dxfId="929" priority="535">
      <formula>COUNTIF($U34:$AB34,G34)&gt;1</formula>
    </cfRule>
  </conditionalFormatting>
  <conditionalFormatting sqref="G34:I34">
    <cfRule type="expression" dxfId="928" priority="533">
      <formula>AND($B34&lt;&gt;"",$B49="")</formula>
    </cfRule>
    <cfRule type="expression" dxfId="927" priority="534">
      <formula>$B34=""</formula>
    </cfRule>
  </conditionalFormatting>
  <conditionalFormatting sqref="G34:I34">
    <cfRule type="expression" dxfId="926" priority="531">
      <formula>AND($B34&lt;&gt;"",#REF!="")</formula>
    </cfRule>
    <cfRule type="expression" dxfId="925" priority="532">
      <formula>$B34=""</formula>
    </cfRule>
  </conditionalFormatting>
  <conditionalFormatting sqref="G32:K32">
    <cfRule type="expression" dxfId="924" priority="529">
      <formula>AND($B32&lt;&gt;"",$B51="")</formula>
    </cfRule>
    <cfRule type="expression" dxfId="923" priority="530">
      <formula>$B32=""</formula>
    </cfRule>
  </conditionalFormatting>
  <conditionalFormatting sqref="G32:I32">
    <cfRule type="expression" dxfId="922" priority="527">
      <formula>AND($B32&lt;&gt;"",$B47="")</formula>
    </cfRule>
    <cfRule type="expression" dxfId="921" priority="528">
      <formula>$B32=""</formula>
    </cfRule>
  </conditionalFormatting>
  <conditionalFormatting sqref="G32:I32">
    <cfRule type="expression" dxfId="920" priority="525">
      <formula>AND($B32&lt;&gt;"",#REF!="")</formula>
    </cfRule>
    <cfRule type="expression" dxfId="919" priority="526">
      <formula>$B32=""</formula>
    </cfRule>
  </conditionalFormatting>
  <conditionalFormatting sqref="G32:I32">
    <cfRule type="expression" dxfId="918" priority="523">
      <formula>AND($B32&lt;&gt;"",$B33="")</formula>
    </cfRule>
    <cfRule type="expression" dxfId="917" priority="524">
      <formula>$B32=""</formula>
    </cfRule>
  </conditionalFormatting>
  <conditionalFormatting sqref="G32:I32">
    <cfRule type="expression" dxfId="916" priority="522">
      <formula>COUNTIF($U32:$AB32,G32)&gt;1</formula>
    </cfRule>
  </conditionalFormatting>
  <conditionalFormatting sqref="G32:I32">
    <cfRule type="expression" dxfId="915" priority="520">
      <formula>AND($B32&lt;&gt;"",$B47="")</formula>
    </cfRule>
    <cfRule type="expression" dxfId="914" priority="521">
      <formula>$B32=""</formula>
    </cfRule>
  </conditionalFormatting>
  <conditionalFormatting sqref="G32:I32">
    <cfRule type="expression" dxfId="913" priority="518">
      <formula>AND($B32&lt;&gt;"",#REF!="")</formula>
    </cfRule>
    <cfRule type="expression" dxfId="912" priority="519">
      <formula>$B32=""</formula>
    </cfRule>
  </conditionalFormatting>
  <conditionalFormatting sqref="G32:I32">
    <cfRule type="expression" dxfId="911" priority="516">
      <formula>AND($B32&lt;&gt;"",$B47="")</formula>
    </cfRule>
    <cfRule type="expression" dxfId="910" priority="517">
      <formula>$B32=""</formula>
    </cfRule>
  </conditionalFormatting>
  <conditionalFormatting sqref="G32:I32">
    <cfRule type="expression" dxfId="909" priority="514">
      <formula>AND($B32&lt;&gt;"",#REF!="")</formula>
    </cfRule>
    <cfRule type="expression" dxfId="908" priority="515">
      <formula>$B32=""</formula>
    </cfRule>
  </conditionalFormatting>
  <conditionalFormatting sqref="G32:I32">
    <cfRule type="expression" dxfId="907" priority="512">
      <formula>AND($B32&lt;&gt;"",$B33="")</formula>
    </cfRule>
    <cfRule type="expression" dxfId="906" priority="513">
      <formula>$B32=""</formula>
    </cfRule>
  </conditionalFormatting>
  <conditionalFormatting sqref="G32:I32">
    <cfRule type="expression" dxfId="905" priority="511">
      <formula>COUNTIF($U32:$AB32,G32)&gt;1</formula>
    </cfRule>
  </conditionalFormatting>
  <conditionalFormatting sqref="G32:I32">
    <cfRule type="expression" dxfId="904" priority="509">
      <formula>AND($B32&lt;&gt;"",$B47="")</formula>
    </cfRule>
    <cfRule type="expression" dxfId="903" priority="510">
      <formula>$B32=""</formula>
    </cfRule>
  </conditionalFormatting>
  <conditionalFormatting sqref="G32:I32">
    <cfRule type="expression" dxfId="902" priority="507">
      <formula>AND($B32&lt;&gt;"",#REF!="")</formula>
    </cfRule>
    <cfRule type="expression" dxfId="901" priority="508">
      <formula>$B32=""</formula>
    </cfRule>
  </conditionalFormatting>
  <conditionalFormatting sqref="G31:K31">
    <cfRule type="expression" dxfId="900" priority="505">
      <formula>AND($B31&lt;&gt;"",$B50="")</formula>
    </cfRule>
    <cfRule type="expression" dxfId="899" priority="506">
      <formula>$B31=""</formula>
    </cfRule>
  </conditionalFormatting>
  <conditionalFormatting sqref="G31:I31">
    <cfRule type="expression" dxfId="898" priority="503">
      <formula>AND($B31&lt;&gt;"",$B46="")</formula>
    </cfRule>
    <cfRule type="expression" dxfId="897" priority="504">
      <formula>$B31=""</formula>
    </cfRule>
  </conditionalFormatting>
  <conditionalFormatting sqref="G31:I31">
    <cfRule type="expression" dxfId="896" priority="501">
      <formula>AND($B31&lt;&gt;"",#REF!="")</formula>
    </cfRule>
    <cfRule type="expression" dxfId="895" priority="502">
      <formula>$B31=""</formula>
    </cfRule>
  </conditionalFormatting>
  <conditionalFormatting sqref="G31:I31">
    <cfRule type="expression" dxfId="894" priority="499">
      <formula>AND($B31&lt;&gt;"",$B32="")</formula>
    </cfRule>
    <cfRule type="expression" dxfId="893" priority="500">
      <formula>$B31=""</formula>
    </cfRule>
  </conditionalFormatting>
  <conditionalFormatting sqref="G31:I31">
    <cfRule type="expression" dxfId="892" priority="498">
      <formula>COUNTIF($U31:$AB31,G31)&gt;1</formula>
    </cfRule>
  </conditionalFormatting>
  <conditionalFormatting sqref="G31:I31">
    <cfRule type="expression" dxfId="891" priority="496">
      <formula>AND($B31&lt;&gt;"",$B46="")</formula>
    </cfRule>
    <cfRule type="expression" dxfId="890" priority="497">
      <formula>$B31=""</formula>
    </cfRule>
  </conditionalFormatting>
  <conditionalFormatting sqref="G31:I31">
    <cfRule type="expression" dxfId="889" priority="494">
      <formula>AND($B31&lt;&gt;"",#REF!="")</formula>
    </cfRule>
    <cfRule type="expression" dxfId="888" priority="495">
      <formula>$B31=""</formula>
    </cfRule>
  </conditionalFormatting>
  <conditionalFormatting sqref="G31:I31">
    <cfRule type="expression" dxfId="887" priority="492">
      <formula>AND($B31&lt;&gt;"",$B46="")</formula>
    </cfRule>
    <cfRule type="expression" dxfId="886" priority="493">
      <formula>$B31=""</formula>
    </cfRule>
  </conditionalFormatting>
  <conditionalFormatting sqref="G31:I31">
    <cfRule type="expression" dxfId="885" priority="490">
      <formula>AND($B31&lt;&gt;"",#REF!="")</formula>
    </cfRule>
    <cfRule type="expression" dxfId="884" priority="491">
      <formula>$B31=""</formula>
    </cfRule>
  </conditionalFormatting>
  <conditionalFormatting sqref="G31:I31">
    <cfRule type="expression" dxfId="883" priority="488">
      <formula>AND($B31&lt;&gt;"",$B32="")</formula>
    </cfRule>
    <cfRule type="expression" dxfId="882" priority="489">
      <formula>$B31=""</formula>
    </cfRule>
  </conditionalFormatting>
  <conditionalFormatting sqref="G31:I31">
    <cfRule type="expression" dxfId="881" priority="487">
      <formula>COUNTIF($U31:$AB31,G31)&gt;1</formula>
    </cfRule>
  </conditionalFormatting>
  <conditionalFormatting sqref="G31:I31">
    <cfRule type="expression" dxfId="880" priority="485">
      <formula>AND($B31&lt;&gt;"",$B46="")</formula>
    </cfRule>
    <cfRule type="expression" dxfId="879" priority="486">
      <formula>$B31=""</formula>
    </cfRule>
  </conditionalFormatting>
  <conditionalFormatting sqref="G31:I31">
    <cfRule type="expression" dxfId="878" priority="483">
      <formula>AND($B31&lt;&gt;"",#REF!="")</formula>
    </cfRule>
    <cfRule type="expression" dxfId="877" priority="484">
      <formula>$B31=""</formula>
    </cfRule>
  </conditionalFormatting>
  <conditionalFormatting sqref="G29:K29">
    <cfRule type="expression" dxfId="876" priority="481">
      <formula>AND($B29&lt;&gt;"",$B48="")</formula>
    </cfRule>
    <cfRule type="expression" dxfId="875" priority="482">
      <formula>$B29=""</formula>
    </cfRule>
  </conditionalFormatting>
  <conditionalFormatting sqref="G29:I29">
    <cfRule type="expression" dxfId="874" priority="479">
      <formula>AND($B29&lt;&gt;"",$B44="")</formula>
    </cfRule>
    <cfRule type="expression" dxfId="873" priority="480">
      <formula>$B29=""</formula>
    </cfRule>
  </conditionalFormatting>
  <conditionalFormatting sqref="G29:I29">
    <cfRule type="expression" dxfId="872" priority="477">
      <formula>AND($B29&lt;&gt;"",#REF!="")</formula>
    </cfRule>
    <cfRule type="expression" dxfId="871" priority="478">
      <formula>$B29=""</formula>
    </cfRule>
  </conditionalFormatting>
  <conditionalFormatting sqref="G29:I29">
    <cfRule type="expression" dxfId="870" priority="475">
      <formula>AND($B29&lt;&gt;"",$B30="")</formula>
    </cfRule>
    <cfRule type="expression" dxfId="869" priority="476">
      <formula>$B29=""</formula>
    </cfRule>
  </conditionalFormatting>
  <conditionalFormatting sqref="G29:I29">
    <cfRule type="expression" dxfId="868" priority="474">
      <formula>COUNTIF($U29:$AB29,G29)&gt;1</formula>
    </cfRule>
  </conditionalFormatting>
  <conditionalFormatting sqref="G29:I29">
    <cfRule type="expression" dxfId="867" priority="472">
      <formula>AND($B29&lt;&gt;"",$B44="")</formula>
    </cfRule>
    <cfRule type="expression" dxfId="866" priority="473">
      <formula>$B29=""</formula>
    </cfRule>
  </conditionalFormatting>
  <conditionalFormatting sqref="G29:I29">
    <cfRule type="expression" dxfId="865" priority="470">
      <formula>AND($B29&lt;&gt;"",#REF!="")</formula>
    </cfRule>
    <cfRule type="expression" dxfId="864" priority="471">
      <formula>$B29=""</formula>
    </cfRule>
  </conditionalFormatting>
  <conditionalFormatting sqref="G29:I29">
    <cfRule type="expression" dxfId="863" priority="468">
      <formula>AND($B29&lt;&gt;"",$B44="")</formula>
    </cfRule>
    <cfRule type="expression" dxfId="862" priority="469">
      <formula>$B29=""</formula>
    </cfRule>
  </conditionalFormatting>
  <conditionalFormatting sqref="G29:I29">
    <cfRule type="expression" dxfId="861" priority="466">
      <formula>AND($B29&lt;&gt;"",#REF!="")</formula>
    </cfRule>
    <cfRule type="expression" dxfId="860" priority="467">
      <formula>$B29=""</formula>
    </cfRule>
  </conditionalFormatting>
  <conditionalFormatting sqref="G29:I29">
    <cfRule type="expression" dxfId="859" priority="464">
      <formula>AND($B29&lt;&gt;"",$B30="")</formula>
    </cfRule>
    <cfRule type="expression" dxfId="858" priority="465">
      <formula>$B29=""</formula>
    </cfRule>
  </conditionalFormatting>
  <conditionalFormatting sqref="G29:I29">
    <cfRule type="expression" dxfId="857" priority="463">
      <formula>COUNTIF($U29:$AB29,G29)&gt;1</formula>
    </cfRule>
  </conditionalFormatting>
  <conditionalFormatting sqref="G29:I29">
    <cfRule type="expression" dxfId="856" priority="461">
      <formula>AND($B29&lt;&gt;"",$B44="")</formula>
    </cfRule>
    <cfRule type="expression" dxfId="855" priority="462">
      <formula>$B29=""</formula>
    </cfRule>
  </conditionalFormatting>
  <conditionalFormatting sqref="G29:I29">
    <cfRule type="expression" dxfId="854" priority="459">
      <formula>AND($B29&lt;&gt;"",#REF!="")</formula>
    </cfRule>
    <cfRule type="expression" dxfId="853" priority="460">
      <formula>$B29=""</formula>
    </cfRule>
  </conditionalFormatting>
  <conditionalFormatting sqref="G28:K28">
    <cfRule type="expression" dxfId="852" priority="457">
      <formula>AND($B28&lt;&gt;"",$B47="")</formula>
    </cfRule>
    <cfRule type="expression" dxfId="851" priority="458">
      <formula>$B28=""</formula>
    </cfRule>
  </conditionalFormatting>
  <conditionalFormatting sqref="G28:I28">
    <cfRule type="expression" dxfId="850" priority="455">
      <formula>AND($B28&lt;&gt;"",$B43="")</formula>
    </cfRule>
    <cfRule type="expression" dxfId="849" priority="456">
      <formula>$B28=""</formula>
    </cfRule>
  </conditionalFormatting>
  <conditionalFormatting sqref="G28:I28">
    <cfRule type="expression" dxfId="848" priority="453">
      <formula>AND($B28&lt;&gt;"",#REF!="")</formula>
    </cfRule>
    <cfRule type="expression" dxfId="847" priority="454">
      <formula>$B28=""</formula>
    </cfRule>
  </conditionalFormatting>
  <conditionalFormatting sqref="G28:I28">
    <cfRule type="expression" dxfId="846" priority="451">
      <formula>AND($B28&lt;&gt;"",$B29="")</formula>
    </cfRule>
    <cfRule type="expression" dxfId="845" priority="452">
      <formula>$B28=""</formula>
    </cfRule>
  </conditionalFormatting>
  <conditionalFormatting sqref="G28:I28">
    <cfRule type="expression" dxfId="844" priority="450">
      <formula>COUNTIF($U28:$AB28,G28)&gt;1</formula>
    </cfRule>
  </conditionalFormatting>
  <conditionalFormatting sqref="G28:I28">
    <cfRule type="expression" dxfId="843" priority="448">
      <formula>AND($B28&lt;&gt;"",$B43="")</formula>
    </cfRule>
    <cfRule type="expression" dxfId="842" priority="449">
      <formula>$B28=""</formula>
    </cfRule>
  </conditionalFormatting>
  <conditionalFormatting sqref="G28:I28">
    <cfRule type="expression" dxfId="841" priority="446">
      <formula>AND($B28&lt;&gt;"",#REF!="")</formula>
    </cfRule>
    <cfRule type="expression" dxfId="840" priority="447">
      <formula>$B28=""</formula>
    </cfRule>
  </conditionalFormatting>
  <conditionalFormatting sqref="G28:I28">
    <cfRule type="expression" dxfId="839" priority="444">
      <formula>AND($B28&lt;&gt;"",$B43="")</formula>
    </cfRule>
    <cfRule type="expression" dxfId="838" priority="445">
      <formula>$B28=""</formula>
    </cfRule>
  </conditionalFormatting>
  <conditionalFormatting sqref="G28:I28">
    <cfRule type="expression" dxfId="837" priority="442">
      <formula>AND($B28&lt;&gt;"",#REF!="")</formula>
    </cfRule>
    <cfRule type="expression" dxfId="836" priority="443">
      <formula>$B28=""</formula>
    </cfRule>
  </conditionalFormatting>
  <conditionalFormatting sqref="G28:I28">
    <cfRule type="expression" dxfId="835" priority="440">
      <formula>AND($B28&lt;&gt;"",$B29="")</formula>
    </cfRule>
    <cfRule type="expression" dxfId="834" priority="441">
      <formula>$B28=""</formula>
    </cfRule>
  </conditionalFormatting>
  <conditionalFormatting sqref="G28:I28">
    <cfRule type="expression" dxfId="833" priority="439">
      <formula>COUNTIF($U28:$AB28,G28)&gt;1</formula>
    </cfRule>
  </conditionalFormatting>
  <conditionalFormatting sqref="G28:I28">
    <cfRule type="expression" dxfId="832" priority="437">
      <formula>AND($B28&lt;&gt;"",$B43="")</formula>
    </cfRule>
    <cfRule type="expression" dxfId="831" priority="438">
      <formula>$B28=""</formula>
    </cfRule>
  </conditionalFormatting>
  <conditionalFormatting sqref="G28:I28">
    <cfRule type="expression" dxfId="830" priority="435">
      <formula>AND($B28&lt;&gt;"",#REF!="")</formula>
    </cfRule>
    <cfRule type="expression" dxfId="829" priority="436">
      <formula>$B28=""</formula>
    </cfRule>
  </conditionalFormatting>
  <conditionalFormatting sqref="G26:K26">
    <cfRule type="expression" dxfId="828" priority="433">
      <formula>AND($B26&lt;&gt;"",$B45="")</formula>
    </cfRule>
    <cfRule type="expression" dxfId="827" priority="434">
      <formula>$B26=""</formula>
    </cfRule>
  </conditionalFormatting>
  <conditionalFormatting sqref="G26:I26">
    <cfRule type="expression" dxfId="826" priority="431">
      <formula>AND($B26&lt;&gt;"",$B41="")</formula>
    </cfRule>
    <cfRule type="expression" dxfId="825" priority="432">
      <formula>$B26=""</formula>
    </cfRule>
  </conditionalFormatting>
  <conditionalFormatting sqref="G26:I26">
    <cfRule type="expression" dxfId="824" priority="429">
      <formula>AND($B26&lt;&gt;"",#REF!="")</formula>
    </cfRule>
    <cfRule type="expression" dxfId="823" priority="430">
      <formula>$B26=""</formula>
    </cfRule>
  </conditionalFormatting>
  <conditionalFormatting sqref="G26:I26">
    <cfRule type="expression" dxfId="822" priority="427">
      <formula>AND($B26&lt;&gt;"",$B27="")</formula>
    </cfRule>
    <cfRule type="expression" dxfId="821" priority="428">
      <formula>$B26=""</formula>
    </cfRule>
  </conditionalFormatting>
  <conditionalFormatting sqref="G26:I26">
    <cfRule type="expression" dxfId="820" priority="426">
      <formula>COUNTIF($U26:$AB26,G26)&gt;1</formula>
    </cfRule>
  </conditionalFormatting>
  <conditionalFormatting sqref="G26:I26">
    <cfRule type="expression" dxfId="819" priority="424">
      <formula>AND($B26&lt;&gt;"",$B41="")</formula>
    </cfRule>
    <cfRule type="expression" dxfId="818" priority="425">
      <formula>$B26=""</formula>
    </cfRule>
  </conditionalFormatting>
  <conditionalFormatting sqref="G26:I26">
    <cfRule type="expression" dxfId="817" priority="422">
      <formula>AND($B26&lt;&gt;"",#REF!="")</formula>
    </cfRule>
    <cfRule type="expression" dxfId="816" priority="423">
      <formula>$B26=""</formula>
    </cfRule>
  </conditionalFormatting>
  <conditionalFormatting sqref="G26:I26">
    <cfRule type="expression" dxfId="815" priority="420">
      <formula>AND($B26&lt;&gt;"",$B41="")</formula>
    </cfRule>
    <cfRule type="expression" dxfId="814" priority="421">
      <formula>$B26=""</formula>
    </cfRule>
  </conditionalFormatting>
  <conditionalFormatting sqref="G26:I26">
    <cfRule type="expression" dxfId="813" priority="418">
      <formula>AND($B26&lt;&gt;"",#REF!="")</formula>
    </cfRule>
    <cfRule type="expression" dxfId="812" priority="419">
      <formula>$B26=""</formula>
    </cfRule>
  </conditionalFormatting>
  <conditionalFormatting sqref="G26:I26">
    <cfRule type="expression" dxfId="811" priority="416">
      <formula>AND($B26&lt;&gt;"",$B27="")</formula>
    </cfRule>
    <cfRule type="expression" dxfId="810" priority="417">
      <formula>$B26=""</formula>
    </cfRule>
  </conditionalFormatting>
  <conditionalFormatting sqref="G26:I26">
    <cfRule type="expression" dxfId="809" priority="415">
      <formula>COUNTIF($U26:$AB26,G26)&gt;1</formula>
    </cfRule>
  </conditionalFormatting>
  <conditionalFormatting sqref="G26:I26">
    <cfRule type="expression" dxfId="808" priority="413">
      <formula>AND($B26&lt;&gt;"",$B41="")</formula>
    </cfRule>
    <cfRule type="expression" dxfId="807" priority="414">
      <formula>$B26=""</formula>
    </cfRule>
  </conditionalFormatting>
  <conditionalFormatting sqref="G26:I26">
    <cfRule type="expression" dxfId="806" priority="411">
      <formula>AND($B26&lt;&gt;"",#REF!="")</formula>
    </cfRule>
    <cfRule type="expression" dxfId="805" priority="412">
      <formula>$B26=""</formula>
    </cfRule>
  </conditionalFormatting>
  <conditionalFormatting sqref="G25:K25">
    <cfRule type="expression" dxfId="804" priority="409">
      <formula>AND($B25&lt;&gt;"",$B44="")</formula>
    </cfRule>
    <cfRule type="expression" dxfId="803" priority="410">
      <formula>$B25=""</formula>
    </cfRule>
  </conditionalFormatting>
  <conditionalFormatting sqref="G25:I25">
    <cfRule type="expression" dxfId="802" priority="407">
      <formula>AND($B25&lt;&gt;"",$B40="")</formula>
    </cfRule>
    <cfRule type="expression" dxfId="801" priority="408">
      <formula>$B25=""</formula>
    </cfRule>
  </conditionalFormatting>
  <conditionalFormatting sqref="G25:I25">
    <cfRule type="expression" dxfId="800" priority="405">
      <formula>AND($B25&lt;&gt;"",#REF!="")</formula>
    </cfRule>
    <cfRule type="expression" dxfId="799" priority="406">
      <formula>$B25=""</formula>
    </cfRule>
  </conditionalFormatting>
  <conditionalFormatting sqref="G25:I25">
    <cfRule type="expression" dxfId="798" priority="403">
      <formula>AND($B25&lt;&gt;"",$B26="")</formula>
    </cfRule>
    <cfRule type="expression" dxfId="797" priority="404">
      <formula>$B25=""</formula>
    </cfRule>
  </conditionalFormatting>
  <conditionalFormatting sqref="G25:I25">
    <cfRule type="expression" dxfId="796" priority="402">
      <formula>COUNTIF($U25:$AB25,G25)&gt;1</formula>
    </cfRule>
  </conditionalFormatting>
  <conditionalFormatting sqref="G25:I25">
    <cfRule type="expression" dxfId="795" priority="400">
      <formula>AND($B25&lt;&gt;"",$B40="")</formula>
    </cfRule>
    <cfRule type="expression" dxfId="794" priority="401">
      <formula>$B25=""</formula>
    </cfRule>
  </conditionalFormatting>
  <conditionalFormatting sqref="G25:I25">
    <cfRule type="expression" dxfId="793" priority="398">
      <formula>AND($B25&lt;&gt;"",#REF!="")</formula>
    </cfRule>
    <cfRule type="expression" dxfId="792" priority="399">
      <formula>$B25=""</formula>
    </cfRule>
  </conditionalFormatting>
  <conditionalFormatting sqref="G25:I25">
    <cfRule type="expression" dxfId="791" priority="396">
      <formula>AND($B25&lt;&gt;"",$B40="")</formula>
    </cfRule>
    <cfRule type="expression" dxfId="790" priority="397">
      <formula>$B25=""</formula>
    </cfRule>
  </conditionalFormatting>
  <conditionalFormatting sqref="G25:I25">
    <cfRule type="expression" dxfId="789" priority="394">
      <formula>AND($B25&lt;&gt;"",#REF!="")</formula>
    </cfRule>
    <cfRule type="expression" dxfId="788" priority="395">
      <formula>$B25=""</formula>
    </cfRule>
  </conditionalFormatting>
  <conditionalFormatting sqref="G25:I25">
    <cfRule type="expression" dxfId="787" priority="392">
      <formula>AND($B25&lt;&gt;"",$B26="")</formula>
    </cfRule>
    <cfRule type="expression" dxfId="786" priority="393">
      <formula>$B25=""</formula>
    </cfRule>
  </conditionalFormatting>
  <conditionalFormatting sqref="G25:I25">
    <cfRule type="expression" dxfId="785" priority="391">
      <formula>COUNTIF($U25:$AB25,G25)&gt;1</formula>
    </cfRule>
  </conditionalFormatting>
  <conditionalFormatting sqref="G25:I25">
    <cfRule type="expression" dxfId="784" priority="389">
      <formula>AND($B25&lt;&gt;"",$B40="")</formula>
    </cfRule>
    <cfRule type="expression" dxfId="783" priority="390">
      <formula>$B25=""</formula>
    </cfRule>
  </conditionalFormatting>
  <conditionalFormatting sqref="G25:I25">
    <cfRule type="expression" dxfId="782" priority="387">
      <formula>AND($B25&lt;&gt;"",#REF!="")</formula>
    </cfRule>
    <cfRule type="expression" dxfId="781" priority="388">
      <formula>$B25=""</formula>
    </cfRule>
  </conditionalFormatting>
  <conditionalFormatting sqref="G24:K24">
    <cfRule type="expression" dxfId="780" priority="385">
      <formula>AND($B24&lt;&gt;"",$B43="")</formula>
    </cfRule>
    <cfRule type="expression" dxfId="779" priority="386">
      <formula>$B24=""</formula>
    </cfRule>
  </conditionalFormatting>
  <conditionalFormatting sqref="G24:I24">
    <cfRule type="expression" dxfId="778" priority="383">
      <formula>AND($B24&lt;&gt;"",$B39="")</formula>
    </cfRule>
    <cfRule type="expression" dxfId="777" priority="384">
      <formula>$B24=""</formula>
    </cfRule>
  </conditionalFormatting>
  <conditionalFormatting sqref="G24:I24">
    <cfRule type="expression" dxfId="776" priority="381">
      <formula>AND($B24&lt;&gt;"",#REF!="")</formula>
    </cfRule>
    <cfRule type="expression" dxfId="775" priority="382">
      <formula>$B24=""</formula>
    </cfRule>
  </conditionalFormatting>
  <conditionalFormatting sqref="G24:I24">
    <cfRule type="expression" dxfId="774" priority="379">
      <formula>AND($B24&lt;&gt;"",$B25="")</formula>
    </cfRule>
    <cfRule type="expression" dxfId="773" priority="380">
      <formula>$B24=""</formula>
    </cfRule>
  </conditionalFormatting>
  <conditionalFormatting sqref="G24:I24">
    <cfRule type="expression" dxfId="772" priority="378">
      <formula>COUNTIF($U24:$AB24,G24)&gt;1</formula>
    </cfRule>
  </conditionalFormatting>
  <conditionalFormatting sqref="G24:I24">
    <cfRule type="expression" dxfId="771" priority="376">
      <formula>AND($B24&lt;&gt;"",$B39="")</formula>
    </cfRule>
    <cfRule type="expression" dxfId="770" priority="377">
      <formula>$B24=""</formula>
    </cfRule>
  </conditionalFormatting>
  <conditionalFormatting sqref="G24:I24">
    <cfRule type="expression" dxfId="769" priority="374">
      <formula>AND($B24&lt;&gt;"",#REF!="")</formula>
    </cfRule>
    <cfRule type="expression" dxfId="768" priority="375">
      <formula>$B24=""</formula>
    </cfRule>
  </conditionalFormatting>
  <conditionalFormatting sqref="G24:I24">
    <cfRule type="expression" dxfId="767" priority="372">
      <formula>AND($B24&lt;&gt;"",$B39="")</formula>
    </cfRule>
    <cfRule type="expression" dxfId="766" priority="373">
      <formula>$B24=""</formula>
    </cfRule>
  </conditionalFormatting>
  <conditionalFormatting sqref="G24:I24">
    <cfRule type="expression" dxfId="765" priority="370">
      <formula>AND($B24&lt;&gt;"",#REF!="")</formula>
    </cfRule>
    <cfRule type="expression" dxfId="764" priority="371">
      <formula>$B24=""</formula>
    </cfRule>
  </conditionalFormatting>
  <conditionalFormatting sqref="G24:I24">
    <cfRule type="expression" dxfId="763" priority="368">
      <formula>AND($B24&lt;&gt;"",$B25="")</formula>
    </cfRule>
    <cfRule type="expression" dxfId="762" priority="369">
      <formula>$B24=""</formula>
    </cfRule>
  </conditionalFormatting>
  <conditionalFormatting sqref="G24:I24">
    <cfRule type="expression" dxfId="761" priority="367">
      <formula>COUNTIF($U24:$AB24,G24)&gt;1</formula>
    </cfRule>
  </conditionalFormatting>
  <conditionalFormatting sqref="G24:I24">
    <cfRule type="expression" dxfId="760" priority="365">
      <formula>AND($B24&lt;&gt;"",$B39="")</formula>
    </cfRule>
    <cfRule type="expression" dxfId="759" priority="366">
      <formula>$B24=""</formula>
    </cfRule>
  </conditionalFormatting>
  <conditionalFormatting sqref="G24:I24">
    <cfRule type="expression" dxfId="758" priority="363">
      <formula>AND($B24&lt;&gt;"",#REF!="")</formula>
    </cfRule>
    <cfRule type="expression" dxfId="757" priority="364">
      <formula>$B24=""</formula>
    </cfRule>
  </conditionalFormatting>
  <conditionalFormatting sqref="G21:K21">
    <cfRule type="expression" dxfId="756" priority="361">
      <formula>AND($B21&lt;&gt;"",$B40="")</formula>
    </cfRule>
    <cfRule type="expression" dxfId="755" priority="362">
      <formula>$B21=""</formula>
    </cfRule>
  </conditionalFormatting>
  <conditionalFormatting sqref="G21:I21">
    <cfRule type="expression" dxfId="754" priority="359">
      <formula>AND($B21&lt;&gt;"",$B36="")</formula>
    </cfRule>
    <cfRule type="expression" dxfId="753" priority="360">
      <formula>$B21=""</formula>
    </cfRule>
  </conditionalFormatting>
  <conditionalFormatting sqref="G21:I21">
    <cfRule type="expression" dxfId="752" priority="357">
      <formula>AND($B21&lt;&gt;"",#REF!="")</formula>
    </cfRule>
    <cfRule type="expression" dxfId="751" priority="358">
      <formula>$B21=""</formula>
    </cfRule>
  </conditionalFormatting>
  <conditionalFormatting sqref="G21:I21">
    <cfRule type="expression" dxfId="750" priority="355">
      <formula>AND($B21&lt;&gt;"",$B22="")</formula>
    </cfRule>
    <cfRule type="expression" dxfId="749" priority="356">
      <formula>$B21=""</formula>
    </cfRule>
  </conditionalFormatting>
  <conditionalFormatting sqref="G21:I21">
    <cfRule type="expression" dxfId="748" priority="354">
      <formula>COUNTIF($U21:$AB21,G21)&gt;1</formula>
    </cfRule>
  </conditionalFormatting>
  <conditionalFormatting sqref="G21:I21">
    <cfRule type="expression" dxfId="747" priority="352">
      <formula>AND($B21&lt;&gt;"",$B36="")</formula>
    </cfRule>
    <cfRule type="expression" dxfId="746" priority="353">
      <formula>$B21=""</formula>
    </cfRule>
  </conditionalFormatting>
  <conditionalFormatting sqref="G21:I21">
    <cfRule type="expression" dxfId="745" priority="350">
      <formula>AND($B21&lt;&gt;"",#REF!="")</formula>
    </cfRule>
    <cfRule type="expression" dxfId="744" priority="351">
      <formula>$B21=""</formula>
    </cfRule>
  </conditionalFormatting>
  <conditionalFormatting sqref="G21:I21">
    <cfRule type="expression" dxfId="743" priority="348">
      <formula>AND($B21&lt;&gt;"",$B36="")</formula>
    </cfRule>
    <cfRule type="expression" dxfId="742" priority="349">
      <formula>$B21=""</formula>
    </cfRule>
  </conditionalFormatting>
  <conditionalFormatting sqref="G21:I21">
    <cfRule type="expression" dxfId="741" priority="346">
      <formula>AND($B21&lt;&gt;"",#REF!="")</formula>
    </cfRule>
    <cfRule type="expression" dxfId="740" priority="347">
      <formula>$B21=""</formula>
    </cfRule>
  </conditionalFormatting>
  <conditionalFormatting sqref="G21:I21">
    <cfRule type="expression" dxfId="739" priority="344">
      <formula>AND($B21&lt;&gt;"",$B22="")</formula>
    </cfRule>
    <cfRule type="expression" dxfId="738" priority="345">
      <formula>$B21=""</formula>
    </cfRule>
  </conditionalFormatting>
  <conditionalFormatting sqref="G21:I21">
    <cfRule type="expression" dxfId="737" priority="343">
      <formula>COUNTIF($U21:$AB21,G21)&gt;1</formula>
    </cfRule>
  </conditionalFormatting>
  <conditionalFormatting sqref="G21:I21">
    <cfRule type="expression" dxfId="736" priority="341">
      <formula>AND($B21&lt;&gt;"",$B36="")</formula>
    </cfRule>
    <cfRule type="expression" dxfId="735" priority="342">
      <formula>$B21=""</formula>
    </cfRule>
  </conditionalFormatting>
  <conditionalFormatting sqref="G21:I21">
    <cfRule type="expression" dxfId="734" priority="339">
      <formula>AND($B21&lt;&gt;"",#REF!="")</formula>
    </cfRule>
    <cfRule type="expression" dxfId="733" priority="340">
      <formula>$B21=""</formula>
    </cfRule>
  </conditionalFormatting>
  <conditionalFormatting sqref="G20:K20">
    <cfRule type="expression" dxfId="732" priority="337">
      <formula>AND($B20&lt;&gt;"",$B39="")</formula>
    </cfRule>
    <cfRule type="expression" dxfId="731" priority="338">
      <formula>$B20=""</formula>
    </cfRule>
  </conditionalFormatting>
  <conditionalFormatting sqref="G20:I20">
    <cfRule type="expression" dxfId="730" priority="335">
      <formula>AND($B20&lt;&gt;"",$B35="")</formula>
    </cfRule>
    <cfRule type="expression" dxfId="729" priority="336">
      <formula>$B20=""</formula>
    </cfRule>
  </conditionalFormatting>
  <conditionalFormatting sqref="G20:I20">
    <cfRule type="expression" dxfId="728" priority="333">
      <formula>AND($B20&lt;&gt;"",#REF!="")</formula>
    </cfRule>
    <cfRule type="expression" dxfId="727" priority="334">
      <formula>$B20=""</formula>
    </cfRule>
  </conditionalFormatting>
  <conditionalFormatting sqref="G20:I20">
    <cfRule type="expression" dxfId="726" priority="331">
      <formula>AND($B20&lt;&gt;"",$B21="")</formula>
    </cfRule>
    <cfRule type="expression" dxfId="725" priority="332">
      <formula>$B20=""</formula>
    </cfRule>
  </conditionalFormatting>
  <conditionalFormatting sqref="G20:I20">
    <cfRule type="expression" dxfId="724" priority="330">
      <formula>COUNTIF($U20:$AB20,G20)&gt;1</formula>
    </cfRule>
  </conditionalFormatting>
  <conditionalFormatting sqref="G20:I20">
    <cfRule type="expression" dxfId="723" priority="328">
      <formula>AND($B20&lt;&gt;"",$B35="")</formula>
    </cfRule>
    <cfRule type="expression" dxfId="722" priority="329">
      <formula>$B20=""</formula>
    </cfRule>
  </conditionalFormatting>
  <conditionalFormatting sqref="G20:I20">
    <cfRule type="expression" dxfId="721" priority="326">
      <formula>AND($B20&lt;&gt;"",#REF!="")</formula>
    </cfRule>
    <cfRule type="expression" dxfId="720" priority="327">
      <formula>$B20=""</formula>
    </cfRule>
  </conditionalFormatting>
  <conditionalFormatting sqref="G20:I20">
    <cfRule type="expression" dxfId="719" priority="324">
      <formula>AND($B20&lt;&gt;"",$B35="")</formula>
    </cfRule>
    <cfRule type="expression" dxfId="718" priority="325">
      <formula>$B20=""</formula>
    </cfRule>
  </conditionalFormatting>
  <conditionalFormatting sqref="G20:I20">
    <cfRule type="expression" dxfId="717" priority="322">
      <formula>AND($B20&lt;&gt;"",#REF!="")</formula>
    </cfRule>
    <cfRule type="expression" dxfId="716" priority="323">
      <formula>$B20=""</formula>
    </cfRule>
  </conditionalFormatting>
  <conditionalFormatting sqref="G20:I20">
    <cfRule type="expression" dxfId="715" priority="320">
      <formula>AND($B20&lt;&gt;"",$B21="")</formula>
    </cfRule>
    <cfRule type="expression" dxfId="714" priority="321">
      <formula>$B20=""</formula>
    </cfRule>
  </conditionalFormatting>
  <conditionalFormatting sqref="G20:I20">
    <cfRule type="expression" dxfId="713" priority="319">
      <formula>COUNTIF($U20:$AB20,G20)&gt;1</formula>
    </cfRule>
  </conditionalFormatting>
  <conditionalFormatting sqref="G20:I20">
    <cfRule type="expression" dxfId="712" priority="317">
      <formula>AND($B20&lt;&gt;"",$B35="")</formula>
    </cfRule>
    <cfRule type="expression" dxfId="711" priority="318">
      <formula>$B20=""</formula>
    </cfRule>
  </conditionalFormatting>
  <conditionalFormatting sqref="G20:I20">
    <cfRule type="expression" dxfId="710" priority="315">
      <formula>AND($B20&lt;&gt;"",#REF!="")</formula>
    </cfRule>
    <cfRule type="expression" dxfId="709" priority="316">
      <formula>$B20=""</formula>
    </cfRule>
  </conditionalFormatting>
  <conditionalFormatting sqref="G19:K19">
    <cfRule type="expression" dxfId="708" priority="313">
      <formula>AND($B19&lt;&gt;"",$B38="")</formula>
    </cfRule>
    <cfRule type="expression" dxfId="707" priority="314">
      <formula>$B19=""</formula>
    </cfRule>
  </conditionalFormatting>
  <conditionalFormatting sqref="G19:I19">
    <cfRule type="expression" dxfId="706" priority="311">
      <formula>AND($B19&lt;&gt;"",$B34="")</formula>
    </cfRule>
    <cfRule type="expression" dxfId="705" priority="312">
      <formula>$B19=""</formula>
    </cfRule>
  </conditionalFormatting>
  <conditionalFormatting sqref="G19:I19">
    <cfRule type="expression" dxfId="704" priority="309">
      <formula>AND($B19&lt;&gt;"",#REF!="")</formula>
    </cfRule>
    <cfRule type="expression" dxfId="703" priority="310">
      <formula>$B19=""</formula>
    </cfRule>
  </conditionalFormatting>
  <conditionalFormatting sqref="G19:I19">
    <cfRule type="expression" dxfId="702" priority="307">
      <formula>AND($B19&lt;&gt;"",$B20="")</formula>
    </cfRule>
    <cfRule type="expression" dxfId="701" priority="308">
      <formula>$B19=""</formula>
    </cfRule>
  </conditionalFormatting>
  <conditionalFormatting sqref="G19:I19">
    <cfRule type="expression" dxfId="700" priority="306">
      <formula>COUNTIF($U19:$AB19,G19)&gt;1</formula>
    </cfRule>
  </conditionalFormatting>
  <conditionalFormatting sqref="G19:I19">
    <cfRule type="expression" dxfId="699" priority="304">
      <formula>AND($B19&lt;&gt;"",$B34="")</formula>
    </cfRule>
    <cfRule type="expression" dxfId="698" priority="305">
      <formula>$B19=""</formula>
    </cfRule>
  </conditionalFormatting>
  <conditionalFormatting sqref="G19:I19">
    <cfRule type="expression" dxfId="697" priority="302">
      <formula>AND($B19&lt;&gt;"",#REF!="")</formula>
    </cfRule>
    <cfRule type="expression" dxfId="696" priority="303">
      <formula>$B19=""</formula>
    </cfRule>
  </conditionalFormatting>
  <conditionalFormatting sqref="G19:I19">
    <cfRule type="expression" dxfId="695" priority="300">
      <formula>AND($B19&lt;&gt;"",$B34="")</formula>
    </cfRule>
    <cfRule type="expression" dxfId="694" priority="301">
      <formula>$B19=""</formula>
    </cfRule>
  </conditionalFormatting>
  <conditionalFormatting sqref="G19:I19">
    <cfRule type="expression" dxfId="693" priority="298">
      <formula>AND($B19&lt;&gt;"",#REF!="")</formula>
    </cfRule>
    <cfRule type="expression" dxfId="692" priority="299">
      <formula>$B19=""</formula>
    </cfRule>
  </conditionalFormatting>
  <conditionalFormatting sqref="G19:I19">
    <cfRule type="expression" dxfId="691" priority="296">
      <formula>AND($B19&lt;&gt;"",$B20="")</formula>
    </cfRule>
    <cfRule type="expression" dxfId="690" priority="297">
      <formula>$B19=""</formula>
    </cfRule>
  </conditionalFormatting>
  <conditionalFormatting sqref="G19:I19">
    <cfRule type="expression" dxfId="689" priority="295">
      <formula>COUNTIF($U19:$AB19,G19)&gt;1</formula>
    </cfRule>
  </conditionalFormatting>
  <conditionalFormatting sqref="G19:I19">
    <cfRule type="expression" dxfId="688" priority="293">
      <formula>AND($B19&lt;&gt;"",$B34="")</formula>
    </cfRule>
    <cfRule type="expression" dxfId="687" priority="294">
      <formula>$B19=""</formula>
    </cfRule>
  </conditionalFormatting>
  <conditionalFormatting sqref="G19:I19">
    <cfRule type="expression" dxfId="686" priority="291">
      <formula>AND($B19&lt;&gt;"",#REF!="")</formula>
    </cfRule>
    <cfRule type="expression" dxfId="685" priority="292">
      <formula>$B19=""</formula>
    </cfRule>
  </conditionalFormatting>
  <conditionalFormatting sqref="G17:K17">
    <cfRule type="expression" dxfId="684" priority="289">
      <formula>AND($B17&lt;&gt;"",$B36="")</formula>
    </cfRule>
    <cfRule type="expression" dxfId="683" priority="290">
      <formula>$B17=""</formula>
    </cfRule>
  </conditionalFormatting>
  <conditionalFormatting sqref="G17:I17">
    <cfRule type="expression" dxfId="682" priority="287">
      <formula>AND($B17&lt;&gt;"",$B32="")</formula>
    </cfRule>
    <cfRule type="expression" dxfId="681" priority="288">
      <formula>$B17=""</formula>
    </cfRule>
  </conditionalFormatting>
  <conditionalFormatting sqref="G17:I17">
    <cfRule type="expression" dxfId="680" priority="285">
      <formula>AND($B17&lt;&gt;"",#REF!="")</formula>
    </cfRule>
    <cfRule type="expression" dxfId="679" priority="286">
      <formula>$B17=""</formula>
    </cfRule>
  </conditionalFormatting>
  <conditionalFormatting sqref="G17:I17">
    <cfRule type="expression" dxfId="678" priority="283">
      <formula>AND($B17&lt;&gt;"",$B18="")</formula>
    </cfRule>
    <cfRule type="expression" dxfId="677" priority="284">
      <formula>$B17=""</formula>
    </cfRule>
  </conditionalFormatting>
  <conditionalFormatting sqref="G17:I17">
    <cfRule type="expression" dxfId="676" priority="282">
      <formula>COUNTIF($U17:$AB17,G17)&gt;1</formula>
    </cfRule>
  </conditionalFormatting>
  <conditionalFormatting sqref="G17:I17">
    <cfRule type="expression" dxfId="675" priority="280">
      <formula>AND($B17&lt;&gt;"",$B32="")</formula>
    </cfRule>
    <cfRule type="expression" dxfId="674" priority="281">
      <formula>$B17=""</formula>
    </cfRule>
  </conditionalFormatting>
  <conditionalFormatting sqref="G17:I17">
    <cfRule type="expression" dxfId="673" priority="278">
      <formula>AND($B17&lt;&gt;"",#REF!="")</formula>
    </cfRule>
    <cfRule type="expression" dxfId="672" priority="279">
      <formula>$B17=""</formula>
    </cfRule>
  </conditionalFormatting>
  <conditionalFormatting sqref="G17:I17">
    <cfRule type="expression" dxfId="671" priority="276">
      <formula>AND($B17&lt;&gt;"",$B32="")</formula>
    </cfRule>
    <cfRule type="expression" dxfId="670" priority="277">
      <formula>$B17=""</formula>
    </cfRule>
  </conditionalFormatting>
  <conditionalFormatting sqref="G17:I17">
    <cfRule type="expression" dxfId="669" priority="274">
      <formula>AND($B17&lt;&gt;"",#REF!="")</formula>
    </cfRule>
    <cfRule type="expression" dxfId="668" priority="275">
      <formula>$B17=""</formula>
    </cfRule>
  </conditionalFormatting>
  <conditionalFormatting sqref="G17:I17">
    <cfRule type="expression" dxfId="667" priority="272">
      <formula>AND($B17&lt;&gt;"",$B18="")</formula>
    </cfRule>
    <cfRule type="expression" dxfId="666" priority="273">
      <formula>$B17=""</formula>
    </cfRule>
  </conditionalFormatting>
  <conditionalFormatting sqref="G17:I17">
    <cfRule type="expression" dxfId="665" priority="271">
      <formula>COUNTIF($U17:$AB17,G17)&gt;1</formula>
    </cfRule>
  </conditionalFormatting>
  <conditionalFormatting sqref="G17:I17">
    <cfRule type="expression" dxfId="664" priority="269">
      <formula>AND($B17&lt;&gt;"",$B32="")</formula>
    </cfRule>
    <cfRule type="expression" dxfId="663" priority="270">
      <formula>$B17=""</formula>
    </cfRule>
  </conditionalFormatting>
  <conditionalFormatting sqref="G17:I17">
    <cfRule type="expression" dxfId="662" priority="267">
      <formula>AND($B17&lt;&gt;"",#REF!="")</formula>
    </cfRule>
    <cfRule type="expression" dxfId="661" priority="268">
      <formula>$B17=""</formula>
    </cfRule>
  </conditionalFormatting>
  <conditionalFormatting sqref="G16:K16">
    <cfRule type="expression" dxfId="660" priority="265">
      <formula>AND($B16&lt;&gt;"",$B35="")</formula>
    </cfRule>
    <cfRule type="expression" dxfId="659" priority="266">
      <formula>$B16=""</formula>
    </cfRule>
  </conditionalFormatting>
  <conditionalFormatting sqref="G16:I16">
    <cfRule type="expression" dxfId="658" priority="263">
      <formula>AND($B16&lt;&gt;"",$B31="")</formula>
    </cfRule>
    <cfRule type="expression" dxfId="657" priority="264">
      <formula>$B16=""</formula>
    </cfRule>
  </conditionalFormatting>
  <conditionalFormatting sqref="G16:I16">
    <cfRule type="expression" dxfId="656" priority="261">
      <formula>AND($B16&lt;&gt;"",#REF!="")</formula>
    </cfRule>
    <cfRule type="expression" dxfId="655" priority="262">
      <formula>$B16=""</formula>
    </cfRule>
  </conditionalFormatting>
  <conditionalFormatting sqref="G16:I16">
    <cfRule type="expression" dxfId="654" priority="259">
      <formula>AND($B16&lt;&gt;"",$B17="")</formula>
    </cfRule>
    <cfRule type="expression" dxfId="653" priority="260">
      <formula>$B16=""</formula>
    </cfRule>
  </conditionalFormatting>
  <conditionalFormatting sqref="G16:I16">
    <cfRule type="expression" dxfId="652" priority="258">
      <formula>COUNTIF($U16:$AB16,G16)&gt;1</formula>
    </cfRule>
  </conditionalFormatting>
  <conditionalFormatting sqref="G16:I16">
    <cfRule type="expression" dxfId="651" priority="256">
      <formula>AND($B16&lt;&gt;"",$B31="")</formula>
    </cfRule>
    <cfRule type="expression" dxfId="650" priority="257">
      <formula>$B16=""</formula>
    </cfRule>
  </conditionalFormatting>
  <conditionalFormatting sqref="G16:I16">
    <cfRule type="expression" dxfId="649" priority="254">
      <formula>AND($B16&lt;&gt;"",#REF!="")</formula>
    </cfRule>
    <cfRule type="expression" dxfId="648" priority="255">
      <formula>$B16=""</formula>
    </cfRule>
  </conditionalFormatting>
  <conditionalFormatting sqref="G16:I16">
    <cfRule type="expression" dxfId="647" priority="252">
      <formula>AND($B16&lt;&gt;"",$B31="")</formula>
    </cfRule>
    <cfRule type="expression" dxfId="646" priority="253">
      <formula>$B16=""</formula>
    </cfRule>
  </conditionalFormatting>
  <conditionalFormatting sqref="G16:I16">
    <cfRule type="expression" dxfId="645" priority="250">
      <formula>AND($B16&lt;&gt;"",#REF!="")</formula>
    </cfRule>
    <cfRule type="expression" dxfId="644" priority="251">
      <formula>$B16=""</formula>
    </cfRule>
  </conditionalFormatting>
  <conditionalFormatting sqref="G16:I16">
    <cfRule type="expression" dxfId="643" priority="248">
      <formula>AND($B16&lt;&gt;"",$B17="")</formula>
    </cfRule>
    <cfRule type="expression" dxfId="642" priority="249">
      <formula>$B16=""</formula>
    </cfRule>
  </conditionalFormatting>
  <conditionalFormatting sqref="G16:I16">
    <cfRule type="expression" dxfId="641" priority="247">
      <formula>COUNTIF($U16:$AB16,G16)&gt;1</formula>
    </cfRule>
  </conditionalFormatting>
  <conditionalFormatting sqref="G16:I16">
    <cfRule type="expression" dxfId="640" priority="245">
      <formula>AND($B16&lt;&gt;"",$B31="")</formula>
    </cfRule>
    <cfRule type="expression" dxfId="639" priority="246">
      <formula>$B16=""</formula>
    </cfRule>
  </conditionalFormatting>
  <conditionalFormatting sqref="G16:I16">
    <cfRule type="expression" dxfId="638" priority="243">
      <formula>AND($B16&lt;&gt;"",#REF!="")</formula>
    </cfRule>
    <cfRule type="expression" dxfId="637" priority="244">
      <formula>$B16=""</formula>
    </cfRule>
  </conditionalFormatting>
  <conditionalFormatting sqref="G15:K15">
    <cfRule type="expression" dxfId="636" priority="241">
      <formula>AND($B15&lt;&gt;"",$B34="")</formula>
    </cfRule>
    <cfRule type="expression" dxfId="635" priority="242">
      <formula>$B15=""</formula>
    </cfRule>
  </conditionalFormatting>
  <conditionalFormatting sqref="G15:I15">
    <cfRule type="expression" dxfId="634" priority="239">
      <formula>AND($B15&lt;&gt;"",$B30="")</formula>
    </cfRule>
    <cfRule type="expression" dxfId="633" priority="240">
      <formula>$B15=""</formula>
    </cfRule>
  </conditionalFormatting>
  <conditionalFormatting sqref="G15:I15">
    <cfRule type="expression" dxfId="632" priority="237">
      <formula>AND($B15&lt;&gt;"",#REF!="")</formula>
    </cfRule>
    <cfRule type="expression" dxfId="631" priority="238">
      <formula>$B15=""</formula>
    </cfRule>
  </conditionalFormatting>
  <conditionalFormatting sqref="G15:I15">
    <cfRule type="expression" dxfId="630" priority="235">
      <formula>AND($B15&lt;&gt;"",$B16="")</formula>
    </cfRule>
    <cfRule type="expression" dxfId="629" priority="236">
      <formula>$B15=""</formula>
    </cfRule>
  </conditionalFormatting>
  <conditionalFormatting sqref="G15:I15">
    <cfRule type="expression" dxfId="628" priority="234">
      <formula>COUNTIF($U15:$AB15,G15)&gt;1</formula>
    </cfRule>
  </conditionalFormatting>
  <conditionalFormatting sqref="G15:I15">
    <cfRule type="expression" dxfId="627" priority="232">
      <formula>AND($B15&lt;&gt;"",$B30="")</formula>
    </cfRule>
    <cfRule type="expression" dxfId="626" priority="233">
      <formula>$B15=""</formula>
    </cfRule>
  </conditionalFormatting>
  <conditionalFormatting sqref="G15:I15">
    <cfRule type="expression" dxfId="625" priority="230">
      <formula>AND($B15&lt;&gt;"",#REF!="")</formula>
    </cfRule>
    <cfRule type="expression" dxfId="624" priority="231">
      <formula>$B15=""</formula>
    </cfRule>
  </conditionalFormatting>
  <conditionalFormatting sqref="G15:I15">
    <cfRule type="expression" dxfId="623" priority="228">
      <formula>AND($B15&lt;&gt;"",$B30="")</formula>
    </cfRule>
    <cfRule type="expression" dxfId="622" priority="229">
      <formula>$B15=""</formula>
    </cfRule>
  </conditionalFormatting>
  <conditionalFormatting sqref="G15:I15">
    <cfRule type="expression" dxfId="621" priority="226">
      <formula>AND($B15&lt;&gt;"",#REF!="")</formula>
    </cfRule>
    <cfRule type="expression" dxfId="620" priority="227">
      <formula>$B15=""</formula>
    </cfRule>
  </conditionalFormatting>
  <conditionalFormatting sqref="G15:I15">
    <cfRule type="expression" dxfId="619" priority="224">
      <formula>AND($B15&lt;&gt;"",$B16="")</formula>
    </cfRule>
    <cfRule type="expression" dxfId="618" priority="225">
      <formula>$B15=""</formula>
    </cfRule>
  </conditionalFormatting>
  <conditionalFormatting sqref="G15:I15">
    <cfRule type="expression" dxfId="617" priority="223">
      <formula>COUNTIF($U15:$AB15,G15)&gt;1</formula>
    </cfRule>
  </conditionalFormatting>
  <conditionalFormatting sqref="G15:I15">
    <cfRule type="expression" dxfId="616" priority="221">
      <formula>AND($B15&lt;&gt;"",$B30="")</formula>
    </cfRule>
    <cfRule type="expression" dxfId="615" priority="222">
      <formula>$B15=""</formula>
    </cfRule>
  </conditionalFormatting>
  <conditionalFormatting sqref="G15:I15">
    <cfRule type="expression" dxfId="614" priority="219">
      <formula>AND($B15&lt;&gt;"",#REF!="")</formula>
    </cfRule>
    <cfRule type="expression" dxfId="613" priority="220">
      <formula>$B15=""</formula>
    </cfRule>
  </conditionalFormatting>
  <conditionalFormatting sqref="G14:K14">
    <cfRule type="expression" dxfId="612" priority="217">
      <formula>AND($B14&lt;&gt;"",$B33="")</formula>
    </cfRule>
    <cfRule type="expression" dxfId="611" priority="218">
      <formula>$B14=""</formula>
    </cfRule>
  </conditionalFormatting>
  <conditionalFormatting sqref="G14:I14">
    <cfRule type="expression" dxfId="610" priority="215">
      <formula>AND($B14&lt;&gt;"",$B29="")</formula>
    </cfRule>
    <cfRule type="expression" dxfId="609" priority="216">
      <formula>$B14=""</formula>
    </cfRule>
  </conditionalFormatting>
  <conditionalFormatting sqref="G14:I14">
    <cfRule type="expression" dxfId="608" priority="213">
      <formula>AND($B14&lt;&gt;"",#REF!="")</formula>
    </cfRule>
    <cfRule type="expression" dxfId="607" priority="214">
      <formula>$B14=""</formula>
    </cfRule>
  </conditionalFormatting>
  <conditionalFormatting sqref="G14:I14">
    <cfRule type="expression" dxfId="606" priority="211">
      <formula>AND($B14&lt;&gt;"",$B15="")</formula>
    </cfRule>
    <cfRule type="expression" dxfId="605" priority="212">
      <formula>$B14=""</formula>
    </cfRule>
  </conditionalFormatting>
  <conditionalFormatting sqref="G14:I14">
    <cfRule type="expression" dxfId="604" priority="210">
      <formula>COUNTIF($U14:$AB14,G14)&gt;1</formula>
    </cfRule>
  </conditionalFormatting>
  <conditionalFormatting sqref="G14:I14">
    <cfRule type="expression" dxfId="603" priority="208">
      <formula>AND($B14&lt;&gt;"",$B29="")</formula>
    </cfRule>
    <cfRule type="expression" dxfId="602" priority="209">
      <formula>$B14=""</formula>
    </cfRule>
  </conditionalFormatting>
  <conditionalFormatting sqref="G14:I14">
    <cfRule type="expression" dxfId="601" priority="206">
      <formula>AND($B14&lt;&gt;"",#REF!="")</formula>
    </cfRule>
    <cfRule type="expression" dxfId="600" priority="207">
      <formula>$B14=""</formula>
    </cfRule>
  </conditionalFormatting>
  <conditionalFormatting sqref="G14:I14">
    <cfRule type="expression" dxfId="599" priority="204">
      <formula>AND($B14&lt;&gt;"",$B29="")</formula>
    </cfRule>
    <cfRule type="expression" dxfId="598" priority="205">
      <formula>$B14=""</formula>
    </cfRule>
  </conditionalFormatting>
  <conditionalFormatting sqref="G14:I14">
    <cfRule type="expression" dxfId="597" priority="202">
      <formula>AND($B14&lt;&gt;"",#REF!="")</formula>
    </cfRule>
    <cfRule type="expression" dxfId="596" priority="203">
      <formula>$B14=""</formula>
    </cfRule>
  </conditionalFormatting>
  <conditionalFormatting sqref="G14:I14">
    <cfRule type="expression" dxfId="595" priority="200">
      <formula>AND($B14&lt;&gt;"",$B15="")</formula>
    </cfRule>
    <cfRule type="expression" dxfId="594" priority="201">
      <formula>$B14=""</formula>
    </cfRule>
  </conditionalFormatting>
  <conditionalFormatting sqref="G14:I14">
    <cfRule type="expression" dxfId="593" priority="199">
      <formula>COUNTIF($U14:$AB14,G14)&gt;1</formula>
    </cfRule>
  </conditionalFormatting>
  <conditionalFormatting sqref="G14:I14">
    <cfRule type="expression" dxfId="592" priority="197">
      <formula>AND($B14&lt;&gt;"",$B29="")</formula>
    </cfRule>
    <cfRule type="expression" dxfId="591" priority="198">
      <formula>$B14=""</formula>
    </cfRule>
  </conditionalFormatting>
  <conditionalFormatting sqref="G14:I14">
    <cfRule type="expression" dxfId="590" priority="195">
      <formula>AND($B14&lt;&gt;"",#REF!="")</formula>
    </cfRule>
    <cfRule type="expression" dxfId="589" priority="196">
      <formula>$B14=""</formula>
    </cfRule>
  </conditionalFormatting>
  <conditionalFormatting sqref="G44:I44">
    <cfRule type="expression" dxfId="588" priority="193">
      <formula>AND($B44&lt;&gt;"",$B59="")</formula>
    </cfRule>
    <cfRule type="expression" dxfId="587" priority="194">
      <formula>$B44=""</formula>
    </cfRule>
  </conditionalFormatting>
  <conditionalFormatting sqref="G44:I44">
    <cfRule type="expression" dxfId="586" priority="191">
      <formula>AND($B44&lt;&gt;"",#REF!="")</formula>
    </cfRule>
    <cfRule type="expression" dxfId="585" priority="192">
      <formula>$B44=""</formula>
    </cfRule>
  </conditionalFormatting>
  <conditionalFormatting sqref="G44:I44">
    <cfRule type="expression" dxfId="584" priority="189">
      <formula>AND($B44&lt;&gt;"",$B45="")</formula>
    </cfRule>
    <cfRule type="expression" dxfId="583" priority="190">
      <formula>$B44=""</formula>
    </cfRule>
  </conditionalFormatting>
  <conditionalFormatting sqref="G44:I44">
    <cfRule type="expression" dxfId="582" priority="188">
      <formula>COUNTIF($U44:$AB44,G44)&gt;1</formula>
    </cfRule>
  </conditionalFormatting>
  <conditionalFormatting sqref="G44:I44">
    <cfRule type="expression" dxfId="581" priority="186">
      <formula>AND($B44&lt;&gt;"",$B59="")</formula>
    </cfRule>
    <cfRule type="expression" dxfId="580" priority="187">
      <formula>$B44=""</formula>
    </cfRule>
  </conditionalFormatting>
  <conditionalFormatting sqref="G44:I44">
    <cfRule type="expression" dxfId="579" priority="184">
      <formula>AND($B44&lt;&gt;"",#REF!="")</formula>
    </cfRule>
    <cfRule type="expression" dxfId="578" priority="185">
      <formula>$B44=""</formula>
    </cfRule>
  </conditionalFormatting>
  <conditionalFormatting sqref="G44:I44">
    <cfRule type="expression" dxfId="577" priority="182">
      <formula>AND($B44&lt;&gt;"",$B59="")</formula>
    </cfRule>
    <cfRule type="expression" dxfId="576" priority="183">
      <formula>$B44=""</formula>
    </cfRule>
  </conditionalFormatting>
  <conditionalFormatting sqref="G44:I44">
    <cfRule type="expression" dxfId="575" priority="180">
      <formula>AND($B44&lt;&gt;"",#REF!="")</formula>
    </cfRule>
    <cfRule type="expression" dxfId="574" priority="181">
      <formula>$B44=""</formula>
    </cfRule>
  </conditionalFormatting>
  <conditionalFormatting sqref="G44:I44">
    <cfRule type="expression" dxfId="573" priority="178">
      <formula>AND($B44&lt;&gt;"",$B45="")</formula>
    </cfRule>
    <cfRule type="expression" dxfId="572" priority="179">
      <formula>$B44=""</formula>
    </cfRule>
  </conditionalFormatting>
  <conditionalFormatting sqref="G44:I44">
    <cfRule type="expression" dxfId="571" priority="177">
      <formula>COUNTIF($U44:$AB44,G44)&gt;1</formula>
    </cfRule>
  </conditionalFormatting>
  <conditionalFormatting sqref="G44:I44">
    <cfRule type="expression" dxfId="570" priority="175">
      <formula>AND($B44&lt;&gt;"",$B59="")</formula>
    </cfRule>
    <cfRule type="expression" dxfId="569" priority="176">
      <formula>$B44=""</formula>
    </cfRule>
  </conditionalFormatting>
  <conditionalFormatting sqref="G44:I44">
    <cfRule type="expression" dxfId="568" priority="173">
      <formula>AND($B44&lt;&gt;"",#REF!="")</formula>
    </cfRule>
    <cfRule type="expression" dxfId="567" priority="174">
      <formula>$B44=""</formula>
    </cfRule>
  </conditionalFormatting>
  <conditionalFormatting sqref="G45:K45">
    <cfRule type="expression" dxfId="566" priority="171">
      <formula>AND($B45&lt;&gt;"",$B64="")</formula>
    </cfRule>
    <cfRule type="expression" dxfId="565" priority="172">
      <formula>$B45=""</formula>
    </cfRule>
  </conditionalFormatting>
  <conditionalFormatting sqref="G45:I45">
    <cfRule type="expression" dxfId="564" priority="169">
      <formula>AND($B45&lt;&gt;"",$B60="")</formula>
    </cfRule>
    <cfRule type="expression" dxfId="563" priority="170">
      <formula>$B45=""</formula>
    </cfRule>
  </conditionalFormatting>
  <conditionalFormatting sqref="G45:I45">
    <cfRule type="expression" dxfId="562" priority="167">
      <formula>AND($B45&lt;&gt;"",#REF!="")</formula>
    </cfRule>
    <cfRule type="expression" dxfId="561" priority="168">
      <formula>$B45=""</formula>
    </cfRule>
  </conditionalFormatting>
  <conditionalFormatting sqref="G45:I45">
    <cfRule type="expression" dxfId="560" priority="165">
      <formula>AND($B45&lt;&gt;"",$B46="")</formula>
    </cfRule>
    <cfRule type="expression" dxfId="559" priority="166">
      <formula>$B45=""</formula>
    </cfRule>
  </conditionalFormatting>
  <conditionalFormatting sqref="G45:I45">
    <cfRule type="expression" dxfId="558" priority="164">
      <formula>COUNTIF($U45:$AB45,G45)&gt;1</formula>
    </cfRule>
  </conditionalFormatting>
  <conditionalFormatting sqref="G45:I45">
    <cfRule type="expression" dxfId="557" priority="162">
      <formula>AND($B45&lt;&gt;"",$B60="")</formula>
    </cfRule>
    <cfRule type="expression" dxfId="556" priority="163">
      <formula>$B45=""</formula>
    </cfRule>
  </conditionalFormatting>
  <conditionalFormatting sqref="G45:I45">
    <cfRule type="expression" dxfId="555" priority="160">
      <formula>AND($B45&lt;&gt;"",#REF!="")</formula>
    </cfRule>
    <cfRule type="expression" dxfId="554" priority="161">
      <formula>$B45=""</formula>
    </cfRule>
  </conditionalFormatting>
  <conditionalFormatting sqref="G45:I45">
    <cfRule type="expression" dxfId="553" priority="158">
      <formula>AND($B45&lt;&gt;"",$B60="")</formula>
    </cfRule>
    <cfRule type="expression" dxfId="552" priority="159">
      <formula>$B45=""</formula>
    </cfRule>
  </conditionalFormatting>
  <conditionalFormatting sqref="G45:I45">
    <cfRule type="expression" dxfId="551" priority="156">
      <formula>AND($B45&lt;&gt;"",#REF!="")</formula>
    </cfRule>
    <cfRule type="expression" dxfId="550" priority="157">
      <formula>$B45=""</formula>
    </cfRule>
  </conditionalFormatting>
  <conditionalFormatting sqref="G45:I45">
    <cfRule type="expression" dxfId="549" priority="154">
      <formula>AND($B45&lt;&gt;"",$B46="")</formula>
    </cfRule>
    <cfRule type="expression" dxfId="548" priority="155">
      <formula>$B45=""</formula>
    </cfRule>
  </conditionalFormatting>
  <conditionalFormatting sqref="G45:I45">
    <cfRule type="expression" dxfId="547" priority="153">
      <formula>COUNTIF($U45:$AB45,G45)&gt;1</formula>
    </cfRule>
  </conditionalFormatting>
  <conditionalFormatting sqref="G45:I45">
    <cfRule type="expression" dxfId="546" priority="151">
      <formula>AND($B45&lt;&gt;"",$B60="")</formula>
    </cfRule>
    <cfRule type="expression" dxfId="545" priority="152">
      <formula>$B45=""</formula>
    </cfRule>
  </conditionalFormatting>
  <conditionalFormatting sqref="G45:I45">
    <cfRule type="expression" dxfId="544" priority="149">
      <formula>AND($B45&lt;&gt;"",#REF!="")</formula>
    </cfRule>
    <cfRule type="expression" dxfId="543" priority="150">
      <formula>$B45=""</formula>
    </cfRule>
  </conditionalFormatting>
  <conditionalFormatting sqref="G46:K46">
    <cfRule type="expression" dxfId="542" priority="147">
      <formula>AND($B46&lt;&gt;"",$B65="")</formula>
    </cfRule>
    <cfRule type="expression" dxfId="541" priority="148">
      <formula>$B46=""</formula>
    </cfRule>
  </conditionalFormatting>
  <conditionalFormatting sqref="G46:I46">
    <cfRule type="expression" dxfId="540" priority="145">
      <formula>AND($B46&lt;&gt;"",$B61="")</formula>
    </cfRule>
    <cfRule type="expression" dxfId="539" priority="146">
      <formula>$B46=""</formula>
    </cfRule>
  </conditionalFormatting>
  <conditionalFormatting sqref="G46:I46">
    <cfRule type="expression" dxfId="538" priority="143">
      <formula>AND($B46&lt;&gt;"",#REF!="")</formula>
    </cfRule>
    <cfRule type="expression" dxfId="537" priority="144">
      <formula>$B46=""</formula>
    </cfRule>
  </conditionalFormatting>
  <conditionalFormatting sqref="G46:I46">
    <cfRule type="expression" dxfId="536" priority="141">
      <formula>AND($B46&lt;&gt;"",$B47="")</formula>
    </cfRule>
    <cfRule type="expression" dxfId="535" priority="142">
      <formula>$B46=""</formula>
    </cfRule>
  </conditionalFormatting>
  <conditionalFormatting sqref="G46:I46">
    <cfRule type="expression" dxfId="534" priority="140">
      <formula>COUNTIF($U46:$AB46,G46)&gt;1</formula>
    </cfRule>
  </conditionalFormatting>
  <conditionalFormatting sqref="G46:I46">
    <cfRule type="expression" dxfId="533" priority="138">
      <formula>AND($B46&lt;&gt;"",$B61="")</formula>
    </cfRule>
    <cfRule type="expression" dxfId="532" priority="139">
      <formula>$B46=""</formula>
    </cfRule>
  </conditionalFormatting>
  <conditionalFormatting sqref="G46:I46">
    <cfRule type="expression" dxfId="531" priority="136">
      <formula>AND($B46&lt;&gt;"",#REF!="")</formula>
    </cfRule>
    <cfRule type="expression" dxfId="530" priority="137">
      <formula>$B46=""</formula>
    </cfRule>
  </conditionalFormatting>
  <conditionalFormatting sqref="G46:I46">
    <cfRule type="expression" dxfId="529" priority="134">
      <formula>AND($B46&lt;&gt;"",$B61="")</formula>
    </cfRule>
    <cfRule type="expression" dxfId="528" priority="135">
      <formula>$B46=""</formula>
    </cfRule>
  </conditionalFormatting>
  <conditionalFormatting sqref="G46:I46">
    <cfRule type="expression" dxfId="527" priority="132">
      <formula>AND($B46&lt;&gt;"",#REF!="")</formula>
    </cfRule>
    <cfRule type="expression" dxfId="526" priority="133">
      <formula>$B46=""</formula>
    </cfRule>
  </conditionalFormatting>
  <conditionalFormatting sqref="G46:I46">
    <cfRule type="expression" dxfId="525" priority="130">
      <formula>AND($B46&lt;&gt;"",$B47="")</formula>
    </cfRule>
    <cfRule type="expression" dxfId="524" priority="131">
      <formula>$B46=""</formula>
    </cfRule>
  </conditionalFormatting>
  <conditionalFormatting sqref="G46:I46">
    <cfRule type="expression" dxfId="523" priority="129">
      <formula>COUNTIF($U46:$AB46,G46)&gt;1</formula>
    </cfRule>
  </conditionalFormatting>
  <conditionalFormatting sqref="G46:I46">
    <cfRule type="expression" dxfId="522" priority="127">
      <formula>AND($B46&lt;&gt;"",$B61="")</formula>
    </cfRule>
    <cfRule type="expression" dxfId="521" priority="128">
      <formula>$B46=""</formula>
    </cfRule>
  </conditionalFormatting>
  <conditionalFormatting sqref="G46:I46">
    <cfRule type="expression" dxfId="520" priority="125">
      <formula>AND($B46&lt;&gt;"",#REF!="")</formula>
    </cfRule>
    <cfRule type="expression" dxfId="519" priority="126">
      <formula>$B46=""</formula>
    </cfRule>
  </conditionalFormatting>
  <conditionalFormatting sqref="G47:K47">
    <cfRule type="expression" dxfId="518" priority="123">
      <formula>AND($B47&lt;&gt;"",$B66="")</formula>
    </cfRule>
    <cfRule type="expression" dxfId="517" priority="124">
      <formula>$B47=""</formula>
    </cfRule>
  </conditionalFormatting>
  <conditionalFormatting sqref="G47:I47">
    <cfRule type="expression" dxfId="516" priority="121">
      <formula>AND($B47&lt;&gt;"",$B62="")</formula>
    </cfRule>
    <cfRule type="expression" dxfId="515" priority="122">
      <formula>$B47=""</formula>
    </cfRule>
  </conditionalFormatting>
  <conditionalFormatting sqref="G47:I47">
    <cfRule type="expression" dxfId="514" priority="119">
      <formula>AND($B47&lt;&gt;"",#REF!="")</formula>
    </cfRule>
    <cfRule type="expression" dxfId="513" priority="120">
      <formula>$B47=""</formula>
    </cfRule>
  </conditionalFormatting>
  <conditionalFormatting sqref="G47:I47">
    <cfRule type="expression" dxfId="512" priority="117">
      <formula>AND($B47&lt;&gt;"",$B48="")</formula>
    </cfRule>
    <cfRule type="expression" dxfId="511" priority="118">
      <formula>$B47=""</formula>
    </cfRule>
  </conditionalFormatting>
  <conditionalFormatting sqref="G47:I47">
    <cfRule type="expression" dxfId="510" priority="116">
      <formula>COUNTIF($U47:$AB47,G47)&gt;1</formula>
    </cfRule>
  </conditionalFormatting>
  <conditionalFormatting sqref="G47:I47">
    <cfRule type="expression" dxfId="509" priority="114">
      <formula>AND($B47&lt;&gt;"",$B62="")</formula>
    </cfRule>
    <cfRule type="expression" dxfId="508" priority="115">
      <formula>$B47=""</formula>
    </cfRule>
  </conditionalFormatting>
  <conditionalFormatting sqref="G47:I47">
    <cfRule type="expression" dxfId="507" priority="112">
      <formula>AND($B47&lt;&gt;"",#REF!="")</formula>
    </cfRule>
    <cfRule type="expression" dxfId="506" priority="113">
      <formula>$B47=""</formula>
    </cfRule>
  </conditionalFormatting>
  <conditionalFormatting sqref="G47:I47">
    <cfRule type="expression" dxfId="505" priority="110">
      <formula>AND($B47&lt;&gt;"",$B62="")</formula>
    </cfRule>
    <cfRule type="expression" dxfId="504" priority="111">
      <formula>$B47=""</formula>
    </cfRule>
  </conditionalFormatting>
  <conditionalFormatting sqref="G47:I47">
    <cfRule type="expression" dxfId="503" priority="108">
      <formula>AND($B47&lt;&gt;"",#REF!="")</formula>
    </cfRule>
    <cfRule type="expression" dxfId="502" priority="109">
      <formula>$B47=""</formula>
    </cfRule>
  </conditionalFormatting>
  <conditionalFormatting sqref="G47:I47">
    <cfRule type="expression" dxfId="501" priority="106">
      <formula>AND($B47&lt;&gt;"",$B48="")</formula>
    </cfRule>
    <cfRule type="expression" dxfId="500" priority="107">
      <formula>$B47=""</formula>
    </cfRule>
  </conditionalFormatting>
  <conditionalFormatting sqref="G47:I47">
    <cfRule type="expression" dxfId="499" priority="105">
      <formula>COUNTIF($U47:$AB47,G47)&gt;1</formula>
    </cfRule>
  </conditionalFormatting>
  <conditionalFormatting sqref="G47:I47">
    <cfRule type="expression" dxfId="498" priority="103">
      <formula>AND($B47&lt;&gt;"",$B62="")</formula>
    </cfRule>
    <cfRule type="expression" dxfId="497" priority="104">
      <formula>$B47=""</formula>
    </cfRule>
  </conditionalFormatting>
  <conditionalFormatting sqref="G47:I47">
    <cfRule type="expression" dxfId="496" priority="101">
      <formula>AND($B47&lt;&gt;"",#REF!="")</formula>
    </cfRule>
    <cfRule type="expression" dxfId="495" priority="102">
      <formula>$B47=""</formula>
    </cfRule>
  </conditionalFormatting>
  <conditionalFormatting sqref="G48:K48">
    <cfRule type="expression" dxfId="494" priority="99">
      <formula>AND($B48&lt;&gt;"",$B67="")</formula>
    </cfRule>
    <cfRule type="expression" dxfId="493" priority="100">
      <formula>$B48=""</formula>
    </cfRule>
  </conditionalFormatting>
  <conditionalFormatting sqref="G48:I48">
    <cfRule type="expression" dxfId="492" priority="97">
      <formula>AND($B48&lt;&gt;"",$B63="")</formula>
    </cfRule>
    <cfRule type="expression" dxfId="491" priority="98">
      <formula>$B48=""</formula>
    </cfRule>
  </conditionalFormatting>
  <conditionalFormatting sqref="G48:I48">
    <cfRule type="expression" dxfId="490" priority="95">
      <formula>AND($B48&lt;&gt;"",#REF!="")</formula>
    </cfRule>
    <cfRule type="expression" dxfId="489" priority="96">
      <formula>$B48=""</formula>
    </cfRule>
  </conditionalFormatting>
  <conditionalFormatting sqref="G48:I48">
    <cfRule type="expression" dxfId="488" priority="93">
      <formula>AND($B48&lt;&gt;"",$B49="")</formula>
    </cfRule>
    <cfRule type="expression" dxfId="487" priority="94">
      <formula>$B48=""</formula>
    </cfRule>
  </conditionalFormatting>
  <conditionalFormatting sqref="G48:I48">
    <cfRule type="expression" dxfId="486" priority="92">
      <formula>COUNTIF($U48:$AB48,G48)&gt;1</formula>
    </cfRule>
  </conditionalFormatting>
  <conditionalFormatting sqref="G48:I48">
    <cfRule type="expression" dxfId="485" priority="90">
      <formula>AND($B48&lt;&gt;"",$B63="")</formula>
    </cfRule>
    <cfRule type="expression" dxfId="484" priority="91">
      <formula>$B48=""</formula>
    </cfRule>
  </conditionalFormatting>
  <conditionalFormatting sqref="G48:I48">
    <cfRule type="expression" dxfId="483" priority="88">
      <formula>AND($B48&lt;&gt;"",#REF!="")</formula>
    </cfRule>
    <cfRule type="expression" dxfId="482" priority="89">
      <formula>$B48=""</formula>
    </cfRule>
  </conditionalFormatting>
  <conditionalFormatting sqref="G48:I48">
    <cfRule type="expression" dxfId="481" priority="86">
      <formula>AND($B48&lt;&gt;"",$B63="")</formula>
    </cfRule>
    <cfRule type="expression" dxfId="480" priority="87">
      <formula>$B48=""</formula>
    </cfRule>
  </conditionalFormatting>
  <conditionalFormatting sqref="G48:I48">
    <cfRule type="expression" dxfId="479" priority="84">
      <formula>AND($B48&lt;&gt;"",#REF!="")</formula>
    </cfRule>
    <cfRule type="expression" dxfId="478" priority="85">
      <formula>$B48=""</formula>
    </cfRule>
  </conditionalFormatting>
  <conditionalFormatting sqref="G48:I48">
    <cfRule type="expression" dxfId="477" priority="82">
      <formula>AND($B48&lt;&gt;"",$B49="")</formula>
    </cfRule>
    <cfRule type="expression" dxfId="476" priority="83">
      <formula>$B48=""</formula>
    </cfRule>
  </conditionalFormatting>
  <conditionalFormatting sqref="G48:I48">
    <cfRule type="expression" dxfId="475" priority="81">
      <formula>COUNTIF($U48:$AB48,G48)&gt;1</formula>
    </cfRule>
  </conditionalFormatting>
  <conditionalFormatting sqref="G48:I48">
    <cfRule type="expression" dxfId="474" priority="79">
      <formula>AND($B48&lt;&gt;"",$B63="")</formula>
    </cfRule>
    <cfRule type="expression" dxfId="473" priority="80">
      <formula>$B48=""</formula>
    </cfRule>
  </conditionalFormatting>
  <conditionalFormatting sqref="G48:I48">
    <cfRule type="expression" dxfId="472" priority="77">
      <formula>AND($B48&lt;&gt;"",#REF!="")</formula>
    </cfRule>
    <cfRule type="expression" dxfId="471" priority="78">
      <formula>$B48=""</formula>
    </cfRule>
  </conditionalFormatting>
  <conditionalFormatting sqref="G49:K49">
    <cfRule type="expression" dxfId="470" priority="75">
      <formula>AND($B49&lt;&gt;"",$B68="")</formula>
    </cfRule>
    <cfRule type="expression" dxfId="469" priority="76">
      <formula>$B49=""</formula>
    </cfRule>
  </conditionalFormatting>
  <conditionalFormatting sqref="G49:I49">
    <cfRule type="expression" dxfId="468" priority="73">
      <formula>AND($B49&lt;&gt;"",$B64="")</formula>
    </cfRule>
    <cfRule type="expression" dxfId="467" priority="74">
      <formula>$B49=""</formula>
    </cfRule>
  </conditionalFormatting>
  <conditionalFormatting sqref="G49:I49">
    <cfRule type="expression" dxfId="466" priority="71">
      <formula>AND($B49&lt;&gt;"",#REF!="")</formula>
    </cfRule>
    <cfRule type="expression" dxfId="465" priority="72">
      <formula>$B49=""</formula>
    </cfRule>
  </conditionalFormatting>
  <conditionalFormatting sqref="G49:I49">
    <cfRule type="expression" dxfId="464" priority="69">
      <formula>AND($B49&lt;&gt;"",$B50="")</formula>
    </cfRule>
    <cfRule type="expression" dxfId="463" priority="70">
      <formula>$B49=""</formula>
    </cfRule>
  </conditionalFormatting>
  <conditionalFormatting sqref="G49:I49">
    <cfRule type="expression" dxfId="462" priority="68">
      <formula>COUNTIF($U49:$AB49,G49)&gt;1</formula>
    </cfRule>
  </conditionalFormatting>
  <conditionalFormatting sqref="G49:I49">
    <cfRule type="expression" dxfId="461" priority="66">
      <formula>AND($B49&lt;&gt;"",$B64="")</formula>
    </cfRule>
    <cfRule type="expression" dxfId="460" priority="67">
      <formula>$B49=""</formula>
    </cfRule>
  </conditionalFormatting>
  <conditionalFormatting sqref="G49:I49">
    <cfRule type="expression" dxfId="459" priority="64">
      <formula>AND($B49&lt;&gt;"",#REF!="")</formula>
    </cfRule>
    <cfRule type="expression" dxfId="458" priority="65">
      <formula>$B49=""</formula>
    </cfRule>
  </conditionalFormatting>
  <conditionalFormatting sqref="G49:I49">
    <cfRule type="expression" dxfId="457" priority="62">
      <formula>AND($B49&lt;&gt;"",$B64="")</formula>
    </cfRule>
    <cfRule type="expression" dxfId="456" priority="63">
      <formula>$B49=""</formula>
    </cfRule>
  </conditionalFormatting>
  <conditionalFormatting sqref="G49:I49">
    <cfRule type="expression" dxfId="455" priority="60">
      <formula>AND($B49&lt;&gt;"",#REF!="")</formula>
    </cfRule>
    <cfRule type="expression" dxfId="454" priority="61">
      <formula>$B49=""</formula>
    </cfRule>
  </conditionalFormatting>
  <conditionalFormatting sqref="G49:I49">
    <cfRule type="expression" dxfId="453" priority="58">
      <formula>AND($B49&lt;&gt;"",$B50="")</formula>
    </cfRule>
    <cfRule type="expression" dxfId="452" priority="59">
      <formula>$B49=""</formula>
    </cfRule>
  </conditionalFormatting>
  <conditionalFormatting sqref="G49:I49">
    <cfRule type="expression" dxfId="451" priority="57">
      <formula>COUNTIF($U49:$AB49,G49)&gt;1</formula>
    </cfRule>
  </conditionalFormatting>
  <conditionalFormatting sqref="G49:I49">
    <cfRule type="expression" dxfId="450" priority="55">
      <formula>AND($B49&lt;&gt;"",$B64="")</formula>
    </cfRule>
    <cfRule type="expression" dxfId="449" priority="56">
      <formula>$B49=""</formula>
    </cfRule>
  </conditionalFormatting>
  <conditionalFormatting sqref="G49:I49">
    <cfRule type="expression" dxfId="448" priority="53">
      <formula>AND($B49&lt;&gt;"",#REF!="")</formula>
    </cfRule>
    <cfRule type="expression" dxfId="447" priority="54">
      <formula>$B49=""</formula>
    </cfRule>
  </conditionalFormatting>
  <conditionalFormatting sqref="G50:K50">
    <cfRule type="expression" dxfId="446" priority="51">
      <formula>AND($B50&lt;&gt;"",$B69="")</formula>
    </cfRule>
    <cfRule type="expression" dxfId="445" priority="52">
      <formula>$B50=""</formula>
    </cfRule>
  </conditionalFormatting>
  <conditionalFormatting sqref="G50:I50">
    <cfRule type="expression" dxfId="444" priority="49">
      <formula>AND($B50&lt;&gt;"",$B65="")</formula>
    </cfRule>
    <cfRule type="expression" dxfId="443" priority="50">
      <formula>$B50=""</formula>
    </cfRule>
  </conditionalFormatting>
  <conditionalFormatting sqref="G50:I50">
    <cfRule type="expression" dxfId="442" priority="47">
      <formula>AND($B50&lt;&gt;"",#REF!="")</formula>
    </cfRule>
    <cfRule type="expression" dxfId="441" priority="48">
      <formula>$B50=""</formula>
    </cfRule>
  </conditionalFormatting>
  <conditionalFormatting sqref="G50:I50">
    <cfRule type="expression" dxfId="440" priority="45">
      <formula>AND($B50&lt;&gt;"",$B51="")</formula>
    </cfRule>
    <cfRule type="expression" dxfId="439" priority="46">
      <formula>$B50=""</formula>
    </cfRule>
  </conditionalFormatting>
  <conditionalFormatting sqref="G50:I50">
    <cfRule type="expression" dxfId="438" priority="44">
      <formula>COUNTIF($U50:$AB50,G50)&gt;1</formula>
    </cfRule>
  </conditionalFormatting>
  <conditionalFormatting sqref="G50:I50">
    <cfRule type="expression" dxfId="437" priority="42">
      <formula>AND($B50&lt;&gt;"",$B65="")</formula>
    </cfRule>
    <cfRule type="expression" dxfId="436" priority="43">
      <formula>$B50=""</formula>
    </cfRule>
  </conditionalFormatting>
  <conditionalFormatting sqref="G50:I50">
    <cfRule type="expression" dxfId="435" priority="40">
      <formula>AND($B50&lt;&gt;"",#REF!="")</formula>
    </cfRule>
    <cfRule type="expression" dxfId="434" priority="41">
      <formula>$B50=""</formula>
    </cfRule>
  </conditionalFormatting>
  <conditionalFormatting sqref="G50:I50">
    <cfRule type="expression" dxfId="433" priority="38">
      <formula>AND($B50&lt;&gt;"",$B65="")</formula>
    </cfRule>
    <cfRule type="expression" dxfId="432" priority="39">
      <formula>$B50=""</formula>
    </cfRule>
  </conditionalFormatting>
  <conditionalFormatting sqref="G50:I50">
    <cfRule type="expression" dxfId="431" priority="36">
      <formula>AND($B50&lt;&gt;"",#REF!="")</formula>
    </cfRule>
    <cfRule type="expression" dxfId="430" priority="37">
      <formula>$B50=""</formula>
    </cfRule>
  </conditionalFormatting>
  <conditionalFormatting sqref="G50:I50">
    <cfRule type="expression" dxfId="429" priority="34">
      <formula>AND($B50&lt;&gt;"",$B51="")</formula>
    </cfRule>
    <cfRule type="expression" dxfId="428" priority="35">
      <formula>$B50=""</formula>
    </cfRule>
  </conditionalFormatting>
  <conditionalFormatting sqref="G50:I50">
    <cfRule type="expression" dxfId="427" priority="33">
      <formula>COUNTIF($U50:$AB50,G50)&gt;1</formula>
    </cfRule>
  </conditionalFormatting>
  <conditionalFormatting sqref="G50:I50">
    <cfRule type="expression" dxfId="426" priority="31">
      <formula>AND($B50&lt;&gt;"",$B65="")</formula>
    </cfRule>
    <cfRule type="expression" dxfId="425" priority="32">
      <formula>$B50=""</formula>
    </cfRule>
  </conditionalFormatting>
  <conditionalFormatting sqref="G50:I50">
    <cfRule type="expression" dxfId="424" priority="29">
      <formula>AND($B50&lt;&gt;"",#REF!="")</formula>
    </cfRule>
    <cfRule type="expression" dxfId="423" priority="30">
      <formula>$B50=""</formula>
    </cfRule>
  </conditionalFormatting>
  <conditionalFormatting sqref="Q14:R50">
    <cfRule type="expression" dxfId="422" priority="17">
      <formula>AND($B14&lt;&gt;"",$B15="")</formula>
    </cfRule>
    <cfRule type="expression" dxfId="421" priority="18">
      <formula>$B14=""</formula>
    </cfRule>
  </conditionalFormatting>
  <conditionalFormatting sqref="Q50:R50">
    <cfRule type="expression" dxfId="420" priority="19">
      <formula>AND($B50&lt;&gt;"",$B63="")</formula>
    </cfRule>
    <cfRule type="expression" dxfId="419" priority="20">
      <formula>$B50=""</formula>
    </cfRule>
  </conditionalFormatting>
  <conditionalFormatting sqref="Q43:R44">
    <cfRule type="expression" dxfId="418" priority="21">
      <formula>AND($B43&lt;&gt;"",$B62="")</formula>
    </cfRule>
    <cfRule type="expression" dxfId="417" priority="22">
      <formula>$B43=""</formula>
    </cfRule>
  </conditionalFormatting>
  <conditionalFormatting sqref="Q49:R49">
    <cfRule type="expression" dxfId="416" priority="23">
      <formula>AND($B49&lt;&gt;"",$B64="")</formula>
    </cfRule>
    <cfRule type="expression" dxfId="415" priority="24">
      <formula>$B49=""</formula>
    </cfRule>
  </conditionalFormatting>
  <conditionalFormatting sqref="Q45:R50">
    <cfRule type="expression" dxfId="414" priority="25">
      <formula>AND($B45&lt;&gt;"",#REF!="")</formula>
    </cfRule>
    <cfRule type="expression" dxfId="413" priority="26">
      <formula>$B45=""</formula>
    </cfRule>
  </conditionalFormatting>
  <conditionalFormatting sqref="Q50:R50">
    <cfRule type="expression" dxfId="412" priority="27">
      <formula>AND($B50&lt;&gt;"",#REF!="")</formula>
    </cfRule>
    <cfRule type="expression" dxfId="411" priority="28">
      <formula>$B50=""</formula>
    </cfRule>
  </conditionalFormatting>
  <conditionalFormatting sqref="AL49:AO49">
    <cfRule type="expression" dxfId="410" priority="13">
      <formula>AND($B49&lt;&gt;"",$B64="")</formula>
    </cfRule>
    <cfRule type="expression" dxfId="409" priority="14">
      <formula>$B49=""</formula>
    </cfRule>
  </conditionalFormatting>
  <conditionalFormatting sqref="AL14:AO50">
    <cfRule type="expression" dxfId="408" priority="4">
      <formula>AND($B14&lt;&gt;"",$B15="")</formula>
    </cfRule>
    <cfRule type="expression" dxfId="407" priority="5">
      <formula>$B14=""</formula>
    </cfRule>
  </conditionalFormatting>
  <conditionalFormatting sqref="AL50:AO50">
    <cfRule type="expression" dxfId="406" priority="6">
      <formula>AND($B50&lt;&gt;"",$B63="")</formula>
    </cfRule>
    <cfRule type="expression" dxfId="405" priority="7">
      <formula>$B50=""</formula>
    </cfRule>
  </conditionalFormatting>
  <conditionalFormatting sqref="AL43:AO44">
    <cfRule type="expression" dxfId="404" priority="8">
      <formula>AND($B43&lt;&gt;"",$B62="")</formula>
    </cfRule>
    <cfRule type="expression" dxfId="403" priority="9">
      <formula>$B43=""</formula>
    </cfRule>
  </conditionalFormatting>
  <conditionalFormatting sqref="AL45:AO50">
    <cfRule type="expression" dxfId="402" priority="10">
      <formula>AND($B45&lt;&gt;"",#REF!="")</formula>
    </cfRule>
    <cfRule type="expression" dxfId="401" priority="11">
      <formula>$B45=""</formula>
    </cfRule>
  </conditionalFormatting>
  <conditionalFormatting sqref="AL14:AO50">
    <cfRule type="expression" dxfId="400" priority="12">
      <formula>COUNTIF($AX14:$BE14,AL14)&gt;1</formula>
    </cfRule>
  </conditionalFormatting>
  <conditionalFormatting sqref="AL50:AO50">
    <cfRule type="expression" dxfId="399" priority="15">
      <formula>AND($B50&lt;&gt;"",#REF!="")</formula>
    </cfRule>
    <cfRule type="expression" dxfId="398" priority="16">
      <formula>$B50=""</formula>
    </cfRule>
  </conditionalFormatting>
  <conditionalFormatting sqref="AL14:AN50">
    <cfRule type="expression" dxfId="397" priority="2">
      <formula>AND($B14&lt;&gt;"",$B15="")</formula>
    </cfRule>
    <cfRule type="expression" dxfId="396" priority="3">
      <formula>$B14=""</formula>
    </cfRule>
  </conditionalFormatting>
  <conditionalFormatting sqref="AL14:AN50">
    <cfRule type="expression" dxfId="395" priority="1">
      <formula>COUNTIF($AX14:$BE14,AL14)&gt;1</formula>
    </cfRule>
  </conditionalFormatting>
  <dataValidations count="6">
    <dataValidation allowBlank="1" showInputMessage="1" showErrorMessage="1" prompt="Bobot Nilai" sqref="P13:R13 BH11 AE12:AF12"/>
    <dataValidation allowBlank="1" showInputMessage="1" showErrorMessage="1" promptTitle="Tulis Bobot Nilai" prompt="Berupa Nilai Praktik, Portofolio atau Proyek._x000a_Bobot Praktik disarankan lebih tinggi" sqref="AL13:AU13 AX13:BG13"/>
    <dataValidation allowBlank="1" showInputMessage="1" showErrorMessage="1" prompt="Rata-rata Harian" sqref="P12 AV12"/>
    <dataValidation type="whole" allowBlank="1" showInputMessage="1" showErrorMessage="1" errorTitle="Petunjuk" error="Nilai 0-100" sqref="F14:O63 Q14:R63 AL14:AU63">
      <formula1>0</formula1>
      <formula2>100</formula2>
    </dataValidation>
    <dataValidation allowBlank="1" showInputMessage="1" showErrorMessage="1" prompt="KKM" sqref="H69:H70"/>
    <dataValidation type="textLength" operator="lessThanOrEqual" allowBlank="1" showInputMessage="1" showErrorMessage="1" errorTitle="Petunjuk" error="Tulis ringkasan KD maksimal 65 huruf" sqref="AK2:AK11 BN2:BN11">
      <formula1>65</formula1>
    </dataValidation>
  </dataValidations>
  <hyperlinks>
    <hyperlink ref="B1:C2" location="Data2!A1" display="klik-HOME"/>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00B050"/>
  </sheetPr>
  <dimension ref="A1:BH84"/>
  <sheetViews>
    <sheetView showGridLines="0" showRowColHeaders="0" workbookViewId="0">
      <pane xSplit="5" ySplit="14" topLeftCell="F15" activePane="bottomRight" state="frozen"/>
      <selection activeCell="G68" sqref="G68:Y68"/>
      <selection pane="topRight" activeCell="G68" sqref="G68:Y68"/>
      <selection pane="bottomLeft" activeCell="G68" sqref="G68:Y68"/>
      <selection pane="bottomRight"/>
    </sheetView>
  </sheetViews>
  <sheetFormatPr defaultColWidth="0" defaultRowHeight="15" zeroHeight="1"/>
  <cols>
    <col min="1" max="1" width="1.28515625" style="2" customWidth="1"/>
    <col min="2" max="2" width="3.85546875" style="2" customWidth="1"/>
    <col min="3" max="3" width="8.5703125" style="1" customWidth="1"/>
    <col min="4" max="4" width="23.140625" style="2" customWidth="1"/>
    <col min="5" max="5" width="3.140625" style="2" customWidth="1"/>
    <col min="6" max="6" width="5.28515625" style="2" customWidth="1"/>
    <col min="7" max="9" width="4.140625" style="1" customWidth="1"/>
    <col min="10" max="11" width="6.42578125" style="1" customWidth="1"/>
    <col min="12" max="12" width="47.28515625" style="1" customWidth="1"/>
    <col min="13" max="13" width="5.28515625" style="2" customWidth="1"/>
    <col min="14" max="16" width="3.5703125" style="1" customWidth="1"/>
    <col min="17" max="21" width="3.5703125" style="2" customWidth="1"/>
    <col min="22" max="23" width="4.85546875" style="2" customWidth="1"/>
    <col min="24" max="24" width="30.7109375" style="2" customWidth="1"/>
    <col min="25" max="25" width="40.7109375" style="2" customWidth="1"/>
    <col min="26" max="26" width="7.42578125" style="24" customWidth="1"/>
    <col min="27" max="27" width="6.7109375" style="899" hidden="1" customWidth="1"/>
    <col min="28" max="28" width="1.42578125" style="899" hidden="1" customWidth="1"/>
    <col min="29" max="29" width="6.7109375" style="899" hidden="1" customWidth="1"/>
    <col min="30" max="30" width="1.28515625" style="899" hidden="1" customWidth="1"/>
    <col min="31" max="32" width="6.7109375" style="899" hidden="1" customWidth="1"/>
    <col min="33" max="33" width="1" style="899" hidden="1" customWidth="1"/>
    <col min="34" max="34" width="6.7109375" style="899" hidden="1" customWidth="1"/>
    <col min="35" max="35" width="1" style="899" hidden="1" customWidth="1"/>
    <col min="36" max="37" width="6.7109375" style="899" hidden="1" customWidth="1"/>
    <col min="38" max="38" width="2" style="899" hidden="1" customWidth="1"/>
    <col min="39" max="39" width="6.7109375" style="899" hidden="1" customWidth="1"/>
    <col min="40" max="40" width="6.7109375" style="938" hidden="1" customWidth="1"/>
    <col min="41" max="42" width="6.7109375" style="899" hidden="1" customWidth="1"/>
    <col min="43" max="43" width="2.7109375" style="811" hidden="1" customWidth="1"/>
    <col min="44" max="44" width="9.140625" style="811" hidden="1" customWidth="1"/>
    <col min="45" max="45" width="2.28515625" style="811" hidden="1" customWidth="1"/>
    <col min="46" max="46" width="9.140625" style="811" hidden="1" customWidth="1"/>
    <col min="47" max="47" width="1.85546875" style="811" hidden="1" customWidth="1"/>
    <col min="48" max="48" width="9.140625" style="811" hidden="1" customWidth="1"/>
    <col min="49" max="49" width="5.140625" style="811" hidden="1" customWidth="1"/>
    <col min="50" max="50" width="9.140625" style="811" hidden="1" customWidth="1"/>
    <col min="51" max="51" width="4.7109375" style="811" hidden="1" customWidth="1"/>
    <col min="52" max="60" width="9.140625" style="811" hidden="1" customWidth="1"/>
    <col min="61" max="16384" width="9.140625" hidden="1"/>
  </cols>
  <sheetData>
    <row r="1" spans="1:52" ht="15" customHeight="1">
      <c r="A1" s="67"/>
      <c r="B1" s="943"/>
      <c r="C1" s="944"/>
      <c r="D1" s="944"/>
      <c r="E1" s="945"/>
      <c r="F1" s="940" t="s">
        <v>0</v>
      </c>
      <c r="G1" s="1816" t="s">
        <v>630</v>
      </c>
      <c r="H1" s="1817"/>
      <c r="I1" s="1817"/>
      <c r="J1" s="1817"/>
      <c r="K1" s="1817"/>
      <c r="L1" s="1817"/>
      <c r="M1" s="894" t="s">
        <v>0</v>
      </c>
      <c r="N1" s="1817" t="s">
        <v>631</v>
      </c>
      <c r="O1" s="1817"/>
      <c r="P1" s="1817"/>
      <c r="Q1" s="1817"/>
      <c r="R1" s="1817"/>
      <c r="S1" s="1817"/>
      <c r="T1" s="895"/>
      <c r="U1" s="896" t="s">
        <v>632</v>
      </c>
      <c r="V1" s="897"/>
      <c r="W1" s="897"/>
      <c r="X1" s="897"/>
      <c r="Y1" s="898"/>
      <c r="Z1" s="66"/>
      <c r="AN1" s="900"/>
    </row>
    <row r="2" spans="1:52" ht="14.1" customHeight="1">
      <c r="A2" s="67"/>
      <c r="B2" s="946"/>
      <c r="C2" s="947"/>
      <c r="D2" s="948"/>
      <c r="E2" s="949"/>
      <c r="F2" s="941">
        <v>1</v>
      </c>
      <c r="G2" s="1818" t="s">
        <v>259</v>
      </c>
      <c r="H2" s="1819"/>
      <c r="I2" s="1819"/>
      <c r="J2" s="1819"/>
      <c r="K2" s="1819"/>
      <c r="L2" s="1820"/>
      <c r="M2" s="901">
        <v>1</v>
      </c>
      <c r="N2" s="1821" t="s">
        <v>143</v>
      </c>
      <c r="O2" s="1821"/>
      <c r="P2" s="1821"/>
      <c r="Q2" s="1821"/>
      <c r="R2" s="1821"/>
      <c r="S2" s="1821"/>
      <c r="T2" s="902"/>
      <c r="U2" s="903" t="s">
        <v>125</v>
      </c>
      <c r="V2" s="904" t="s">
        <v>633</v>
      </c>
      <c r="W2" s="903"/>
      <c r="X2" s="903"/>
      <c r="Y2" s="903"/>
      <c r="Z2" s="66"/>
      <c r="AN2" s="900"/>
    </row>
    <row r="3" spans="1:52" s="811" customFormat="1" ht="14.1" customHeight="1">
      <c r="A3" s="67"/>
      <c r="B3" s="946"/>
      <c r="C3" s="947"/>
      <c r="D3" s="948"/>
      <c r="E3" s="949"/>
      <c r="F3" s="942">
        <v>2</v>
      </c>
      <c r="G3" s="1813" t="s">
        <v>260</v>
      </c>
      <c r="H3" s="1814"/>
      <c r="I3" s="1814"/>
      <c r="J3" s="1814"/>
      <c r="K3" s="1814"/>
      <c r="L3" s="1815"/>
      <c r="M3" s="901">
        <v>2</v>
      </c>
      <c r="N3" s="1809" t="s">
        <v>33</v>
      </c>
      <c r="O3" s="1809"/>
      <c r="P3" s="1809"/>
      <c r="Q3" s="1809"/>
      <c r="R3" s="1809"/>
      <c r="S3" s="1809"/>
      <c r="T3" s="902"/>
      <c r="U3" s="903"/>
      <c r="V3" s="905" t="s">
        <v>647</v>
      </c>
      <c r="W3" s="903"/>
      <c r="X3" s="903"/>
      <c r="Y3" s="903"/>
      <c r="Z3" s="66"/>
      <c r="AA3" s="899"/>
      <c r="AB3" s="899"/>
      <c r="AC3" s="899"/>
      <c r="AD3" s="899"/>
      <c r="AE3" s="899"/>
      <c r="AF3" s="899"/>
      <c r="AG3" s="899"/>
      <c r="AH3" s="899"/>
      <c r="AI3" s="899"/>
      <c r="AJ3" s="899"/>
      <c r="AK3" s="899"/>
      <c r="AL3" s="899"/>
      <c r="AM3" s="899"/>
      <c r="AN3" s="900"/>
      <c r="AO3" s="899"/>
      <c r="AP3" s="899"/>
    </row>
    <row r="4" spans="1:52" s="811" customFormat="1" ht="14.1" customHeight="1">
      <c r="A4" s="67"/>
      <c r="B4" s="946"/>
      <c r="C4" s="947"/>
      <c r="D4" s="948"/>
      <c r="E4" s="949"/>
      <c r="F4" s="942">
        <v>3</v>
      </c>
      <c r="G4" s="1813" t="s">
        <v>261</v>
      </c>
      <c r="H4" s="1814"/>
      <c r="I4" s="1814"/>
      <c r="J4" s="1814"/>
      <c r="K4" s="1814"/>
      <c r="L4" s="1815"/>
      <c r="M4" s="901">
        <v>3</v>
      </c>
      <c r="N4" s="1809" t="s">
        <v>34</v>
      </c>
      <c r="O4" s="1809"/>
      <c r="P4" s="1809"/>
      <c r="Q4" s="1809"/>
      <c r="R4" s="1809"/>
      <c r="S4" s="1809"/>
      <c r="T4" s="902"/>
      <c r="U4" s="903" t="s">
        <v>126</v>
      </c>
      <c r="V4" s="903" t="s">
        <v>634</v>
      </c>
      <c r="W4" s="903"/>
      <c r="X4" s="903"/>
      <c r="Y4" s="903"/>
      <c r="Z4" s="66"/>
      <c r="AA4" s="899"/>
      <c r="AB4" s="899"/>
      <c r="AC4" s="899"/>
      <c r="AD4" s="899"/>
      <c r="AE4" s="899"/>
      <c r="AF4" s="899"/>
      <c r="AG4" s="899"/>
      <c r="AH4" s="899"/>
      <c r="AI4" s="899"/>
      <c r="AJ4" s="899"/>
      <c r="AK4" s="899"/>
      <c r="AL4" s="899"/>
      <c r="AM4" s="899"/>
      <c r="AN4" s="900"/>
      <c r="AO4" s="899"/>
      <c r="AP4" s="899"/>
    </row>
    <row r="5" spans="1:52" s="811" customFormat="1" ht="14.1" customHeight="1">
      <c r="A5" s="67"/>
      <c r="B5" s="1847" t="s">
        <v>274</v>
      </c>
      <c r="C5" s="1848"/>
      <c r="D5" s="1848"/>
      <c r="E5" s="1849"/>
      <c r="F5" s="942">
        <v>4</v>
      </c>
      <c r="G5" s="1813" t="s">
        <v>262</v>
      </c>
      <c r="H5" s="1814"/>
      <c r="I5" s="1814"/>
      <c r="J5" s="1814"/>
      <c r="K5" s="1814"/>
      <c r="L5" s="1815"/>
      <c r="M5" s="901">
        <v>4</v>
      </c>
      <c r="N5" s="1809" t="s">
        <v>37</v>
      </c>
      <c r="O5" s="1809"/>
      <c r="P5" s="1809"/>
      <c r="Q5" s="1809"/>
      <c r="R5" s="1809"/>
      <c r="S5" s="1809"/>
      <c r="T5" s="902"/>
      <c r="U5" s="903"/>
      <c r="V5" s="903" t="s">
        <v>648</v>
      </c>
      <c r="W5" s="903"/>
      <c r="X5" s="903"/>
      <c r="Y5" s="903"/>
      <c r="Z5" s="66"/>
      <c r="AA5" s="899"/>
      <c r="AB5" s="899"/>
      <c r="AC5" s="899"/>
      <c r="AD5" s="899"/>
      <c r="AE5" s="899"/>
      <c r="AF5" s="899"/>
      <c r="AG5" s="899"/>
      <c r="AH5" s="899"/>
      <c r="AI5" s="899"/>
      <c r="AJ5" s="899"/>
      <c r="AK5" s="899"/>
      <c r="AL5" s="899"/>
      <c r="AM5" s="899"/>
      <c r="AN5" s="900"/>
      <c r="AO5" s="899"/>
      <c r="AP5" s="899"/>
    </row>
    <row r="6" spans="1:52" s="811" customFormat="1" ht="14.1" customHeight="1">
      <c r="A6" s="67"/>
      <c r="B6" s="1847"/>
      <c r="C6" s="1848"/>
      <c r="D6" s="1848"/>
      <c r="E6" s="1849"/>
      <c r="F6" s="942">
        <v>5</v>
      </c>
      <c r="G6" s="1813" t="s">
        <v>263</v>
      </c>
      <c r="H6" s="1814"/>
      <c r="I6" s="1814"/>
      <c r="J6" s="1814"/>
      <c r="K6" s="1814"/>
      <c r="L6" s="1815"/>
      <c r="M6" s="901">
        <v>5</v>
      </c>
      <c r="N6" s="1809" t="s">
        <v>38</v>
      </c>
      <c r="O6" s="1809"/>
      <c r="P6" s="1809"/>
      <c r="Q6" s="1809"/>
      <c r="R6" s="1809"/>
      <c r="S6" s="1809"/>
      <c r="T6" s="902"/>
      <c r="U6" s="905" t="s">
        <v>127</v>
      </c>
      <c r="V6" s="905" t="s">
        <v>635</v>
      </c>
      <c r="W6" s="905"/>
      <c r="X6" s="905"/>
      <c r="Y6" s="905"/>
      <c r="Z6" s="66"/>
      <c r="AA6" s="899"/>
      <c r="AB6" s="899"/>
      <c r="AC6" s="899"/>
      <c r="AD6" s="899"/>
      <c r="AE6" s="899"/>
      <c r="AF6" s="899"/>
      <c r="AG6" s="899"/>
      <c r="AH6" s="899"/>
      <c r="AI6" s="899"/>
      <c r="AJ6" s="899"/>
      <c r="AK6" s="899"/>
      <c r="AL6" s="899"/>
      <c r="AM6" s="899"/>
      <c r="AN6" s="900"/>
      <c r="AO6" s="899"/>
      <c r="AP6" s="899"/>
    </row>
    <row r="7" spans="1:52" s="811" customFormat="1" ht="14.1" customHeight="1">
      <c r="A7" s="67"/>
      <c r="B7" s="1847"/>
      <c r="C7" s="1848"/>
      <c r="D7" s="1848"/>
      <c r="E7" s="1849"/>
      <c r="F7" s="942">
        <v>6</v>
      </c>
      <c r="G7" s="1813" t="s">
        <v>264</v>
      </c>
      <c r="H7" s="1814"/>
      <c r="I7" s="1814"/>
      <c r="J7" s="1814"/>
      <c r="K7" s="1814"/>
      <c r="L7" s="1815"/>
      <c r="M7" s="901">
        <v>6</v>
      </c>
      <c r="N7" s="1809" t="s">
        <v>355</v>
      </c>
      <c r="O7" s="1809"/>
      <c r="P7" s="1809"/>
      <c r="Q7" s="1809"/>
      <c r="R7" s="1809"/>
      <c r="S7" s="1809"/>
      <c r="T7" s="902"/>
      <c r="U7" s="903"/>
      <c r="V7" s="905" t="s">
        <v>649</v>
      </c>
      <c r="W7" s="905"/>
      <c r="X7" s="905"/>
      <c r="Y7" s="905"/>
      <c r="Z7" s="66"/>
      <c r="AA7" s="899"/>
      <c r="AB7" s="899"/>
      <c r="AC7" s="899"/>
      <c r="AD7" s="899"/>
      <c r="AE7" s="899"/>
      <c r="AF7" s="899"/>
      <c r="AG7" s="899"/>
      <c r="AH7" s="899"/>
      <c r="AI7" s="899"/>
      <c r="AJ7" s="899"/>
      <c r="AK7" s="899"/>
      <c r="AL7" s="899"/>
      <c r="AM7" s="899"/>
      <c r="AN7" s="900"/>
      <c r="AO7" s="899"/>
      <c r="AP7" s="899"/>
    </row>
    <row r="8" spans="1:52" s="811" customFormat="1" ht="14.1" customHeight="1">
      <c r="A8" s="67"/>
      <c r="B8" s="946"/>
      <c r="C8" s="947"/>
      <c r="D8" s="948"/>
      <c r="E8" s="949"/>
      <c r="F8" s="942">
        <v>7</v>
      </c>
      <c r="G8" s="1813" t="s">
        <v>265</v>
      </c>
      <c r="H8" s="1814"/>
      <c r="I8" s="1814"/>
      <c r="J8" s="1814"/>
      <c r="K8" s="1814"/>
      <c r="L8" s="1815"/>
      <c r="M8" s="901">
        <v>7</v>
      </c>
      <c r="N8" s="1809" t="s">
        <v>35</v>
      </c>
      <c r="O8" s="1809"/>
      <c r="P8" s="1809"/>
      <c r="Q8" s="1809"/>
      <c r="R8" s="1809"/>
      <c r="S8" s="1809"/>
      <c r="T8" s="902"/>
      <c r="U8" s="905"/>
      <c r="V8" s="905" t="s">
        <v>636</v>
      </c>
      <c r="W8" s="906"/>
      <c r="X8" s="906"/>
      <c r="Y8" s="906"/>
      <c r="Z8" s="66"/>
      <c r="AA8" s="899"/>
      <c r="AB8" s="899"/>
      <c r="AC8" s="899"/>
      <c r="AD8" s="899"/>
      <c r="AE8" s="899"/>
      <c r="AF8" s="899"/>
      <c r="AG8" s="899"/>
      <c r="AH8" s="899"/>
      <c r="AI8" s="899"/>
      <c r="AJ8" s="899"/>
      <c r="AK8" s="899"/>
      <c r="AL8" s="899"/>
      <c r="AM8" s="899"/>
      <c r="AN8" s="900"/>
      <c r="AO8" s="899"/>
      <c r="AP8" s="899"/>
    </row>
    <row r="9" spans="1:52" ht="14.1" customHeight="1">
      <c r="A9" s="100"/>
      <c r="B9" s="950"/>
      <c r="C9" s="951"/>
      <c r="D9" s="952"/>
      <c r="E9" s="953"/>
      <c r="F9" s="942">
        <v>8</v>
      </c>
      <c r="G9" s="1813" t="s">
        <v>266</v>
      </c>
      <c r="H9" s="1814"/>
      <c r="I9" s="1814"/>
      <c r="J9" s="1814"/>
      <c r="K9" s="1814"/>
      <c r="L9" s="1815"/>
      <c r="M9" s="901">
        <v>8</v>
      </c>
      <c r="N9" s="1809" t="s">
        <v>36</v>
      </c>
      <c r="O9" s="1809"/>
      <c r="P9" s="1809"/>
      <c r="Q9" s="1809"/>
      <c r="R9" s="1809"/>
      <c r="S9" s="1809"/>
      <c r="T9" s="902"/>
      <c r="U9" s="907" t="s">
        <v>128</v>
      </c>
      <c r="V9" s="905" t="s">
        <v>650</v>
      </c>
      <c r="W9" s="906"/>
      <c r="X9" s="906"/>
      <c r="Y9" s="906"/>
      <c r="Z9" s="66"/>
      <c r="AN9" s="900"/>
    </row>
    <row r="10" spans="1:52" ht="14.1" customHeight="1">
      <c r="A10" s="67"/>
      <c r="B10" s="946"/>
      <c r="C10" s="947"/>
      <c r="D10" s="948"/>
      <c r="E10" s="949"/>
      <c r="F10" s="942">
        <v>9</v>
      </c>
      <c r="G10" s="1813" t="s">
        <v>267</v>
      </c>
      <c r="H10" s="1814"/>
      <c r="I10" s="1814"/>
      <c r="J10" s="1814"/>
      <c r="K10" s="1814"/>
      <c r="L10" s="1815"/>
      <c r="M10" s="901">
        <v>9</v>
      </c>
      <c r="N10" s="1809" t="s">
        <v>637</v>
      </c>
      <c r="O10" s="1809"/>
      <c r="P10" s="1809"/>
      <c r="Q10" s="1809"/>
      <c r="R10" s="1809"/>
      <c r="S10" s="1809"/>
      <c r="T10" s="902"/>
      <c r="U10" s="907"/>
      <c r="V10" s="905" t="s">
        <v>651</v>
      </c>
      <c r="W10" s="906"/>
      <c r="X10" s="906"/>
      <c r="Y10" s="906"/>
      <c r="Z10" s="66"/>
      <c r="AN10" s="900"/>
    </row>
    <row r="11" spans="1:52" ht="14.1" customHeight="1" thickBot="1">
      <c r="A11" s="67"/>
      <c r="B11" s="1650" t="str">
        <f>"Kelas : "&amp;Data!C9</f>
        <v>Kelas : 10 IIS 2</v>
      </c>
      <c r="C11" s="1854"/>
      <c r="D11" s="1855" t="str">
        <f>"Smt. "&amp;Data!C10&amp;" / Th.Plj : "&amp;Data!C11</f>
        <v>Smt. 1 / Th.Plj : 2022-2023</v>
      </c>
      <c r="E11" s="1856"/>
      <c r="F11" s="942">
        <v>10</v>
      </c>
      <c r="G11" s="1810" t="s">
        <v>258</v>
      </c>
      <c r="H11" s="1811"/>
      <c r="I11" s="1811"/>
      <c r="J11" s="1811"/>
      <c r="K11" s="1811"/>
      <c r="L11" s="1812"/>
      <c r="M11" s="901">
        <v>10</v>
      </c>
      <c r="N11" s="1809" t="s">
        <v>646</v>
      </c>
      <c r="O11" s="1809"/>
      <c r="P11" s="1809"/>
      <c r="Q11" s="1809"/>
      <c r="R11" s="1809"/>
      <c r="S11" s="1809"/>
      <c r="T11" s="908"/>
      <c r="U11" s="907" t="s">
        <v>129</v>
      </c>
      <c r="V11" s="905" t="s">
        <v>652</v>
      </c>
      <c r="W11" s="909"/>
      <c r="X11" s="909"/>
      <c r="Y11" s="909"/>
      <c r="Z11" s="66"/>
      <c r="AN11" s="900"/>
    </row>
    <row r="12" spans="1:52" ht="17.100000000000001" customHeight="1" thickBot="1">
      <c r="A12" s="68"/>
      <c r="B12" s="1850" t="s">
        <v>0</v>
      </c>
      <c r="C12" s="1851" t="s">
        <v>1</v>
      </c>
      <c r="D12" s="1851" t="s">
        <v>2</v>
      </c>
      <c r="E12" s="1852" t="s">
        <v>26</v>
      </c>
      <c r="F12" s="1844" t="s">
        <v>653</v>
      </c>
      <c r="G12" s="1841" t="s">
        <v>638</v>
      </c>
      <c r="H12" s="1842"/>
      <c r="I12" s="1842"/>
      <c r="J12" s="1842"/>
      <c r="K12" s="1843"/>
      <c r="L12" s="910" t="s">
        <v>639</v>
      </c>
      <c r="M12" s="1844" t="s">
        <v>653</v>
      </c>
      <c r="N12" s="1836" t="s">
        <v>640</v>
      </c>
      <c r="O12" s="1837"/>
      <c r="P12" s="1837"/>
      <c r="Q12" s="1837"/>
      <c r="R12" s="1837"/>
      <c r="S12" s="1837"/>
      <c r="T12" s="1837"/>
      <c r="U12" s="1837"/>
      <c r="V12" s="1837"/>
      <c r="W12" s="1837"/>
      <c r="X12" s="1838" t="s">
        <v>641</v>
      </c>
      <c r="Y12" s="910" t="s">
        <v>642</v>
      </c>
      <c r="Z12" s="66"/>
      <c r="AN12" s="900"/>
    </row>
    <row r="13" spans="1:52" ht="20.25" customHeight="1" thickBot="1">
      <c r="A13" s="67"/>
      <c r="B13" s="1850"/>
      <c r="C13" s="1851"/>
      <c r="D13" s="1851"/>
      <c r="E13" s="1852"/>
      <c r="F13" s="1845"/>
      <c r="G13" s="1857" t="s">
        <v>268</v>
      </c>
      <c r="H13" s="1857"/>
      <c r="I13" s="1858"/>
      <c r="J13" s="1861" t="s">
        <v>287</v>
      </c>
      <c r="K13" s="1862"/>
      <c r="L13" s="1829" t="s">
        <v>1380</v>
      </c>
      <c r="M13" s="1845"/>
      <c r="N13" s="1822" t="s">
        <v>268</v>
      </c>
      <c r="O13" s="1823"/>
      <c r="P13" s="1823"/>
      <c r="Q13" s="1823"/>
      <c r="R13" s="1823"/>
      <c r="S13" s="1823"/>
      <c r="T13" s="1823"/>
      <c r="U13" s="1824"/>
      <c r="V13" s="1825" t="s">
        <v>643</v>
      </c>
      <c r="W13" s="1826"/>
      <c r="X13" s="1839"/>
      <c r="Y13" s="1829" t="s">
        <v>1379</v>
      </c>
      <c r="Z13" s="66"/>
      <c r="AN13" s="900"/>
    </row>
    <row r="14" spans="1:52" ht="22.5" customHeight="1" thickBot="1">
      <c r="A14" s="67"/>
      <c r="B14" s="1629"/>
      <c r="C14" s="1631"/>
      <c r="D14" s="1631"/>
      <c r="E14" s="1853"/>
      <c r="F14" s="1846"/>
      <c r="G14" s="1859"/>
      <c r="H14" s="1859"/>
      <c r="I14" s="1860"/>
      <c r="J14" s="1863"/>
      <c r="K14" s="1864"/>
      <c r="L14" s="1830"/>
      <c r="M14" s="1846"/>
      <c r="N14" s="1831" t="s">
        <v>6</v>
      </c>
      <c r="O14" s="1832"/>
      <c r="P14" s="1833"/>
      <c r="Q14" s="1831" t="s">
        <v>7</v>
      </c>
      <c r="R14" s="1832"/>
      <c r="S14" s="1834"/>
      <c r="T14" s="1835" t="s">
        <v>644</v>
      </c>
      <c r="U14" s="1833"/>
      <c r="V14" s="1827"/>
      <c r="W14" s="1828"/>
      <c r="X14" s="1840"/>
      <c r="Y14" s="1830"/>
      <c r="Z14" s="66"/>
      <c r="AA14" s="911"/>
      <c r="AB14" s="911"/>
      <c r="AC14" s="911"/>
      <c r="AD14" s="911"/>
      <c r="AE14" s="912"/>
      <c r="AF14" s="911"/>
      <c r="AG14" s="911"/>
      <c r="AH14" s="912"/>
      <c r="AI14" s="912"/>
      <c r="AJ14" s="912"/>
      <c r="AK14" s="912"/>
      <c r="AL14" s="912"/>
      <c r="AM14" s="912"/>
      <c r="AN14" s="900"/>
    </row>
    <row r="15" spans="1:52" ht="30" customHeight="1">
      <c r="A15" s="67"/>
      <c r="B15" s="351">
        <v>1</v>
      </c>
      <c r="C15" s="352">
        <f>IF(Data!F5="","",Data!F5)</f>
        <v>0</v>
      </c>
      <c r="D15" s="353" t="str">
        <f>IF(Data!H5="","",Data!H5)</f>
        <v>Aldo Alfinus Pakae</v>
      </c>
      <c r="E15" s="939" t="str">
        <f>IF(Data!I5="","",Data!I5)</f>
        <v>L</v>
      </c>
      <c r="F15" s="913" t="s">
        <v>62</v>
      </c>
      <c r="G15" s="914">
        <v>1</v>
      </c>
      <c r="H15" s="357">
        <v>2</v>
      </c>
      <c r="I15" s="915">
        <v>3</v>
      </c>
      <c r="J15" s="914">
        <v>4</v>
      </c>
      <c r="K15" s="915">
        <v>5</v>
      </c>
      <c r="L15" s="916" t="str">
        <f t="shared" ref="L15" si="0">IF(C15="","",IF(COUNTA(G15:K15)=0,$L$13,IF(COUNTA(G15:I15)&gt;0,"Selalu "&amp;CONCATENATE(AR15,AS15,AT15,AU15,AV15),"")&amp;IF(COUNTA(J15:K15)&lt;&gt;0,CONCATENATE(AW15,AX15,AY15,AZ15)&amp;" "&amp;LOWER($J$13),"")))</f>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15" s="917" t="s">
        <v>62</v>
      </c>
      <c r="N15" s="918">
        <v>1</v>
      </c>
      <c r="O15" s="919">
        <v>2</v>
      </c>
      <c r="P15" s="920">
        <v>3</v>
      </c>
      <c r="Q15" s="918">
        <v>4</v>
      </c>
      <c r="R15" s="920">
        <v>5</v>
      </c>
      <c r="S15" s="921">
        <v>6</v>
      </c>
      <c r="T15" s="922">
        <v>7</v>
      </c>
      <c r="U15" s="920">
        <v>8</v>
      </c>
      <c r="V15" s="923">
        <v>9</v>
      </c>
      <c r="W15" s="920">
        <v>10</v>
      </c>
      <c r="X15" s="932" t="s">
        <v>645</v>
      </c>
      <c r="Y15" s="924" t="str">
        <f t="shared" ref="Y15:Y16" si="1">IF(C15="","",IF(COUNTA(N15:W15)=0,$Y$13,IF(COUNTA(N15:U15)&gt;0,"Selalu menunjukkan","")&amp;IF(COUNTA(N15:P15)&gt;0," sikap "&amp;CONCATENATE(AA15,AB15,AC15,AD15,AE15)&amp;IF(Z15&gt;1," dengan "&amp;$N$14,"")&amp;",","")&amp;IF(COUNTA(Q15:S15)&gt;0," sikap "&amp;CONCATENATE(AF15,AG15,AH15,AI15,AJ15)&amp;IF(Z15&gt;1," dengan "&amp;$Q$14,"")&amp;",","")&amp;IF(COUNTA(T15:U15)&gt;0," sikap "&amp;AK15&amp;AL15&amp;AM15,"")&amp;IF(AND(COUNTA(N15:U15)&gt;0,COUNTA(V15:W15)&gt;0)," sedangkan sikap "&amp;AN15&amp;AO15&amp;AP15&amp;" "&amp;LOWER($V$13),IF(AND(COUNTA(N15:U15)=0,COUNTA(V15:W15)&gt;0),"Sikap "&amp;AN15&amp;AO15&amp;AP15&amp;" "&amp;LOWER($V$13),""))&amp;IF(COUNTA(N15:U15)&gt;0,". "&amp;X15,".")))</f>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15" s="1393">
        <f>IF(COUNTA(N15:P15)&gt;0,1,0)+IF(COUNTA(Q15:S15)&gt;0,1,0)+IF(COUNTA(T15:U15)&gt;0,1,0)</f>
        <v>3</v>
      </c>
      <c r="AA15" s="925" t="str">
        <f t="shared" ref="AA15:AA46" si="2">IFERROR(VLOOKUP(N15,$M$2:$S$11,2),"")</f>
        <v>jujur</v>
      </c>
      <c r="AB15" s="925" t="str">
        <f t="shared" ref="AB15" si="3">IF(AC15="","",IF(AND(AA15&lt;&gt;"",AD15="")," dan ",IF(AC15&lt;&gt;"",", ","")))</f>
        <v xml:space="preserve">, </v>
      </c>
      <c r="AC15" s="925" t="str">
        <f t="shared" ref="AC15:AC46" si="4">IFERROR(VLOOKUP(O15,$M$2:$S$11,2),"")</f>
        <v>disiplin</v>
      </c>
      <c r="AD15" s="925" t="str">
        <f>IF(AND(AC15&lt;&gt;"",AE15&lt;&gt;"")," dan ","")</f>
        <v xml:space="preserve"> dan </v>
      </c>
      <c r="AE15" s="925" t="str">
        <f t="shared" ref="AE15:AE46" si="5">IFERROR(VLOOKUP(P15,$M$2:$S$11,2),"")</f>
        <v>tanggung jawab</v>
      </c>
      <c r="AF15" s="926" t="str">
        <f t="shared" ref="AF15:AF46" si="6">IFERROR(VLOOKUP(Q15,$M$2:$S$11,2),"")</f>
        <v>santun</v>
      </c>
      <c r="AG15" s="926" t="str">
        <f t="shared" ref="AG15:AG16" si="7">IF(AH15="","",IF(AI15=""," dan ",IF(AH15&lt;&gt;"",", ","")))</f>
        <v xml:space="preserve">, </v>
      </c>
      <c r="AH15" s="926" t="str">
        <f t="shared" ref="AH15:AH46" si="8">IFERROR(VLOOKUP(R15,$M$2:$S$11,2),"")</f>
        <v>percaya diri</v>
      </c>
      <c r="AI15" s="925" t="str">
        <f>IF(AND(AH15&lt;&gt;"",AJ15&lt;&gt;"")," dan ","")</f>
        <v xml:space="preserve"> dan </v>
      </c>
      <c r="AJ15" s="926" t="str">
        <f t="shared" ref="AJ15:AJ46" si="9">IFERROR(VLOOKUP(S15,$M$2:$S$11,2),"")</f>
        <v>peduli</v>
      </c>
      <c r="AK15" s="925" t="str">
        <f t="shared" ref="AK15:AK46" si="10">IFERROR($T$14&amp;" "&amp;VLOOKUP(T15,$M$2:$S$11,2),"")</f>
        <v>kurang toleransi</v>
      </c>
      <c r="AL15" s="925" t="str">
        <f t="shared" ref="AL15:AL16" si="11">IF(AM15&lt;&gt;""," dan ","")</f>
        <v xml:space="preserve"> dan </v>
      </c>
      <c r="AM15" s="925" t="str">
        <f t="shared" ref="AM15:AM46" si="12">IFERROR($T$14&amp;" "&amp;VLOOKUP(U15,$M$2:$S$11,2),"")</f>
        <v>kurang gotong royong</v>
      </c>
      <c r="AN15" s="927" t="str">
        <f t="shared" ref="AN15:AN46" si="13">IFERROR(VLOOKUP(V15,$M$2:$S$11,2),"")</f>
        <v>nasionalis</v>
      </c>
      <c r="AO15" s="927" t="str">
        <f t="shared" ref="AO15:AO16" si="14">IF(AP15&lt;&gt;""," dan ","")</f>
        <v xml:space="preserve"> dan </v>
      </c>
      <c r="AP15" s="927" t="str">
        <f t="shared" ref="AP15:AP46" si="15">IFERROR(VLOOKUP(W15,$M$2:$S$11,2),"")</f>
        <v>demokratis</v>
      </c>
      <c r="AR15" s="928" t="str">
        <f>IFERROR(VLOOKUP(G15,$F$2:$L$11,2),"")</f>
        <v>berdoa sebelum dan sesudah melakukan kegiatan</v>
      </c>
      <c r="AS15" s="929" t="str">
        <f>IF(AT15="","",IF(AND(AR15&lt;&gt;"",AV15="")," dan ",IF(AT15&lt;&gt;"",", ","")))</f>
        <v xml:space="preserve">, </v>
      </c>
      <c r="AT15" s="928" t="str">
        <f t="shared" ref="AT15:AT64" si="16">IFERROR(VLOOKUP(H15,$F$2:$L$11,2),"")</f>
        <v>menjalankan ibadah sesuai dengan agamanya</v>
      </c>
      <c r="AU15" s="929" t="str">
        <f>IF(AV15="","",IF(AND(AT15&lt;&gt;"",AV15&lt;&gt;"")," dan ",""))</f>
        <v xml:space="preserve"> dan </v>
      </c>
      <c r="AV15" s="928" t="str">
        <f>IFERROR(VLOOKUP(I15,$F$2:$L$11,2),"")</f>
        <v>memberi salam pada saat awal dan akhir kegiatan</v>
      </c>
      <c r="AW15" s="928" t="str">
        <f t="shared" ref="AW15" si="17">IF(AND(COUNTA(G15:I15)&gt;0,COUNTA(J15:K15)&gt;0),". Sedangkan sikap ",IF(COUNTA(J15:K15)&gt;0,"Sikap ",""))</f>
        <v xml:space="preserve">. Sedangkan sikap </v>
      </c>
      <c r="AX15" s="928" t="str">
        <f t="shared" ref="AX15:AX64" si="18">IFERROR(VLOOKUP(J15,$F$2:$L$11,2),"")</f>
        <v>bersyukur atas nikmat dan karunia Tuhan Yang Maha Esa</v>
      </c>
      <c r="AY15" s="928" t="str">
        <f>IF(AND(AX15&lt;&gt;"",AZ15&lt;&gt;"")," dan "," ")</f>
        <v xml:space="preserve"> dan </v>
      </c>
      <c r="AZ15" s="928" t="str">
        <f t="shared" ref="AZ15:AZ64" si="19">IFERROR(VLOOKUP(K15,$F$2:$L$11,2),"")</f>
        <v>mensyukuri kemampuan manusia dalam mengendalikan diri</v>
      </c>
    </row>
    <row r="16" spans="1:52" ht="30" customHeight="1">
      <c r="A16" s="67"/>
      <c r="B16" s="272">
        <f t="shared" ref="B16:B47" si="20">IF(D16="","",B15+1)</f>
        <v>2</v>
      </c>
      <c r="C16" s="273">
        <f>IF(Data!F6="","",Data!F6)</f>
        <v>0</v>
      </c>
      <c r="D16" s="274" t="str">
        <f>IF(Data!H6="","",Data!H6)</f>
        <v>Aprianus Bira</v>
      </c>
      <c r="E16" s="275" t="str">
        <f>IF(Data!I6="","",Data!I6)</f>
        <v>L</v>
      </c>
      <c r="F16" s="913" t="s">
        <v>62</v>
      </c>
      <c r="G16" s="914">
        <v>1</v>
      </c>
      <c r="H16" s="357">
        <v>2</v>
      </c>
      <c r="I16" s="915">
        <v>3</v>
      </c>
      <c r="J16" s="914">
        <v>4</v>
      </c>
      <c r="K16" s="915">
        <v>5</v>
      </c>
      <c r="L16" s="916" t="str">
        <f>IF(C16="","",IF(COUNTA(G16:K16)=0,$L$13,IF(COUNTA(G16:I16)&gt;0,"Selalu "&amp;CONCATENATE(AR16,AS16,AT16,AU16,AV16),"")&amp;IF(COUNTA(J16:K16)&lt;&gt;0,CONCATENATE(AW16,AX16,AY16,AZ16)&amp;" "&amp;LOWER($J$13),"")))</f>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16" s="917" t="s">
        <v>62</v>
      </c>
      <c r="N16" s="918">
        <v>1</v>
      </c>
      <c r="O16" s="919">
        <v>2</v>
      </c>
      <c r="P16" s="920">
        <v>3</v>
      </c>
      <c r="Q16" s="918">
        <v>4</v>
      </c>
      <c r="R16" s="920">
        <v>5</v>
      </c>
      <c r="S16" s="921">
        <v>6</v>
      </c>
      <c r="T16" s="922">
        <v>7</v>
      </c>
      <c r="U16" s="920">
        <v>8</v>
      </c>
      <c r="V16" s="923">
        <v>9</v>
      </c>
      <c r="W16" s="920">
        <v>10</v>
      </c>
      <c r="X16" s="932" t="s">
        <v>645</v>
      </c>
      <c r="Y16" s="924" t="str">
        <f t="shared" si="1"/>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16" s="1393">
        <f t="shared" ref="Z16:Z64" si="21">IF(COUNTA(N16:P16)&gt;0,1,0)+IF(COUNTA(Q16:S16)&gt;0,1,0)+IF(COUNTA(T16:U16)&gt;0,1,0)</f>
        <v>3</v>
      </c>
      <c r="AA16" s="933" t="str">
        <f t="shared" si="2"/>
        <v>jujur</v>
      </c>
      <c r="AB16" s="933" t="str">
        <f>IF(AC16="","",IF(AND(AA16&lt;&gt;"",AD16="")," dan ",IF(AC16&lt;&gt;"",", ","")))</f>
        <v xml:space="preserve">, </v>
      </c>
      <c r="AC16" s="933" t="str">
        <f t="shared" si="4"/>
        <v>disiplin</v>
      </c>
      <c r="AD16" s="925" t="str">
        <f t="shared" ref="AD16:AD64" si="22">IF(AND(AC16&lt;&gt;"",AE16&lt;&gt;"")," dan ","")</f>
        <v xml:space="preserve"> dan </v>
      </c>
      <c r="AE16" s="933" t="str">
        <f t="shared" si="5"/>
        <v>tanggung jawab</v>
      </c>
      <c r="AF16" s="927" t="str">
        <f t="shared" si="6"/>
        <v>santun</v>
      </c>
      <c r="AG16" s="927" t="str">
        <f t="shared" si="7"/>
        <v xml:space="preserve">, </v>
      </c>
      <c r="AH16" s="927" t="str">
        <f t="shared" si="8"/>
        <v>percaya diri</v>
      </c>
      <c r="AI16" s="925" t="str">
        <f t="shared" ref="AI16:AI64" si="23">IF(AND(AH16&lt;&gt;"",AJ16&lt;&gt;"")," dan ","")</f>
        <v xml:space="preserve"> dan </v>
      </c>
      <c r="AJ16" s="927" t="str">
        <f t="shared" si="9"/>
        <v>peduli</v>
      </c>
      <c r="AK16" s="933" t="str">
        <f t="shared" si="10"/>
        <v>kurang toleransi</v>
      </c>
      <c r="AL16" s="933" t="str">
        <f t="shared" si="11"/>
        <v xml:space="preserve"> dan </v>
      </c>
      <c r="AM16" s="933" t="str">
        <f t="shared" si="12"/>
        <v>kurang gotong royong</v>
      </c>
      <c r="AN16" s="927" t="str">
        <f t="shared" si="13"/>
        <v>nasionalis</v>
      </c>
      <c r="AO16" s="927" t="str">
        <f t="shared" si="14"/>
        <v xml:space="preserve"> dan </v>
      </c>
      <c r="AP16" s="927" t="str">
        <f t="shared" si="15"/>
        <v>demokratis</v>
      </c>
      <c r="AR16" s="928" t="str">
        <f>IFERROR(VLOOKUP(G16,$F$2:$L$11,2),"")</f>
        <v>berdoa sebelum dan sesudah melakukan kegiatan</v>
      </c>
      <c r="AS16" s="929" t="str">
        <f>IF(AT16="","",IF(AND(AR16&lt;&gt;"",AV16="")," dan ",IF(AT16&lt;&gt;"",", ","")))</f>
        <v xml:space="preserve">, </v>
      </c>
      <c r="AT16" s="928" t="str">
        <f t="shared" si="16"/>
        <v>menjalankan ibadah sesuai dengan agamanya</v>
      </c>
      <c r="AU16" s="929" t="str">
        <f>IF(AV16="","",IF(AND(AT16&lt;&gt;"",AV16&lt;&gt;"")," dan ",""))</f>
        <v xml:space="preserve"> dan </v>
      </c>
      <c r="AV16" s="928" t="str">
        <f>IFERROR(VLOOKUP(I16,$F$2:$L$11,2),"")</f>
        <v>memberi salam pada saat awal dan akhir kegiatan</v>
      </c>
      <c r="AW16" s="928" t="str">
        <f>IF(AND(COUNTA(G16:I16)&gt;0,COUNTA(J16:K16)&gt;0),". Sedangkan sikap ",IF(COUNTA(J16:K16)&gt;0,"Sikap ",""))</f>
        <v xml:space="preserve">. Sedangkan sikap </v>
      </c>
      <c r="AX16" s="928" t="str">
        <f t="shared" si="18"/>
        <v>bersyukur atas nikmat dan karunia Tuhan Yang Maha Esa</v>
      </c>
      <c r="AY16" s="928" t="str">
        <f>IF(AND(AX16&lt;&gt;"",AZ16&lt;&gt;"")," dan "," ")</f>
        <v xml:space="preserve"> dan </v>
      </c>
      <c r="AZ16" s="928" t="str">
        <f t="shared" si="19"/>
        <v>mensyukuri kemampuan manusia dalam mengendalikan diri</v>
      </c>
    </row>
    <row r="17" spans="1:52" ht="30" customHeight="1">
      <c r="A17" s="67"/>
      <c r="B17" s="272">
        <f t="shared" si="20"/>
        <v>3</v>
      </c>
      <c r="C17" s="273">
        <f>IF(Data!F7="","",Data!F7)</f>
        <v>0</v>
      </c>
      <c r="D17" s="274" t="str">
        <f>IF(Data!H7="","",Data!H7)</f>
        <v>Asri Aldina Baksuni</v>
      </c>
      <c r="E17" s="275" t="str">
        <f>IF(Data!I7="","",Data!I7)</f>
        <v>P</v>
      </c>
      <c r="F17" s="913" t="s">
        <v>62</v>
      </c>
      <c r="G17" s="914">
        <v>1</v>
      </c>
      <c r="H17" s="357">
        <v>2</v>
      </c>
      <c r="I17" s="915">
        <v>3</v>
      </c>
      <c r="J17" s="914">
        <v>4</v>
      </c>
      <c r="K17" s="915">
        <v>5</v>
      </c>
      <c r="L17" s="916" t="str">
        <f t="shared" ref="L17:L64" si="24">IF(C17="","",IF(COUNTA(G17:K17)=0,$L$13,IF(COUNTA(G17:I17)&gt;0,"Selalu "&amp;CONCATENATE(AR17,AS17,AT17,AU17,AV17),"")&amp;IF(COUNTA(J17:K17)&lt;&gt;0,CONCATENATE(AW17,AX17,AY17,AZ17)&amp;" "&amp;LOWER($J$13),"")))</f>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17" s="917" t="s">
        <v>62</v>
      </c>
      <c r="N17" s="918">
        <v>1</v>
      </c>
      <c r="O17" s="919">
        <v>2</v>
      </c>
      <c r="P17" s="920">
        <v>3</v>
      </c>
      <c r="Q17" s="918">
        <v>4</v>
      </c>
      <c r="R17" s="920">
        <v>5</v>
      </c>
      <c r="S17" s="921">
        <v>6</v>
      </c>
      <c r="T17" s="922">
        <v>7</v>
      </c>
      <c r="U17" s="920">
        <v>8</v>
      </c>
      <c r="V17" s="923">
        <v>9</v>
      </c>
      <c r="W17" s="920">
        <v>10</v>
      </c>
      <c r="X17" s="932" t="s">
        <v>645</v>
      </c>
      <c r="Y17" s="924" t="str">
        <f>IF(C17="","",IF(COUNTA(N17:W17)=0,$Y$13,IF(COUNTA(N17:U17)&gt;0,"Selalu menunjukkan","")&amp;IF(COUNTA(N17:P17)&gt;0," sikap "&amp;CONCATENATE(AA17,AB17,AC17,AD17,AE17)&amp;IF(Z17&gt;1," dengan "&amp;$N$14,"")&amp;",","")&amp;IF(COUNTA(Q17:S17)&gt;0," sikap "&amp;CONCATENATE(AF17,AG17,AH17,AI17,AJ17)&amp;IF(Z17&gt;1," dengan "&amp;$Q$14,"")&amp;",","")&amp;IF(COUNTA(T17:U17)&gt;0," sikap "&amp;AK17&amp;AL17&amp;AM17,"")&amp;IF(AND(COUNTA(N17:U17)&gt;0,COUNTA(V17:W17)&gt;0)," sedangkan sikap "&amp;AN17&amp;AO17&amp;AP17&amp;" "&amp;LOWER($V$13),IF(AND(COUNTA(N17:U17)=0,COUNTA(V17:W17)&gt;0),"Sikap "&amp;AN17&amp;AO17&amp;AP17&amp;" "&amp;LOWER($V$13),""))&amp;IF(COUNTA(N17:U17)&gt;0,". "&amp;X17,".")))</f>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17" s="1393">
        <f t="shared" si="21"/>
        <v>3</v>
      </c>
      <c r="AA17" s="933" t="str">
        <f t="shared" si="2"/>
        <v>jujur</v>
      </c>
      <c r="AB17" s="933" t="str">
        <f t="shared" ref="AB17:AB64" si="25">IF(AC17="","",IF(AND(AA17&lt;&gt;"",AD17="")," dan ",IF(AC17&lt;&gt;"",", ","")))</f>
        <v xml:space="preserve">, </v>
      </c>
      <c r="AC17" s="933" t="str">
        <f t="shared" si="4"/>
        <v>disiplin</v>
      </c>
      <c r="AD17" s="925" t="str">
        <f t="shared" si="22"/>
        <v xml:space="preserve"> dan </v>
      </c>
      <c r="AE17" s="933" t="str">
        <f t="shared" si="5"/>
        <v>tanggung jawab</v>
      </c>
      <c r="AF17" s="927" t="str">
        <f t="shared" si="6"/>
        <v>santun</v>
      </c>
      <c r="AG17" s="927" t="str">
        <f>IF(AH17="","",IF(AI17=""," dan ",IF(AH17&lt;&gt;"",", ","")))</f>
        <v xml:space="preserve">, </v>
      </c>
      <c r="AH17" s="927" t="str">
        <f t="shared" si="8"/>
        <v>percaya diri</v>
      </c>
      <c r="AI17" s="925" t="str">
        <f t="shared" si="23"/>
        <v xml:space="preserve"> dan </v>
      </c>
      <c r="AJ17" s="927" t="str">
        <f t="shared" si="9"/>
        <v>peduli</v>
      </c>
      <c r="AK17" s="933" t="str">
        <f t="shared" si="10"/>
        <v>kurang toleransi</v>
      </c>
      <c r="AL17" s="933" t="str">
        <f>IF(AM17&lt;&gt;""," dan ","")</f>
        <v xml:space="preserve"> dan </v>
      </c>
      <c r="AM17" s="933" t="str">
        <f t="shared" si="12"/>
        <v>kurang gotong royong</v>
      </c>
      <c r="AN17" s="927" t="str">
        <f t="shared" si="13"/>
        <v>nasionalis</v>
      </c>
      <c r="AO17" s="927" t="str">
        <f>IF(AP17&lt;&gt;""," dan ","")</f>
        <v xml:space="preserve"> dan </v>
      </c>
      <c r="AP17" s="927" t="str">
        <f t="shared" si="15"/>
        <v>demokratis</v>
      </c>
      <c r="AR17" s="928" t="str">
        <f t="shared" ref="AR17:AR64" si="26">IFERROR(VLOOKUP(G17,$F$2:$L$11,2),"")</f>
        <v>berdoa sebelum dan sesudah melakukan kegiatan</v>
      </c>
      <c r="AS17" s="929" t="str">
        <f t="shared" ref="AS17:AS64" si="27">IF(AT17="","",IF(AND(AR17&lt;&gt;"",AV17="")," dan ",IF(AT17&lt;&gt;"",", ","")))</f>
        <v xml:space="preserve">, </v>
      </c>
      <c r="AT17" s="928" t="str">
        <f t="shared" si="16"/>
        <v>menjalankan ibadah sesuai dengan agamanya</v>
      </c>
      <c r="AU17" s="929" t="str">
        <f t="shared" ref="AU17:AU64" si="28">IF(AV17="","",IF(AND(AT17&lt;&gt;"",AV17&lt;&gt;"")," dan ",""))</f>
        <v xml:space="preserve"> dan </v>
      </c>
      <c r="AV17" s="928" t="str">
        <f t="shared" ref="AV17:AV64" si="29">IFERROR(VLOOKUP(I17,$F$2:$L$11,2),"")</f>
        <v>memberi salam pada saat awal dan akhir kegiatan</v>
      </c>
      <c r="AW17" s="928" t="str">
        <f t="shared" ref="AW17:AW64" si="30">IF(AND(COUNTA(G17:I17)&gt;0,COUNTA(J17:K17)&gt;0),". Sedangkan sikap ",IF(COUNTA(J17:K17)&gt;0,"Sikap ",""))</f>
        <v xml:space="preserve">. Sedangkan sikap </v>
      </c>
      <c r="AX17" s="928" t="str">
        <f t="shared" si="18"/>
        <v>bersyukur atas nikmat dan karunia Tuhan Yang Maha Esa</v>
      </c>
      <c r="AY17" s="928" t="str">
        <f t="shared" ref="AY17:AY64" si="31">IF(AND(AX17&lt;&gt;"",AZ17&lt;&gt;"")," dan "," ")</f>
        <v xml:space="preserve"> dan </v>
      </c>
      <c r="AZ17" s="928" t="str">
        <f t="shared" si="19"/>
        <v>mensyukuri kemampuan manusia dalam mengendalikan diri</v>
      </c>
    </row>
    <row r="18" spans="1:52" ht="30" customHeight="1">
      <c r="A18" s="67"/>
      <c r="B18" s="272">
        <f t="shared" si="20"/>
        <v>4</v>
      </c>
      <c r="C18" s="273">
        <f>IF(Data!F8="","",Data!F8)</f>
        <v>0</v>
      </c>
      <c r="D18" s="274" t="str">
        <f>IF(Data!H8="","",Data!H8)</f>
        <v>Asti Welmince Welkis</v>
      </c>
      <c r="E18" s="275" t="str">
        <f>IF(Data!I8="","",Data!I8)</f>
        <v>P</v>
      </c>
      <c r="F18" s="913" t="s">
        <v>62</v>
      </c>
      <c r="G18" s="914">
        <v>1</v>
      </c>
      <c r="H18" s="357">
        <v>2</v>
      </c>
      <c r="I18" s="915">
        <v>3</v>
      </c>
      <c r="J18" s="914">
        <v>4</v>
      </c>
      <c r="K18" s="915">
        <v>5</v>
      </c>
      <c r="L18"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18" s="917" t="s">
        <v>62</v>
      </c>
      <c r="N18" s="918">
        <v>1</v>
      </c>
      <c r="O18" s="919">
        <v>2</v>
      </c>
      <c r="P18" s="920">
        <v>3</v>
      </c>
      <c r="Q18" s="918">
        <v>4</v>
      </c>
      <c r="R18" s="920">
        <v>5</v>
      </c>
      <c r="S18" s="921">
        <v>6</v>
      </c>
      <c r="T18" s="922">
        <v>7</v>
      </c>
      <c r="U18" s="920">
        <v>8</v>
      </c>
      <c r="V18" s="923">
        <v>9</v>
      </c>
      <c r="W18" s="920">
        <v>10</v>
      </c>
      <c r="X18" s="932" t="s">
        <v>645</v>
      </c>
      <c r="Y18" s="924" t="str">
        <f t="shared" ref="Y18:Y64" si="32">IF(C18="","",IF(COUNTA(N18:W18)=0,$Y$13,IF(COUNTA(N18:U18)&gt;0,"Selalu menunjukkan","")&amp;IF(COUNTA(N18:P18)&gt;0," sikap "&amp;CONCATENATE(AA18,AB18,AC18,AD18,AE18)&amp;IF(Z18&gt;1," dengan "&amp;$N$14,"")&amp;",","")&amp;IF(COUNTA(Q18:S18)&gt;0," sikap "&amp;CONCATENATE(AF18,AG18,AH18,AI18,AJ18)&amp;IF(Z18&gt;1," dengan "&amp;$Q$14,"")&amp;",","")&amp;IF(COUNTA(T18:U18)&gt;0," sikap "&amp;AK18&amp;AL18&amp;AM18,"")&amp;IF(AND(COUNTA(N18:U18)&gt;0,COUNTA(V18:W18)&gt;0)," sedangkan sikap "&amp;AN18&amp;AO18&amp;AP18&amp;" "&amp;LOWER($V$13),IF(AND(COUNTA(N18:U18)=0,COUNTA(V18:W18)&gt;0),"Sikap "&amp;AN18&amp;AO18&amp;AP18&amp;" "&amp;LOWER($V$13),""))&amp;IF(COUNTA(N18:U18)&gt;0,". "&amp;X18,".")))</f>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18" s="1393">
        <f t="shared" si="21"/>
        <v>3</v>
      </c>
      <c r="AA18" s="933" t="str">
        <f t="shared" si="2"/>
        <v>jujur</v>
      </c>
      <c r="AB18" s="933" t="str">
        <f t="shared" si="25"/>
        <v xml:space="preserve">, </v>
      </c>
      <c r="AC18" s="933" t="str">
        <f t="shared" si="4"/>
        <v>disiplin</v>
      </c>
      <c r="AD18" s="925" t="str">
        <f t="shared" si="22"/>
        <v xml:space="preserve"> dan </v>
      </c>
      <c r="AE18" s="933" t="str">
        <f t="shared" si="5"/>
        <v>tanggung jawab</v>
      </c>
      <c r="AF18" s="927" t="str">
        <f t="shared" si="6"/>
        <v>santun</v>
      </c>
      <c r="AG18" s="927" t="str">
        <f t="shared" ref="AG18:AG64" si="33">IF(AH18="","",IF(AI18=""," dan ",IF(AH18&lt;&gt;"",", ","")))</f>
        <v xml:space="preserve">, </v>
      </c>
      <c r="AH18" s="927" t="str">
        <f t="shared" si="8"/>
        <v>percaya diri</v>
      </c>
      <c r="AI18" s="925" t="str">
        <f t="shared" si="23"/>
        <v xml:space="preserve"> dan </v>
      </c>
      <c r="AJ18" s="927" t="str">
        <f t="shared" si="9"/>
        <v>peduli</v>
      </c>
      <c r="AK18" s="933" t="str">
        <f t="shared" si="10"/>
        <v>kurang toleransi</v>
      </c>
      <c r="AL18" s="933" t="str">
        <f t="shared" ref="AL18:AL64" si="34">IF(AM18&lt;&gt;""," dan ","")</f>
        <v xml:space="preserve"> dan </v>
      </c>
      <c r="AM18" s="933" t="str">
        <f t="shared" si="12"/>
        <v>kurang gotong royong</v>
      </c>
      <c r="AN18" s="927" t="str">
        <f t="shared" si="13"/>
        <v>nasionalis</v>
      </c>
      <c r="AO18" s="927" t="str">
        <f t="shared" ref="AO18:AO64" si="35">IF(AP18&lt;&gt;""," dan ","")</f>
        <v xml:space="preserve"> dan </v>
      </c>
      <c r="AP18" s="927" t="str">
        <f t="shared" si="15"/>
        <v>demokratis</v>
      </c>
      <c r="AR18" s="928" t="str">
        <f t="shared" si="26"/>
        <v>berdoa sebelum dan sesudah melakukan kegiatan</v>
      </c>
      <c r="AS18" s="929" t="str">
        <f t="shared" si="27"/>
        <v xml:space="preserve">, </v>
      </c>
      <c r="AT18" s="928" t="str">
        <f t="shared" si="16"/>
        <v>menjalankan ibadah sesuai dengan agamanya</v>
      </c>
      <c r="AU18" s="929" t="str">
        <f t="shared" si="28"/>
        <v xml:space="preserve"> dan </v>
      </c>
      <c r="AV18" s="928" t="str">
        <f t="shared" si="29"/>
        <v>memberi salam pada saat awal dan akhir kegiatan</v>
      </c>
      <c r="AW18" s="928" t="str">
        <f t="shared" si="30"/>
        <v xml:space="preserve">. Sedangkan sikap </v>
      </c>
      <c r="AX18" s="928" t="str">
        <f t="shared" si="18"/>
        <v>bersyukur atas nikmat dan karunia Tuhan Yang Maha Esa</v>
      </c>
      <c r="AY18" s="928" t="str">
        <f t="shared" si="31"/>
        <v xml:space="preserve"> dan </v>
      </c>
      <c r="AZ18" s="928" t="str">
        <f t="shared" si="19"/>
        <v>mensyukuri kemampuan manusia dalam mengendalikan diri</v>
      </c>
    </row>
    <row r="19" spans="1:52" ht="30" customHeight="1">
      <c r="A19" s="67"/>
      <c r="B19" s="272">
        <f t="shared" si="20"/>
        <v>5</v>
      </c>
      <c r="C19" s="273">
        <f>IF(Data!F9="","",Data!F9)</f>
        <v>0</v>
      </c>
      <c r="D19" s="274" t="str">
        <f>IF(Data!H9="","",Data!H9)</f>
        <v>Aulya Noviyanti Mbura</v>
      </c>
      <c r="E19" s="275" t="str">
        <f>IF(Data!I9="","",Data!I9)</f>
        <v>P</v>
      </c>
      <c r="F19" s="913" t="s">
        <v>62</v>
      </c>
      <c r="G19" s="914">
        <v>1</v>
      </c>
      <c r="H19" s="357">
        <v>2</v>
      </c>
      <c r="I19" s="915">
        <v>3</v>
      </c>
      <c r="J19" s="914">
        <v>4</v>
      </c>
      <c r="K19" s="915">
        <v>5</v>
      </c>
      <c r="L19"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19" s="917" t="s">
        <v>62</v>
      </c>
      <c r="N19" s="918">
        <v>1</v>
      </c>
      <c r="O19" s="919">
        <v>2</v>
      </c>
      <c r="P19" s="920">
        <v>3</v>
      </c>
      <c r="Q19" s="918">
        <v>4</v>
      </c>
      <c r="R19" s="920">
        <v>5</v>
      </c>
      <c r="S19" s="921">
        <v>6</v>
      </c>
      <c r="T19" s="922">
        <v>7</v>
      </c>
      <c r="U19" s="920">
        <v>8</v>
      </c>
      <c r="V19" s="923">
        <v>9</v>
      </c>
      <c r="W19" s="920">
        <v>10</v>
      </c>
      <c r="X19" s="932" t="s">
        <v>645</v>
      </c>
      <c r="Y19"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19" s="1393">
        <f t="shared" si="21"/>
        <v>3</v>
      </c>
      <c r="AA19" s="933" t="str">
        <f t="shared" si="2"/>
        <v>jujur</v>
      </c>
      <c r="AB19" s="933" t="str">
        <f t="shared" si="25"/>
        <v xml:space="preserve">, </v>
      </c>
      <c r="AC19" s="933" t="str">
        <f t="shared" si="4"/>
        <v>disiplin</v>
      </c>
      <c r="AD19" s="925" t="str">
        <f t="shared" si="22"/>
        <v xml:space="preserve"> dan </v>
      </c>
      <c r="AE19" s="933" t="str">
        <f t="shared" si="5"/>
        <v>tanggung jawab</v>
      </c>
      <c r="AF19" s="927" t="str">
        <f t="shared" si="6"/>
        <v>santun</v>
      </c>
      <c r="AG19" s="927" t="str">
        <f t="shared" si="33"/>
        <v xml:space="preserve">, </v>
      </c>
      <c r="AH19" s="927" t="str">
        <f t="shared" si="8"/>
        <v>percaya diri</v>
      </c>
      <c r="AI19" s="925" t="str">
        <f t="shared" si="23"/>
        <v xml:space="preserve"> dan </v>
      </c>
      <c r="AJ19" s="927" t="str">
        <f t="shared" si="9"/>
        <v>peduli</v>
      </c>
      <c r="AK19" s="933" t="str">
        <f t="shared" si="10"/>
        <v>kurang toleransi</v>
      </c>
      <c r="AL19" s="933" t="str">
        <f t="shared" si="34"/>
        <v xml:space="preserve"> dan </v>
      </c>
      <c r="AM19" s="933" t="str">
        <f t="shared" si="12"/>
        <v>kurang gotong royong</v>
      </c>
      <c r="AN19" s="927" t="str">
        <f t="shared" si="13"/>
        <v>nasionalis</v>
      </c>
      <c r="AO19" s="927" t="str">
        <f t="shared" si="35"/>
        <v xml:space="preserve"> dan </v>
      </c>
      <c r="AP19" s="927" t="str">
        <f t="shared" si="15"/>
        <v>demokratis</v>
      </c>
      <c r="AR19" s="928" t="str">
        <f t="shared" si="26"/>
        <v>berdoa sebelum dan sesudah melakukan kegiatan</v>
      </c>
      <c r="AS19" s="929" t="str">
        <f t="shared" si="27"/>
        <v xml:space="preserve">, </v>
      </c>
      <c r="AT19" s="928" t="str">
        <f t="shared" si="16"/>
        <v>menjalankan ibadah sesuai dengan agamanya</v>
      </c>
      <c r="AU19" s="929" t="str">
        <f t="shared" si="28"/>
        <v xml:space="preserve"> dan </v>
      </c>
      <c r="AV19" s="928" t="str">
        <f t="shared" si="29"/>
        <v>memberi salam pada saat awal dan akhir kegiatan</v>
      </c>
      <c r="AW19" s="928" t="str">
        <f t="shared" si="30"/>
        <v xml:space="preserve">. Sedangkan sikap </v>
      </c>
      <c r="AX19" s="928" t="str">
        <f t="shared" si="18"/>
        <v>bersyukur atas nikmat dan karunia Tuhan Yang Maha Esa</v>
      </c>
      <c r="AY19" s="928" t="str">
        <f t="shared" si="31"/>
        <v xml:space="preserve"> dan </v>
      </c>
      <c r="AZ19" s="928" t="str">
        <f t="shared" si="19"/>
        <v>mensyukuri kemampuan manusia dalam mengendalikan diri</v>
      </c>
    </row>
    <row r="20" spans="1:52" ht="30" customHeight="1">
      <c r="A20" s="67"/>
      <c r="B20" s="272">
        <f t="shared" si="20"/>
        <v>6</v>
      </c>
      <c r="C20" s="273">
        <f>IF(Data!F10="","",Data!F10)</f>
        <v>0</v>
      </c>
      <c r="D20" s="274" t="str">
        <f>IF(Data!H10="","",Data!H10)</f>
        <v>Ayu Oliberta Ranboki</v>
      </c>
      <c r="E20" s="275" t="str">
        <f>IF(Data!I10="","",Data!I10)</f>
        <v>P</v>
      </c>
      <c r="F20" s="913" t="s">
        <v>62</v>
      </c>
      <c r="G20" s="914">
        <v>1</v>
      </c>
      <c r="H20" s="357">
        <v>2</v>
      </c>
      <c r="I20" s="915">
        <v>3</v>
      </c>
      <c r="J20" s="914">
        <v>4</v>
      </c>
      <c r="K20" s="915">
        <v>5</v>
      </c>
      <c r="L20"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20" s="917" t="s">
        <v>62</v>
      </c>
      <c r="N20" s="918">
        <v>1</v>
      </c>
      <c r="O20" s="919">
        <v>2</v>
      </c>
      <c r="P20" s="920">
        <v>3</v>
      </c>
      <c r="Q20" s="918">
        <v>4</v>
      </c>
      <c r="R20" s="920">
        <v>5</v>
      </c>
      <c r="S20" s="921">
        <v>6</v>
      </c>
      <c r="T20" s="922">
        <v>7</v>
      </c>
      <c r="U20" s="920">
        <v>8</v>
      </c>
      <c r="V20" s="923">
        <v>9</v>
      </c>
      <c r="W20" s="920">
        <v>10</v>
      </c>
      <c r="X20" s="932" t="s">
        <v>645</v>
      </c>
      <c r="Y20"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20" s="1393">
        <f t="shared" si="21"/>
        <v>3</v>
      </c>
      <c r="AA20" s="933" t="str">
        <f t="shared" si="2"/>
        <v>jujur</v>
      </c>
      <c r="AB20" s="933" t="str">
        <f t="shared" si="25"/>
        <v xml:space="preserve">, </v>
      </c>
      <c r="AC20" s="933" t="str">
        <f t="shared" si="4"/>
        <v>disiplin</v>
      </c>
      <c r="AD20" s="925" t="str">
        <f t="shared" si="22"/>
        <v xml:space="preserve"> dan </v>
      </c>
      <c r="AE20" s="933" t="str">
        <f t="shared" si="5"/>
        <v>tanggung jawab</v>
      </c>
      <c r="AF20" s="927" t="str">
        <f t="shared" si="6"/>
        <v>santun</v>
      </c>
      <c r="AG20" s="927" t="str">
        <f t="shared" si="33"/>
        <v xml:space="preserve">, </v>
      </c>
      <c r="AH20" s="927" t="str">
        <f t="shared" si="8"/>
        <v>percaya diri</v>
      </c>
      <c r="AI20" s="925" t="str">
        <f t="shared" si="23"/>
        <v xml:space="preserve"> dan </v>
      </c>
      <c r="AJ20" s="927" t="str">
        <f t="shared" si="9"/>
        <v>peduli</v>
      </c>
      <c r="AK20" s="933" t="str">
        <f t="shared" si="10"/>
        <v>kurang toleransi</v>
      </c>
      <c r="AL20" s="933" t="str">
        <f t="shared" si="34"/>
        <v xml:space="preserve"> dan </v>
      </c>
      <c r="AM20" s="933" t="str">
        <f t="shared" si="12"/>
        <v>kurang gotong royong</v>
      </c>
      <c r="AN20" s="927" t="str">
        <f t="shared" si="13"/>
        <v>nasionalis</v>
      </c>
      <c r="AO20" s="927" t="str">
        <f t="shared" si="35"/>
        <v xml:space="preserve"> dan </v>
      </c>
      <c r="AP20" s="927" t="str">
        <f t="shared" si="15"/>
        <v>demokratis</v>
      </c>
      <c r="AR20" s="928" t="str">
        <f t="shared" si="26"/>
        <v>berdoa sebelum dan sesudah melakukan kegiatan</v>
      </c>
      <c r="AS20" s="929" t="str">
        <f t="shared" si="27"/>
        <v xml:space="preserve">, </v>
      </c>
      <c r="AT20" s="928" t="str">
        <f t="shared" si="16"/>
        <v>menjalankan ibadah sesuai dengan agamanya</v>
      </c>
      <c r="AU20" s="929" t="str">
        <f t="shared" si="28"/>
        <v xml:space="preserve"> dan </v>
      </c>
      <c r="AV20" s="928" t="str">
        <f t="shared" si="29"/>
        <v>memberi salam pada saat awal dan akhir kegiatan</v>
      </c>
      <c r="AW20" s="928" t="str">
        <f t="shared" si="30"/>
        <v xml:space="preserve">. Sedangkan sikap </v>
      </c>
      <c r="AX20" s="928" t="str">
        <f t="shared" si="18"/>
        <v>bersyukur atas nikmat dan karunia Tuhan Yang Maha Esa</v>
      </c>
      <c r="AY20" s="928" t="str">
        <f t="shared" si="31"/>
        <v xml:space="preserve"> dan </v>
      </c>
      <c r="AZ20" s="928" t="str">
        <f t="shared" si="19"/>
        <v>mensyukuri kemampuan manusia dalam mengendalikan diri</v>
      </c>
    </row>
    <row r="21" spans="1:52" ht="30" customHeight="1">
      <c r="A21" s="67"/>
      <c r="B21" s="272">
        <f t="shared" si="20"/>
        <v>7</v>
      </c>
      <c r="C21" s="273">
        <f>IF(Data!F11="","",Data!F11)</f>
        <v>0</v>
      </c>
      <c r="D21" s="274" t="str">
        <f>IF(Data!H11="","",Data!H11)</f>
        <v>Benediktus Faot</v>
      </c>
      <c r="E21" s="275" t="str">
        <f>IF(Data!I11="","",Data!I11)</f>
        <v>L</v>
      </c>
      <c r="F21" s="913" t="s">
        <v>62</v>
      </c>
      <c r="G21" s="914">
        <v>1</v>
      </c>
      <c r="H21" s="357">
        <v>2</v>
      </c>
      <c r="I21" s="915">
        <v>3</v>
      </c>
      <c r="J21" s="914">
        <v>4</v>
      </c>
      <c r="K21" s="915">
        <v>5</v>
      </c>
      <c r="L21"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21" s="917" t="s">
        <v>62</v>
      </c>
      <c r="N21" s="918">
        <v>1</v>
      </c>
      <c r="O21" s="919">
        <v>2</v>
      </c>
      <c r="P21" s="920">
        <v>3</v>
      </c>
      <c r="Q21" s="918">
        <v>4</v>
      </c>
      <c r="R21" s="920">
        <v>5</v>
      </c>
      <c r="S21" s="921">
        <v>6</v>
      </c>
      <c r="T21" s="922">
        <v>7</v>
      </c>
      <c r="U21" s="920">
        <v>8</v>
      </c>
      <c r="V21" s="923">
        <v>9</v>
      </c>
      <c r="W21" s="920">
        <v>10</v>
      </c>
      <c r="X21" s="932" t="s">
        <v>645</v>
      </c>
      <c r="Y21"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21" s="1393">
        <f t="shared" si="21"/>
        <v>3</v>
      </c>
      <c r="AA21" s="933" t="str">
        <f t="shared" si="2"/>
        <v>jujur</v>
      </c>
      <c r="AB21" s="933" t="str">
        <f t="shared" si="25"/>
        <v xml:space="preserve">, </v>
      </c>
      <c r="AC21" s="933" t="str">
        <f t="shared" si="4"/>
        <v>disiplin</v>
      </c>
      <c r="AD21" s="925" t="str">
        <f t="shared" si="22"/>
        <v xml:space="preserve"> dan </v>
      </c>
      <c r="AE21" s="933" t="str">
        <f t="shared" si="5"/>
        <v>tanggung jawab</v>
      </c>
      <c r="AF21" s="927" t="str">
        <f t="shared" si="6"/>
        <v>santun</v>
      </c>
      <c r="AG21" s="927" t="str">
        <f t="shared" si="33"/>
        <v xml:space="preserve">, </v>
      </c>
      <c r="AH21" s="927" t="str">
        <f t="shared" si="8"/>
        <v>percaya diri</v>
      </c>
      <c r="AI21" s="925" t="str">
        <f t="shared" si="23"/>
        <v xml:space="preserve"> dan </v>
      </c>
      <c r="AJ21" s="927" t="str">
        <f t="shared" si="9"/>
        <v>peduli</v>
      </c>
      <c r="AK21" s="933" t="str">
        <f t="shared" si="10"/>
        <v>kurang toleransi</v>
      </c>
      <c r="AL21" s="933" t="str">
        <f t="shared" si="34"/>
        <v xml:space="preserve"> dan </v>
      </c>
      <c r="AM21" s="933" t="str">
        <f t="shared" si="12"/>
        <v>kurang gotong royong</v>
      </c>
      <c r="AN21" s="927" t="str">
        <f t="shared" si="13"/>
        <v>nasionalis</v>
      </c>
      <c r="AO21" s="927" t="str">
        <f t="shared" si="35"/>
        <v xml:space="preserve"> dan </v>
      </c>
      <c r="AP21" s="927" t="str">
        <f t="shared" si="15"/>
        <v>demokratis</v>
      </c>
      <c r="AR21" s="928" t="str">
        <f t="shared" si="26"/>
        <v>berdoa sebelum dan sesudah melakukan kegiatan</v>
      </c>
      <c r="AS21" s="929" t="str">
        <f t="shared" si="27"/>
        <v xml:space="preserve">, </v>
      </c>
      <c r="AT21" s="928" t="str">
        <f t="shared" si="16"/>
        <v>menjalankan ibadah sesuai dengan agamanya</v>
      </c>
      <c r="AU21" s="929" t="str">
        <f t="shared" si="28"/>
        <v xml:space="preserve"> dan </v>
      </c>
      <c r="AV21" s="928" t="str">
        <f t="shared" si="29"/>
        <v>memberi salam pada saat awal dan akhir kegiatan</v>
      </c>
      <c r="AW21" s="928" t="str">
        <f t="shared" si="30"/>
        <v xml:space="preserve">. Sedangkan sikap </v>
      </c>
      <c r="AX21" s="928" t="str">
        <f t="shared" si="18"/>
        <v>bersyukur atas nikmat dan karunia Tuhan Yang Maha Esa</v>
      </c>
      <c r="AY21" s="928" t="str">
        <f t="shared" si="31"/>
        <v xml:space="preserve"> dan </v>
      </c>
      <c r="AZ21" s="928" t="str">
        <f t="shared" si="19"/>
        <v>mensyukuri kemampuan manusia dalam mengendalikan diri</v>
      </c>
    </row>
    <row r="22" spans="1:52" ht="30" customHeight="1">
      <c r="A22" s="67"/>
      <c r="B22" s="272">
        <f t="shared" si="20"/>
        <v>8</v>
      </c>
      <c r="C22" s="273">
        <f>IF(Data!F12="","",Data!F12)</f>
        <v>0</v>
      </c>
      <c r="D22" s="274" t="str">
        <f>IF(Data!H12="","",Data!H12)</f>
        <v>Betron Imanuel Kuni</v>
      </c>
      <c r="E22" s="275" t="str">
        <f>IF(Data!I12="","",Data!I12)</f>
        <v>L</v>
      </c>
      <c r="F22" s="913" t="s">
        <v>60</v>
      </c>
      <c r="G22" s="914">
        <v>1</v>
      </c>
      <c r="H22" s="357">
        <v>2</v>
      </c>
      <c r="I22" s="915">
        <v>3</v>
      </c>
      <c r="J22" s="914">
        <v>4</v>
      </c>
      <c r="K22" s="915">
        <v>5</v>
      </c>
      <c r="L22"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22" s="917" t="s">
        <v>60</v>
      </c>
      <c r="N22" s="918">
        <v>1</v>
      </c>
      <c r="O22" s="919">
        <v>2</v>
      </c>
      <c r="P22" s="920">
        <v>3</v>
      </c>
      <c r="Q22" s="918">
        <v>4</v>
      </c>
      <c r="R22" s="920">
        <v>5</v>
      </c>
      <c r="S22" s="921">
        <v>6</v>
      </c>
      <c r="T22" s="922">
        <v>7</v>
      </c>
      <c r="U22" s="920">
        <v>8</v>
      </c>
      <c r="V22" s="923">
        <v>9</v>
      </c>
      <c r="W22" s="920">
        <v>10</v>
      </c>
      <c r="X22" s="932" t="s">
        <v>645</v>
      </c>
      <c r="Y22"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22" s="1393">
        <f t="shared" si="21"/>
        <v>3</v>
      </c>
      <c r="AA22" s="933" t="str">
        <f t="shared" si="2"/>
        <v>jujur</v>
      </c>
      <c r="AB22" s="933" t="str">
        <f t="shared" si="25"/>
        <v xml:space="preserve">, </v>
      </c>
      <c r="AC22" s="933" t="str">
        <f t="shared" si="4"/>
        <v>disiplin</v>
      </c>
      <c r="AD22" s="925" t="str">
        <f t="shared" si="22"/>
        <v xml:space="preserve"> dan </v>
      </c>
      <c r="AE22" s="933" t="str">
        <f t="shared" si="5"/>
        <v>tanggung jawab</v>
      </c>
      <c r="AF22" s="927" t="str">
        <f t="shared" si="6"/>
        <v>santun</v>
      </c>
      <c r="AG22" s="927" t="str">
        <f t="shared" si="33"/>
        <v xml:space="preserve">, </v>
      </c>
      <c r="AH22" s="927" t="str">
        <f t="shared" si="8"/>
        <v>percaya diri</v>
      </c>
      <c r="AI22" s="925" t="str">
        <f t="shared" si="23"/>
        <v xml:space="preserve"> dan </v>
      </c>
      <c r="AJ22" s="927" t="str">
        <f t="shared" si="9"/>
        <v>peduli</v>
      </c>
      <c r="AK22" s="933" t="str">
        <f t="shared" si="10"/>
        <v>kurang toleransi</v>
      </c>
      <c r="AL22" s="933" t="str">
        <f t="shared" si="34"/>
        <v xml:space="preserve"> dan </v>
      </c>
      <c r="AM22" s="933" t="str">
        <f t="shared" si="12"/>
        <v>kurang gotong royong</v>
      </c>
      <c r="AN22" s="927" t="str">
        <f t="shared" si="13"/>
        <v>nasionalis</v>
      </c>
      <c r="AO22" s="927" t="str">
        <f t="shared" si="35"/>
        <v xml:space="preserve"> dan </v>
      </c>
      <c r="AP22" s="927" t="str">
        <f t="shared" si="15"/>
        <v>demokratis</v>
      </c>
      <c r="AR22" s="928" t="str">
        <f t="shared" si="26"/>
        <v>berdoa sebelum dan sesudah melakukan kegiatan</v>
      </c>
      <c r="AS22" s="929" t="str">
        <f t="shared" si="27"/>
        <v xml:space="preserve">, </v>
      </c>
      <c r="AT22" s="928" t="str">
        <f t="shared" si="16"/>
        <v>menjalankan ibadah sesuai dengan agamanya</v>
      </c>
      <c r="AU22" s="929" t="str">
        <f t="shared" si="28"/>
        <v xml:space="preserve"> dan </v>
      </c>
      <c r="AV22" s="928" t="str">
        <f t="shared" si="29"/>
        <v>memberi salam pada saat awal dan akhir kegiatan</v>
      </c>
      <c r="AW22" s="928" t="str">
        <f t="shared" si="30"/>
        <v xml:space="preserve">. Sedangkan sikap </v>
      </c>
      <c r="AX22" s="928" t="str">
        <f t="shared" si="18"/>
        <v>bersyukur atas nikmat dan karunia Tuhan Yang Maha Esa</v>
      </c>
      <c r="AY22" s="928" t="str">
        <f t="shared" si="31"/>
        <v xml:space="preserve"> dan </v>
      </c>
      <c r="AZ22" s="928" t="str">
        <f t="shared" si="19"/>
        <v>mensyukuri kemampuan manusia dalam mengendalikan diri</v>
      </c>
    </row>
    <row r="23" spans="1:52" ht="30" customHeight="1">
      <c r="A23" s="67"/>
      <c r="B23" s="272">
        <f t="shared" si="20"/>
        <v>9</v>
      </c>
      <c r="C23" s="273">
        <f>IF(Data!F13="","",Data!F13)</f>
        <v>0</v>
      </c>
      <c r="D23" s="274" t="str">
        <f>IF(Data!H13="","",Data!H13)</f>
        <v>Demrianus Ton</v>
      </c>
      <c r="E23" s="275" t="str">
        <f>IF(Data!I13="","",Data!I13)</f>
        <v>L</v>
      </c>
      <c r="F23" s="913" t="s">
        <v>60</v>
      </c>
      <c r="G23" s="914">
        <v>1</v>
      </c>
      <c r="H23" s="357">
        <v>2</v>
      </c>
      <c r="I23" s="915">
        <v>3</v>
      </c>
      <c r="J23" s="914">
        <v>4</v>
      </c>
      <c r="K23" s="915">
        <v>5</v>
      </c>
      <c r="L23"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23" s="917" t="s">
        <v>60</v>
      </c>
      <c r="N23" s="918">
        <v>1</v>
      </c>
      <c r="O23" s="919">
        <v>2</v>
      </c>
      <c r="P23" s="920">
        <v>3</v>
      </c>
      <c r="Q23" s="918">
        <v>4</v>
      </c>
      <c r="R23" s="920">
        <v>5</v>
      </c>
      <c r="S23" s="921">
        <v>6</v>
      </c>
      <c r="T23" s="922">
        <v>7</v>
      </c>
      <c r="U23" s="920">
        <v>8</v>
      </c>
      <c r="V23" s="923">
        <v>9</v>
      </c>
      <c r="W23" s="920">
        <v>10</v>
      </c>
      <c r="X23" s="932" t="s">
        <v>645</v>
      </c>
      <c r="Y23"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23" s="1393">
        <f t="shared" si="21"/>
        <v>3</v>
      </c>
      <c r="AA23" s="933" t="str">
        <f t="shared" si="2"/>
        <v>jujur</v>
      </c>
      <c r="AB23" s="933" t="str">
        <f t="shared" si="25"/>
        <v xml:space="preserve">, </v>
      </c>
      <c r="AC23" s="933" t="str">
        <f t="shared" si="4"/>
        <v>disiplin</v>
      </c>
      <c r="AD23" s="925" t="str">
        <f t="shared" si="22"/>
        <v xml:space="preserve"> dan </v>
      </c>
      <c r="AE23" s="933" t="str">
        <f t="shared" si="5"/>
        <v>tanggung jawab</v>
      </c>
      <c r="AF23" s="927" t="str">
        <f t="shared" si="6"/>
        <v>santun</v>
      </c>
      <c r="AG23" s="927" t="str">
        <f t="shared" si="33"/>
        <v xml:space="preserve">, </v>
      </c>
      <c r="AH23" s="927" t="str">
        <f t="shared" si="8"/>
        <v>percaya diri</v>
      </c>
      <c r="AI23" s="925" t="str">
        <f t="shared" si="23"/>
        <v xml:space="preserve"> dan </v>
      </c>
      <c r="AJ23" s="927" t="str">
        <f t="shared" si="9"/>
        <v>peduli</v>
      </c>
      <c r="AK23" s="933" t="str">
        <f t="shared" si="10"/>
        <v>kurang toleransi</v>
      </c>
      <c r="AL23" s="933" t="str">
        <f t="shared" si="34"/>
        <v xml:space="preserve"> dan </v>
      </c>
      <c r="AM23" s="933" t="str">
        <f t="shared" si="12"/>
        <v>kurang gotong royong</v>
      </c>
      <c r="AN23" s="927" t="str">
        <f t="shared" si="13"/>
        <v>nasionalis</v>
      </c>
      <c r="AO23" s="927" t="str">
        <f t="shared" si="35"/>
        <v xml:space="preserve"> dan </v>
      </c>
      <c r="AP23" s="927" t="str">
        <f t="shared" si="15"/>
        <v>demokratis</v>
      </c>
      <c r="AR23" s="928" t="str">
        <f t="shared" si="26"/>
        <v>berdoa sebelum dan sesudah melakukan kegiatan</v>
      </c>
      <c r="AS23" s="929" t="str">
        <f t="shared" si="27"/>
        <v xml:space="preserve">, </v>
      </c>
      <c r="AT23" s="928" t="str">
        <f t="shared" si="16"/>
        <v>menjalankan ibadah sesuai dengan agamanya</v>
      </c>
      <c r="AU23" s="929" t="str">
        <f t="shared" si="28"/>
        <v xml:space="preserve"> dan </v>
      </c>
      <c r="AV23" s="928" t="str">
        <f t="shared" si="29"/>
        <v>memberi salam pada saat awal dan akhir kegiatan</v>
      </c>
      <c r="AW23" s="928" t="str">
        <f t="shared" si="30"/>
        <v xml:space="preserve">. Sedangkan sikap </v>
      </c>
      <c r="AX23" s="928" t="str">
        <f t="shared" si="18"/>
        <v>bersyukur atas nikmat dan karunia Tuhan Yang Maha Esa</v>
      </c>
      <c r="AY23" s="928" t="str">
        <f t="shared" si="31"/>
        <v xml:space="preserve"> dan </v>
      </c>
      <c r="AZ23" s="928" t="str">
        <f t="shared" si="19"/>
        <v>mensyukuri kemampuan manusia dalam mengendalikan diri</v>
      </c>
    </row>
    <row r="24" spans="1:52" ht="30" customHeight="1">
      <c r="A24" s="67"/>
      <c r="B24" s="272">
        <f t="shared" si="20"/>
        <v>10</v>
      </c>
      <c r="C24" s="273">
        <f>IF(Data!F14="","",Data!F14)</f>
        <v>0</v>
      </c>
      <c r="D24" s="274" t="str">
        <f>IF(Data!H14="","",Data!H14)</f>
        <v>Desti Manggoa</v>
      </c>
      <c r="E24" s="275" t="str">
        <f>IF(Data!I14="","",Data!I14)</f>
        <v>P</v>
      </c>
      <c r="F24" s="913" t="s">
        <v>62</v>
      </c>
      <c r="G24" s="914">
        <v>1</v>
      </c>
      <c r="H24" s="357">
        <v>2</v>
      </c>
      <c r="I24" s="915">
        <v>3</v>
      </c>
      <c r="J24" s="914">
        <v>4</v>
      </c>
      <c r="K24" s="915">
        <v>5</v>
      </c>
      <c r="L24"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24" s="917" t="s">
        <v>62</v>
      </c>
      <c r="N24" s="918">
        <v>1</v>
      </c>
      <c r="O24" s="919">
        <v>2</v>
      </c>
      <c r="P24" s="920">
        <v>3</v>
      </c>
      <c r="Q24" s="918">
        <v>4</v>
      </c>
      <c r="R24" s="920">
        <v>5</v>
      </c>
      <c r="S24" s="921">
        <v>6</v>
      </c>
      <c r="T24" s="922">
        <v>7</v>
      </c>
      <c r="U24" s="920">
        <v>8</v>
      </c>
      <c r="V24" s="923">
        <v>9</v>
      </c>
      <c r="W24" s="920">
        <v>10</v>
      </c>
      <c r="X24" s="932" t="s">
        <v>645</v>
      </c>
      <c r="Y24"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24" s="1393">
        <f t="shared" si="21"/>
        <v>3</v>
      </c>
      <c r="AA24" s="933" t="str">
        <f t="shared" si="2"/>
        <v>jujur</v>
      </c>
      <c r="AB24" s="933" t="str">
        <f t="shared" si="25"/>
        <v xml:space="preserve">, </v>
      </c>
      <c r="AC24" s="933" t="str">
        <f t="shared" si="4"/>
        <v>disiplin</v>
      </c>
      <c r="AD24" s="925" t="str">
        <f t="shared" si="22"/>
        <v xml:space="preserve"> dan </v>
      </c>
      <c r="AE24" s="933" t="str">
        <f t="shared" si="5"/>
        <v>tanggung jawab</v>
      </c>
      <c r="AF24" s="927" t="str">
        <f t="shared" si="6"/>
        <v>santun</v>
      </c>
      <c r="AG24" s="927" t="str">
        <f t="shared" si="33"/>
        <v xml:space="preserve">, </v>
      </c>
      <c r="AH24" s="927" t="str">
        <f t="shared" si="8"/>
        <v>percaya diri</v>
      </c>
      <c r="AI24" s="925" t="str">
        <f t="shared" si="23"/>
        <v xml:space="preserve"> dan </v>
      </c>
      <c r="AJ24" s="927" t="str">
        <f t="shared" si="9"/>
        <v>peduli</v>
      </c>
      <c r="AK24" s="933" t="str">
        <f t="shared" si="10"/>
        <v>kurang toleransi</v>
      </c>
      <c r="AL24" s="933" t="str">
        <f t="shared" si="34"/>
        <v xml:space="preserve"> dan </v>
      </c>
      <c r="AM24" s="933" t="str">
        <f t="shared" si="12"/>
        <v>kurang gotong royong</v>
      </c>
      <c r="AN24" s="927" t="str">
        <f t="shared" si="13"/>
        <v>nasionalis</v>
      </c>
      <c r="AO24" s="927" t="str">
        <f t="shared" si="35"/>
        <v xml:space="preserve"> dan </v>
      </c>
      <c r="AP24" s="927" t="str">
        <f t="shared" si="15"/>
        <v>demokratis</v>
      </c>
      <c r="AR24" s="928" t="str">
        <f t="shared" si="26"/>
        <v>berdoa sebelum dan sesudah melakukan kegiatan</v>
      </c>
      <c r="AS24" s="929" t="str">
        <f t="shared" si="27"/>
        <v xml:space="preserve">, </v>
      </c>
      <c r="AT24" s="928" t="str">
        <f t="shared" si="16"/>
        <v>menjalankan ibadah sesuai dengan agamanya</v>
      </c>
      <c r="AU24" s="929" t="str">
        <f t="shared" si="28"/>
        <v xml:space="preserve"> dan </v>
      </c>
      <c r="AV24" s="928" t="str">
        <f t="shared" si="29"/>
        <v>memberi salam pada saat awal dan akhir kegiatan</v>
      </c>
      <c r="AW24" s="928" t="str">
        <f t="shared" si="30"/>
        <v xml:space="preserve">. Sedangkan sikap </v>
      </c>
      <c r="AX24" s="928" t="str">
        <f t="shared" si="18"/>
        <v>bersyukur atas nikmat dan karunia Tuhan Yang Maha Esa</v>
      </c>
      <c r="AY24" s="928" t="str">
        <f t="shared" si="31"/>
        <v xml:space="preserve"> dan </v>
      </c>
      <c r="AZ24" s="928" t="str">
        <f t="shared" si="19"/>
        <v>mensyukuri kemampuan manusia dalam mengendalikan diri</v>
      </c>
    </row>
    <row r="25" spans="1:52" ht="30" customHeight="1">
      <c r="A25" s="67"/>
      <c r="B25" s="272">
        <f t="shared" si="20"/>
        <v>11</v>
      </c>
      <c r="C25" s="273">
        <f>IF(Data!F15="","",Data!F15)</f>
        <v>0</v>
      </c>
      <c r="D25" s="274" t="str">
        <f>IF(Data!H15="","",Data!H15)</f>
        <v>Dorkas Meliana Talita Kesnay</v>
      </c>
      <c r="E25" s="275" t="str">
        <f>IF(Data!I15="","",Data!I15)</f>
        <v>P</v>
      </c>
      <c r="F25" s="913" t="s">
        <v>62</v>
      </c>
      <c r="G25" s="914">
        <v>1</v>
      </c>
      <c r="H25" s="357">
        <v>2</v>
      </c>
      <c r="I25" s="915">
        <v>3</v>
      </c>
      <c r="J25" s="914">
        <v>4</v>
      </c>
      <c r="K25" s="915">
        <v>5</v>
      </c>
      <c r="L25"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25" s="917" t="s">
        <v>62</v>
      </c>
      <c r="N25" s="918">
        <v>1</v>
      </c>
      <c r="O25" s="919">
        <v>2</v>
      </c>
      <c r="P25" s="920">
        <v>3</v>
      </c>
      <c r="Q25" s="918">
        <v>4</v>
      </c>
      <c r="R25" s="920">
        <v>5</v>
      </c>
      <c r="S25" s="921">
        <v>6</v>
      </c>
      <c r="T25" s="922">
        <v>7</v>
      </c>
      <c r="U25" s="920">
        <v>8</v>
      </c>
      <c r="V25" s="923">
        <v>9</v>
      </c>
      <c r="W25" s="920">
        <v>10</v>
      </c>
      <c r="X25" s="932" t="s">
        <v>645</v>
      </c>
      <c r="Y25"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25" s="1393">
        <f t="shared" si="21"/>
        <v>3</v>
      </c>
      <c r="AA25" s="933" t="str">
        <f t="shared" si="2"/>
        <v>jujur</v>
      </c>
      <c r="AB25" s="933" t="str">
        <f t="shared" si="25"/>
        <v xml:space="preserve">, </v>
      </c>
      <c r="AC25" s="933" t="str">
        <f t="shared" si="4"/>
        <v>disiplin</v>
      </c>
      <c r="AD25" s="925" t="str">
        <f t="shared" si="22"/>
        <v xml:space="preserve"> dan </v>
      </c>
      <c r="AE25" s="933" t="str">
        <f t="shared" si="5"/>
        <v>tanggung jawab</v>
      </c>
      <c r="AF25" s="927" t="str">
        <f t="shared" si="6"/>
        <v>santun</v>
      </c>
      <c r="AG25" s="927" t="str">
        <f t="shared" si="33"/>
        <v xml:space="preserve">, </v>
      </c>
      <c r="AH25" s="927" t="str">
        <f t="shared" si="8"/>
        <v>percaya diri</v>
      </c>
      <c r="AI25" s="925" t="str">
        <f t="shared" si="23"/>
        <v xml:space="preserve"> dan </v>
      </c>
      <c r="AJ25" s="927" t="str">
        <f t="shared" si="9"/>
        <v>peduli</v>
      </c>
      <c r="AK25" s="933" t="str">
        <f t="shared" si="10"/>
        <v>kurang toleransi</v>
      </c>
      <c r="AL25" s="933" t="str">
        <f t="shared" si="34"/>
        <v xml:space="preserve"> dan </v>
      </c>
      <c r="AM25" s="933" t="str">
        <f t="shared" si="12"/>
        <v>kurang gotong royong</v>
      </c>
      <c r="AN25" s="927" t="str">
        <f t="shared" si="13"/>
        <v>nasionalis</v>
      </c>
      <c r="AO25" s="927" t="str">
        <f t="shared" si="35"/>
        <v xml:space="preserve"> dan </v>
      </c>
      <c r="AP25" s="927" t="str">
        <f t="shared" si="15"/>
        <v>demokratis</v>
      </c>
      <c r="AR25" s="928" t="str">
        <f t="shared" si="26"/>
        <v>berdoa sebelum dan sesudah melakukan kegiatan</v>
      </c>
      <c r="AS25" s="929" t="str">
        <f t="shared" si="27"/>
        <v xml:space="preserve">, </v>
      </c>
      <c r="AT25" s="928" t="str">
        <f t="shared" si="16"/>
        <v>menjalankan ibadah sesuai dengan agamanya</v>
      </c>
      <c r="AU25" s="929" t="str">
        <f t="shared" si="28"/>
        <v xml:space="preserve"> dan </v>
      </c>
      <c r="AV25" s="928" t="str">
        <f t="shared" si="29"/>
        <v>memberi salam pada saat awal dan akhir kegiatan</v>
      </c>
      <c r="AW25" s="928" t="str">
        <f t="shared" si="30"/>
        <v xml:space="preserve">. Sedangkan sikap </v>
      </c>
      <c r="AX25" s="928" t="str">
        <f t="shared" si="18"/>
        <v>bersyukur atas nikmat dan karunia Tuhan Yang Maha Esa</v>
      </c>
      <c r="AY25" s="928" t="str">
        <f t="shared" si="31"/>
        <v xml:space="preserve"> dan </v>
      </c>
      <c r="AZ25" s="928" t="str">
        <f t="shared" si="19"/>
        <v>mensyukuri kemampuan manusia dalam mengendalikan diri</v>
      </c>
    </row>
    <row r="26" spans="1:52" ht="30" customHeight="1">
      <c r="A26" s="67"/>
      <c r="B26" s="272">
        <f t="shared" si="20"/>
        <v>12</v>
      </c>
      <c r="C26" s="273">
        <f>IF(Data!F16="","",Data!F16)</f>
        <v>0</v>
      </c>
      <c r="D26" s="274" t="str">
        <f>IF(Data!H16="","",Data!H16)</f>
        <v>Erto Seprianto Leukune</v>
      </c>
      <c r="E26" s="275" t="str">
        <f>IF(Data!I16="","",Data!I16)</f>
        <v>L</v>
      </c>
      <c r="F26" s="913" t="s">
        <v>62</v>
      </c>
      <c r="G26" s="914">
        <v>1</v>
      </c>
      <c r="H26" s="357">
        <v>2</v>
      </c>
      <c r="I26" s="915">
        <v>3</v>
      </c>
      <c r="J26" s="914">
        <v>4</v>
      </c>
      <c r="K26" s="915">
        <v>5</v>
      </c>
      <c r="L26"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26" s="917" t="s">
        <v>62</v>
      </c>
      <c r="N26" s="918">
        <v>1</v>
      </c>
      <c r="O26" s="919">
        <v>2</v>
      </c>
      <c r="P26" s="920">
        <v>3</v>
      </c>
      <c r="Q26" s="918">
        <v>4</v>
      </c>
      <c r="R26" s="920">
        <v>5</v>
      </c>
      <c r="S26" s="921">
        <v>6</v>
      </c>
      <c r="T26" s="922">
        <v>7</v>
      </c>
      <c r="U26" s="920">
        <v>8</v>
      </c>
      <c r="V26" s="923">
        <v>9</v>
      </c>
      <c r="W26" s="920">
        <v>10</v>
      </c>
      <c r="X26" s="932" t="s">
        <v>645</v>
      </c>
      <c r="Y26"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26" s="1393">
        <f t="shared" si="21"/>
        <v>3</v>
      </c>
      <c r="AA26" s="933" t="str">
        <f t="shared" si="2"/>
        <v>jujur</v>
      </c>
      <c r="AB26" s="933" t="str">
        <f t="shared" si="25"/>
        <v xml:space="preserve">, </v>
      </c>
      <c r="AC26" s="933" t="str">
        <f t="shared" si="4"/>
        <v>disiplin</v>
      </c>
      <c r="AD26" s="925" t="str">
        <f t="shared" si="22"/>
        <v xml:space="preserve"> dan </v>
      </c>
      <c r="AE26" s="933" t="str">
        <f t="shared" si="5"/>
        <v>tanggung jawab</v>
      </c>
      <c r="AF26" s="927" t="str">
        <f t="shared" si="6"/>
        <v>santun</v>
      </c>
      <c r="AG26" s="927" t="str">
        <f t="shared" si="33"/>
        <v xml:space="preserve">, </v>
      </c>
      <c r="AH26" s="927" t="str">
        <f t="shared" si="8"/>
        <v>percaya diri</v>
      </c>
      <c r="AI26" s="925" t="str">
        <f t="shared" si="23"/>
        <v xml:space="preserve"> dan </v>
      </c>
      <c r="AJ26" s="927" t="str">
        <f t="shared" si="9"/>
        <v>peduli</v>
      </c>
      <c r="AK26" s="933" t="str">
        <f t="shared" si="10"/>
        <v>kurang toleransi</v>
      </c>
      <c r="AL26" s="933" t="str">
        <f t="shared" si="34"/>
        <v xml:space="preserve"> dan </v>
      </c>
      <c r="AM26" s="933" t="str">
        <f t="shared" si="12"/>
        <v>kurang gotong royong</v>
      </c>
      <c r="AN26" s="927" t="str">
        <f t="shared" si="13"/>
        <v>nasionalis</v>
      </c>
      <c r="AO26" s="927" t="str">
        <f t="shared" si="35"/>
        <v xml:space="preserve"> dan </v>
      </c>
      <c r="AP26" s="927" t="str">
        <f t="shared" si="15"/>
        <v>demokratis</v>
      </c>
      <c r="AR26" s="928" t="str">
        <f t="shared" si="26"/>
        <v>berdoa sebelum dan sesudah melakukan kegiatan</v>
      </c>
      <c r="AS26" s="929" t="str">
        <f t="shared" si="27"/>
        <v xml:space="preserve">, </v>
      </c>
      <c r="AT26" s="928" t="str">
        <f t="shared" si="16"/>
        <v>menjalankan ibadah sesuai dengan agamanya</v>
      </c>
      <c r="AU26" s="929" t="str">
        <f t="shared" si="28"/>
        <v xml:space="preserve"> dan </v>
      </c>
      <c r="AV26" s="928" t="str">
        <f t="shared" si="29"/>
        <v>memberi salam pada saat awal dan akhir kegiatan</v>
      </c>
      <c r="AW26" s="928" t="str">
        <f t="shared" si="30"/>
        <v xml:space="preserve">. Sedangkan sikap </v>
      </c>
      <c r="AX26" s="928" t="str">
        <f t="shared" si="18"/>
        <v>bersyukur atas nikmat dan karunia Tuhan Yang Maha Esa</v>
      </c>
      <c r="AY26" s="928" t="str">
        <f t="shared" si="31"/>
        <v xml:space="preserve"> dan </v>
      </c>
      <c r="AZ26" s="928" t="str">
        <f t="shared" si="19"/>
        <v>mensyukuri kemampuan manusia dalam mengendalikan diri</v>
      </c>
    </row>
    <row r="27" spans="1:52" ht="30" customHeight="1">
      <c r="A27" s="67"/>
      <c r="B27" s="272">
        <f t="shared" si="20"/>
        <v>13</v>
      </c>
      <c r="C27" s="273">
        <f>IF(Data!F17="","",Data!F17)</f>
        <v>0</v>
      </c>
      <c r="D27" s="274" t="str">
        <f>IF(Data!H17="","",Data!H17)</f>
        <v>Feli Tipnoni</v>
      </c>
      <c r="E27" s="275" t="str">
        <f>IF(Data!I17="","",Data!I17)</f>
        <v>P</v>
      </c>
      <c r="F27" s="913" t="s">
        <v>62</v>
      </c>
      <c r="G27" s="914">
        <v>1</v>
      </c>
      <c r="H27" s="357">
        <v>2</v>
      </c>
      <c r="I27" s="915">
        <v>3</v>
      </c>
      <c r="J27" s="914">
        <v>4</v>
      </c>
      <c r="K27" s="915">
        <v>5</v>
      </c>
      <c r="L27"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27" s="917" t="s">
        <v>62</v>
      </c>
      <c r="N27" s="918">
        <v>1</v>
      </c>
      <c r="O27" s="919">
        <v>2</v>
      </c>
      <c r="P27" s="920">
        <v>3</v>
      </c>
      <c r="Q27" s="918">
        <v>4</v>
      </c>
      <c r="R27" s="920">
        <v>5</v>
      </c>
      <c r="S27" s="921">
        <v>6</v>
      </c>
      <c r="T27" s="922">
        <v>7</v>
      </c>
      <c r="U27" s="920">
        <v>8</v>
      </c>
      <c r="V27" s="923">
        <v>9</v>
      </c>
      <c r="W27" s="920">
        <v>10</v>
      </c>
      <c r="X27" s="932" t="s">
        <v>645</v>
      </c>
      <c r="Y27"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27" s="1393">
        <f t="shared" si="21"/>
        <v>3</v>
      </c>
      <c r="AA27" s="933" t="str">
        <f t="shared" si="2"/>
        <v>jujur</v>
      </c>
      <c r="AB27" s="933" t="str">
        <f t="shared" si="25"/>
        <v xml:space="preserve">, </v>
      </c>
      <c r="AC27" s="933" t="str">
        <f t="shared" si="4"/>
        <v>disiplin</v>
      </c>
      <c r="AD27" s="925" t="str">
        <f t="shared" si="22"/>
        <v xml:space="preserve"> dan </v>
      </c>
      <c r="AE27" s="933" t="str">
        <f t="shared" si="5"/>
        <v>tanggung jawab</v>
      </c>
      <c r="AF27" s="927" t="str">
        <f t="shared" si="6"/>
        <v>santun</v>
      </c>
      <c r="AG27" s="927" t="str">
        <f t="shared" si="33"/>
        <v xml:space="preserve">, </v>
      </c>
      <c r="AH27" s="927" t="str">
        <f t="shared" si="8"/>
        <v>percaya diri</v>
      </c>
      <c r="AI27" s="925" t="str">
        <f t="shared" si="23"/>
        <v xml:space="preserve"> dan </v>
      </c>
      <c r="AJ27" s="927" t="str">
        <f t="shared" si="9"/>
        <v>peduli</v>
      </c>
      <c r="AK27" s="933" t="str">
        <f t="shared" si="10"/>
        <v>kurang toleransi</v>
      </c>
      <c r="AL27" s="933" t="str">
        <f t="shared" si="34"/>
        <v xml:space="preserve"> dan </v>
      </c>
      <c r="AM27" s="933" t="str">
        <f t="shared" si="12"/>
        <v>kurang gotong royong</v>
      </c>
      <c r="AN27" s="927" t="str">
        <f t="shared" si="13"/>
        <v>nasionalis</v>
      </c>
      <c r="AO27" s="927" t="str">
        <f t="shared" si="35"/>
        <v xml:space="preserve"> dan </v>
      </c>
      <c r="AP27" s="927" t="str">
        <f t="shared" si="15"/>
        <v>demokratis</v>
      </c>
      <c r="AR27" s="928" t="str">
        <f t="shared" si="26"/>
        <v>berdoa sebelum dan sesudah melakukan kegiatan</v>
      </c>
      <c r="AS27" s="929" t="str">
        <f t="shared" si="27"/>
        <v xml:space="preserve">, </v>
      </c>
      <c r="AT27" s="928" t="str">
        <f t="shared" si="16"/>
        <v>menjalankan ibadah sesuai dengan agamanya</v>
      </c>
      <c r="AU27" s="929" t="str">
        <f t="shared" si="28"/>
        <v xml:space="preserve"> dan </v>
      </c>
      <c r="AV27" s="928" t="str">
        <f t="shared" si="29"/>
        <v>memberi salam pada saat awal dan akhir kegiatan</v>
      </c>
      <c r="AW27" s="928" t="str">
        <f t="shared" si="30"/>
        <v xml:space="preserve">. Sedangkan sikap </v>
      </c>
      <c r="AX27" s="928" t="str">
        <f t="shared" si="18"/>
        <v>bersyukur atas nikmat dan karunia Tuhan Yang Maha Esa</v>
      </c>
      <c r="AY27" s="928" t="str">
        <f t="shared" si="31"/>
        <v xml:space="preserve"> dan </v>
      </c>
      <c r="AZ27" s="928" t="str">
        <f t="shared" si="19"/>
        <v>mensyukuri kemampuan manusia dalam mengendalikan diri</v>
      </c>
    </row>
    <row r="28" spans="1:52" ht="30" customHeight="1">
      <c r="A28" s="67"/>
      <c r="B28" s="272">
        <f t="shared" si="20"/>
        <v>14</v>
      </c>
      <c r="C28" s="273">
        <f>IF(Data!F18="","",Data!F18)</f>
        <v>0</v>
      </c>
      <c r="D28" s="274" t="str">
        <f>IF(Data!H18="","",Data!H18)</f>
        <v xml:space="preserve">Ferdinandes Sakbana </v>
      </c>
      <c r="E28" s="275" t="str">
        <f>IF(Data!I18="","",Data!I18)</f>
        <v>L</v>
      </c>
      <c r="F28" s="913" t="s">
        <v>59</v>
      </c>
      <c r="G28" s="914">
        <v>1</v>
      </c>
      <c r="H28" s="357">
        <v>2</v>
      </c>
      <c r="I28" s="915">
        <v>3</v>
      </c>
      <c r="J28" s="914">
        <v>4</v>
      </c>
      <c r="K28" s="915">
        <v>5</v>
      </c>
      <c r="L28"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28" s="917" t="s">
        <v>59</v>
      </c>
      <c r="N28" s="918">
        <v>1</v>
      </c>
      <c r="O28" s="919">
        <v>2</v>
      </c>
      <c r="P28" s="920">
        <v>3</v>
      </c>
      <c r="Q28" s="918">
        <v>4</v>
      </c>
      <c r="R28" s="920">
        <v>5</v>
      </c>
      <c r="S28" s="921">
        <v>6</v>
      </c>
      <c r="T28" s="922">
        <v>7</v>
      </c>
      <c r="U28" s="920">
        <v>8</v>
      </c>
      <c r="V28" s="923">
        <v>9</v>
      </c>
      <c r="W28" s="920">
        <v>10</v>
      </c>
      <c r="X28" s="932" t="s">
        <v>645</v>
      </c>
      <c r="Y28"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28" s="1393">
        <f t="shared" si="21"/>
        <v>3</v>
      </c>
      <c r="AA28" s="933" t="str">
        <f t="shared" si="2"/>
        <v>jujur</v>
      </c>
      <c r="AB28" s="933" t="str">
        <f t="shared" si="25"/>
        <v xml:space="preserve">, </v>
      </c>
      <c r="AC28" s="933" t="str">
        <f t="shared" si="4"/>
        <v>disiplin</v>
      </c>
      <c r="AD28" s="925" t="str">
        <f t="shared" si="22"/>
        <v xml:space="preserve"> dan </v>
      </c>
      <c r="AE28" s="933" t="str">
        <f t="shared" si="5"/>
        <v>tanggung jawab</v>
      </c>
      <c r="AF28" s="927" t="str">
        <f t="shared" si="6"/>
        <v>santun</v>
      </c>
      <c r="AG28" s="927" t="str">
        <f t="shared" si="33"/>
        <v xml:space="preserve">, </v>
      </c>
      <c r="AH28" s="927" t="str">
        <f t="shared" si="8"/>
        <v>percaya diri</v>
      </c>
      <c r="AI28" s="925" t="str">
        <f t="shared" si="23"/>
        <v xml:space="preserve"> dan </v>
      </c>
      <c r="AJ28" s="927" t="str">
        <f t="shared" si="9"/>
        <v>peduli</v>
      </c>
      <c r="AK28" s="933" t="str">
        <f t="shared" si="10"/>
        <v>kurang toleransi</v>
      </c>
      <c r="AL28" s="933" t="str">
        <f t="shared" si="34"/>
        <v xml:space="preserve"> dan </v>
      </c>
      <c r="AM28" s="933" t="str">
        <f t="shared" si="12"/>
        <v>kurang gotong royong</v>
      </c>
      <c r="AN28" s="927" t="str">
        <f t="shared" si="13"/>
        <v>nasionalis</v>
      </c>
      <c r="AO28" s="927" t="str">
        <f t="shared" si="35"/>
        <v xml:space="preserve"> dan </v>
      </c>
      <c r="AP28" s="927" t="str">
        <f t="shared" si="15"/>
        <v>demokratis</v>
      </c>
      <c r="AR28" s="928" t="str">
        <f t="shared" si="26"/>
        <v>berdoa sebelum dan sesudah melakukan kegiatan</v>
      </c>
      <c r="AS28" s="929" t="str">
        <f t="shared" si="27"/>
        <v xml:space="preserve">, </v>
      </c>
      <c r="AT28" s="928" t="str">
        <f t="shared" si="16"/>
        <v>menjalankan ibadah sesuai dengan agamanya</v>
      </c>
      <c r="AU28" s="929" t="str">
        <f t="shared" si="28"/>
        <v xml:space="preserve"> dan </v>
      </c>
      <c r="AV28" s="928" t="str">
        <f t="shared" si="29"/>
        <v>memberi salam pada saat awal dan akhir kegiatan</v>
      </c>
      <c r="AW28" s="928" t="str">
        <f t="shared" si="30"/>
        <v xml:space="preserve">. Sedangkan sikap </v>
      </c>
      <c r="AX28" s="928" t="str">
        <f t="shared" si="18"/>
        <v>bersyukur atas nikmat dan karunia Tuhan Yang Maha Esa</v>
      </c>
      <c r="AY28" s="928" t="str">
        <f t="shared" si="31"/>
        <v xml:space="preserve"> dan </v>
      </c>
      <c r="AZ28" s="928" t="str">
        <f t="shared" si="19"/>
        <v>mensyukuri kemampuan manusia dalam mengendalikan diri</v>
      </c>
    </row>
    <row r="29" spans="1:52" ht="30" customHeight="1">
      <c r="A29" s="67"/>
      <c r="B29" s="272">
        <f t="shared" si="20"/>
        <v>15</v>
      </c>
      <c r="C29" s="273">
        <f>IF(Data!F19="","",Data!F19)</f>
        <v>0</v>
      </c>
      <c r="D29" s="274" t="str">
        <f>IF(Data!H19="","",Data!H19)</f>
        <v>Fitri Novani Nitbani</v>
      </c>
      <c r="E29" s="275" t="str">
        <f>IF(Data!I19="","",Data!I19)</f>
        <v>P</v>
      </c>
      <c r="F29" s="913" t="s">
        <v>59</v>
      </c>
      <c r="G29" s="914">
        <v>1</v>
      </c>
      <c r="H29" s="357">
        <v>2</v>
      </c>
      <c r="I29" s="915">
        <v>3</v>
      </c>
      <c r="J29" s="914">
        <v>4</v>
      </c>
      <c r="K29" s="915">
        <v>5</v>
      </c>
      <c r="L29"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29" s="917" t="s">
        <v>59</v>
      </c>
      <c r="N29" s="918">
        <v>1</v>
      </c>
      <c r="O29" s="919">
        <v>2</v>
      </c>
      <c r="P29" s="920">
        <v>3</v>
      </c>
      <c r="Q29" s="918">
        <v>4</v>
      </c>
      <c r="R29" s="920">
        <v>5</v>
      </c>
      <c r="S29" s="921">
        <v>6</v>
      </c>
      <c r="T29" s="922">
        <v>7</v>
      </c>
      <c r="U29" s="920">
        <v>8</v>
      </c>
      <c r="V29" s="923">
        <v>9</v>
      </c>
      <c r="W29" s="920">
        <v>10</v>
      </c>
      <c r="X29" s="932" t="s">
        <v>645</v>
      </c>
      <c r="Y29"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29" s="1393">
        <f t="shared" si="21"/>
        <v>3</v>
      </c>
      <c r="AA29" s="933" t="str">
        <f t="shared" si="2"/>
        <v>jujur</v>
      </c>
      <c r="AB29" s="933" t="str">
        <f t="shared" si="25"/>
        <v xml:space="preserve">, </v>
      </c>
      <c r="AC29" s="933" t="str">
        <f t="shared" si="4"/>
        <v>disiplin</v>
      </c>
      <c r="AD29" s="925" t="str">
        <f t="shared" si="22"/>
        <v xml:space="preserve"> dan </v>
      </c>
      <c r="AE29" s="933" t="str">
        <f t="shared" si="5"/>
        <v>tanggung jawab</v>
      </c>
      <c r="AF29" s="927" t="str">
        <f t="shared" si="6"/>
        <v>santun</v>
      </c>
      <c r="AG29" s="927" t="str">
        <f t="shared" si="33"/>
        <v xml:space="preserve">, </v>
      </c>
      <c r="AH29" s="927" t="str">
        <f t="shared" si="8"/>
        <v>percaya diri</v>
      </c>
      <c r="AI29" s="925" t="str">
        <f t="shared" si="23"/>
        <v xml:space="preserve"> dan </v>
      </c>
      <c r="AJ29" s="927" t="str">
        <f t="shared" si="9"/>
        <v>peduli</v>
      </c>
      <c r="AK29" s="933" t="str">
        <f t="shared" si="10"/>
        <v>kurang toleransi</v>
      </c>
      <c r="AL29" s="933" t="str">
        <f t="shared" si="34"/>
        <v xml:space="preserve"> dan </v>
      </c>
      <c r="AM29" s="933" t="str">
        <f t="shared" si="12"/>
        <v>kurang gotong royong</v>
      </c>
      <c r="AN29" s="927" t="str">
        <f t="shared" si="13"/>
        <v>nasionalis</v>
      </c>
      <c r="AO29" s="927" t="str">
        <f t="shared" si="35"/>
        <v xml:space="preserve"> dan </v>
      </c>
      <c r="AP29" s="927" t="str">
        <f t="shared" si="15"/>
        <v>demokratis</v>
      </c>
      <c r="AR29" s="928" t="str">
        <f t="shared" si="26"/>
        <v>berdoa sebelum dan sesudah melakukan kegiatan</v>
      </c>
      <c r="AS29" s="929" t="str">
        <f t="shared" si="27"/>
        <v xml:space="preserve">, </v>
      </c>
      <c r="AT29" s="928" t="str">
        <f t="shared" si="16"/>
        <v>menjalankan ibadah sesuai dengan agamanya</v>
      </c>
      <c r="AU29" s="929" t="str">
        <f t="shared" si="28"/>
        <v xml:space="preserve"> dan </v>
      </c>
      <c r="AV29" s="928" t="str">
        <f t="shared" si="29"/>
        <v>memberi salam pada saat awal dan akhir kegiatan</v>
      </c>
      <c r="AW29" s="928" t="str">
        <f t="shared" si="30"/>
        <v xml:space="preserve">. Sedangkan sikap </v>
      </c>
      <c r="AX29" s="928" t="str">
        <f t="shared" si="18"/>
        <v>bersyukur atas nikmat dan karunia Tuhan Yang Maha Esa</v>
      </c>
      <c r="AY29" s="928" t="str">
        <f t="shared" si="31"/>
        <v xml:space="preserve"> dan </v>
      </c>
      <c r="AZ29" s="928" t="str">
        <f t="shared" si="19"/>
        <v>mensyukuri kemampuan manusia dalam mengendalikan diri</v>
      </c>
    </row>
    <row r="30" spans="1:52" ht="30" customHeight="1">
      <c r="A30" s="67"/>
      <c r="B30" s="272">
        <f t="shared" si="20"/>
        <v>16</v>
      </c>
      <c r="C30" s="273">
        <f>IF(Data!F20="","",Data!F20)</f>
        <v>0</v>
      </c>
      <c r="D30" s="274" t="str">
        <f>IF(Data!H20="","",Data!H20)</f>
        <v>Helsina Benu</v>
      </c>
      <c r="E30" s="275" t="str">
        <f>IF(Data!I20="","",Data!I20)</f>
        <v>P</v>
      </c>
      <c r="F30" s="913" t="s">
        <v>62</v>
      </c>
      <c r="G30" s="914">
        <v>1</v>
      </c>
      <c r="H30" s="357">
        <v>2</v>
      </c>
      <c r="I30" s="915">
        <v>3</v>
      </c>
      <c r="J30" s="914">
        <v>4</v>
      </c>
      <c r="K30" s="915">
        <v>5</v>
      </c>
      <c r="L30"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30" s="917" t="s">
        <v>62</v>
      </c>
      <c r="N30" s="918">
        <v>1</v>
      </c>
      <c r="O30" s="919">
        <v>2</v>
      </c>
      <c r="P30" s="920">
        <v>3</v>
      </c>
      <c r="Q30" s="918">
        <v>4</v>
      </c>
      <c r="R30" s="920">
        <v>5</v>
      </c>
      <c r="S30" s="921">
        <v>6</v>
      </c>
      <c r="T30" s="922">
        <v>7</v>
      </c>
      <c r="U30" s="920">
        <v>8</v>
      </c>
      <c r="V30" s="923">
        <v>9</v>
      </c>
      <c r="W30" s="920">
        <v>10</v>
      </c>
      <c r="X30" s="932" t="s">
        <v>645</v>
      </c>
      <c r="Y30"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30" s="1393">
        <f t="shared" si="21"/>
        <v>3</v>
      </c>
      <c r="AA30" s="933" t="str">
        <f t="shared" si="2"/>
        <v>jujur</v>
      </c>
      <c r="AB30" s="933" t="str">
        <f t="shared" si="25"/>
        <v xml:space="preserve">, </v>
      </c>
      <c r="AC30" s="933" t="str">
        <f t="shared" si="4"/>
        <v>disiplin</v>
      </c>
      <c r="AD30" s="925" t="str">
        <f t="shared" si="22"/>
        <v xml:space="preserve"> dan </v>
      </c>
      <c r="AE30" s="933" t="str">
        <f t="shared" si="5"/>
        <v>tanggung jawab</v>
      </c>
      <c r="AF30" s="927" t="str">
        <f t="shared" si="6"/>
        <v>santun</v>
      </c>
      <c r="AG30" s="927" t="str">
        <f t="shared" si="33"/>
        <v xml:space="preserve">, </v>
      </c>
      <c r="AH30" s="927" t="str">
        <f t="shared" si="8"/>
        <v>percaya diri</v>
      </c>
      <c r="AI30" s="925" t="str">
        <f t="shared" si="23"/>
        <v xml:space="preserve"> dan </v>
      </c>
      <c r="AJ30" s="927" t="str">
        <f t="shared" si="9"/>
        <v>peduli</v>
      </c>
      <c r="AK30" s="933" t="str">
        <f t="shared" si="10"/>
        <v>kurang toleransi</v>
      </c>
      <c r="AL30" s="933" t="str">
        <f t="shared" si="34"/>
        <v xml:space="preserve"> dan </v>
      </c>
      <c r="AM30" s="933" t="str">
        <f t="shared" si="12"/>
        <v>kurang gotong royong</v>
      </c>
      <c r="AN30" s="927" t="str">
        <f t="shared" si="13"/>
        <v>nasionalis</v>
      </c>
      <c r="AO30" s="927" t="str">
        <f t="shared" si="35"/>
        <v xml:space="preserve"> dan </v>
      </c>
      <c r="AP30" s="927" t="str">
        <f t="shared" si="15"/>
        <v>demokratis</v>
      </c>
      <c r="AR30" s="928" t="str">
        <f t="shared" si="26"/>
        <v>berdoa sebelum dan sesudah melakukan kegiatan</v>
      </c>
      <c r="AS30" s="929" t="str">
        <f t="shared" si="27"/>
        <v xml:space="preserve">, </v>
      </c>
      <c r="AT30" s="928" t="str">
        <f t="shared" si="16"/>
        <v>menjalankan ibadah sesuai dengan agamanya</v>
      </c>
      <c r="AU30" s="929" t="str">
        <f t="shared" si="28"/>
        <v xml:space="preserve"> dan </v>
      </c>
      <c r="AV30" s="928" t="str">
        <f t="shared" si="29"/>
        <v>memberi salam pada saat awal dan akhir kegiatan</v>
      </c>
      <c r="AW30" s="928" t="str">
        <f t="shared" si="30"/>
        <v xml:space="preserve">. Sedangkan sikap </v>
      </c>
      <c r="AX30" s="928" t="str">
        <f t="shared" si="18"/>
        <v>bersyukur atas nikmat dan karunia Tuhan Yang Maha Esa</v>
      </c>
      <c r="AY30" s="928" t="str">
        <f t="shared" si="31"/>
        <v xml:space="preserve"> dan </v>
      </c>
      <c r="AZ30" s="928" t="str">
        <f t="shared" si="19"/>
        <v>mensyukuri kemampuan manusia dalam mengendalikan diri</v>
      </c>
    </row>
    <row r="31" spans="1:52" ht="30" customHeight="1">
      <c r="A31" s="67"/>
      <c r="B31" s="272">
        <f t="shared" si="20"/>
        <v>17</v>
      </c>
      <c r="C31" s="273">
        <f>IF(Data!F21="","",Data!F21)</f>
        <v>0</v>
      </c>
      <c r="D31" s="274" t="str">
        <f>IF(Data!H21="","",Data!H21)</f>
        <v xml:space="preserve">Hezron Nubatonis </v>
      </c>
      <c r="E31" s="275" t="str">
        <f>IF(Data!I21="","",Data!I21)</f>
        <v>L</v>
      </c>
      <c r="F31" s="913" t="s">
        <v>60</v>
      </c>
      <c r="G31" s="914">
        <v>1</v>
      </c>
      <c r="H31" s="357">
        <v>2</v>
      </c>
      <c r="I31" s="915">
        <v>3</v>
      </c>
      <c r="J31" s="914">
        <v>4</v>
      </c>
      <c r="K31" s="915">
        <v>5</v>
      </c>
      <c r="L31"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31" s="917" t="s">
        <v>60</v>
      </c>
      <c r="N31" s="918">
        <v>1</v>
      </c>
      <c r="O31" s="919">
        <v>2</v>
      </c>
      <c r="P31" s="920">
        <v>3</v>
      </c>
      <c r="Q31" s="918">
        <v>4</v>
      </c>
      <c r="R31" s="920">
        <v>5</v>
      </c>
      <c r="S31" s="921">
        <v>6</v>
      </c>
      <c r="T31" s="922">
        <v>7</v>
      </c>
      <c r="U31" s="920">
        <v>8</v>
      </c>
      <c r="V31" s="923">
        <v>9</v>
      </c>
      <c r="W31" s="920">
        <v>10</v>
      </c>
      <c r="X31" s="932" t="s">
        <v>645</v>
      </c>
      <c r="Y31"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31" s="1393">
        <f t="shared" si="21"/>
        <v>3</v>
      </c>
      <c r="AA31" s="933" t="str">
        <f t="shared" si="2"/>
        <v>jujur</v>
      </c>
      <c r="AB31" s="933" t="str">
        <f t="shared" si="25"/>
        <v xml:space="preserve">, </v>
      </c>
      <c r="AC31" s="933" t="str">
        <f t="shared" si="4"/>
        <v>disiplin</v>
      </c>
      <c r="AD31" s="925" t="str">
        <f t="shared" si="22"/>
        <v xml:space="preserve"> dan </v>
      </c>
      <c r="AE31" s="933" t="str">
        <f t="shared" si="5"/>
        <v>tanggung jawab</v>
      </c>
      <c r="AF31" s="927" t="str">
        <f t="shared" si="6"/>
        <v>santun</v>
      </c>
      <c r="AG31" s="927" t="str">
        <f t="shared" si="33"/>
        <v xml:space="preserve">, </v>
      </c>
      <c r="AH31" s="927" t="str">
        <f t="shared" si="8"/>
        <v>percaya diri</v>
      </c>
      <c r="AI31" s="925" t="str">
        <f t="shared" si="23"/>
        <v xml:space="preserve"> dan </v>
      </c>
      <c r="AJ31" s="927" t="str">
        <f t="shared" si="9"/>
        <v>peduli</v>
      </c>
      <c r="AK31" s="933" t="str">
        <f t="shared" si="10"/>
        <v>kurang toleransi</v>
      </c>
      <c r="AL31" s="933" t="str">
        <f t="shared" si="34"/>
        <v xml:space="preserve"> dan </v>
      </c>
      <c r="AM31" s="933" t="str">
        <f t="shared" si="12"/>
        <v>kurang gotong royong</v>
      </c>
      <c r="AN31" s="927" t="str">
        <f t="shared" si="13"/>
        <v>nasionalis</v>
      </c>
      <c r="AO31" s="927" t="str">
        <f t="shared" si="35"/>
        <v xml:space="preserve"> dan </v>
      </c>
      <c r="AP31" s="927" t="str">
        <f t="shared" si="15"/>
        <v>demokratis</v>
      </c>
      <c r="AR31" s="928" t="str">
        <f t="shared" si="26"/>
        <v>berdoa sebelum dan sesudah melakukan kegiatan</v>
      </c>
      <c r="AS31" s="929" t="str">
        <f t="shared" si="27"/>
        <v xml:space="preserve">, </v>
      </c>
      <c r="AT31" s="928" t="str">
        <f t="shared" si="16"/>
        <v>menjalankan ibadah sesuai dengan agamanya</v>
      </c>
      <c r="AU31" s="929" t="str">
        <f t="shared" si="28"/>
        <v xml:space="preserve"> dan </v>
      </c>
      <c r="AV31" s="928" t="str">
        <f t="shared" si="29"/>
        <v>memberi salam pada saat awal dan akhir kegiatan</v>
      </c>
      <c r="AW31" s="928" t="str">
        <f t="shared" si="30"/>
        <v xml:space="preserve">. Sedangkan sikap </v>
      </c>
      <c r="AX31" s="928" t="str">
        <f t="shared" si="18"/>
        <v>bersyukur atas nikmat dan karunia Tuhan Yang Maha Esa</v>
      </c>
      <c r="AY31" s="928" t="str">
        <f t="shared" si="31"/>
        <v xml:space="preserve"> dan </v>
      </c>
      <c r="AZ31" s="928" t="str">
        <f t="shared" si="19"/>
        <v>mensyukuri kemampuan manusia dalam mengendalikan diri</v>
      </c>
    </row>
    <row r="32" spans="1:52" ht="30" customHeight="1">
      <c r="A32" s="67"/>
      <c r="B32" s="272">
        <f t="shared" si="20"/>
        <v>18</v>
      </c>
      <c r="C32" s="273">
        <f>IF(Data!F22="","",Data!F22)</f>
        <v>0</v>
      </c>
      <c r="D32" s="274" t="str">
        <f>IF(Data!H22="","",Data!H22)</f>
        <v>Jelita Anita Boimau</v>
      </c>
      <c r="E32" s="275" t="str">
        <f>IF(Data!I22="","",Data!I22)</f>
        <v>P</v>
      </c>
      <c r="F32" s="913" t="s">
        <v>62</v>
      </c>
      <c r="G32" s="914">
        <v>1</v>
      </c>
      <c r="H32" s="357">
        <v>2</v>
      </c>
      <c r="I32" s="915">
        <v>3</v>
      </c>
      <c r="J32" s="914">
        <v>4</v>
      </c>
      <c r="K32" s="915">
        <v>5</v>
      </c>
      <c r="L32"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32" s="917" t="s">
        <v>62</v>
      </c>
      <c r="N32" s="918">
        <v>1</v>
      </c>
      <c r="O32" s="919">
        <v>2</v>
      </c>
      <c r="P32" s="920">
        <v>3</v>
      </c>
      <c r="Q32" s="918">
        <v>4</v>
      </c>
      <c r="R32" s="920">
        <v>5</v>
      </c>
      <c r="S32" s="921">
        <v>6</v>
      </c>
      <c r="T32" s="922">
        <v>7</v>
      </c>
      <c r="U32" s="920">
        <v>8</v>
      </c>
      <c r="V32" s="923">
        <v>9</v>
      </c>
      <c r="W32" s="920">
        <v>10</v>
      </c>
      <c r="X32" s="932" t="s">
        <v>645</v>
      </c>
      <c r="Y32"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32" s="1393">
        <f t="shared" si="21"/>
        <v>3</v>
      </c>
      <c r="AA32" s="933" t="str">
        <f t="shared" si="2"/>
        <v>jujur</v>
      </c>
      <c r="AB32" s="933" t="str">
        <f t="shared" si="25"/>
        <v xml:space="preserve">, </v>
      </c>
      <c r="AC32" s="933" t="str">
        <f t="shared" si="4"/>
        <v>disiplin</v>
      </c>
      <c r="AD32" s="925" t="str">
        <f t="shared" si="22"/>
        <v xml:space="preserve"> dan </v>
      </c>
      <c r="AE32" s="933" t="str">
        <f t="shared" si="5"/>
        <v>tanggung jawab</v>
      </c>
      <c r="AF32" s="927" t="str">
        <f t="shared" si="6"/>
        <v>santun</v>
      </c>
      <c r="AG32" s="927" t="str">
        <f t="shared" si="33"/>
        <v xml:space="preserve">, </v>
      </c>
      <c r="AH32" s="927" t="str">
        <f t="shared" si="8"/>
        <v>percaya diri</v>
      </c>
      <c r="AI32" s="925" t="str">
        <f t="shared" si="23"/>
        <v xml:space="preserve"> dan </v>
      </c>
      <c r="AJ32" s="927" t="str">
        <f t="shared" si="9"/>
        <v>peduli</v>
      </c>
      <c r="AK32" s="933" t="str">
        <f t="shared" si="10"/>
        <v>kurang toleransi</v>
      </c>
      <c r="AL32" s="933" t="str">
        <f t="shared" si="34"/>
        <v xml:space="preserve"> dan </v>
      </c>
      <c r="AM32" s="933" t="str">
        <f t="shared" si="12"/>
        <v>kurang gotong royong</v>
      </c>
      <c r="AN32" s="927" t="str">
        <f t="shared" si="13"/>
        <v>nasionalis</v>
      </c>
      <c r="AO32" s="927" t="str">
        <f t="shared" si="35"/>
        <v xml:space="preserve"> dan </v>
      </c>
      <c r="AP32" s="927" t="str">
        <f t="shared" si="15"/>
        <v>demokratis</v>
      </c>
      <c r="AR32" s="928" t="str">
        <f t="shared" si="26"/>
        <v>berdoa sebelum dan sesudah melakukan kegiatan</v>
      </c>
      <c r="AS32" s="929" t="str">
        <f t="shared" si="27"/>
        <v xml:space="preserve">, </v>
      </c>
      <c r="AT32" s="928" t="str">
        <f t="shared" si="16"/>
        <v>menjalankan ibadah sesuai dengan agamanya</v>
      </c>
      <c r="AU32" s="929" t="str">
        <f t="shared" si="28"/>
        <v xml:space="preserve"> dan </v>
      </c>
      <c r="AV32" s="928" t="str">
        <f t="shared" si="29"/>
        <v>memberi salam pada saat awal dan akhir kegiatan</v>
      </c>
      <c r="AW32" s="928" t="str">
        <f t="shared" si="30"/>
        <v xml:space="preserve">. Sedangkan sikap </v>
      </c>
      <c r="AX32" s="928" t="str">
        <f t="shared" si="18"/>
        <v>bersyukur atas nikmat dan karunia Tuhan Yang Maha Esa</v>
      </c>
      <c r="AY32" s="928" t="str">
        <f t="shared" si="31"/>
        <v xml:space="preserve"> dan </v>
      </c>
      <c r="AZ32" s="928" t="str">
        <f t="shared" si="19"/>
        <v>mensyukuri kemampuan manusia dalam mengendalikan diri</v>
      </c>
    </row>
    <row r="33" spans="1:52" ht="30" customHeight="1">
      <c r="A33" s="67"/>
      <c r="B33" s="272">
        <f t="shared" si="20"/>
        <v>19</v>
      </c>
      <c r="C33" s="273">
        <f>IF(Data!F23="","",Data!F23)</f>
        <v>0</v>
      </c>
      <c r="D33" s="274" t="str">
        <f>IF(Data!H23="","",Data!H23)</f>
        <v>Jidon Nubatonis</v>
      </c>
      <c r="E33" s="275" t="str">
        <f>IF(Data!I23="","",Data!I23)</f>
        <v>L</v>
      </c>
      <c r="F33" s="913" t="s">
        <v>60</v>
      </c>
      <c r="G33" s="914">
        <v>1</v>
      </c>
      <c r="H33" s="357">
        <v>2</v>
      </c>
      <c r="I33" s="915">
        <v>3</v>
      </c>
      <c r="J33" s="914">
        <v>4</v>
      </c>
      <c r="K33" s="915">
        <v>5</v>
      </c>
      <c r="L33"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33" s="917" t="s">
        <v>60</v>
      </c>
      <c r="N33" s="918">
        <v>1</v>
      </c>
      <c r="O33" s="919">
        <v>2</v>
      </c>
      <c r="P33" s="920">
        <v>3</v>
      </c>
      <c r="Q33" s="918">
        <v>4</v>
      </c>
      <c r="R33" s="920">
        <v>5</v>
      </c>
      <c r="S33" s="921">
        <v>6</v>
      </c>
      <c r="T33" s="922">
        <v>7</v>
      </c>
      <c r="U33" s="920">
        <v>8</v>
      </c>
      <c r="V33" s="923">
        <v>9</v>
      </c>
      <c r="W33" s="920">
        <v>10</v>
      </c>
      <c r="X33" s="932" t="s">
        <v>645</v>
      </c>
      <c r="Y33"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33" s="1393">
        <f t="shared" si="21"/>
        <v>3</v>
      </c>
      <c r="AA33" s="933" t="str">
        <f t="shared" si="2"/>
        <v>jujur</v>
      </c>
      <c r="AB33" s="933" t="str">
        <f t="shared" si="25"/>
        <v xml:space="preserve">, </v>
      </c>
      <c r="AC33" s="933" t="str">
        <f t="shared" si="4"/>
        <v>disiplin</v>
      </c>
      <c r="AD33" s="925" t="str">
        <f t="shared" si="22"/>
        <v xml:space="preserve"> dan </v>
      </c>
      <c r="AE33" s="933" t="str">
        <f t="shared" si="5"/>
        <v>tanggung jawab</v>
      </c>
      <c r="AF33" s="927" t="str">
        <f t="shared" si="6"/>
        <v>santun</v>
      </c>
      <c r="AG33" s="927" t="str">
        <f t="shared" si="33"/>
        <v xml:space="preserve">, </v>
      </c>
      <c r="AH33" s="927" t="str">
        <f t="shared" si="8"/>
        <v>percaya diri</v>
      </c>
      <c r="AI33" s="925" t="str">
        <f t="shared" si="23"/>
        <v xml:space="preserve"> dan </v>
      </c>
      <c r="AJ33" s="927" t="str">
        <f t="shared" si="9"/>
        <v>peduli</v>
      </c>
      <c r="AK33" s="933" t="str">
        <f t="shared" si="10"/>
        <v>kurang toleransi</v>
      </c>
      <c r="AL33" s="933" t="str">
        <f t="shared" si="34"/>
        <v xml:space="preserve"> dan </v>
      </c>
      <c r="AM33" s="933" t="str">
        <f t="shared" si="12"/>
        <v>kurang gotong royong</v>
      </c>
      <c r="AN33" s="927" t="str">
        <f t="shared" si="13"/>
        <v>nasionalis</v>
      </c>
      <c r="AO33" s="927" t="str">
        <f t="shared" si="35"/>
        <v xml:space="preserve"> dan </v>
      </c>
      <c r="AP33" s="927" t="str">
        <f t="shared" si="15"/>
        <v>demokratis</v>
      </c>
      <c r="AR33" s="928" t="str">
        <f t="shared" si="26"/>
        <v>berdoa sebelum dan sesudah melakukan kegiatan</v>
      </c>
      <c r="AS33" s="929" t="str">
        <f t="shared" si="27"/>
        <v xml:space="preserve">, </v>
      </c>
      <c r="AT33" s="928" t="str">
        <f t="shared" si="16"/>
        <v>menjalankan ibadah sesuai dengan agamanya</v>
      </c>
      <c r="AU33" s="929" t="str">
        <f t="shared" si="28"/>
        <v xml:space="preserve"> dan </v>
      </c>
      <c r="AV33" s="928" t="str">
        <f t="shared" si="29"/>
        <v>memberi salam pada saat awal dan akhir kegiatan</v>
      </c>
      <c r="AW33" s="928" t="str">
        <f t="shared" si="30"/>
        <v xml:space="preserve">. Sedangkan sikap </v>
      </c>
      <c r="AX33" s="928" t="str">
        <f t="shared" si="18"/>
        <v>bersyukur atas nikmat dan karunia Tuhan Yang Maha Esa</v>
      </c>
      <c r="AY33" s="928" t="str">
        <f t="shared" si="31"/>
        <v xml:space="preserve"> dan </v>
      </c>
      <c r="AZ33" s="928" t="str">
        <f t="shared" si="19"/>
        <v>mensyukuri kemampuan manusia dalam mengendalikan diri</v>
      </c>
    </row>
    <row r="34" spans="1:52" ht="30" customHeight="1">
      <c r="A34" s="67"/>
      <c r="B34" s="272">
        <f t="shared" si="20"/>
        <v>20</v>
      </c>
      <c r="C34" s="273">
        <f>IF(Data!F24="","",Data!F24)</f>
        <v>0</v>
      </c>
      <c r="D34" s="274" t="str">
        <f>IF(Data!H24="","",Data!H24)</f>
        <v>Jitro Andro Baran</v>
      </c>
      <c r="E34" s="275" t="str">
        <f>IF(Data!I24="","",Data!I24)</f>
        <v>L</v>
      </c>
      <c r="F34" s="913" t="s">
        <v>59</v>
      </c>
      <c r="G34" s="914">
        <v>1</v>
      </c>
      <c r="H34" s="357">
        <v>2</v>
      </c>
      <c r="I34" s="915">
        <v>3</v>
      </c>
      <c r="J34" s="914">
        <v>4</v>
      </c>
      <c r="K34" s="915">
        <v>5</v>
      </c>
      <c r="L34"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34" s="917" t="s">
        <v>59</v>
      </c>
      <c r="N34" s="918">
        <v>1</v>
      </c>
      <c r="O34" s="919">
        <v>2</v>
      </c>
      <c r="P34" s="920">
        <v>3</v>
      </c>
      <c r="Q34" s="918">
        <v>4</v>
      </c>
      <c r="R34" s="920">
        <v>5</v>
      </c>
      <c r="S34" s="921">
        <v>6</v>
      </c>
      <c r="T34" s="922">
        <v>7</v>
      </c>
      <c r="U34" s="920">
        <v>8</v>
      </c>
      <c r="V34" s="923">
        <v>9</v>
      </c>
      <c r="W34" s="920">
        <v>10</v>
      </c>
      <c r="X34" s="932" t="s">
        <v>645</v>
      </c>
      <c r="Y34"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34" s="1393">
        <f t="shared" si="21"/>
        <v>3</v>
      </c>
      <c r="AA34" s="933" t="str">
        <f t="shared" si="2"/>
        <v>jujur</v>
      </c>
      <c r="AB34" s="933" t="str">
        <f t="shared" si="25"/>
        <v xml:space="preserve">, </v>
      </c>
      <c r="AC34" s="933" t="str">
        <f t="shared" si="4"/>
        <v>disiplin</v>
      </c>
      <c r="AD34" s="925" t="str">
        <f t="shared" si="22"/>
        <v xml:space="preserve"> dan </v>
      </c>
      <c r="AE34" s="933" t="str">
        <f t="shared" si="5"/>
        <v>tanggung jawab</v>
      </c>
      <c r="AF34" s="927" t="str">
        <f t="shared" si="6"/>
        <v>santun</v>
      </c>
      <c r="AG34" s="927" t="str">
        <f t="shared" si="33"/>
        <v xml:space="preserve">, </v>
      </c>
      <c r="AH34" s="927" t="str">
        <f t="shared" si="8"/>
        <v>percaya diri</v>
      </c>
      <c r="AI34" s="925" t="str">
        <f t="shared" si="23"/>
        <v xml:space="preserve"> dan </v>
      </c>
      <c r="AJ34" s="927" t="str">
        <f t="shared" si="9"/>
        <v>peduli</v>
      </c>
      <c r="AK34" s="933" t="str">
        <f t="shared" si="10"/>
        <v>kurang toleransi</v>
      </c>
      <c r="AL34" s="933" t="str">
        <f t="shared" si="34"/>
        <v xml:space="preserve"> dan </v>
      </c>
      <c r="AM34" s="933" t="str">
        <f t="shared" si="12"/>
        <v>kurang gotong royong</v>
      </c>
      <c r="AN34" s="927" t="str">
        <f t="shared" si="13"/>
        <v>nasionalis</v>
      </c>
      <c r="AO34" s="927" t="str">
        <f t="shared" si="35"/>
        <v xml:space="preserve"> dan </v>
      </c>
      <c r="AP34" s="927" t="str">
        <f t="shared" si="15"/>
        <v>demokratis</v>
      </c>
      <c r="AR34" s="928" t="str">
        <f t="shared" si="26"/>
        <v>berdoa sebelum dan sesudah melakukan kegiatan</v>
      </c>
      <c r="AS34" s="929" t="str">
        <f t="shared" si="27"/>
        <v xml:space="preserve">, </v>
      </c>
      <c r="AT34" s="928" t="str">
        <f t="shared" si="16"/>
        <v>menjalankan ibadah sesuai dengan agamanya</v>
      </c>
      <c r="AU34" s="929" t="str">
        <f t="shared" si="28"/>
        <v xml:space="preserve"> dan </v>
      </c>
      <c r="AV34" s="928" t="str">
        <f t="shared" si="29"/>
        <v>memberi salam pada saat awal dan akhir kegiatan</v>
      </c>
      <c r="AW34" s="928" t="str">
        <f t="shared" si="30"/>
        <v xml:space="preserve">. Sedangkan sikap </v>
      </c>
      <c r="AX34" s="928" t="str">
        <f t="shared" si="18"/>
        <v>bersyukur atas nikmat dan karunia Tuhan Yang Maha Esa</v>
      </c>
      <c r="AY34" s="928" t="str">
        <f t="shared" si="31"/>
        <v xml:space="preserve"> dan </v>
      </c>
      <c r="AZ34" s="928" t="str">
        <f t="shared" si="19"/>
        <v>mensyukuri kemampuan manusia dalam mengendalikan diri</v>
      </c>
    </row>
    <row r="35" spans="1:52" ht="30" customHeight="1">
      <c r="A35" s="67"/>
      <c r="B35" s="272">
        <f t="shared" si="20"/>
        <v>21</v>
      </c>
      <c r="C35" s="273">
        <f>IF(Data!F25="","",Data!F25)</f>
        <v>0</v>
      </c>
      <c r="D35" s="274" t="str">
        <f>IF(Data!H25="","",Data!H25)</f>
        <v>Juan Manuel Boys</v>
      </c>
      <c r="E35" s="275" t="str">
        <f>IF(Data!I25="","",Data!I25)</f>
        <v>L</v>
      </c>
      <c r="F35" s="913" t="s">
        <v>59</v>
      </c>
      <c r="G35" s="914">
        <v>1</v>
      </c>
      <c r="H35" s="357">
        <v>2</v>
      </c>
      <c r="I35" s="915">
        <v>3</v>
      </c>
      <c r="J35" s="914">
        <v>4</v>
      </c>
      <c r="K35" s="915">
        <v>5</v>
      </c>
      <c r="L35"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35" s="917" t="s">
        <v>59</v>
      </c>
      <c r="N35" s="918">
        <v>1</v>
      </c>
      <c r="O35" s="919">
        <v>2</v>
      </c>
      <c r="P35" s="920">
        <v>3</v>
      </c>
      <c r="Q35" s="918">
        <v>4</v>
      </c>
      <c r="R35" s="920">
        <v>5</v>
      </c>
      <c r="S35" s="921">
        <v>6</v>
      </c>
      <c r="T35" s="922">
        <v>7</v>
      </c>
      <c r="U35" s="920">
        <v>8</v>
      </c>
      <c r="V35" s="923">
        <v>9</v>
      </c>
      <c r="W35" s="920">
        <v>10</v>
      </c>
      <c r="X35" s="932" t="s">
        <v>645</v>
      </c>
      <c r="Y35"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35" s="1393">
        <f t="shared" si="21"/>
        <v>3</v>
      </c>
      <c r="AA35" s="933" t="str">
        <f t="shared" si="2"/>
        <v>jujur</v>
      </c>
      <c r="AB35" s="933" t="str">
        <f t="shared" si="25"/>
        <v xml:space="preserve">, </v>
      </c>
      <c r="AC35" s="933" t="str">
        <f t="shared" si="4"/>
        <v>disiplin</v>
      </c>
      <c r="AD35" s="925" t="str">
        <f t="shared" si="22"/>
        <v xml:space="preserve"> dan </v>
      </c>
      <c r="AE35" s="933" t="str">
        <f t="shared" si="5"/>
        <v>tanggung jawab</v>
      </c>
      <c r="AF35" s="927" t="str">
        <f t="shared" si="6"/>
        <v>santun</v>
      </c>
      <c r="AG35" s="927" t="str">
        <f t="shared" si="33"/>
        <v xml:space="preserve">, </v>
      </c>
      <c r="AH35" s="927" t="str">
        <f t="shared" si="8"/>
        <v>percaya diri</v>
      </c>
      <c r="AI35" s="925" t="str">
        <f t="shared" si="23"/>
        <v xml:space="preserve"> dan </v>
      </c>
      <c r="AJ35" s="927" t="str">
        <f t="shared" si="9"/>
        <v>peduli</v>
      </c>
      <c r="AK35" s="933" t="str">
        <f t="shared" si="10"/>
        <v>kurang toleransi</v>
      </c>
      <c r="AL35" s="933" t="str">
        <f t="shared" si="34"/>
        <v xml:space="preserve"> dan </v>
      </c>
      <c r="AM35" s="933" t="str">
        <f t="shared" si="12"/>
        <v>kurang gotong royong</v>
      </c>
      <c r="AN35" s="927" t="str">
        <f t="shared" si="13"/>
        <v>nasionalis</v>
      </c>
      <c r="AO35" s="927" t="str">
        <f t="shared" si="35"/>
        <v xml:space="preserve"> dan </v>
      </c>
      <c r="AP35" s="927" t="str">
        <f t="shared" si="15"/>
        <v>demokratis</v>
      </c>
      <c r="AR35" s="928" t="str">
        <f t="shared" si="26"/>
        <v>berdoa sebelum dan sesudah melakukan kegiatan</v>
      </c>
      <c r="AS35" s="929" t="str">
        <f t="shared" si="27"/>
        <v xml:space="preserve">, </v>
      </c>
      <c r="AT35" s="928" t="str">
        <f t="shared" si="16"/>
        <v>menjalankan ibadah sesuai dengan agamanya</v>
      </c>
      <c r="AU35" s="929" t="str">
        <f t="shared" si="28"/>
        <v xml:space="preserve"> dan </v>
      </c>
      <c r="AV35" s="928" t="str">
        <f t="shared" si="29"/>
        <v>memberi salam pada saat awal dan akhir kegiatan</v>
      </c>
      <c r="AW35" s="928" t="str">
        <f t="shared" si="30"/>
        <v xml:space="preserve">. Sedangkan sikap </v>
      </c>
      <c r="AX35" s="928" t="str">
        <f t="shared" si="18"/>
        <v>bersyukur atas nikmat dan karunia Tuhan Yang Maha Esa</v>
      </c>
      <c r="AY35" s="928" t="str">
        <f t="shared" si="31"/>
        <v xml:space="preserve"> dan </v>
      </c>
      <c r="AZ35" s="928" t="str">
        <f t="shared" si="19"/>
        <v>mensyukuri kemampuan manusia dalam mengendalikan diri</v>
      </c>
    </row>
    <row r="36" spans="1:52" ht="30" customHeight="1">
      <c r="A36" s="67"/>
      <c r="B36" s="272">
        <f t="shared" si="20"/>
        <v>22</v>
      </c>
      <c r="C36" s="273">
        <f>IF(Data!F26="","",Data!F26)</f>
        <v>0</v>
      </c>
      <c r="D36" s="274" t="str">
        <f>IF(Data!H26="","",Data!H26)</f>
        <v>Krisyanti Ernela Kesnay</v>
      </c>
      <c r="E36" s="275" t="str">
        <f>IF(Data!I26="","",Data!I26)</f>
        <v>P</v>
      </c>
      <c r="F36" s="913" t="s">
        <v>62</v>
      </c>
      <c r="G36" s="914">
        <v>1</v>
      </c>
      <c r="H36" s="357">
        <v>2</v>
      </c>
      <c r="I36" s="915">
        <v>3</v>
      </c>
      <c r="J36" s="914">
        <v>4</v>
      </c>
      <c r="K36" s="915">
        <v>5</v>
      </c>
      <c r="L36"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36" s="917" t="s">
        <v>62</v>
      </c>
      <c r="N36" s="918">
        <v>1</v>
      </c>
      <c r="O36" s="919">
        <v>2</v>
      </c>
      <c r="P36" s="920">
        <v>3</v>
      </c>
      <c r="Q36" s="918">
        <v>4</v>
      </c>
      <c r="R36" s="920">
        <v>5</v>
      </c>
      <c r="S36" s="921">
        <v>6</v>
      </c>
      <c r="T36" s="922">
        <v>7</v>
      </c>
      <c r="U36" s="920">
        <v>8</v>
      </c>
      <c r="V36" s="923">
        <v>9</v>
      </c>
      <c r="W36" s="920">
        <v>10</v>
      </c>
      <c r="X36" s="932" t="s">
        <v>645</v>
      </c>
      <c r="Y36"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36" s="1393">
        <f t="shared" si="21"/>
        <v>3</v>
      </c>
      <c r="AA36" s="933" t="str">
        <f t="shared" si="2"/>
        <v>jujur</v>
      </c>
      <c r="AB36" s="933" t="str">
        <f t="shared" si="25"/>
        <v xml:space="preserve">, </v>
      </c>
      <c r="AC36" s="933" t="str">
        <f t="shared" si="4"/>
        <v>disiplin</v>
      </c>
      <c r="AD36" s="925" t="str">
        <f t="shared" si="22"/>
        <v xml:space="preserve"> dan </v>
      </c>
      <c r="AE36" s="933" t="str">
        <f t="shared" si="5"/>
        <v>tanggung jawab</v>
      </c>
      <c r="AF36" s="927" t="str">
        <f t="shared" si="6"/>
        <v>santun</v>
      </c>
      <c r="AG36" s="927" t="str">
        <f t="shared" si="33"/>
        <v xml:space="preserve">, </v>
      </c>
      <c r="AH36" s="927" t="str">
        <f t="shared" si="8"/>
        <v>percaya diri</v>
      </c>
      <c r="AI36" s="925" t="str">
        <f t="shared" si="23"/>
        <v xml:space="preserve"> dan </v>
      </c>
      <c r="AJ36" s="927" t="str">
        <f t="shared" si="9"/>
        <v>peduli</v>
      </c>
      <c r="AK36" s="933" t="str">
        <f t="shared" si="10"/>
        <v>kurang toleransi</v>
      </c>
      <c r="AL36" s="933" t="str">
        <f t="shared" si="34"/>
        <v xml:space="preserve"> dan </v>
      </c>
      <c r="AM36" s="933" t="str">
        <f t="shared" si="12"/>
        <v>kurang gotong royong</v>
      </c>
      <c r="AN36" s="927" t="str">
        <f t="shared" si="13"/>
        <v>nasionalis</v>
      </c>
      <c r="AO36" s="927" t="str">
        <f t="shared" si="35"/>
        <v xml:space="preserve"> dan </v>
      </c>
      <c r="AP36" s="927" t="str">
        <f t="shared" si="15"/>
        <v>demokratis</v>
      </c>
      <c r="AR36" s="928" t="str">
        <f t="shared" si="26"/>
        <v>berdoa sebelum dan sesudah melakukan kegiatan</v>
      </c>
      <c r="AS36" s="929" t="str">
        <f t="shared" si="27"/>
        <v xml:space="preserve">, </v>
      </c>
      <c r="AT36" s="928" t="str">
        <f t="shared" si="16"/>
        <v>menjalankan ibadah sesuai dengan agamanya</v>
      </c>
      <c r="AU36" s="929" t="str">
        <f t="shared" si="28"/>
        <v xml:space="preserve"> dan </v>
      </c>
      <c r="AV36" s="928" t="str">
        <f t="shared" si="29"/>
        <v>memberi salam pada saat awal dan akhir kegiatan</v>
      </c>
      <c r="AW36" s="928" t="str">
        <f t="shared" si="30"/>
        <v xml:space="preserve">. Sedangkan sikap </v>
      </c>
      <c r="AX36" s="928" t="str">
        <f t="shared" si="18"/>
        <v>bersyukur atas nikmat dan karunia Tuhan Yang Maha Esa</v>
      </c>
      <c r="AY36" s="928" t="str">
        <f t="shared" si="31"/>
        <v xml:space="preserve"> dan </v>
      </c>
      <c r="AZ36" s="928" t="str">
        <f t="shared" si="19"/>
        <v>mensyukuri kemampuan manusia dalam mengendalikan diri</v>
      </c>
    </row>
    <row r="37" spans="1:52" ht="30" customHeight="1">
      <c r="A37" s="67"/>
      <c r="B37" s="272">
        <f t="shared" si="20"/>
        <v>23</v>
      </c>
      <c r="C37" s="273">
        <f>IF(Data!F27="","",Data!F27)</f>
        <v>0</v>
      </c>
      <c r="D37" s="274" t="str">
        <f>IF(Data!H27="","",Data!H27)</f>
        <v>Leni Aknesia Knoan</v>
      </c>
      <c r="E37" s="275" t="str">
        <f>IF(Data!I27="","",Data!I27)</f>
        <v>P</v>
      </c>
      <c r="F37" s="913" t="s">
        <v>62</v>
      </c>
      <c r="G37" s="914">
        <v>1</v>
      </c>
      <c r="H37" s="357">
        <v>2</v>
      </c>
      <c r="I37" s="915">
        <v>3</v>
      </c>
      <c r="J37" s="914">
        <v>4</v>
      </c>
      <c r="K37" s="915">
        <v>5</v>
      </c>
      <c r="L37" s="916" t="str">
        <f>IF(C37="","",IF(COUNTA(G37:K37)=0,$L$13,IF(COUNTA(G37:I37)&gt;0,"Selalu "&amp;CONCATENATE(AR37,AS37,AT37,AU37,AV37),"")&amp;IF(COUNTA(J37:K37)&lt;&gt;0,CONCATENATE(AW37,AX37,AY37,AZ37)&amp;" "&amp;LOWER($J$13),"")))</f>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37" s="917" t="s">
        <v>62</v>
      </c>
      <c r="N37" s="918">
        <v>1</v>
      </c>
      <c r="O37" s="919">
        <v>2</v>
      </c>
      <c r="P37" s="920">
        <v>3</v>
      </c>
      <c r="Q37" s="918">
        <v>4</v>
      </c>
      <c r="R37" s="920">
        <v>5</v>
      </c>
      <c r="S37" s="921">
        <v>6</v>
      </c>
      <c r="T37" s="922">
        <v>7</v>
      </c>
      <c r="U37" s="920">
        <v>8</v>
      </c>
      <c r="V37" s="923">
        <v>9</v>
      </c>
      <c r="W37" s="920">
        <v>10</v>
      </c>
      <c r="X37" s="932" t="s">
        <v>645</v>
      </c>
      <c r="Y37"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37" s="1393">
        <f t="shared" si="21"/>
        <v>3</v>
      </c>
      <c r="AA37" s="933" t="str">
        <f t="shared" si="2"/>
        <v>jujur</v>
      </c>
      <c r="AB37" s="933" t="str">
        <f t="shared" si="25"/>
        <v xml:space="preserve">, </v>
      </c>
      <c r="AC37" s="933" t="str">
        <f t="shared" si="4"/>
        <v>disiplin</v>
      </c>
      <c r="AD37" s="925" t="str">
        <f t="shared" si="22"/>
        <v xml:space="preserve"> dan </v>
      </c>
      <c r="AE37" s="933" t="str">
        <f t="shared" si="5"/>
        <v>tanggung jawab</v>
      </c>
      <c r="AF37" s="927" t="str">
        <f t="shared" si="6"/>
        <v>santun</v>
      </c>
      <c r="AG37" s="927" t="str">
        <f t="shared" si="33"/>
        <v xml:space="preserve">, </v>
      </c>
      <c r="AH37" s="927" t="str">
        <f t="shared" si="8"/>
        <v>percaya diri</v>
      </c>
      <c r="AI37" s="925" t="str">
        <f t="shared" si="23"/>
        <v xml:space="preserve"> dan </v>
      </c>
      <c r="AJ37" s="927" t="str">
        <f t="shared" si="9"/>
        <v>peduli</v>
      </c>
      <c r="AK37" s="933" t="str">
        <f t="shared" si="10"/>
        <v>kurang toleransi</v>
      </c>
      <c r="AL37" s="933" t="str">
        <f t="shared" si="34"/>
        <v xml:space="preserve"> dan </v>
      </c>
      <c r="AM37" s="933" t="str">
        <f t="shared" si="12"/>
        <v>kurang gotong royong</v>
      </c>
      <c r="AN37" s="927" t="str">
        <f t="shared" si="13"/>
        <v>nasionalis</v>
      </c>
      <c r="AO37" s="927" t="str">
        <f t="shared" si="35"/>
        <v xml:space="preserve"> dan </v>
      </c>
      <c r="AP37" s="927" t="str">
        <f t="shared" si="15"/>
        <v>demokratis</v>
      </c>
      <c r="AR37" s="928" t="str">
        <f t="shared" si="26"/>
        <v>berdoa sebelum dan sesudah melakukan kegiatan</v>
      </c>
      <c r="AS37" s="929" t="str">
        <f t="shared" si="27"/>
        <v xml:space="preserve">, </v>
      </c>
      <c r="AT37" s="928" t="str">
        <f t="shared" si="16"/>
        <v>menjalankan ibadah sesuai dengan agamanya</v>
      </c>
      <c r="AU37" s="929" t="str">
        <f t="shared" si="28"/>
        <v xml:space="preserve"> dan </v>
      </c>
      <c r="AV37" s="928" t="str">
        <f t="shared" si="29"/>
        <v>memberi salam pada saat awal dan akhir kegiatan</v>
      </c>
      <c r="AW37" s="928" t="str">
        <f t="shared" si="30"/>
        <v xml:space="preserve">. Sedangkan sikap </v>
      </c>
      <c r="AX37" s="928" t="str">
        <f t="shared" si="18"/>
        <v>bersyukur atas nikmat dan karunia Tuhan Yang Maha Esa</v>
      </c>
      <c r="AY37" s="928" t="str">
        <f t="shared" si="31"/>
        <v xml:space="preserve"> dan </v>
      </c>
      <c r="AZ37" s="928" t="str">
        <f t="shared" si="19"/>
        <v>mensyukuri kemampuan manusia dalam mengendalikan diri</v>
      </c>
    </row>
    <row r="38" spans="1:52" ht="30" customHeight="1">
      <c r="A38" s="67"/>
      <c r="B38" s="272">
        <f t="shared" si="20"/>
        <v>24</v>
      </c>
      <c r="C38" s="273">
        <f>IF(Data!F28="","",Data!F28)</f>
        <v>0</v>
      </c>
      <c r="D38" s="274" t="str">
        <f>IF(Data!H28="","",Data!H28)</f>
        <v>Marlon Dioninsius Lalus</v>
      </c>
      <c r="E38" s="275" t="str">
        <f>IF(Data!I28="","",Data!I28)</f>
        <v>L</v>
      </c>
      <c r="F38" s="913" t="s">
        <v>62</v>
      </c>
      <c r="G38" s="914">
        <v>1</v>
      </c>
      <c r="H38" s="357">
        <v>2</v>
      </c>
      <c r="I38" s="915">
        <v>3</v>
      </c>
      <c r="J38" s="914">
        <v>4</v>
      </c>
      <c r="K38" s="915">
        <v>5</v>
      </c>
      <c r="L38"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38" s="917" t="s">
        <v>62</v>
      </c>
      <c r="N38" s="918">
        <v>1</v>
      </c>
      <c r="O38" s="919">
        <v>2</v>
      </c>
      <c r="P38" s="920">
        <v>3</v>
      </c>
      <c r="Q38" s="918">
        <v>4</v>
      </c>
      <c r="R38" s="920">
        <v>5</v>
      </c>
      <c r="S38" s="921">
        <v>6</v>
      </c>
      <c r="T38" s="922">
        <v>7</v>
      </c>
      <c r="U38" s="920">
        <v>8</v>
      </c>
      <c r="V38" s="923">
        <v>9</v>
      </c>
      <c r="W38" s="920">
        <v>10</v>
      </c>
      <c r="X38" s="932" t="s">
        <v>645</v>
      </c>
      <c r="Y38"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38" s="1393">
        <f t="shared" si="21"/>
        <v>3</v>
      </c>
      <c r="AA38" s="933" t="str">
        <f t="shared" si="2"/>
        <v>jujur</v>
      </c>
      <c r="AB38" s="933" t="str">
        <f t="shared" si="25"/>
        <v xml:space="preserve">, </v>
      </c>
      <c r="AC38" s="933" t="str">
        <f t="shared" si="4"/>
        <v>disiplin</v>
      </c>
      <c r="AD38" s="925" t="str">
        <f t="shared" si="22"/>
        <v xml:space="preserve"> dan </v>
      </c>
      <c r="AE38" s="933" t="str">
        <f t="shared" si="5"/>
        <v>tanggung jawab</v>
      </c>
      <c r="AF38" s="927" t="str">
        <f t="shared" si="6"/>
        <v>santun</v>
      </c>
      <c r="AG38" s="927" t="str">
        <f t="shared" si="33"/>
        <v xml:space="preserve">, </v>
      </c>
      <c r="AH38" s="927" t="str">
        <f t="shared" si="8"/>
        <v>percaya diri</v>
      </c>
      <c r="AI38" s="925" t="str">
        <f t="shared" si="23"/>
        <v xml:space="preserve"> dan </v>
      </c>
      <c r="AJ38" s="927" t="str">
        <f t="shared" si="9"/>
        <v>peduli</v>
      </c>
      <c r="AK38" s="933" t="str">
        <f t="shared" si="10"/>
        <v>kurang toleransi</v>
      </c>
      <c r="AL38" s="933" t="str">
        <f t="shared" si="34"/>
        <v xml:space="preserve"> dan </v>
      </c>
      <c r="AM38" s="933" t="str">
        <f t="shared" si="12"/>
        <v>kurang gotong royong</v>
      </c>
      <c r="AN38" s="927" t="str">
        <f t="shared" si="13"/>
        <v>nasionalis</v>
      </c>
      <c r="AO38" s="927" t="str">
        <f t="shared" si="35"/>
        <v xml:space="preserve"> dan </v>
      </c>
      <c r="AP38" s="927" t="str">
        <f t="shared" si="15"/>
        <v>demokratis</v>
      </c>
      <c r="AR38" s="928" t="str">
        <f t="shared" si="26"/>
        <v>berdoa sebelum dan sesudah melakukan kegiatan</v>
      </c>
      <c r="AS38" s="929" t="str">
        <f t="shared" si="27"/>
        <v xml:space="preserve">, </v>
      </c>
      <c r="AT38" s="928" t="str">
        <f t="shared" si="16"/>
        <v>menjalankan ibadah sesuai dengan agamanya</v>
      </c>
      <c r="AU38" s="929" t="str">
        <f t="shared" si="28"/>
        <v xml:space="preserve"> dan </v>
      </c>
      <c r="AV38" s="928" t="str">
        <f t="shared" si="29"/>
        <v>memberi salam pada saat awal dan akhir kegiatan</v>
      </c>
      <c r="AW38" s="928" t="str">
        <f t="shared" si="30"/>
        <v xml:space="preserve">. Sedangkan sikap </v>
      </c>
      <c r="AX38" s="928" t="str">
        <f t="shared" si="18"/>
        <v>bersyukur atas nikmat dan karunia Tuhan Yang Maha Esa</v>
      </c>
      <c r="AY38" s="928" t="str">
        <f t="shared" si="31"/>
        <v xml:space="preserve"> dan </v>
      </c>
      <c r="AZ38" s="928" t="str">
        <f t="shared" si="19"/>
        <v>mensyukuri kemampuan manusia dalam mengendalikan diri</v>
      </c>
    </row>
    <row r="39" spans="1:52" ht="30" customHeight="1">
      <c r="A39" s="67"/>
      <c r="B39" s="272">
        <f t="shared" si="20"/>
        <v>25</v>
      </c>
      <c r="C39" s="273">
        <f>IF(Data!F29="","",Data!F29)</f>
        <v>0</v>
      </c>
      <c r="D39" s="274" t="str">
        <f>IF(Data!H29="","",Data!H29)</f>
        <v>Maya Trifena Niobe</v>
      </c>
      <c r="E39" s="275" t="str">
        <f>IF(Data!I29="","",Data!I29)</f>
        <v>P</v>
      </c>
      <c r="F39" s="913" t="s">
        <v>60</v>
      </c>
      <c r="G39" s="914">
        <v>1</v>
      </c>
      <c r="H39" s="357">
        <v>2</v>
      </c>
      <c r="I39" s="915">
        <v>3</v>
      </c>
      <c r="J39" s="914">
        <v>4</v>
      </c>
      <c r="K39" s="915">
        <v>5</v>
      </c>
      <c r="L39"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39" s="917" t="s">
        <v>60</v>
      </c>
      <c r="N39" s="918">
        <v>1</v>
      </c>
      <c r="O39" s="919">
        <v>2</v>
      </c>
      <c r="P39" s="920">
        <v>3</v>
      </c>
      <c r="Q39" s="918">
        <v>4</v>
      </c>
      <c r="R39" s="920">
        <v>5</v>
      </c>
      <c r="S39" s="921">
        <v>6</v>
      </c>
      <c r="T39" s="922">
        <v>7</v>
      </c>
      <c r="U39" s="920">
        <v>8</v>
      </c>
      <c r="V39" s="923">
        <v>9</v>
      </c>
      <c r="W39" s="920">
        <v>10</v>
      </c>
      <c r="X39" s="932" t="s">
        <v>645</v>
      </c>
      <c r="Y39"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39" s="1393">
        <f t="shared" si="21"/>
        <v>3</v>
      </c>
      <c r="AA39" s="933" t="str">
        <f t="shared" si="2"/>
        <v>jujur</v>
      </c>
      <c r="AB39" s="933" t="str">
        <f t="shared" si="25"/>
        <v xml:space="preserve">, </v>
      </c>
      <c r="AC39" s="933" t="str">
        <f t="shared" si="4"/>
        <v>disiplin</v>
      </c>
      <c r="AD39" s="925" t="str">
        <f t="shared" si="22"/>
        <v xml:space="preserve"> dan </v>
      </c>
      <c r="AE39" s="933" t="str">
        <f t="shared" si="5"/>
        <v>tanggung jawab</v>
      </c>
      <c r="AF39" s="927" t="str">
        <f t="shared" si="6"/>
        <v>santun</v>
      </c>
      <c r="AG39" s="927" t="str">
        <f t="shared" si="33"/>
        <v xml:space="preserve">, </v>
      </c>
      <c r="AH39" s="927" t="str">
        <f t="shared" si="8"/>
        <v>percaya diri</v>
      </c>
      <c r="AI39" s="925" t="str">
        <f t="shared" si="23"/>
        <v xml:space="preserve"> dan </v>
      </c>
      <c r="AJ39" s="927" t="str">
        <f t="shared" si="9"/>
        <v>peduli</v>
      </c>
      <c r="AK39" s="933" t="str">
        <f t="shared" si="10"/>
        <v>kurang toleransi</v>
      </c>
      <c r="AL39" s="933" t="str">
        <f t="shared" si="34"/>
        <v xml:space="preserve"> dan </v>
      </c>
      <c r="AM39" s="933" t="str">
        <f t="shared" si="12"/>
        <v>kurang gotong royong</v>
      </c>
      <c r="AN39" s="927" t="str">
        <f t="shared" si="13"/>
        <v>nasionalis</v>
      </c>
      <c r="AO39" s="927" t="str">
        <f t="shared" si="35"/>
        <v xml:space="preserve"> dan </v>
      </c>
      <c r="AP39" s="927" t="str">
        <f t="shared" si="15"/>
        <v>demokratis</v>
      </c>
      <c r="AR39" s="928" t="str">
        <f t="shared" si="26"/>
        <v>berdoa sebelum dan sesudah melakukan kegiatan</v>
      </c>
      <c r="AS39" s="929" t="str">
        <f t="shared" si="27"/>
        <v xml:space="preserve">, </v>
      </c>
      <c r="AT39" s="928" t="str">
        <f t="shared" si="16"/>
        <v>menjalankan ibadah sesuai dengan agamanya</v>
      </c>
      <c r="AU39" s="929" t="str">
        <f t="shared" si="28"/>
        <v xml:space="preserve"> dan </v>
      </c>
      <c r="AV39" s="928" t="str">
        <f t="shared" si="29"/>
        <v>memberi salam pada saat awal dan akhir kegiatan</v>
      </c>
      <c r="AW39" s="928" t="str">
        <f t="shared" si="30"/>
        <v xml:space="preserve">. Sedangkan sikap </v>
      </c>
      <c r="AX39" s="928" t="str">
        <f t="shared" si="18"/>
        <v>bersyukur atas nikmat dan karunia Tuhan Yang Maha Esa</v>
      </c>
      <c r="AY39" s="928" t="str">
        <f t="shared" si="31"/>
        <v xml:space="preserve"> dan </v>
      </c>
      <c r="AZ39" s="928" t="str">
        <f t="shared" si="19"/>
        <v>mensyukuri kemampuan manusia dalam mengendalikan diri</v>
      </c>
    </row>
    <row r="40" spans="1:52" ht="30" customHeight="1">
      <c r="A40" s="67"/>
      <c r="B40" s="272">
        <f t="shared" si="20"/>
        <v>26</v>
      </c>
      <c r="C40" s="273">
        <f>IF(Data!F30="","",Data!F30)</f>
        <v>0</v>
      </c>
      <c r="D40" s="274" t="str">
        <f>IF(Data!H30="","",Data!H30)</f>
        <v>Misel Miranda Sora</v>
      </c>
      <c r="E40" s="275" t="str">
        <f>IF(Data!I30="","",Data!I30)</f>
        <v>P</v>
      </c>
      <c r="F40" s="913" t="s">
        <v>62</v>
      </c>
      <c r="G40" s="914">
        <v>1</v>
      </c>
      <c r="H40" s="357">
        <v>2</v>
      </c>
      <c r="I40" s="915">
        <v>3</v>
      </c>
      <c r="J40" s="914">
        <v>4</v>
      </c>
      <c r="K40" s="915">
        <v>5</v>
      </c>
      <c r="L40"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40" s="917" t="s">
        <v>62</v>
      </c>
      <c r="N40" s="918">
        <v>1</v>
      </c>
      <c r="O40" s="919">
        <v>2</v>
      </c>
      <c r="P40" s="920">
        <v>3</v>
      </c>
      <c r="Q40" s="918">
        <v>4</v>
      </c>
      <c r="R40" s="920">
        <v>5</v>
      </c>
      <c r="S40" s="921">
        <v>6</v>
      </c>
      <c r="T40" s="922">
        <v>7</v>
      </c>
      <c r="U40" s="920">
        <v>8</v>
      </c>
      <c r="V40" s="923">
        <v>9</v>
      </c>
      <c r="W40" s="920">
        <v>10</v>
      </c>
      <c r="X40" s="932" t="s">
        <v>645</v>
      </c>
      <c r="Y40"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40" s="1393">
        <f t="shared" si="21"/>
        <v>3</v>
      </c>
      <c r="AA40" s="933" t="str">
        <f t="shared" si="2"/>
        <v>jujur</v>
      </c>
      <c r="AB40" s="933" t="str">
        <f t="shared" si="25"/>
        <v xml:space="preserve">, </v>
      </c>
      <c r="AC40" s="933" t="str">
        <f t="shared" si="4"/>
        <v>disiplin</v>
      </c>
      <c r="AD40" s="925" t="str">
        <f t="shared" si="22"/>
        <v xml:space="preserve"> dan </v>
      </c>
      <c r="AE40" s="933" t="str">
        <f t="shared" si="5"/>
        <v>tanggung jawab</v>
      </c>
      <c r="AF40" s="927" t="str">
        <f t="shared" si="6"/>
        <v>santun</v>
      </c>
      <c r="AG40" s="927" t="str">
        <f t="shared" si="33"/>
        <v xml:space="preserve">, </v>
      </c>
      <c r="AH40" s="927" t="str">
        <f t="shared" si="8"/>
        <v>percaya diri</v>
      </c>
      <c r="AI40" s="925" t="str">
        <f t="shared" si="23"/>
        <v xml:space="preserve"> dan </v>
      </c>
      <c r="AJ40" s="927" t="str">
        <f t="shared" si="9"/>
        <v>peduli</v>
      </c>
      <c r="AK40" s="933" t="str">
        <f t="shared" si="10"/>
        <v>kurang toleransi</v>
      </c>
      <c r="AL40" s="933" t="str">
        <f t="shared" si="34"/>
        <v xml:space="preserve"> dan </v>
      </c>
      <c r="AM40" s="933" t="str">
        <f t="shared" si="12"/>
        <v>kurang gotong royong</v>
      </c>
      <c r="AN40" s="927" t="str">
        <f t="shared" si="13"/>
        <v>nasionalis</v>
      </c>
      <c r="AO40" s="927" t="str">
        <f t="shared" si="35"/>
        <v xml:space="preserve"> dan </v>
      </c>
      <c r="AP40" s="927" t="str">
        <f t="shared" si="15"/>
        <v>demokratis</v>
      </c>
      <c r="AR40" s="928" t="str">
        <f t="shared" si="26"/>
        <v>berdoa sebelum dan sesudah melakukan kegiatan</v>
      </c>
      <c r="AS40" s="929" t="str">
        <f t="shared" si="27"/>
        <v xml:space="preserve">, </v>
      </c>
      <c r="AT40" s="928" t="str">
        <f t="shared" si="16"/>
        <v>menjalankan ibadah sesuai dengan agamanya</v>
      </c>
      <c r="AU40" s="929" t="str">
        <f t="shared" si="28"/>
        <v xml:space="preserve"> dan </v>
      </c>
      <c r="AV40" s="928" t="str">
        <f t="shared" si="29"/>
        <v>memberi salam pada saat awal dan akhir kegiatan</v>
      </c>
      <c r="AW40" s="928" t="str">
        <f t="shared" si="30"/>
        <v xml:space="preserve">. Sedangkan sikap </v>
      </c>
      <c r="AX40" s="928" t="str">
        <f t="shared" si="18"/>
        <v>bersyukur atas nikmat dan karunia Tuhan Yang Maha Esa</v>
      </c>
      <c r="AY40" s="928" t="str">
        <f t="shared" si="31"/>
        <v xml:space="preserve"> dan </v>
      </c>
      <c r="AZ40" s="928" t="str">
        <f t="shared" si="19"/>
        <v>mensyukuri kemampuan manusia dalam mengendalikan diri</v>
      </c>
    </row>
    <row r="41" spans="1:52" ht="30" customHeight="1">
      <c r="A41" s="67"/>
      <c r="B41" s="272">
        <f t="shared" si="20"/>
        <v>27</v>
      </c>
      <c r="C41" s="273">
        <f>IF(Data!F31="","",Data!F31)</f>
        <v>0</v>
      </c>
      <c r="D41" s="274" t="str">
        <f>IF(Data!H31="","",Data!H31)</f>
        <v>Nofianti Tainmeta</v>
      </c>
      <c r="E41" s="275" t="str">
        <f>IF(Data!I31="","",Data!I31)</f>
        <v>P</v>
      </c>
      <c r="F41" s="913" t="s">
        <v>62</v>
      </c>
      <c r="G41" s="914">
        <v>1</v>
      </c>
      <c r="H41" s="357">
        <v>2</v>
      </c>
      <c r="I41" s="915">
        <v>3</v>
      </c>
      <c r="J41" s="914">
        <v>4</v>
      </c>
      <c r="K41" s="915">
        <v>5</v>
      </c>
      <c r="L41"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41" s="917" t="s">
        <v>62</v>
      </c>
      <c r="N41" s="918">
        <v>1</v>
      </c>
      <c r="O41" s="919">
        <v>2</v>
      </c>
      <c r="P41" s="920">
        <v>3</v>
      </c>
      <c r="Q41" s="918">
        <v>4</v>
      </c>
      <c r="R41" s="920">
        <v>5</v>
      </c>
      <c r="S41" s="921">
        <v>6</v>
      </c>
      <c r="T41" s="922">
        <v>7</v>
      </c>
      <c r="U41" s="920">
        <v>8</v>
      </c>
      <c r="V41" s="923">
        <v>9</v>
      </c>
      <c r="W41" s="920">
        <v>10</v>
      </c>
      <c r="X41" s="932" t="s">
        <v>645</v>
      </c>
      <c r="Y41"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41" s="1393">
        <f t="shared" si="21"/>
        <v>3</v>
      </c>
      <c r="AA41" s="933" t="str">
        <f t="shared" si="2"/>
        <v>jujur</v>
      </c>
      <c r="AB41" s="933" t="str">
        <f t="shared" si="25"/>
        <v xml:space="preserve">, </v>
      </c>
      <c r="AC41" s="933" t="str">
        <f t="shared" si="4"/>
        <v>disiplin</v>
      </c>
      <c r="AD41" s="925" t="str">
        <f t="shared" si="22"/>
        <v xml:space="preserve"> dan </v>
      </c>
      <c r="AE41" s="933" t="str">
        <f t="shared" si="5"/>
        <v>tanggung jawab</v>
      </c>
      <c r="AF41" s="927" t="str">
        <f t="shared" si="6"/>
        <v>santun</v>
      </c>
      <c r="AG41" s="927" t="str">
        <f t="shared" si="33"/>
        <v xml:space="preserve">, </v>
      </c>
      <c r="AH41" s="927" t="str">
        <f t="shared" si="8"/>
        <v>percaya diri</v>
      </c>
      <c r="AI41" s="925" t="str">
        <f t="shared" si="23"/>
        <v xml:space="preserve"> dan </v>
      </c>
      <c r="AJ41" s="927" t="str">
        <f t="shared" si="9"/>
        <v>peduli</v>
      </c>
      <c r="AK41" s="933" t="str">
        <f t="shared" si="10"/>
        <v>kurang toleransi</v>
      </c>
      <c r="AL41" s="933" t="str">
        <f t="shared" si="34"/>
        <v xml:space="preserve"> dan </v>
      </c>
      <c r="AM41" s="933" t="str">
        <f t="shared" si="12"/>
        <v>kurang gotong royong</v>
      </c>
      <c r="AN41" s="927" t="str">
        <f t="shared" si="13"/>
        <v>nasionalis</v>
      </c>
      <c r="AO41" s="927" t="str">
        <f t="shared" si="35"/>
        <v xml:space="preserve"> dan </v>
      </c>
      <c r="AP41" s="927" t="str">
        <f t="shared" si="15"/>
        <v>demokratis</v>
      </c>
      <c r="AR41" s="928" t="str">
        <f t="shared" si="26"/>
        <v>berdoa sebelum dan sesudah melakukan kegiatan</v>
      </c>
      <c r="AS41" s="929" t="str">
        <f t="shared" si="27"/>
        <v xml:space="preserve">, </v>
      </c>
      <c r="AT41" s="928" t="str">
        <f t="shared" si="16"/>
        <v>menjalankan ibadah sesuai dengan agamanya</v>
      </c>
      <c r="AU41" s="929" t="str">
        <f t="shared" si="28"/>
        <v xml:space="preserve"> dan </v>
      </c>
      <c r="AV41" s="928" t="str">
        <f t="shared" si="29"/>
        <v>memberi salam pada saat awal dan akhir kegiatan</v>
      </c>
      <c r="AW41" s="928" t="str">
        <f t="shared" si="30"/>
        <v xml:space="preserve">. Sedangkan sikap </v>
      </c>
      <c r="AX41" s="928" t="str">
        <f t="shared" si="18"/>
        <v>bersyukur atas nikmat dan karunia Tuhan Yang Maha Esa</v>
      </c>
      <c r="AY41" s="928" t="str">
        <f t="shared" si="31"/>
        <v xml:space="preserve"> dan </v>
      </c>
      <c r="AZ41" s="928" t="str">
        <f t="shared" si="19"/>
        <v>mensyukuri kemampuan manusia dalam mengendalikan diri</v>
      </c>
    </row>
    <row r="42" spans="1:52" ht="30" customHeight="1">
      <c r="A42" s="67"/>
      <c r="B42" s="272">
        <f t="shared" si="20"/>
        <v>28</v>
      </c>
      <c r="C42" s="273">
        <f>IF(Data!F32="","",Data!F32)</f>
        <v>0</v>
      </c>
      <c r="D42" s="274" t="str">
        <f>IF(Data!H32="","",Data!H32)</f>
        <v>Ofni Antrikus Banun</v>
      </c>
      <c r="E42" s="275" t="str">
        <f>IF(Data!I32="","",Data!I32)</f>
        <v>L</v>
      </c>
      <c r="F42" s="913" t="s">
        <v>60</v>
      </c>
      <c r="G42" s="914">
        <v>1</v>
      </c>
      <c r="H42" s="357">
        <v>2</v>
      </c>
      <c r="I42" s="915">
        <v>3</v>
      </c>
      <c r="J42" s="914">
        <v>4</v>
      </c>
      <c r="K42" s="915">
        <v>5</v>
      </c>
      <c r="L42"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42" s="917" t="s">
        <v>60</v>
      </c>
      <c r="N42" s="918">
        <v>1</v>
      </c>
      <c r="O42" s="919">
        <v>2</v>
      </c>
      <c r="P42" s="920">
        <v>3</v>
      </c>
      <c r="Q42" s="918">
        <v>4</v>
      </c>
      <c r="R42" s="920">
        <v>5</v>
      </c>
      <c r="S42" s="921">
        <v>6</v>
      </c>
      <c r="T42" s="922">
        <v>7</v>
      </c>
      <c r="U42" s="920">
        <v>8</v>
      </c>
      <c r="V42" s="923">
        <v>9</v>
      </c>
      <c r="W42" s="920">
        <v>10</v>
      </c>
      <c r="X42" s="932" t="s">
        <v>645</v>
      </c>
      <c r="Y42"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42" s="1393">
        <f t="shared" si="21"/>
        <v>3</v>
      </c>
      <c r="AA42" s="933" t="str">
        <f t="shared" si="2"/>
        <v>jujur</v>
      </c>
      <c r="AB42" s="933" t="str">
        <f t="shared" si="25"/>
        <v xml:space="preserve">, </v>
      </c>
      <c r="AC42" s="933" t="str">
        <f t="shared" si="4"/>
        <v>disiplin</v>
      </c>
      <c r="AD42" s="925" t="str">
        <f t="shared" si="22"/>
        <v xml:space="preserve"> dan </v>
      </c>
      <c r="AE42" s="933" t="str">
        <f t="shared" si="5"/>
        <v>tanggung jawab</v>
      </c>
      <c r="AF42" s="927" t="str">
        <f t="shared" si="6"/>
        <v>santun</v>
      </c>
      <c r="AG42" s="927" t="str">
        <f t="shared" si="33"/>
        <v xml:space="preserve">, </v>
      </c>
      <c r="AH42" s="927" t="str">
        <f t="shared" si="8"/>
        <v>percaya diri</v>
      </c>
      <c r="AI42" s="925" t="str">
        <f t="shared" si="23"/>
        <v xml:space="preserve"> dan </v>
      </c>
      <c r="AJ42" s="927" t="str">
        <f t="shared" si="9"/>
        <v>peduli</v>
      </c>
      <c r="AK42" s="933" t="str">
        <f t="shared" si="10"/>
        <v>kurang toleransi</v>
      </c>
      <c r="AL42" s="933" t="str">
        <f t="shared" si="34"/>
        <v xml:space="preserve"> dan </v>
      </c>
      <c r="AM42" s="933" t="str">
        <f t="shared" si="12"/>
        <v>kurang gotong royong</v>
      </c>
      <c r="AN42" s="927" t="str">
        <f t="shared" si="13"/>
        <v>nasionalis</v>
      </c>
      <c r="AO42" s="927" t="str">
        <f t="shared" si="35"/>
        <v xml:space="preserve"> dan </v>
      </c>
      <c r="AP42" s="927" t="str">
        <f t="shared" si="15"/>
        <v>demokratis</v>
      </c>
      <c r="AR42" s="928" t="str">
        <f t="shared" si="26"/>
        <v>berdoa sebelum dan sesudah melakukan kegiatan</v>
      </c>
      <c r="AS42" s="929" t="str">
        <f t="shared" si="27"/>
        <v xml:space="preserve">, </v>
      </c>
      <c r="AT42" s="928" t="str">
        <f t="shared" si="16"/>
        <v>menjalankan ibadah sesuai dengan agamanya</v>
      </c>
      <c r="AU42" s="929" t="str">
        <f t="shared" si="28"/>
        <v xml:space="preserve"> dan </v>
      </c>
      <c r="AV42" s="928" t="str">
        <f t="shared" si="29"/>
        <v>memberi salam pada saat awal dan akhir kegiatan</v>
      </c>
      <c r="AW42" s="928" t="str">
        <f t="shared" si="30"/>
        <v xml:space="preserve">. Sedangkan sikap </v>
      </c>
      <c r="AX42" s="928" t="str">
        <f t="shared" si="18"/>
        <v>bersyukur atas nikmat dan karunia Tuhan Yang Maha Esa</v>
      </c>
      <c r="AY42" s="928" t="str">
        <f t="shared" si="31"/>
        <v xml:space="preserve"> dan </v>
      </c>
      <c r="AZ42" s="928" t="str">
        <f t="shared" si="19"/>
        <v>mensyukuri kemampuan manusia dalam mengendalikan diri</v>
      </c>
    </row>
    <row r="43" spans="1:52" ht="30" customHeight="1">
      <c r="A43" s="67"/>
      <c r="B43" s="272">
        <f t="shared" si="20"/>
        <v>29</v>
      </c>
      <c r="C43" s="273">
        <f>IF(Data!F33="","",Data!F33)</f>
        <v>0</v>
      </c>
      <c r="D43" s="274" t="str">
        <f>IF(Data!H33="","",Data!H33)</f>
        <v>Roiyandi Saebesi</v>
      </c>
      <c r="E43" s="275" t="str">
        <f>IF(Data!I33="","",Data!I33)</f>
        <v>L</v>
      </c>
      <c r="F43" s="913" t="s">
        <v>59</v>
      </c>
      <c r="G43" s="914">
        <v>1</v>
      </c>
      <c r="H43" s="357">
        <v>2</v>
      </c>
      <c r="I43" s="915">
        <v>3</v>
      </c>
      <c r="J43" s="914">
        <v>4</v>
      </c>
      <c r="K43" s="915">
        <v>5</v>
      </c>
      <c r="L43"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43" s="917" t="s">
        <v>59</v>
      </c>
      <c r="N43" s="918">
        <v>1</v>
      </c>
      <c r="O43" s="919">
        <v>2</v>
      </c>
      <c r="P43" s="920">
        <v>3</v>
      </c>
      <c r="Q43" s="918">
        <v>4</v>
      </c>
      <c r="R43" s="920">
        <v>5</v>
      </c>
      <c r="S43" s="921">
        <v>6</v>
      </c>
      <c r="T43" s="922">
        <v>7</v>
      </c>
      <c r="U43" s="920">
        <v>8</v>
      </c>
      <c r="V43" s="923">
        <v>9</v>
      </c>
      <c r="W43" s="920">
        <v>10</v>
      </c>
      <c r="X43" s="932" t="s">
        <v>645</v>
      </c>
      <c r="Y43"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43" s="1393">
        <f t="shared" si="21"/>
        <v>3</v>
      </c>
      <c r="AA43" s="933" t="str">
        <f t="shared" si="2"/>
        <v>jujur</v>
      </c>
      <c r="AB43" s="933" t="str">
        <f t="shared" si="25"/>
        <v xml:space="preserve">, </v>
      </c>
      <c r="AC43" s="933" t="str">
        <f t="shared" si="4"/>
        <v>disiplin</v>
      </c>
      <c r="AD43" s="925" t="str">
        <f t="shared" si="22"/>
        <v xml:space="preserve"> dan </v>
      </c>
      <c r="AE43" s="933" t="str">
        <f t="shared" si="5"/>
        <v>tanggung jawab</v>
      </c>
      <c r="AF43" s="927" t="str">
        <f t="shared" si="6"/>
        <v>santun</v>
      </c>
      <c r="AG43" s="927" t="str">
        <f t="shared" si="33"/>
        <v xml:space="preserve">, </v>
      </c>
      <c r="AH43" s="927" t="str">
        <f t="shared" si="8"/>
        <v>percaya diri</v>
      </c>
      <c r="AI43" s="925" t="str">
        <f t="shared" si="23"/>
        <v xml:space="preserve"> dan </v>
      </c>
      <c r="AJ43" s="927" t="str">
        <f t="shared" si="9"/>
        <v>peduli</v>
      </c>
      <c r="AK43" s="933" t="str">
        <f t="shared" si="10"/>
        <v>kurang toleransi</v>
      </c>
      <c r="AL43" s="933" t="str">
        <f t="shared" si="34"/>
        <v xml:space="preserve"> dan </v>
      </c>
      <c r="AM43" s="933" t="str">
        <f t="shared" si="12"/>
        <v>kurang gotong royong</v>
      </c>
      <c r="AN43" s="927" t="str">
        <f t="shared" si="13"/>
        <v>nasionalis</v>
      </c>
      <c r="AO43" s="927" t="str">
        <f t="shared" si="35"/>
        <v xml:space="preserve"> dan </v>
      </c>
      <c r="AP43" s="927" t="str">
        <f t="shared" si="15"/>
        <v>demokratis</v>
      </c>
      <c r="AR43" s="928" t="str">
        <f t="shared" si="26"/>
        <v>berdoa sebelum dan sesudah melakukan kegiatan</v>
      </c>
      <c r="AS43" s="929" t="str">
        <f t="shared" si="27"/>
        <v xml:space="preserve">, </v>
      </c>
      <c r="AT43" s="928" t="str">
        <f t="shared" si="16"/>
        <v>menjalankan ibadah sesuai dengan agamanya</v>
      </c>
      <c r="AU43" s="929" t="str">
        <f t="shared" si="28"/>
        <v xml:space="preserve"> dan </v>
      </c>
      <c r="AV43" s="928" t="str">
        <f t="shared" si="29"/>
        <v>memberi salam pada saat awal dan akhir kegiatan</v>
      </c>
      <c r="AW43" s="928" t="str">
        <f t="shared" si="30"/>
        <v xml:space="preserve">. Sedangkan sikap </v>
      </c>
      <c r="AX43" s="928" t="str">
        <f t="shared" si="18"/>
        <v>bersyukur atas nikmat dan karunia Tuhan Yang Maha Esa</v>
      </c>
      <c r="AY43" s="928" t="str">
        <f t="shared" si="31"/>
        <v xml:space="preserve"> dan </v>
      </c>
      <c r="AZ43" s="928" t="str">
        <f t="shared" si="19"/>
        <v>mensyukuri kemampuan manusia dalam mengendalikan diri</v>
      </c>
    </row>
    <row r="44" spans="1:52" ht="30" customHeight="1">
      <c r="A44" s="67"/>
      <c r="B44" s="272">
        <f t="shared" si="20"/>
        <v>30</v>
      </c>
      <c r="C44" s="273">
        <f>IF(Data!F34="","",Data!F34)</f>
        <v>0</v>
      </c>
      <c r="D44" s="274" t="str">
        <f>IF(Data!H34="","",Data!H34)</f>
        <v>Roni Yohanis Bira</v>
      </c>
      <c r="E44" s="275" t="str">
        <f>IF(Data!I34="","",Data!I34)</f>
        <v>L</v>
      </c>
      <c r="F44" s="913" t="s">
        <v>59</v>
      </c>
      <c r="G44" s="914">
        <v>1</v>
      </c>
      <c r="H44" s="357">
        <v>2</v>
      </c>
      <c r="I44" s="915">
        <v>3</v>
      </c>
      <c r="J44" s="914">
        <v>4</v>
      </c>
      <c r="K44" s="915">
        <v>5</v>
      </c>
      <c r="L44"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44" s="917" t="s">
        <v>59</v>
      </c>
      <c r="N44" s="918">
        <v>1</v>
      </c>
      <c r="O44" s="919">
        <v>2</v>
      </c>
      <c r="P44" s="920">
        <v>3</v>
      </c>
      <c r="Q44" s="918">
        <v>4</v>
      </c>
      <c r="R44" s="920">
        <v>5</v>
      </c>
      <c r="S44" s="921">
        <v>6</v>
      </c>
      <c r="T44" s="922">
        <v>7</v>
      </c>
      <c r="U44" s="920">
        <v>8</v>
      </c>
      <c r="V44" s="923">
        <v>9</v>
      </c>
      <c r="W44" s="920">
        <v>10</v>
      </c>
      <c r="X44" s="932" t="s">
        <v>645</v>
      </c>
      <c r="Y44"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44" s="1393">
        <f t="shared" si="21"/>
        <v>3</v>
      </c>
      <c r="AA44" s="933" t="str">
        <f t="shared" si="2"/>
        <v>jujur</v>
      </c>
      <c r="AB44" s="933" t="str">
        <f t="shared" si="25"/>
        <v xml:space="preserve">, </v>
      </c>
      <c r="AC44" s="933" t="str">
        <f t="shared" si="4"/>
        <v>disiplin</v>
      </c>
      <c r="AD44" s="925" t="str">
        <f t="shared" si="22"/>
        <v xml:space="preserve"> dan </v>
      </c>
      <c r="AE44" s="933" t="str">
        <f t="shared" si="5"/>
        <v>tanggung jawab</v>
      </c>
      <c r="AF44" s="927" t="str">
        <f t="shared" si="6"/>
        <v>santun</v>
      </c>
      <c r="AG44" s="927" t="str">
        <f t="shared" si="33"/>
        <v xml:space="preserve">, </v>
      </c>
      <c r="AH44" s="927" t="str">
        <f t="shared" si="8"/>
        <v>percaya diri</v>
      </c>
      <c r="AI44" s="925" t="str">
        <f t="shared" si="23"/>
        <v xml:space="preserve"> dan </v>
      </c>
      <c r="AJ44" s="927" t="str">
        <f t="shared" si="9"/>
        <v>peduli</v>
      </c>
      <c r="AK44" s="933" t="str">
        <f t="shared" si="10"/>
        <v>kurang toleransi</v>
      </c>
      <c r="AL44" s="933" t="str">
        <f t="shared" si="34"/>
        <v xml:space="preserve"> dan </v>
      </c>
      <c r="AM44" s="933" t="str">
        <f t="shared" si="12"/>
        <v>kurang gotong royong</v>
      </c>
      <c r="AN44" s="927" t="str">
        <f t="shared" si="13"/>
        <v>nasionalis</v>
      </c>
      <c r="AO44" s="927" t="str">
        <f t="shared" si="35"/>
        <v xml:space="preserve"> dan </v>
      </c>
      <c r="AP44" s="927" t="str">
        <f t="shared" si="15"/>
        <v>demokratis</v>
      </c>
      <c r="AR44" s="928" t="str">
        <f t="shared" si="26"/>
        <v>berdoa sebelum dan sesudah melakukan kegiatan</v>
      </c>
      <c r="AS44" s="929" t="str">
        <f t="shared" si="27"/>
        <v xml:space="preserve">, </v>
      </c>
      <c r="AT44" s="928" t="str">
        <f t="shared" si="16"/>
        <v>menjalankan ibadah sesuai dengan agamanya</v>
      </c>
      <c r="AU44" s="929" t="str">
        <f t="shared" si="28"/>
        <v xml:space="preserve"> dan </v>
      </c>
      <c r="AV44" s="928" t="str">
        <f t="shared" si="29"/>
        <v>memberi salam pada saat awal dan akhir kegiatan</v>
      </c>
      <c r="AW44" s="928" t="str">
        <f t="shared" si="30"/>
        <v xml:space="preserve">. Sedangkan sikap </v>
      </c>
      <c r="AX44" s="928" t="str">
        <f t="shared" si="18"/>
        <v>bersyukur atas nikmat dan karunia Tuhan Yang Maha Esa</v>
      </c>
      <c r="AY44" s="928" t="str">
        <f t="shared" si="31"/>
        <v xml:space="preserve"> dan </v>
      </c>
      <c r="AZ44" s="928" t="str">
        <f t="shared" si="19"/>
        <v>mensyukuri kemampuan manusia dalam mengendalikan diri</v>
      </c>
    </row>
    <row r="45" spans="1:52" ht="30" customHeight="1">
      <c r="A45" s="67"/>
      <c r="B45" s="272">
        <f t="shared" si="20"/>
        <v>31</v>
      </c>
      <c r="C45" s="273">
        <f>IF(Data!F35="","",Data!F35)</f>
        <v>0</v>
      </c>
      <c r="D45" s="274" t="str">
        <f>IF(Data!H35="","",Data!H35)</f>
        <v>Sinta Norliana Funan</v>
      </c>
      <c r="E45" s="275" t="str">
        <f>IF(Data!I35="","",Data!I35)</f>
        <v>P</v>
      </c>
      <c r="F45" s="913" t="s">
        <v>62</v>
      </c>
      <c r="G45" s="914">
        <v>1</v>
      </c>
      <c r="H45" s="357">
        <v>2</v>
      </c>
      <c r="I45" s="915">
        <v>3</v>
      </c>
      <c r="J45" s="914">
        <v>4</v>
      </c>
      <c r="K45" s="915">
        <v>5</v>
      </c>
      <c r="L45"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45" s="917" t="s">
        <v>62</v>
      </c>
      <c r="N45" s="918">
        <v>1</v>
      </c>
      <c r="O45" s="919">
        <v>2</v>
      </c>
      <c r="P45" s="920">
        <v>3</v>
      </c>
      <c r="Q45" s="918">
        <v>4</v>
      </c>
      <c r="R45" s="920">
        <v>5</v>
      </c>
      <c r="S45" s="921">
        <v>6</v>
      </c>
      <c r="T45" s="922">
        <v>7</v>
      </c>
      <c r="U45" s="920">
        <v>8</v>
      </c>
      <c r="V45" s="923">
        <v>9</v>
      </c>
      <c r="W45" s="920">
        <v>10</v>
      </c>
      <c r="X45" s="932" t="s">
        <v>645</v>
      </c>
      <c r="Y45"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45" s="1393">
        <f t="shared" si="21"/>
        <v>3</v>
      </c>
      <c r="AA45" s="933" t="str">
        <f t="shared" si="2"/>
        <v>jujur</v>
      </c>
      <c r="AB45" s="933" t="str">
        <f t="shared" si="25"/>
        <v xml:space="preserve">, </v>
      </c>
      <c r="AC45" s="933" t="str">
        <f t="shared" si="4"/>
        <v>disiplin</v>
      </c>
      <c r="AD45" s="925" t="str">
        <f t="shared" si="22"/>
        <v xml:space="preserve"> dan </v>
      </c>
      <c r="AE45" s="933" t="str">
        <f t="shared" si="5"/>
        <v>tanggung jawab</v>
      </c>
      <c r="AF45" s="927" t="str">
        <f t="shared" si="6"/>
        <v>santun</v>
      </c>
      <c r="AG45" s="927" t="str">
        <f t="shared" si="33"/>
        <v xml:space="preserve">, </v>
      </c>
      <c r="AH45" s="927" t="str">
        <f t="shared" si="8"/>
        <v>percaya diri</v>
      </c>
      <c r="AI45" s="925" t="str">
        <f t="shared" si="23"/>
        <v xml:space="preserve"> dan </v>
      </c>
      <c r="AJ45" s="927" t="str">
        <f t="shared" si="9"/>
        <v>peduli</v>
      </c>
      <c r="AK45" s="933" t="str">
        <f t="shared" si="10"/>
        <v>kurang toleransi</v>
      </c>
      <c r="AL45" s="933" t="str">
        <f t="shared" si="34"/>
        <v xml:space="preserve"> dan </v>
      </c>
      <c r="AM45" s="933" t="str">
        <f t="shared" si="12"/>
        <v>kurang gotong royong</v>
      </c>
      <c r="AN45" s="927" t="str">
        <f t="shared" si="13"/>
        <v>nasionalis</v>
      </c>
      <c r="AO45" s="927" t="str">
        <f t="shared" si="35"/>
        <v xml:space="preserve"> dan </v>
      </c>
      <c r="AP45" s="927" t="str">
        <f t="shared" si="15"/>
        <v>demokratis</v>
      </c>
      <c r="AR45" s="928" t="str">
        <f t="shared" si="26"/>
        <v>berdoa sebelum dan sesudah melakukan kegiatan</v>
      </c>
      <c r="AS45" s="929" t="str">
        <f t="shared" si="27"/>
        <v xml:space="preserve">, </v>
      </c>
      <c r="AT45" s="928" t="str">
        <f t="shared" si="16"/>
        <v>menjalankan ibadah sesuai dengan agamanya</v>
      </c>
      <c r="AU45" s="929" t="str">
        <f t="shared" si="28"/>
        <v xml:space="preserve"> dan </v>
      </c>
      <c r="AV45" s="928" t="str">
        <f t="shared" si="29"/>
        <v>memberi salam pada saat awal dan akhir kegiatan</v>
      </c>
      <c r="AW45" s="928" t="str">
        <f t="shared" si="30"/>
        <v xml:space="preserve">. Sedangkan sikap </v>
      </c>
      <c r="AX45" s="928" t="str">
        <f t="shared" si="18"/>
        <v>bersyukur atas nikmat dan karunia Tuhan Yang Maha Esa</v>
      </c>
      <c r="AY45" s="928" t="str">
        <f t="shared" si="31"/>
        <v xml:space="preserve"> dan </v>
      </c>
      <c r="AZ45" s="928" t="str">
        <f t="shared" si="19"/>
        <v>mensyukuri kemampuan manusia dalam mengendalikan diri</v>
      </c>
    </row>
    <row r="46" spans="1:52" ht="30" customHeight="1">
      <c r="A46" s="67"/>
      <c r="B46" s="272">
        <f t="shared" si="20"/>
        <v>32</v>
      </c>
      <c r="C46" s="273">
        <f>IF(Data!F36="","",Data!F36)</f>
        <v>0</v>
      </c>
      <c r="D46" s="274" t="str">
        <f>IF(Data!H36="","",Data!H36)</f>
        <v>Stevi Otnial Loemnanu</v>
      </c>
      <c r="E46" s="275" t="str">
        <f>IF(Data!I36="","",Data!I36)</f>
        <v>L</v>
      </c>
      <c r="F46" s="913" t="s">
        <v>62</v>
      </c>
      <c r="G46" s="914">
        <v>1</v>
      </c>
      <c r="H46" s="357">
        <v>2</v>
      </c>
      <c r="I46" s="915">
        <v>3</v>
      </c>
      <c r="J46" s="914">
        <v>4</v>
      </c>
      <c r="K46" s="915">
        <v>5</v>
      </c>
      <c r="L46"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46" s="917" t="s">
        <v>62</v>
      </c>
      <c r="N46" s="918">
        <v>1</v>
      </c>
      <c r="O46" s="919">
        <v>2</v>
      </c>
      <c r="P46" s="920">
        <v>3</v>
      </c>
      <c r="Q46" s="918">
        <v>4</v>
      </c>
      <c r="R46" s="920">
        <v>5</v>
      </c>
      <c r="S46" s="921">
        <v>6</v>
      </c>
      <c r="T46" s="922">
        <v>7</v>
      </c>
      <c r="U46" s="920">
        <v>8</v>
      </c>
      <c r="V46" s="923">
        <v>9</v>
      </c>
      <c r="W46" s="920">
        <v>10</v>
      </c>
      <c r="X46" s="932" t="s">
        <v>645</v>
      </c>
      <c r="Y46"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46" s="1393">
        <f t="shared" si="21"/>
        <v>3</v>
      </c>
      <c r="AA46" s="933" t="str">
        <f t="shared" si="2"/>
        <v>jujur</v>
      </c>
      <c r="AB46" s="933" t="str">
        <f t="shared" si="25"/>
        <v xml:space="preserve">, </v>
      </c>
      <c r="AC46" s="933" t="str">
        <f t="shared" si="4"/>
        <v>disiplin</v>
      </c>
      <c r="AD46" s="925" t="str">
        <f t="shared" si="22"/>
        <v xml:space="preserve"> dan </v>
      </c>
      <c r="AE46" s="933" t="str">
        <f t="shared" si="5"/>
        <v>tanggung jawab</v>
      </c>
      <c r="AF46" s="927" t="str">
        <f t="shared" si="6"/>
        <v>santun</v>
      </c>
      <c r="AG46" s="927" t="str">
        <f t="shared" si="33"/>
        <v xml:space="preserve">, </v>
      </c>
      <c r="AH46" s="927" t="str">
        <f t="shared" si="8"/>
        <v>percaya diri</v>
      </c>
      <c r="AI46" s="925" t="str">
        <f t="shared" si="23"/>
        <v xml:space="preserve"> dan </v>
      </c>
      <c r="AJ46" s="927" t="str">
        <f t="shared" si="9"/>
        <v>peduli</v>
      </c>
      <c r="AK46" s="933" t="str">
        <f t="shared" si="10"/>
        <v>kurang toleransi</v>
      </c>
      <c r="AL46" s="933" t="str">
        <f t="shared" si="34"/>
        <v xml:space="preserve"> dan </v>
      </c>
      <c r="AM46" s="933" t="str">
        <f t="shared" si="12"/>
        <v>kurang gotong royong</v>
      </c>
      <c r="AN46" s="927" t="str">
        <f t="shared" si="13"/>
        <v>nasionalis</v>
      </c>
      <c r="AO46" s="927" t="str">
        <f t="shared" si="35"/>
        <v xml:space="preserve"> dan </v>
      </c>
      <c r="AP46" s="927" t="str">
        <f t="shared" si="15"/>
        <v>demokratis</v>
      </c>
      <c r="AR46" s="928" t="str">
        <f t="shared" si="26"/>
        <v>berdoa sebelum dan sesudah melakukan kegiatan</v>
      </c>
      <c r="AS46" s="929" t="str">
        <f t="shared" si="27"/>
        <v xml:space="preserve">, </v>
      </c>
      <c r="AT46" s="928" t="str">
        <f t="shared" si="16"/>
        <v>menjalankan ibadah sesuai dengan agamanya</v>
      </c>
      <c r="AU46" s="929" t="str">
        <f t="shared" si="28"/>
        <v xml:space="preserve"> dan </v>
      </c>
      <c r="AV46" s="928" t="str">
        <f t="shared" si="29"/>
        <v>memberi salam pada saat awal dan akhir kegiatan</v>
      </c>
      <c r="AW46" s="928" t="str">
        <f t="shared" si="30"/>
        <v xml:space="preserve">. Sedangkan sikap </v>
      </c>
      <c r="AX46" s="928" t="str">
        <f t="shared" si="18"/>
        <v>bersyukur atas nikmat dan karunia Tuhan Yang Maha Esa</v>
      </c>
      <c r="AY46" s="928" t="str">
        <f t="shared" si="31"/>
        <v xml:space="preserve"> dan </v>
      </c>
      <c r="AZ46" s="928" t="str">
        <f t="shared" si="19"/>
        <v>mensyukuri kemampuan manusia dalam mengendalikan diri</v>
      </c>
    </row>
    <row r="47" spans="1:52" ht="30" customHeight="1">
      <c r="A47" s="67"/>
      <c r="B47" s="272">
        <f t="shared" si="20"/>
        <v>33</v>
      </c>
      <c r="C47" s="273">
        <f>IF(Data!F37="","",Data!F37)</f>
        <v>0</v>
      </c>
      <c r="D47" s="274" t="str">
        <f>IF(Data!H37="","",Data!H37)</f>
        <v>Venciani Sefrianti Sufnera</v>
      </c>
      <c r="E47" s="275" t="str">
        <f>IF(Data!I37="","",Data!I37)</f>
        <v>P</v>
      </c>
      <c r="F47" s="913" t="s">
        <v>62</v>
      </c>
      <c r="G47" s="914">
        <v>1</v>
      </c>
      <c r="H47" s="357">
        <v>2</v>
      </c>
      <c r="I47" s="915">
        <v>3</v>
      </c>
      <c r="J47" s="914">
        <v>4</v>
      </c>
      <c r="K47" s="915">
        <v>5</v>
      </c>
      <c r="L47"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47" s="917" t="s">
        <v>62</v>
      </c>
      <c r="N47" s="918">
        <v>1</v>
      </c>
      <c r="O47" s="919">
        <v>2</v>
      </c>
      <c r="P47" s="920">
        <v>3</v>
      </c>
      <c r="Q47" s="918">
        <v>4</v>
      </c>
      <c r="R47" s="920">
        <v>5</v>
      </c>
      <c r="S47" s="921">
        <v>6</v>
      </c>
      <c r="T47" s="922">
        <v>7</v>
      </c>
      <c r="U47" s="920">
        <v>8</v>
      </c>
      <c r="V47" s="923">
        <v>9</v>
      </c>
      <c r="W47" s="920">
        <v>10</v>
      </c>
      <c r="X47" s="932" t="s">
        <v>645</v>
      </c>
      <c r="Y47"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47" s="1393">
        <f t="shared" si="21"/>
        <v>3</v>
      </c>
      <c r="AA47" s="933" t="str">
        <f t="shared" ref="AA47:AA64" si="36">IFERROR(VLOOKUP(N47,$M$2:$S$11,2),"")</f>
        <v>jujur</v>
      </c>
      <c r="AB47" s="933" t="str">
        <f t="shared" si="25"/>
        <v xml:space="preserve">, </v>
      </c>
      <c r="AC47" s="933" t="str">
        <f t="shared" ref="AC47:AC64" si="37">IFERROR(VLOOKUP(O47,$M$2:$S$11,2),"")</f>
        <v>disiplin</v>
      </c>
      <c r="AD47" s="925" t="str">
        <f t="shared" si="22"/>
        <v xml:space="preserve"> dan </v>
      </c>
      <c r="AE47" s="933" t="str">
        <f t="shared" ref="AE47:AE64" si="38">IFERROR(VLOOKUP(P47,$M$2:$S$11,2),"")</f>
        <v>tanggung jawab</v>
      </c>
      <c r="AF47" s="927" t="str">
        <f t="shared" ref="AF47:AF64" si="39">IFERROR(VLOOKUP(Q47,$M$2:$S$11,2),"")</f>
        <v>santun</v>
      </c>
      <c r="AG47" s="927" t="str">
        <f t="shared" si="33"/>
        <v xml:space="preserve">, </v>
      </c>
      <c r="AH47" s="927" t="str">
        <f t="shared" ref="AH47:AH64" si="40">IFERROR(VLOOKUP(R47,$M$2:$S$11,2),"")</f>
        <v>percaya diri</v>
      </c>
      <c r="AI47" s="925" t="str">
        <f t="shared" si="23"/>
        <v xml:space="preserve"> dan </v>
      </c>
      <c r="AJ47" s="927" t="str">
        <f t="shared" ref="AJ47:AJ64" si="41">IFERROR(VLOOKUP(S47,$M$2:$S$11,2),"")</f>
        <v>peduli</v>
      </c>
      <c r="AK47" s="933" t="str">
        <f t="shared" ref="AK47:AK64" si="42">IFERROR($T$14&amp;" "&amp;VLOOKUP(T47,$M$2:$S$11,2),"")</f>
        <v>kurang toleransi</v>
      </c>
      <c r="AL47" s="933" t="str">
        <f t="shared" si="34"/>
        <v xml:space="preserve"> dan </v>
      </c>
      <c r="AM47" s="933" t="str">
        <f t="shared" ref="AM47:AM64" si="43">IFERROR($T$14&amp;" "&amp;VLOOKUP(U47,$M$2:$S$11,2),"")</f>
        <v>kurang gotong royong</v>
      </c>
      <c r="AN47" s="927" t="str">
        <f t="shared" ref="AN47:AN64" si="44">IFERROR(VLOOKUP(V47,$M$2:$S$11,2),"")</f>
        <v>nasionalis</v>
      </c>
      <c r="AO47" s="927" t="str">
        <f t="shared" si="35"/>
        <v xml:space="preserve"> dan </v>
      </c>
      <c r="AP47" s="927" t="str">
        <f t="shared" ref="AP47:AP64" si="45">IFERROR(VLOOKUP(W47,$M$2:$S$11,2),"")</f>
        <v>demokratis</v>
      </c>
      <c r="AR47" s="928" t="str">
        <f t="shared" si="26"/>
        <v>berdoa sebelum dan sesudah melakukan kegiatan</v>
      </c>
      <c r="AS47" s="929" t="str">
        <f t="shared" si="27"/>
        <v xml:space="preserve">, </v>
      </c>
      <c r="AT47" s="928" t="str">
        <f t="shared" si="16"/>
        <v>menjalankan ibadah sesuai dengan agamanya</v>
      </c>
      <c r="AU47" s="929" t="str">
        <f t="shared" si="28"/>
        <v xml:space="preserve"> dan </v>
      </c>
      <c r="AV47" s="928" t="str">
        <f t="shared" si="29"/>
        <v>memberi salam pada saat awal dan akhir kegiatan</v>
      </c>
      <c r="AW47" s="928" t="str">
        <f t="shared" si="30"/>
        <v xml:space="preserve">. Sedangkan sikap </v>
      </c>
      <c r="AX47" s="928" t="str">
        <f t="shared" si="18"/>
        <v>bersyukur atas nikmat dan karunia Tuhan Yang Maha Esa</v>
      </c>
      <c r="AY47" s="928" t="str">
        <f t="shared" si="31"/>
        <v xml:space="preserve"> dan </v>
      </c>
      <c r="AZ47" s="928" t="str">
        <f t="shared" si="19"/>
        <v>mensyukuri kemampuan manusia dalam mengendalikan diri</v>
      </c>
    </row>
    <row r="48" spans="1:52" ht="30" customHeight="1">
      <c r="A48" s="67"/>
      <c r="B48" s="272">
        <f t="shared" ref="B48:B64" si="46">IF(D48="","",B47+1)</f>
        <v>34</v>
      </c>
      <c r="C48" s="273">
        <f>IF(Data!F38="","",Data!F38)</f>
        <v>0</v>
      </c>
      <c r="D48" s="274" t="str">
        <f>IF(Data!H38="","",Data!H38)</f>
        <v>Yangres Nitti</v>
      </c>
      <c r="E48" s="275" t="str">
        <f>IF(Data!I38="","",Data!I38)</f>
        <v>L</v>
      </c>
      <c r="F48" s="913" t="s">
        <v>62</v>
      </c>
      <c r="G48" s="914">
        <v>1</v>
      </c>
      <c r="H48" s="357">
        <v>2</v>
      </c>
      <c r="I48" s="915">
        <v>3</v>
      </c>
      <c r="J48" s="914">
        <v>4</v>
      </c>
      <c r="K48" s="915">
        <v>5</v>
      </c>
      <c r="L48"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48" s="917" t="s">
        <v>62</v>
      </c>
      <c r="N48" s="918">
        <v>1</v>
      </c>
      <c r="O48" s="919">
        <v>2</v>
      </c>
      <c r="P48" s="920">
        <v>3</v>
      </c>
      <c r="Q48" s="918">
        <v>4</v>
      </c>
      <c r="R48" s="920">
        <v>5</v>
      </c>
      <c r="S48" s="921">
        <v>6</v>
      </c>
      <c r="T48" s="922">
        <v>7</v>
      </c>
      <c r="U48" s="920">
        <v>8</v>
      </c>
      <c r="V48" s="923">
        <v>9</v>
      </c>
      <c r="W48" s="920">
        <v>10</v>
      </c>
      <c r="X48" s="932" t="s">
        <v>645</v>
      </c>
      <c r="Y48"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48" s="1393">
        <f t="shared" si="21"/>
        <v>3</v>
      </c>
      <c r="AA48" s="933" t="str">
        <f t="shared" si="36"/>
        <v>jujur</v>
      </c>
      <c r="AB48" s="933" t="str">
        <f t="shared" si="25"/>
        <v xml:space="preserve">, </v>
      </c>
      <c r="AC48" s="933" t="str">
        <f t="shared" si="37"/>
        <v>disiplin</v>
      </c>
      <c r="AD48" s="925" t="str">
        <f t="shared" si="22"/>
        <v xml:space="preserve"> dan </v>
      </c>
      <c r="AE48" s="933" t="str">
        <f t="shared" si="38"/>
        <v>tanggung jawab</v>
      </c>
      <c r="AF48" s="927" t="str">
        <f t="shared" si="39"/>
        <v>santun</v>
      </c>
      <c r="AG48" s="927" t="str">
        <f t="shared" si="33"/>
        <v xml:space="preserve">, </v>
      </c>
      <c r="AH48" s="927" t="str">
        <f t="shared" si="40"/>
        <v>percaya diri</v>
      </c>
      <c r="AI48" s="925" t="str">
        <f t="shared" si="23"/>
        <v xml:space="preserve"> dan </v>
      </c>
      <c r="AJ48" s="927" t="str">
        <f t="shared" si="41"/>
        <v>peduli</v>
      </c>
      <c r="AK48" s="933" t="str">
        <f t="shared" si="42"/>
        <v>kurang toleransi</v>
      </c>
      <c r="AL48" s="933" t="str">
        <f t="shared" si="34"/>
        <v xml:space="preserve"> dan </v>
      </c>
      <c r="AM48" s="933" t="str">
        <f t="shared" si="43"/>
        <v>kurang gotong royong</v>
      </c>
      <c r="AN48" s="927" t="str">
        <f t="shared" si="44"/>
        <v>nasionalis</v>
      </c>
      <c r="AO48" s="927" t="str">
        <f t="shared" si="35"/>
        <v xml:space="preserve"> dan </v>
      </c>
      <c r="AP48" s="927" t="str">
        <f t="shared" si="45"/>
        <v>demokratis</v>
      </c>
      <c r="AR48" s="928" t="str">
        <f t="shared" si="26"/>
        <v>berdoa sebelum dan sesudah melakukan kegiatan</v>
      </c>
      <c r="AS48" s="929" t="str">
        <f t="shared" si="27"/>
        <v xml:space="preserve">, </v>
      </c>
      <c r="AT48" s="928" t="str">
        <f t="shared" si="16"/>
        <v>menjalankan ibadah sesuai dengan agamanya</v>
      </c>
      <c r="AU48" s="929" t="str">
        <f t="shared" si="28"/>
        <v xml:space="preserve"> dan </v>
      </c>
      <c r="AV48" s="928" t="str">
        <f t="shared" si="29"/>
        <v>memberi salam pada saat awal dan akhir kegiatan</v>
      </c>
      <c r="AW48" s="928" t="str">
        <f t="shared" si="30"/>
        <v xml:space="preserve">. Sedangkan sikap </v>
      </c>
      <c r="AX48" s="928" t="str">
        <f t="shared" si="18"/>
        <v>bersyukur atas nikmat dan karunia Tuhan Yang Maha Esa</v>
      </c>
      <c r="AY48" s="928" t="str">
        <f t="shared" si="31"/>
        <v xml:space="preserve"> dan </v>
      </c>
      <c r="AZ48" s="928" t="str">
        <f t="shared" si="19"/>
        <v>mensyukuri kemampuan manusia dalam mengendalikan diri</v>
      </c>
    </row>
    <row r="49" spans="1:52" ht="30" customHeight="1">
      <c r="A49" s="67"/>
      <c r="B49" s="272">
        <f t="shared" si="46"/>
        <v>35</v>
      </c>
      <c r="C49" s="273">
        <f>IF(Data!F39="","",Data!F39)</f>
        <v>0</v>
      </c>
      <c r="D49" s="274" t="str">
        <f>IF(Data!H39="","",Data!H39)</f>
        <v>Yefta Trianus Mau</v>
      </c>
      <c r="E49" s="275" t="str">
        <f>IF(Data!I39="","",Data!I39)</f>
        <v>L</v>
      </c>
      <c r="F49" s="913" t="s">
        <v>62</v>
      </c>
      <c r="G49" s="914">
        <v>1</v>
      </c>
      <c r="H49" s="357">
        <v>2</v>
      </c>
      <c r="I49" s="915">
        <v>3</v>
      </c>
      <c r="J49" s="914">
        <v>4</v>
      </c>
      <c r="K49" s="915">
        <v>5</v>
      </c>
      <c r="L49"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49" s="917" t="s">
        <v>62</v>
      </c>
      <c r="N49" s="918">
        <v>1</v>
      </c>
      <c r="O49" s="919">
        <v>2</v>
      </c>
      <c r="P49" s="920">
        <v>3</v>
      </c>
      <c r="Q49" s="918">
        <v>4</v>
      </c>
      <c r="R49" s="920">
        <v>5</v>
      </c>
      <c r="S49" s="921">
        <v>6</v>
      </c>
      <c r="T49" s="922">
        <v>7</v>
      </c>
      <c r="U49" s="920">
        <v>8</v>
      </c>
      <c r="V49" s="923">
        <v>9</v>
      </c>
      <c r="W49" s="920">
        <v>10</v>
      </c>
      <c r="X49" s="932" t="s">
        <v>645</v>
      </c>
      <c r="Y49"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49" s="1393">
        <f t="shared" si="21"/>
        <v>3</v>
      </c>
      <c r="AA49" s="933" t="str">
        <f t="shared" si="36"/>
        <v>jujur</v>
      </c>
      <c r="AB49" s="933" t="str">
        <f t="shared" si="25"/>
        <v xml:space="preserve">, </v>
      </c>
      <c r="AC49" s="933" t="str">
        <f t="shared" si="37"/>
        <v>disiplin</v>
      </c>
      <c r="AD49" s="925" t="str">
        <f t="shared" si="22"/>
        <v xml:space="preserve"> dan </v>
      </c>
      <c r="AE49" s="933" t="str">
        <f t="shared" si="38"/>
        <v>tanggung jawab</v>
      </c>
      <c r="AF49" s="927" t="str">
        <f t="shared" si="39"/>
        <v>santun</v>
      </c>
      <c r="AG49" s="927" t="str">
        <f t="shared" si="33"/>
        <v xml:space="preserve">, </v>
      </c>
      <c r="AH49" s="927" t="str">
        <f t="shared" si="40"/>
        <v>percaya diri</v>
      </c>
      <c r="AI49" s="925" t="str">
        <f t="shared" si="23"/>
        <v xml:space="preserve"> dan </v>
      </c>
      <c r="AJ49" s="927" t="str">
        <f t="shared" si="41"/>
        <v>peduli</v>
      </c>
      <c r="AK49" s="933" t="str">
        <f t="shared" si="42"/>
        <v>kurang toleransi</v>
      </c>
      <c r="AL49" s="933" t="str">
        <f t="shared" si="34"/>
        <v xml:space="preserve"> dan </v>
      </c>
      <c r="AM49" s="933" t="str">
        <f t="shared" si="43"/>
        <v>kurang gotong royong</v>
      </c>
      <c r="AN49" s="927" t="str">
        <f t="shared" si="44"/>
        <v>nasionalis</v>
      </c>
      <c r="AO49" s="927" t="str">
        <f t="shared" si="35"/>
        <v xml:space="preserve"> dan </v>
      </c>
      <c r="AP49" s="927" t="str">
        <f t="shared" si="45"/>
        <v>demokratis</v>
      </c>
      <c r="AR49" s="928" t="str">
        <f t="shared" si="26"/>
        <v>berdoa sebelum dan sesudah melakukan kegiatan</v>
      </c>
      <c r="AS49" s="929" t="str">
        <f t="shared" si="27"/>
        <v xml:space="preserve">, </v>
      </c>
      <c r="AT49" s="928" t="str">
        <f t="shared" si="16"/>
        <v>menjalankan ibadah sesuai dengan agamanya</v>
      </c>
      <c r="AU49" s="929" t="str">
        <f t="shared" si="28"/>
        <v xml:space="preserve"> dan </v>
      </c>
      <c r="AV49" s="928" t="str">
        <f t="shared" si="29"/>
        <v>memberi salam pada saat awal dan akhir kegiatan</v>
      </c>
      <c r="AW49" s="928" t="str">
        <f t="shared" si="30"/>
        <v xml:space="preserve">. Sedangkan sikap </v>
      </c>
      <c r="AX49" s="928" t="str">
        <f t="shared" si="18"/>
        <v>bersyukur atas nikmat dan karunia Tuhan Yang Maha Esa</v>
      </c>
      <c r="AY49" s="928" t="str">
        <f t="shared" si="31"/>
        <v xml:space="preserve"> dan </v>
      </c>
      <c r="AZ49" s="928" t="str">
        <f t="shared" si="19"/>
        <v>mensyukuri kemampuan manusia dalam mengendalikan diri</v>
      </c>
    </row>
    <row r="50" spans="1:52" ht="30" customHeight="1">
      <c r="A50" s="67"/>
      <c r="B50" s="272">
        <f t="shared" si="46"/>
        <v>36</v>
      </c>
      <c r="C50" s="273">
        <f>IF(Data!F40="","",Data!F40)</f>
        <v>0</v>
      </c>
      <c r="D50" s="274" t="str">
        <f>IF(Data!H40="","",Data!H40)</f>
        <v>Yuliana Febriyanti Nggeon</v>
      </c>
      <c r="E50" s="275" t="str">
        <f>IF(Data!I40="","",Data!I40)</f>
        <v>P</v>
      </c>
      <c r="F50" s="913" t="s">
        <v>62</v>
      </c>
      <c r="G50" s="914">
        <v>1</v>
      </c>
      <c r="H50" s="357">
        <v>2</v>
      </c>
      <c r="I50" s="915">
        <v>3</v>
      </c>
      <c r="J50" s="914">
        <v>4</v>
      </c>
      <c r="K50" s="915">
        <v>5</v>
      </c>
      <c r="L50"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50" s="917" t="s">
        <v>62</v>
      </c>
      <c r="N50" s="918">
        <v>1</v>
      </c>
      <c r="O50" s="919">
        <v>2</v>
      </c>
      <c r="P50" s="920">
        <v>3</v>
      </c>
      <c r="Q50" s="918">
        <v>4</v>
      </c>
      <c r="R50" s="920">
        <v>5</v>
      </c>
      <c r="S50" s="921">
        <v>6</v>
      </c>
      <c r="T50" s="922">
        <v>7</v>
      </c>
      <c r="U50" s="920">
        <v>8</v>
      </c>
      <c r="V50" s="923">
        <v>9</v>
      </c>
      <c r="W50" s="920">
        <v>10</v>
      </c>
      <c r="X50" s="932" t="s">
        <v>645</v>
      </c>
      <c r="Y50"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50" s="1393">
        <f t="shared" si="21"/>
        <v>3</v>
      </c>
      <c r="AA50" s="933" t="str">
        <f t="shared" si="36"/>
        <v>jujur</v>
      </c>
      <c r="AB50" s="933" t="str">
        <f t="shared" si="25"/>
        <v xml:space="preserve">, </v>
      </c>
      <c r="AC50" s="933" t="str">
        <f t="shared" si="37"/>
        <v>disiplin</v>
      </c>
      <c r="AD50" s="925" t="str">
        <f t="shared" si="22"/>
        <v xml:space="preserve"> dan </v>
      </c>
      <c r="AE50" s="933" t="str">
        <f t="shared" si="38"/>
        <v>tanggung jawab</v>
      </c>
      <c r="AF50" s="927" t="str">
        <f t="shared" si="39"/>
        <v>santun</v>
      </c>
      <c r="AG50" s="927" t="str">
        <f t="shared" si="33"/>
        <v xml:space="preserve">, </v>
      </c>
      <c r="AH50" s="927" t="str">
        <f t="shared" si="40"/>
        <v>percaya diri</v>
      </c>
      <c r="AI50" s="925" t="str">
        <f t="shared" si="23"/>
        <v xml:space="preserve"> dan </v>
      </c>
      <c r="AJ50" s="927" t="str">
        <f t="shared" si="41"/>
        <v>peduli</v>
      </c>
      <c r="AK50" s="933" t="str">
        <f t="shared" si="42"/>
        <v>kurang toleransi</v>
      </c>
      <c r="AL50" s="933" t="str">
        <f t="shared" si="34"/>
        <v xml:space="preserve"> dan </v>
      </c>
      <c r="AM50" s="933" t="str">
        <f t="shared" si="43"/>
        <v>kurang gotong royong</v>
      </c>
      <c r="AN50" s="927" t="str">
        <f t="shared" si="44"/>
        <v>nasionalis</v>
      </c>
      <c r="AO50" s="927" t="str">
        <f t="shared" si="35"/>
        <v xml:space="preserve"> dan </v>
      </c>
      <c r="AP50" s="927" t="str">
        <f t="shared" si="45"/>
        <v>demokratis</v>
      </c>
      <c r="AR50" s="928" t="str">
        <f t="shared" si="26"/>
        <v>berdoa sebelum dan sesudah melakukan kegiatan</v>
      </c>
      <c r="AS50" s="929" t="str">
        <f t="shared" si="27"/>
        <v xml:space="preserve">, </v>
      </c>
      <c r="AT50" s="928" t="str">
        <f t="shared" si="16"/>
        <v>menjalankan ibadah sesuai dengan agamanya</v>
      </c>
      <c r="AU50" s="929" t="str">
        <f t="shared" si="28"/>
        <v xml:space="preserve"> dan </v>
      </c>
      <c r="AV50" s="928" t="str">
        <f t="shared" si="29"/>
        <v>memberi salam pada saat awal dan akhir kegiatan</v>
      </c>
      <c r="AW50" s="928" t="str">
        <f t="shared" si="30"/>
        <v xml:space="preserve">. Sedangkan sikap </v>
      </c>
      <c r="AX50" s="928" t="str">
        <f t="shared" si="18"/>
        <v>bersyukur atas nikmat dan karunia Tuhan Yang Maha Esa</v>
      </c>
      <c r="AY50" s="928" t="str">
        <f t="shared" si="31"/>
        <v xml:space="preserve"> dan </v>
      </c>
      <c r="AZ50" s="928" t="str">
        <f t="shared" si="19"/>
        <v>mensyukuri kemampuan manusia dalam mengendalikan diri</v>
      </c>
    </row>
    <row r="51" spans="1:52" ht="30" customHeight="1">
      <c r="A51" s="67"/>
      <c r="B51" s="272">
        <f t="shared" si="46"/>
        <v>37</v>
      </c>
      <c r="C51" s="273">
        <f>IF(Data!F41="","",Data!F41)</f>
        <v>0</v>
      </c>
      <c r="D51" s="274" t="str">
        <f>IF(Data!H41="","",Data!H41)</f>
        <v>Yuninda Pono</v>
      </c>
      <c r="E51" s="275" t="str">
        <f>IF(Data!I41="","",Data!I41)</f>
        <v>P</v>
      </c>
      <c r="F51" s="913" t="s">
        <v>62</v>
      </c>
      <c r="G51" s="914">
        <v>1</v>
      </c>
      <c r="H51" s="357">
        <v>2</v>
      </c>
      <c r="I51" s="915">
        <v>3</v>
      </c>
      <c r="J51" s="914">
        <v>4</v>
      </c>
      <c r="K51" s="915">
        <v>5</v>
      </c>
      <c r="L51" s="916" t="str">
        <f t="shared" si="24"/>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M51" s="917" t="s">
        <v>62</v>
      </c>
      <c r="N51" s="918">
        <v>1</v>
      </c>
      <c r="O51" s="919">
        <v>2</v>
      </c>
      <c r="P51" s="920">
        <v>3</v>
      </c>
      <c r="Q51" s="918">
        <v>4</v>
      </c>
      <c r="R51" s="920">
        <v>5</v>
      </c>
      <c r="S51" s="921">
        <v>6</v>
      </c>
      <c r="T51" s="922">
        <v>7</v>
      </c>
      <c r="U51" s="920">
        <v>8</v>
      </c>
      <c r="V51" s="923">
        <v>9</v>
      </c>
      <c r="W51" s="920">
        <v>10</v>
      </c>
      <c r="X51" s="932" t="s">
        <v>645</v>
      </c>
      <c r="Y51" s="924" t="str">
        <f t="shared" si="32"/>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Z51" s="1393">
        <f t="shared" si="21"/>
        <v>3</v>
      </c>
      <c r="AA51" s="933" t="str">
        <f t="shared" si="36"/>
        <v>jujur</v>
      </c>
      <c r="AB51" s="933" t="str">
        <f t="shared" si="25"/>
        <v xml:space="preserve">, </v>
      </c>
      <c r="AC51" s="933" t="str">
        <f t="shared" si="37"/>
        <v>disiplin</v>
      </c>
      <c r="AD51" s="925" t="str">
        <f t="shared" si="22"/>
        <v xml:space="preserve"> dan </v>
      </c>
      <c r="AE51" s="933" t="str">
        <f t="shared" si="38"/>
        <v>tanggung jawab</v>
      </c>
      <c r="AF51" s="927" t="str">
        <f t="shared" si="39"/>
        <v>santun</v>
      </c>
      <c r="AG51" s="927" t="str">
        <f t="shared" si="33"/>
        <v xml:space="preserve">, </v>
      </c>
      <c r="AH51" s="927" t="str">
        <f t="shared" si="40"/>
        <v>percaya diri</v>
      </c>
      <c r="AI51" s="925" t="str">
        <f t="shared" si="23"/>
        <v xml:space="preserve"> dan </v>
      </c>
      <c r="AJ51" s="927" t="str">
        <f t="shared" si="41"/>
        <v>peduli</v>
      </c>
      <c r="AK51" s="933" t="str">
        <f t="shared" si="42"/>
        <v>kurang toleransi</v>
      </c>
      <c r="AL51" s="933" t="str">
        <f t="shared" si="34"/>
        <v xml:space="preserve"> dan </v>
      </c>
      <c r="AM51" s="933" t="str">
        <f t="shared" si="43"/>
        <v>kurang gotong royong</v>
      </c>
      <c r="AN51" s="927" t="str">
        <f t="shared" si="44"/>
        <v>nasionalis</v>
      </c>
      <c r="AO51" s="927" t="str">
        <f t="shared" si="35"/>
        <v xml:space="preserve"> dan </v>
      </c>
      <c r="AP51" s="927" t="str">
        <f t="shared" si="45"/>
        <v>demokratis</v>
      </c>
      <c r="AR51" s="928" t="str">
        <f t="shared" si="26"/>
        <v>berdoa sebelum dan sesudah melakukan kegiatan</v>
      </c>
      <c r="AS51" s="929" t="str">
        <f t="shared" si="27"/>
        <v xml:space="preserve">, </v>
      </c>
      <c r="AT51" s="928" t="str">
        <f t="shared" si="16"/>
        <v>menjalankan ibadah sesuai dengan agamanya</v>
      </c>
      <c r="AU51" s="929" t="str">
        <f t="shared" si="28"/>
        <v xml:space="preserve"> dan </v>
      </c>
      <c r="AV51" s="928" t="str">
        <f t="shared" si="29"/>
        <v>memberi salam pada saat awal dan akhir kegiatan</v>
      </c>
      <c r="AW51" s="928" t="str">
        <f t="shared" si="30"/>
        <v xml:space="preserve">. Sedangkan sikap </v>
      </c>
      <c r="AX51" s="928" t="str">
        <f t="shared" si="18"/>
        <v>bersyukur atas nikmat dan karunia Tuhan Yang Maha Esa</v>
      </c>
      <c r="AY51" s="928" t="str">
        <f t="shared" si="31"/>
        <v xml:space="preserve"> dan </v>
      </c>
      <c r="AZ51" s="928" t="str">
        <f t="shared" si="19"/>
        <v>mensyukuri kemampuan manusia dalam mengendalikan diri</v>
      </c>
    </row>
    <row r="52" spans="1:52" ht="30" customHeight="1">
      <c r="A52" s="67"/>
      <c r="B52" s="272" t="str">
        <f t="shared" si="46"/>
        <v/>
      </c>
      <c r="C52" s="273" t="str">
        <f>IF(Data!F42="","",Data!F42)</f>
        <v/>
      </c>
      <c r="D52" s="274" t="str">
        <f>IF(Data!H42="","",Data!H42)</f>
        <v/>
      </c>
      <c r="E52" s="275" t="str">
        <f>IF(Data!I42="","",Data!I42)</f>
        <v/>
      </c>
      <c r="F52" s="913"/>
      <c r="G52" s="914"/>
      <c r="H52" s="357"/>
      <c r="I52" s="915"/>
      <c r="J52" s="914"/>
      <c r="K52" s="915"/>
      <c r="L52" s="916" t="str">
        <f t="shared" si="24"/>
        <v/>
      </c>
      <c r="M52" s="917"/>
      <c r="N52" s="276"/>
      <c r="O52" s="277"/>
      <c r="P52" s="280"/>
      <c r="Q52" s="276"/>
      <c r="R52" s="280"/>
      <c r="S52" s="278"/>
      <c r="T52" s="930"/>
      <c r="U52" s="280"/>
      <c r="V52" s="931"/>
      <c r="W52" s="280"/>
      <c r="X52" s="932"/>
      <c r="Y52" s="924" t="str">
        <f t="shared" si="32"/>
        <v/>
      </c>
      <c r="Z52" s="1393">
        <f t="shared" si="21"/>
        <v>0</v>
      </c>
      <c r="AA52" s="933" t="str">
        <f t="shared" si="36"/>
        <v/>
      </c>
      <c r="AB52" s="933" t="str">
        <f t="shared" si="25"/>
        <v/>
      </c>
      <c r="AC52" s="933" t="str">
        <f t="shared" si="37"/>
        <v/>
      </c>
      <c r="AD52" s="925" t="str">
        <f t="shared" si="22"/>
        <v/>
      </c>
      <c r="AE52" s="933" t="str">
        <f t="shared" si="38"/>
        <v/>
      </c>
      <c r="AF52" s="927" t="str">
        <f t="shared" si="39"/>
        <v/>
      </c>
      <c r="AG52" s="927" t="str">
        <f t="shared" si="33"/>
        <v/>
      </c>
      <c r="AH52" s="927" t="str">
        <f t="shared" si="40"/>
        <v/>
      </c>
      <c r="AI52" s="925" t="str">
        <f t="shared" si="23"/>
        <v/>
      </c>
      <c r="AJ52" s="927" t="str">
        <f t="shared" si="41"/>
        <v/>
      </c>
      <c r="AK52" s="933" t="str">
        <f t="shared" si="42"/>
        <v/>
      </c>
      <c r="AL52" s="933" t="str">
        <f t="shared" si="34"/>
        <v/>
      </c>
      <c r="AM52" s="933" t="str">
        <f t="shared" si="43"/>
        <v/>
      </c>
      <c r="AN52" s="927" t="str">
        <f t="shared" si="44"/>
        <v/>
      </c>
      <c r="AO52" s="927" t="str">
        <f t="shared" si="35"/>
        <v/>
      </c>
      <c r="AP52" s="927" t="str">
        <f t="shared" si="45"/>
        <v/>
      </c>
      <c r="AR52" s="928" t="str">
        <f t="shared" si="26"/>
        <v/>
      </c>
      <c r="AS52" s="929" t="str">
        <f t="shared" si="27"/>
        <v/>
      </c>
      <c r="AT52" s="928" t="str">
        <f t="shared" si="16"/>
        <v/>
      </c>
      <c r="AU52" s="929" t="str">
        <f t="shared" si="28"/>
        <v/>
      </c>
      <c r="AV52" s="928" t="str">
        <f t="shared" si="29"/>
        <v/>
      </c>
      <c r="AW52" s="928" t="str">
        <f t="shared" si="30"/>
        <v/>
      </c>
      <c r="AX52" s="928" t="str">
        <f t="shared" si="18"/>
        <v/>
      </c>
      <c r="AY52" s="928" t="str">
        <f t="shared" si="31"/>
        <v xml:space="preserve"> </v>
      </c>
      <c r="AZ52" s="928" t="str">
        <f t="shared" si="19"/>
        <v/>
      </c>
    </row>
    <row r="53" spans="1:52" ht="30" customHeight="1">
      <c r="A53" s="67"/>
      <c r="B53" s="272" t="str">
        <f t="shared" si="46"/>
        <v/>
      </c>
      <c r="C53" s="273" t="str">
        <f>IF(Data!F43="","",Data!F43)</f>
        <v/>
      </c>
      <c r="D53" s="274" t="str">
        <f>IF(Data!H43="","",Data!H43)</f>
        <v/>
      </c>
      <c r="E53" s="275" t="str">
        <f>IF(Data!I43="","",Data!I43)</f>
        <v/>
      </c>
      <c r="F53" s="913"/>
      <c r="G53" s="914"/>
      <c r="H53" s="357"/>
      <c r="I53" s="915"/>
      <c r="J53" s="914"/>
      <c r="K53" s="915"/>
      <c r="L53" s="916" t="str">
        <f t="shared" si="24"/>
        <v/>
      </c>
      <c r="M53" s="917"/>
      <c r="N53" s="276"/>
      <c r="O53" s="277"/>
      <c r="P53" s="280"/>
      <c r="Q53" s="276"/>
      <c r="R53" s="280"/>
      <c r="S53" s="278"/>
      <c r="T53" s="930"/>
      <c r="U53" s="280"/>
      <c r="V53" s="931"/>
      <c r="W53" s="280"/>
      <c r="X53" s="932"/>
      <c r="Y53" s="924" t="str">
        <f t="shared" si="32"/>
        <v/>
      </c>
      <c r="Z53" s="1393">
        <f t="shared" si="21"/>
        <v>0</v>
      </c>
      <c r="AA53" s="933" t="str">
        <f t="shared" si="36"/>
        <v/>
      </c>
      <c r="AB53" s="933" t="str">
        <f t="shared" si="25"/>
        <v/>
      </c>
      <c r="AC53" s="933" t="str">
        <f t="shared" si="37"/>
        <v/>
      </c>
      <c r="AD53" s="925" t="str">
        <f t="shared" si="22"/>
        <v/>
      </c>
      <c r="AE53" s="933" t="str">
        <f t="shared" si="38"/>
        <v/>
      </c>
      <c r="AF53" s="927" t="str">
        <f t="shared" si="39"/>
        <v/>
      </c>
      <c r="AG53" s="927" t="str">
        <f t="shared" si="33"/>
        <v/>
      </c>
      <c r="AH53" s="927" t="str">
        <f t="shared" si="40"/>
        <v/>
      </c>
      <c r="AI53" s="925" t="str">
        <f t="shared" si="23"/>
        <v/>
      </c>
      <c r="AJ53" s="927" t="str">
        <f t="shared" si="41"/>
        <v/>
      </c>
      <c r="AK53" s="933" t="str">
        <f t="shared" si="42"/>
        <v/>
      </c>
      <c r="AL53" s="933" t="str">
        <f t="shared" si="34"/>
        <v/>
      </c>
      <c r="AM53" s="933" t="str">
        <f t="shared" si="43"/>
        <v/>
      </c>
      <c r="AN53" s="927" t="str">
        <f t="shared" si="44"/>
        <v/>
      </c>
      <c r="AO53" s="927" t="str">
        <f t="shared" si="35"/>
        <v/>
      </c>
      <c r="AP53" s="927" t="str">
        <f t="shared" si="45"/>
        <v/>
      </c>
      <c r="AR53" s="928" t="str">
        <f t="shared" si="26"/>
        <v/>
      </c>
      <c r="AS53" s="929" t="str">
        <f t="shared" si="27"/>
        <v/>
      </c>
      <c r="AT53" s="928" t="str">
        <f t="shared" si="16"/>
        <v/>
      </c>
      <c r="AU53" s="929" t="str">
        <f t="shared" si="28"/>
        <v/>
      </c>
      <c r="AV53" s="928" t="str">
        <f t="shared" si="29"/>
        <v/>
      </c>
      <c r="AW53" s="928" t="str">
        <f t="shared" si="30"/>
        <v/>
      </c>
      <c r="AX53" s="928" t="str">
        <f t="shared" si="18"/>
        <v/>
      </c>
      <c r="AY53" s="928" t="str">
        <f t="shared" si="31"/>
        <v xml:space="preserve"> </v>
      </c>
      <c r="AZ53" s="928" t="str">
        <f t="shared" si="19"/>
        <v/>
      </c>
    </row>
    <row r="54" spans="1:52" ht="30" customHeight="1">
      <c r="A54" s="67"/>
      <c r="B54" s="272" t="str">
        <f t="shared" si="46"/>
        <v/>
      </c>
      <c r="C54" s="273" t="str">
        <f>IF(Data!F44="","",Data!F44)</f>
        <v/>
      </c>
      <c r="D54" s="274" t="str">
        <f>IF(Data!H44="","",Data!H44)</f>
        <v/>
      </c>
      <c r="E54" s="275" t="str">
        <f>IF(Data!I44="","",Data!I44)</f>
        <v/>
      </c>
      <c r="F54" s="913"/>
      <c r="G54" s="914"/>
      <c r="H54" s="357"/>
      <c r="I54" s="915"/>
      <c r="J54" s="914"/>
      <c r="K54" s="915"/>
      <c r="L54" s="916" t="str">
        <f t="shared" si="24"/>
        <v/>
      </c>
      <c r="M54" s="917"/>
      <c r="N54" s="276"/>
      <c r="O54" s="277"/>
      <c r="P54" s="280"/>
      <c r="Q54" s="276"/>
      <c r="R54" s="280"/>
      <c r="S54" s="278"/>
      <c r="T54" s="930"/>
      <c r="U54" s="280"/>
      <c r="V54" s="931"/>
      <c r="W54" s="280"/>
      <c r="X54" s="932"/>
      <c r="Y54" s="924" t="str">
        <f t="shared" si="32"/>
        <v/>
      </c>
      <c r="Z54" s="1393">
        <f t="shared" si="21"/>
        <v>0</v>
      </c>
      <c r="AA54" s="933" t="str">
        <f t="shared" si="36"/>
        <v/>
      </c>
      <c r="AB54" s="933" t="str">
        <f t="shared" si="25"/>
        <v/>
      </c>
      <c r="AC54" s="933" t="str">
        <f t="shared" si="37"/>
        <v/>
      </c>
      <c r="AD54" s="925" t="str">
        <f t="shared" si="22"/>
        <v/>
      </c>
      <c r="AE54" s="933" t="str">
        <f t="shared" si="38"/>
        <v/>
      </c>
      <c r="AF54" s="927" t="str">
        <f t="shared" si="39"/>
        <v/>
      </c>
      <c r="AG54" s="927" t="str">
        <f t="shared" si="33"/>
        <v/>
      </c>
      <c r="AH54" s="927" t="str">
        <f t="shared" si="40"/>
        <v/>
      </c>
      <c r="AI54" s="925" t="str">
        <f t="shared" si="23"/>
        <v/>
      </c>
      <c r="AJ54" s="927" t="str">
        <f t="shared" si="41"/>
        <v/>
      </c>
      <c r="AK54" s="933" t="str">
        <f t="shared" si="42"/>
        <v/>
      </c>
      <c r="AL54" s="933" t="str">
        <f t="shared" si="34"/>
        <v/>
      </c>
      <c r="AM54" s="933" t="str">
        <f t="shared" si="43"/>
        <v/>
      </c>
      <c r="AN54" s="927" t="str">
        <f t="shared" si="44"/>
        <v/>
      </c>
      <c r="AO54" s="927" t="str">
        <f t="shared" si="35"/>
        <v/>
      </c>
      <c r="AP54" s="927" t="str">
        <f t="shared" si="45"/>
        <v/>
      </c>
      <c r="AR54" s="928" t="str">
        <f t="shared" si="26"/>
        <v/>
      </c>
      <c r="AS54" s="929" t="str">
        <f t="shared" si="27"/>
        <v/>
      </c>
      <c r="AT54" s="928" t="str">
        <f t="shared" si="16"/>
        <v/>
      </c>
      <c r="AU54" s="929" t="str">
        <f t="shared" si="28"/>
        <v/>
      </c>
      <c r="AV54" s="928" t="str">
        <f t="shared" si="29"/>
        <v/>
      </c>
      <c r="AW54" s="928" t="str">
        <f t="shared" si="30"/>
        <v/>
      </c>
      <c r="AX54" s="928" t="str">
        <f t="shared" si="18"/>
        <v/>
      </c>
      <c r="AY54" s="928" t="str">
        <f t="shared" si="31"/>
        <v xml:space="preserve"> </v>
      </c>
      <c r="AZ54" s="928" t="str">
        <f t="shared" si="19"/>
        <v/>
      </c>
    </row>
    <row r="55" spans="1:52" ht="30" customHeight="1">
      <c r="A55" s="67"/>
      <c r="B55" s="272" t="str">
        <f t="shared" si="46"/>
        <v/>
      </c>
      <c r="C55" s="273" t="str">
        <f>IF(Data!F45="","",Data!F45)</f>
        <v/>
      </c>
      <c r="D55" s="274" t="str">
        <f>IF(Data!H45="","",Data!H45)</f>
        <v/>
      </c>
      <c r="E55" s="275" t="str">
        <f>IF(Data!I45="","",Data!I45)</f>
        <v/>
      </c>
      <c r="F55" s="913"/>
      <c r="G55" s="914"/>
      <c r="H55" s="357"/>
      <c r="I55" s="915"/>
      <c r="J55" s="914"/>
      <c r="K55" s="915"/>
      <c r="L55" s="916" t="str">
        <f t="shared" si="24"/>
        <v/>
      </c>
      <c r="M55" s="917"/>
      <c r="N55" s="276"/>
      <c r="O55" s="277"/>
      <c r="P55" s="280"/>
      <c r="Q55" s="276"/>
      <c r="R55" s="280"/>
      <c r="S55" s="278"/>
      <c r="T55" s="930"/>
      <c r="U55" s="280"/>
      <c r="V55" s="931"/>
      <c r="W55" s="280"/>
      <c r="X55" s="932"/>
      <c r="Y55" s="924" t="str">
        <f t="shared" si="32"/>
        <v/>
      </c>
      <c r="Z55" s="1393">
        <f t="shared" si="21"/>
        <v>0</v>
      </c>
      <c r="AA55" s="933" t="str">
        <f t="shared" si="36"/>
        <v/>
      </c>
      <c r="AB55" s="933" t="str">
        <f t="shared" si="25"/>
        <v/>
      </c>
      <c r="AC55" s="933" t="str">
        <f t="shared" si="37"/>
        <v/>
      </c>
      <c r="AD55" s="925" t="str">
        <f t="shared" si="22"/>
        <v/>
      </c>
      <c r="AE55" s="933" t="str">
        <f t="shared" si="38"/>
        <v/>
      </c>
      <c r="AF55" s="927" t="str">
        <f t="shared" si="39"/>
        <v/>
      </c>
      <c r="AG55" s="927" t="str">
        <f t="shared" si="33"/>
        <v/>
      </c>
      <c r="AH55" s="927" t="str">
        <f t="shared" si="40"/>
        <v/>
      </c>
      <c r="AI55" s="925" t="str">
        <f t="shared" si="23"/>
        <v/>
      </c>
      <c r="AJ55" s="927" t="str">
        <f t="shared" si="41"/>
        <v/>
      </c>
      <c r="AK55" s="933" t="str">
        <f t="shared" si="42"/>
        <v/>
      </c>
      <c r="AL55" s="933" t="str">
        <f t="shared" si="34"/>
        <v/>
      </c>
      <c r="AM55" s="933" t="str">
        <f t="shared" si="43"/>
        <v/>
      </c>
      <c r="AN55" s="927" t="str">
        <f t="shared" si="44"/>
        <v/>
      </c>
      <c r="AO55" s="927" t="str">
        <f t="shared" si="35"/>
        <v/>
      </c>
      <c r="AP55" s="927" t="str">
        <f t="shared" si="45"/>
        <v/>
      </c>
      <c r="AR55" s="928" t="str">
        <f t="shared" si="26"/>
        <v/>
      </c>
      <c r="AS55" s="929" t="str">
        <f t="shared" si="27"/>
        <v/>
      </c>
      <c r="AT55" s="928" t="str">
        <f t="shared" si="16"/>
        <v/>
      </c>
      <c r="AU55" s="929" t="str">
        <f t="shared" si="28"/>
        <v/>
      </c>
      <c r="AV55" s="928" t="str">
        <f t="shared" si="29"/>
        <v/>
      </c>
      <c r="AW55" s="928" t="str">
        <f t="shared" si="30"/>
        <v/>
      </c>
      <c r="AX55" s="928" t="str">
        <f t="shared" si="18"/>
        <v/>
      </c>
      <c r="AY55" s="928" t="str">
        <f t="shared" si="31"/>
        <v xml:space="preserve"> </v>
      </c>
      <c r="AZ55" s="928" t="str">
        <f t="shared" si="19"/>
        <v/>
      </c>
    </row>
    <row r="56" spans="1:52" ht="30" customHeight="1">
      <c r="A56" s="67"/>
      <c r="B56" s="272" t="str">
        <f t="shared" si="46"/>
        <v/>
      </c>
      <c r="C56" s="273" t="str">
        <f>IF(Data!F46="","",Data!F46)</f>
        <v/>
      </c>
      <c r="D56" s="274" t="str">
        <f>IF(Data!H46="","",Data!H46)</f>
        <v/>
      </c>
      <c r="E56" s="275" t="str">
        <f>IF(Data!I46="","",Data!I46)</f>
        <v/>
      </c>
      <c r="F56" s="913"/>
      <c r="G56" s="914"/>
      <c r="H56" s="357"/>
      <c r="I56" s="915"/>
      <c r="J56" s="914"/>
      <c r="K56" s="915"/>
      <c r="L56" s="916" t="str">
        <f t="shared" si="24"/>
        <v/>
      </c>
      <c r="M56" s="917"/>
      <c r="N56" s="276"/>
      <c r="O56" s="277"/>
      <c r="P56" s="280"/>
      <c r="Q56" s="276"/>
      <c r="R56" s="280"/>
      <c r="S56" s="278"/>
      <c r="T56" s="930"/>
      <c r="U56" s="280"/>
      <c r="V56" s="931"/>
      <c r="W56" s="280"/>
      <c r="X56" s="932"/>
      <c r="Y56" s="924" t="str">
        <f t="shared" si="32"/>
        <v/>
      </c>
      <c r="Z56" s="1393">
        <f t="shared" si="21"/>
        <v>0</v>
      </c>
      <c r="AA56" s="933" t="str">
        <f t="shared" si="36"/>
        <v/>
      </c>
      <c r="AB56" s="933" t="str">
        <f t="shared" si="25"/>
        <v/>
      </c>
      <c r="AC56" s="933" t="str">
        <f t="shared" si="37"/>
        <v/>
      </c>
      <c r="AD56" s="925" t="str">
        <f t="shared" si="22"/>
        <v/>
      </c>
      <c r="AE56" s="933" t="str">
        <f t="shared" si="38"/>
        <v/>
      </c>
      <c r="AF56" s="927" t="str">
        <f t="shared" si="39"/>
        <v/>
      </c>
      <c r="AG56" s="927" t="str">
        <f t="shared" si="33"/>
        <v/>
      </c>
      <c r="AH56" s="927" t="str">
        <f t="shared" si="40"/>
        <v/>
      </c>
      <c r="AI56" s="925" t="str">
        <f t="shared" si="23"/>
        <v/>
      </c>
      <c r="AJ56" s="927" t="str">
        <f t="shared" si="41"/>
        <v/>
      </c>
      <c r="AK56" s="933" t="str">
        <f t="shared" si="42"/>
        <v/>
      </c>
      <c r="AL56" s="933" t="str">
        <f t="shared" si="34"/>
        <v/>
      </c>
      <c r="AM56" s="933" t="str">
        <f t="shared" si="43"/>
        <v/>
      </c>
      <c r="AN56" s="927" t="str">
        <f t="shared" si="44"/>
        <v/>
      </c>
      <c r="AO56" s="927" t="str">
        <f t="shared" si="35"/>
        <v/>
      </c>
      <c r="AP56" s="927" t="str">
        <f t="shared" si="45"/>
        <v/>
      </c>
      <c r="AR56" s="928" t="str">
        <f t="shared" si="26"/>
        <v/>
      </c>
      <c r="AS56" s="929" t="str">
        <f t="shared" si="27"/>
        <v/>
      </c>
      <c r="AT56" s="928" t="str">
        <f t="shared" si="16"/>
        <v/>
      </c>
      <c r="AU56" s="929" t="str">
        <f t="shared" si="28"/>
        <v/>
      </c>
      <c r="AV56" s="928" t="str">
        <f t="shared" si="29"/>
        <v/>
      </c>
      <c r="AW56" s="928" t="str">
        <f t="shared" si="30"/>
        <v/>
      </c>
      <c r="AX56" s="928" t="str">
        <f t="shared" si="18"/>
        <v/>
      </c>
      <c r="AY56" s="928" t="str">
        <f t="shared" si="31"/>
        <v xml:space="preserve"> </v>
      </c>
      <c r="AZ56" s="928" t="str">
        <f t="shared" si="19"/>
        <v/>
      </c>
    </row>
    <row r="57" spans="1:52" ht="30" customHeight="1">
      <c r="A57" s="67"/>
      <c r="B57" s="272" t="str">
        <f t="shared" si="46"/>
        <v/>
      </c>
      <c r="C57" s="273" t="str">
        <f>IF(Data!F47="","",Data!F47)</f>
        <v/>
      </c>
      <c r="D57" s="274" t="str">
        <f>IF(Data!H47="","",Data!H47)</f>
        <v/>
      </c>
      <c r="E57" s="275" t="str">
        <f>IF(Data!I47="","",Data!I47)</f>
        <v/>
      </c>
      <c r="F57" s="913"/>
      <c r="G57" s="914"/>
      <c r="H57" s="357"/>
      <c r="I57" s="915"/>
      <c r="J57" s="914"/>
      <c r="K57" s="915"/>
      <c r="L57" s="916" t="str">
        <f t="shared" si="24"/>
        <v/>
      </c>
      <c r="M57" s="917"/>
      <c r="N57" s="276"/>
      <c r="O57" s="277"/>
      <c r="P57" s="280"/>
      <c r="Q57" s="276"/>
      <c r="R57" s="280"/>
      <c r="S57" s="278"/>
      <c r="T57" s="930"/>
      <c r="U57" s="280"/>
      <c r="V57" s="931"/>
      <c r="W57" s="280"/>
      <c r="X57" s="932"/>
      <c r="Y57" s="924" t="str">
        <f t="shared" si="32"/>
        <v/>
      </c>
      <c r="Z57" s="1393">
        <f t="shared" si="21"/>
        <v>0</v>
      </c>
      <c r="AA57" s="933" t="str">
        <f t="shared" si="36"/>
        <v/>
      </c>
      <c r="AB57" s="933" t="str">
        <f t="shared" si="25"/>
        <v/>
      </c>
      <c r="AC57" s="933" t="str">
        <f t="shared" si="37"/>
        <v/>
      </c>
      <c r="AD57" s="925" t="str">
        <f t="shared" si="22"/>
        <v/>
      </c>
      <c r="AE57" s="933" t="str">
        <f t="shared" si="38"/>
        <v/>
      </c>
      <c r="AF57" s="927" t="str">
        <f t="shared" si="39"/>
        <v/>
      </c>
      <c r="AG57" s="927" t="str">
        <f t="shared" si="33"/>
        <v/>
      </c>
      <c r="AH57" s="927" t="str">
        <f t="shared" si="40"/>
        <v/>
      </c>
      <c r="AI57" s="925" t="str">
        <f t="shared" si="23"/>
        <v/>
      </c>
      <c r="AJ57" s="927" t="str">
        <f t="shared" si="41"/>
        <v/>
      </c>
      <c r="AK57" s="933" t="str">
        <f t="shared" si="42"/>
        <v/>
      </c>
      <c r="AL57" s="933" t="str">
        <f t="shared" si="34"/>
        <v/>
      </c>
      <c r="AM57" s="933" t="str">
        <f t="shared" si="43"/>
        <v/>
      </c>
      <c r="AN57" s="927" t="str">
        <f t="shared" si="44"/>
        <v/>
      </c>
      <c r="AO57" s="927" t="str">
        <f t="shared" si="35"/>
        <v/>
      </c>
      <c r="AP57" s="927" t="str">
        <f t="shared" si="45"/>
        <v/>
      </c>
      <c r="AR57" s="928" t="str">
        <f t="shared" si="26"/>
        <v/>
      </c>
      <c r="AS57" s="929" t="str">
        <f t="shared" si="27"/>
        <v/>
      </c>
      <c r="AT57" s="928" t="str">
        <f t="shared" si="16"/>
        <v/>
      </c>
      <c r="AU57" s="929" t="str">
        <f t="shared" si="28"/>
        <v/>
      </c>
      <c r="AV57" s="928" t="str">
        <f t="shared" si="29"/>
        <v/>
      </c>
      <c r="AW57" s="928" t="str">
        <f t="shared" si="30"/>
        <v/>
      </c>
      <c r="AX57" s="928" t="str">
        <f t="shared" si="18"/>
        <v/>
      </c>
      <c r="AY57" s="928" t="str">
        <f t="shared" si="31"/>
        <v xml:space="preserve"> </v>
      </c>
      <c r="AZ57" s="928" t="str">
        <f t="shared" si="19"/>
        <v/>
      </c>
    </row>
    <row r="58" spans="1:52" ht="30" customHeight="1">
      <c r="A58" s="67"/>
      <c r="B58" s="272" t="str">
        <f t="shared" si="46"/>
        <v/>
      </c>
      <c r="C58" s="273" t="str">
        <f>IF(Data!F48="","",Data!F48)</f>
        <v/>
      </c>
      <c r="D58" s="274" t="str">
        <f>IF(Data!H48="","",Data!H48)</f>
        <v/>
      </c>
      <c r="E58" s="275" t="str">
        <f>IF(Data!I48="","",Data!I48)</f>
        <v/>
      </c>
      <c r="F58" s="913"/>
      <c r="G58" s="914"/>
      <c r="H58" s="357"/>
      <c r="I58" s="915"/>
      <c r="J58" s="914"/>
      <c r="K58" s="915"/>
      <c r="L58" s="916" t="str">
        <f t="shared" si="24"/>
        <v/>
      </c>
      <c r="M58" s="917"/>
      <c r="N58" s="276"/>
      <c r="O58" s="277"/>
      <c r="P58" s="280"/>
      <c r="Q58" s="276"/>
      <c r="R58" s="280"/>
      <c r="S58" s="278"/>
      <c r="T58" s="930"/>
      <c r="U58" s="280"/>
      <c r="V58" s="931"/>
      <c r="W58" s="280"/>
      <c r="X58" s="932"/>
      <c r="Y58" s="924" t="str">
        <f t="shared" si="32"/>
        <v/>
      </c>
      <c r="Z58" s="1393">
        <f t="shared" si="21"/>
        <v>0</v>
      </c>
      <c r="AA58" s="933" t="str">
        <f t="shared" si="36"/>
        <v/>
      </c>
      <c r="AB58" s="933" t="str">
        <f t="shared" si="25"/>
        <v/>
      </c>
      <c r="AC58" s="933" t="str">
        <f t="shared" si="37"/>
        <v/>
      </c>
      <c r="AD58" s="925" t="str">
        <f t="shared" si="22"/>
        <v/>
      </c>
      <c r="AE58" s="933" t="str">
        <f t="shared" si="38"/>
        <v/>
      </c>
      <c r="AF58" s="927" t="str">
        <f t="shared" si="39"/>
        <v/>
      </c>
      <c r="AG58" s="927" t="str">
        <f t="shared" si="33"/>
        <v/>
      </c>
      <c r="AH58" s="927" t="str">
        <f t="shared" si="40"/>
        <v/>
      </c>
      <c r="AI58" s="925" t="str">
        <f t="shared" si="23"/>
        <v/>
      </c>
      <c r="AJ58" s="927" t="str">
        <f t="shared" si="41"/>
        <v/>
      </c>
      <c r="AK58" s="933" t="str">
        <f t="shared" si="42"/>
        <v/>
      </c>
      <c r="AL58" s="933" t="str">
        <f t="shared" si="34"/>
        <v/>
      </c>
      <c r="AM58" s="933" t="str">
        <f t="shared" si="43"/>
        <v/>
      </c>
      <c r="AN58" s="927" t="str">
        <f t="shared" si="44"/>
        <v/>
      </c>
      <c r="AO58" s="927" t="str">
        <f t="shared" si="35"/>
        <v/>
      </c>
      <c r="AP58" s="927" t="str">
        <f t="shared" si="45"/>
        <v/>
      </c>
      <c r="AR58" s="928" t="str">
        <f t="shared" si="26"/>
        <v/>
      </c>
      <c r="AS58" s="929" t="str">
        <f t="shared" si="27"/>
        <v/>
      </c>
      <c r="AT58" s="928" t="str">
        <f t="shared" si="16"/>
        <v/>
      </c>
      <c r="AU58" s="929" t="str">
        <f t="shared" si="28"/>
        <v/>
      </c>
      <c r="AV58" s="928" t="str">
        <f t="shared" si="29"/>
        <v/>
      </c>
      <c r="AW58" s="928" t="str">
        <f t="shared" si="30"/>
        <v/>
      </c>
      <c r="AX58" s="928" t="str">
        <f t="shared" si="18"/>
        <v/>
      </c>
      <c r="AY58" s="928" t="str">
        <f t="shared" si="31"/>
        <v xml:space="preserve"> </v>
      </c>
      <c r="AZ58" s="928" t="str">
        <f t="shared" si="19"/>
        <v/>
      </c>
    </row>
    <row r="59" spans="1:52" ht="30" customHeight="1">
      <c r="A59" s="67"/>
      <c r="B59" s="272" t="str">
        <f t="shared" si="46"/>
        <v/>
      </c>
      <c r="C59" s="273" t="str">
        <f>IF(Data!F49="","",Data!F49)</f>
        <v/>
      </c>
      <c r="D59" s="274" t="str">
        <f>IF(Data!H49="","",Data!H49)</f>
        <v/>
      </c>
      <c r="E59" s="275" t="str">
        <f>IF(Data!I49="","",Data!I49)</f>
        <v/>
      </c>
      <c r="F59" s="913"/>
      <c r="G59" s="914"/>
      <c r="H59" s="357"/>
      <c r="I59" s="915"/>
      <c r="J59" s="914"/>
      <c r="K59" s="915"/>
      <c r="L59" s="916" t="str">
        <f t="shared" si="24"/>
        <v/>
      </c>
      <c r="M59" s="917"/>
      <c r="N59" s="276"/>
      <c r="O59" s="277"/>
      <c r="P59" s="280"/>
      <c r="Q59" s="276"/>
      <c r="R59" s="280"/>
      <c r="S59" s="278"/>
      <c r="T59" s="930"/>
      <c r="U59" s="280"/>
      <c r="V59" s="931"/>
      <c r="W59" s="280"/>
      <c r="X59" s="932"/>
      <c r="Y59" s="924" t="str">
        <f t="shared" si="32"/>
        <v/>
      </c>
      <c r="Z59" s="1393">
        <f t="shared" si="21"/>
        <v>0</v>
      </c>
      <c r="AA59" s="933" t="str">
        <f t="shared" si="36"/>
        <v/>
      </c>
      <c r="AB59" s="933" t="str">
        <f t="shared" si="25"/>
        <v/>
      </c>
      <c r="AC59" s="933" t="str">
        <f t="shared" si="37"/>
        <v/>
      </c>
      <c r="AD59" s="925" t="str">
        <f t="shared" si="22"/>
        <v/>
      </c>
      <c r="AE59" s="933" t="str">
        <f t="shared" si="38"/>
        <v/>
      </c>
      <c r="AF59" s="927" t="str">
        <f t="shared" si="39"/>
        <v/>
      </c>
      <c r="AG59" s="927" t="str">
        <f t="shared" si="33"/>
        <v/>
      </c>
      <c r="AH59" s="927" t="str">
        <f t="shared" si="40"/>
        <v/>
      </c>
      <c r="AI59" s="925" t="str">
        <f t="shared" si="23"/>
        <v/>
      </c>
      <c r="AJ59" s="927" t="str">
        <f t="shared" si="41"/>
        <v/>
      </c>
      <c r="AK59" s="933" t="str">
        <f t="shared" si="42"/>
        <v/>
      </c>
      <c r="AL59" s="933" t="str">
        <f t="shared" si="34"/>
        <v/>
      </c>
      <c r="AM59" s="933" t="str">
        <f t="shared" si="43"/>
        <v/>
      </c>
      <c r="AN59" s="927" t="str">
        <f t="shared" si="44"/>
        <v/>
      </c>
      <c r="AO59" s="927" t="str">
        <f t="shared" si="35"/>
        <v/>
      </c>
      <c r="AP59" s="927" t="str">
        <f t="shared" si="45"/>
        <v/>
      </c>
      <c r="AR59" s="928" t="str">
        <f t="shared" si="26"/>
        <v/>
      </c>
      <c r="AS59" s="929" t="str">
        <f t="shared" si="27"/>
        <v/>
      </c>
      <c r="AT59" s="928" t="str">
        <f t="shared" si="16"/>
        <v/>
      </c>
      <c r="AU59" s="929" t="str">
        <f t="shared" si="28"/>
        <v/>
      </c>
      <c r="AV59" s="928" t="str">
        <f t="shared" si="29"/>
        <v/>
      </c>
      <c r="AW59" s="928" t="str">
        <f t="shared" si="30"/>
        <v/>
      </c>
      <c r="AX59" s="928" t="str">
        <f t="shared" si="18"/>
        <v/>
      </c>
      <c r="AY59" s="928" t="str">
        <f t="shared" si="31"/>
        <v xml:space="preserve"> </v>
      </c>
      <c r="AZ59" s="928" t="str">
        <f t="shared" si="19"/>
        <v/>
      </c>
    </row>
    <row r="60" spans="1:52" ht="30" customHeight="1">
      <c r="A60" s="67"/>
      <c r="B60" s="272" t="str">
        <f t="shared" si="46"/>
        <v/>
      </c>
      <c r="C60" s="273" t="str">
        <f>IF(Data!F50="","",Data!F50)</f>
        <v/>
      </c>
      <c r="D60" s="274" t="str">
        <f>IF(Data!H50="","",Data!H50)</f>
        <v/>
      </c>
      <c r="E60" s="275" t="str">
        <f>IF(Data!I50="","",Data!I50)</f>
        <v/>
      </c>
      <c r="F60" s="913"/>
      <c r="G60" s="914"/>
      <c r="H60" s="357"/>
      <c r="I60" s="915"/>
      <c r="J60" s="914"/>
      <c r="K60" s="915"/>
      <c r="L60" s="916" t="str">
        <f t="shared" si="24"/>
        <v/>
      </c>
      <c r="M60" s="917"/>
      <c r="N60" s="276"/>
      <c r="O60" s="277"/>
      <c r="P60" s="280"/>
      <c r="Q60" s="276"/>
      <c r="R60" s="280"/>
      <c r="S60" s="278"/>
      <c r="T60" s="930"/>
      <c r="U60" s="280"/>
      <c r="V60" s="931"/>
      <c r="W60" s="280"/>
      <c r="X60" s="932"/>
      <c r="Y60" s="924" t="str">
        <f t="shared" si="32"/>
        <v/>
      </c>
      <c r="Z60" s="1393">
        <f t="shared" si="21"/>
        <v>0</v>
      </c>
      <c r="AA60" s="933" t="str">
        <f t="shared" si="36"/>
        <v/>
      </c>
      <c r="AB60" s="933" t="str">
        <f t="shared" si="25"/>
        <v/>
      </c>
      <c r="AC60" s="933" t="str">
        <f t="shared" si="37"/>
        <v/>
      </c>
      <c r="AD60" s="925" t="str">
        <f t="shared" si="22"/>
        <v/>
      </c>
      <c r="AE60" s="933" t="str">
        <f t="shared" si="38"/>
        <v/>
      </c>
      <c r="AF60" s="927" t="str">
        <f t="shared" si="39"/>
        <v/>
      </c>
      <c r="AG60" s="927" t="str">
        <f t="shared" si="33"/>
        <v/>
      </c>
      <c r="AH60" s="927" t="str">
        <f t="shared" si="40"/>
        <v/>
      </c>
      <c r="AI60" s="925" t="str">
        <f t="shared" si="23"/>
        <v/>
      </c>
      <c r="AJ60" s="927" t="str">
        <f t="shared" si="41"/>
        <v/>
      </c>
      <c r="AK60" s="933" t="str">
        <f t="shared" si="42"/>
        <v/>
      </c>
      <c r="AL60" s="933" t="str">
        <f t="shared" si="34"/>
        <v/>
      </c>
      <c r="AM60" s="933" t="str">
        <f t="shared" si="43"/>
        <v/>
      </c>
      <c r="AN60" s="927" t="str">
        <f t="shared" si="44"/>
        <v/>
      </c>
      <c r="AO60" s="927" t="str">
        <f t="shared" si="35"/>
        <v/>
      </c>
      <c r="AP60" s="927" t="str">
        <f t="shared" si="45"/>
        <v/>
      </c>
      <c r="AR60" s="928" t="str">
        <f t="shared" si="26"/>
        <v/>
      </c>
      <c r="AS60" s="929" t="str">
        <f t="shared" si="27"/>
        <v/>
      </c>
      <c r="AT60" s="928" t="str">
        <f t="shared" si="16"/>
        <v/>
      </c>
      <c r="AU60" s="929" t="str">
        <f t="shared" si="28"/>
        <v/>
      </c>
      <c r="AV60" s="928" t="str">
        <f t="shared" si="29"/>
        <v/>
      </c>
      <c r="AW60" s="928" t="str">
        <f t="shared" si="30"/>
        <v/>
      </c>
      <c r="AX60" s="928" t="str">
        <f t="shared" si="18"/>
        <v/>
      </c>
      <c r="AY60" s="928" t="str">
        <f t="shared" si="31"/>
        <v xml:space="preserve"> </v>
      </c>
      <c r="AZ60" s="928" t="str">
        <f t="shared" si="19"/>
        <v/>
      </c>
    </row>
    <row r="61" spans="1:52" ht="30" customHeight="1">
      <c r="A61" s="67"/>
      <c r="B61" s="272" t="str">
        <f t="shared" si="46"/>
        <v/>
      </c>
      <c r="C61" s="273" t="str">
        <f>IF(Data!F51="","",Data!F51)</f>
        <v/>
      </c>
      <c r="D61" s="274" t="str">
        <f>IF(Data!H51="","",Data!H51)</f>
        <v/>
      </c>
      <c r="E61" s="275" t="str">
        <f>IF(Data!I51="","",Data!I51)</f>
        <v/>
      </c>
      <c r="F61" s="913"/>
      <c r="G61" s="914"/>
      <c r="H61" s="357"/>
      <c r="I61" s="915"/>
      <c r="J61" s="914"/>
      <c r="K61" s="915"/>
      <c r="L61" s="916" t="str">
        <f t="shared" si="24"/>
        <v/>
      </c>
      <c r="M61" s="917"/>
      <c r="N61" s="276"/>
      <c r="O61" s="277"/>
      <c r="P61" s="280"/>
      <c r="Q61" s="276"/>
      <c r="R61" s="280"/>
      <c r="S61" s="278"/>
      <c r="T61" s="930"/>
      <c r="U61" s="280"/>
      <c r="V61" s="931"/>
      <c r="W61" s="280"/>
      <c r="X61" s="932"/>
      <c r="Y61" s="924" t="str">
        <f t="shared" si="32"/>
        <v/>
      </c>
      <c r="Z61" s="1393">
        <f t="shared" si="21"/>
        <v>0</v>
      </c>
      <c r="AA61" s="933" t="str">
        <f t="shared" si="36"/>
        <v/>
      </c>
      <c r="AB61" s="933" t="str">
        <f t="shared" si="25"/>
        <v/>
      </c>
      <c r="AC61" s="933" t="str">
        <f t="shared" si="37"/>
        <v/>
      </c>
      <c r="AD61" s="925" t="str">
        <f t="shared" si="22"/>
        <v/>
      </c>
      <c r="AE61" s="933" t="str">
        <f t="shared" si="38"/>
        <v/>
      </c>
      <c r="AF61" s="927" t="str">
        <f t="shared" si="39"/>
        <v/>
      </c>
      <c r="AG61" s="927" t="str">
        <f t="shared" si="33"/>
        <v/>
      </c>
      <c r="AH61" s="927" t="str">
        <f t="shared" si="40"/>
        <v/>
      </c>
      <c r="AI61" s="925" t="str">
        <f t="shared" si="23"/>
        <v/>
      </c>
      <c r="AJ61" s="927" t="str">
        <f t="shared" si="41"/>
        <v/>
      </c>
      <c r="AK61" s="933" t="str">
        <f t="shared" si="42"/>
        <v/>
      </c>
      <c r="AL61" s="933" t="str">
        <f t="shared" si="34"/>
        <v/>
      </c>
      <c r="AM61" s="933" t="str">
        <f t="shared" si="43"/>
        <v/>
      </c>
      <c r="AN61" s="927" t="str">
        <f t="shared" si="44"/>
        <v/>
      </c>
      <c r="AO61" s="927" t="str">
        <f t="shared" si="35"/>
        <v/>
      </c>
      <c r="AP61" s="927" t="str">
        <f t="shared" si="45"/>
        <v/>
      </c>
      <c r="AR61" s="928" t="str">
        <f t="shared" si="26"/>
        <v/>
      </c>
      <c r="AS61" s="929" t="str">
        <f t="shared" si="27"/>
        <v/>
      </c>
      <c r="AT61" s="928" t="str">
        <f t="shared" si="16"/>
        <v/>
      </c>
      <c r="AU61" s="929" t="str">
        <f t="shared" si="28"/>
        <v/>
      </c>
      <c r="AV61" s="928" t="str">
        <f t="shared" si="29"/>
        <v/>
      </c>
      <c r="AW61" s="928" t="str">
        <f t="shared" si="30"/>
        <v/>
      </c>
      <c r="AX61" s="928" t="str">
        <f t="shared" si="18"/>
        <v/>
      </c>
      <c r="AY61" s="928" t="str">
        <f t="shared" si="31"/>
        <v xml:space="preserve"> </v>
      </c>
      <c r="AZ61" s="928" t="str">
        <f t="shared" si="19"/>
        <v/>
      </c>
    </row>
    <row r="62" spans="1:52" ht="30" customHeight="1">
      <c r="A62" s="67"/>
      <c r="B62" s="272" t="str">
        <f t="shared" si="46"/>
        <v/>
      </c>
      <c r="C62" s="273" t="str">
        <f>IF(Data!F52="","",Data!F52)</f>
        <v/>
      </c>
      <c r="D62" s="274" t="str">
        <f>IF(Data!H52="","",Data!H52)</f>
        <v/>
      </c>
      <c r="E62" s="275" t="str">
        <f>IF(Data!I52="","",Data!I52)</f>
        <v/>
      </c>
      <c r="F62" s="913"/>
      <c r="G62" s="914"/>
      <c r="H62" s="357"/>
      <c r="I62" s="915"/>
      <c r="J62" s="914"/>
      <c r="K62" s="915"/>
      <c r="L62" s="916" t="str">
        <f t="shared" si="24"/>
        <v/>
      </c>
      <c r="M62" s="917"/>
      <c r="N62" s="276"/>
      <c r="O62" s="277"/>
      <c r="P62" s="280"/>
      <c r="Q62" s="276"/>
      <c r="R62" s="280"/>
      <c r="S62" s="278"/>
      <c r="T62" s="930"/>
      <c r="U62" s="280"/>
      <c r="V62" s="931"/>
      <c r="W62" s="280"/>
      <c r="X62" s="932"/>
      <c r="Y62" s="924" t="str">
        <f t="shared" si="32"/>
        <v/>
      </c>
      <c r="Z62" s="1393">
        <f t="shared" si="21"/>
        <v>0</v>
      </c>
      <c r="AA62" s="933" t="str">
        <f t="shared" si="36"/>
        <v/>
      </c>
      <c r="AB62" s="933" t="str">
        <f t="shared" si="25"/>
        <v/>
      </c>
      <c r="AC62" s="933" t="str">
        <f t="shared" si="37"/>
        <v/>
      </c>
      <c r="AD62" s="925" t="str">
        <f t="shared" si="22"/>
        <v/>
      </c>
      <c r="AE62" s="933" t="str">
        <f t="shared" si="38"/>
        <v/>
      </c>
      <c r="AF62" s="927" t="str">
        <f t="shared" si="39"/>
        <v/>
      </c>
      <c r="AG62" s="927" t="str">
        <f t="shared" si="33"/>
        <v/>
      </c>
      <c r="AH62" s="927" t="str">
        <f t="shared" si="40"/>
        <v/>
      </c>
      <c r="AI62" s="925" t="str">
        <f t="shared" si="23"/>
        <v/>
      </c>
      <c r="AJ62" s="927" t="str">
        <f t="shared" si="41"/>
        <v/>
      </c>
      <c r="AK62" s="933" t="str">
        <f t="shared" si="42"/>
        <v/>
      </c>
      <c r="AL62" s="933" t="str">
        <f t="shared" si="34"/>
        <v/>
      </c>
      <c r="AM62" s="933" t="str">
        <f t="shared" si="43"/>
        <v/>
      </c>
      <c r="AN62" s="927" t="str">
        <f t="shared" si="44"/>
        <v/>
      </c>
      <c r="AO62" s="927" t="str">
        <f t="shared" si="35"/>
        <v/>
      </c>
      <c r="AP62" s="927" t="str">
        <f t="shared" si="45"/>
        <v/>
      </c>
      <c r="AR62" s="928" t="str">
        <f t="shared" si="26"/>
        <v/>
      </c>
      <c r="AS62" s="929" t="str">
        <f t="shared" si="27"/>
        <v/>
      </c>
      <c r="AT62" s="928" t="str">
        <f t="shared" si="16"/>
        <v/>
      </c>
      <c r="AU62" s="929" t="str">
        <f t="shared" si="28"/>
        <v/>
      </c>
      <c r="AV62" s="928" t="str">
        <f t="shared" si="29"/>
        <v/>
      </c>
      <c r="AW62" s="928" t="str">
        <f t="shared" si="30"/>
        <v/>
      </c>
      <c r="AX62" s="928" t="str">
        <f t="shared" si="18"/>
        <v/>
      </c>
      <c r="AY62" s="928" t="str">
        <f t="shared" si="31"/>
        <v xml:space="preserve"> </v>
      </c>
      <c r="AZ62" s="928" t="str">
        <f t="shared" si="19"/>
        <v/>
      </c>
    </row>
    <row r="63" spans="1:52" ht="30" customHeight="1">
      <c r="A63" s="67"/>
      <c r="B63" s="272" t="str">
        <f t="shared" si="46"/>
        <v/>
      </c>
      <c r="C63" s="273" t="str">
        <f>IF(Data!F53="","",Data!F53)</f>
        <v/>
      </c>
      <c r="D63" s="274" t="str">
        <f>IF(Data!H53="","",Data!H53)</f>
        <v/>
      </c>
      <c r="E63" s="275" t="str">
        <f>IF(Data!I53="","",Data!I53)</f>
        <v/>
      </c>
      <c r="F63" s="913"/>
      <c r="G63" s="914"/>
      <c r="H63" s="357"/>
      <c r="I63" s="915"/>
      <c r="J63" s="914"/>
      <c r="K63" s="915"/>
      <c r="L63" s="916" t="str">
        <f t="shared" si="24"/>
        <v/>
      </c>
      <c r="M63" s="917"/>
      <c r="N63" s="276"/>
      <c r="O63" s="277"/>
      <c r="P63" s="280"/>
      <c r="Q63" s="276"/>
      <c r="R63" s="280"/>
      <c r="S63" s="278"/>
      <c r="T63" s="930"/>
      <c r="U63" s="280"/>
      <c r="V63" s="931"/>
      <c r="W63" s="280"/>
      <c r="X63" s="932"/>
      <c r="Y63" s="924" t="str">
        <f t="shared" si="32"/>
        <v/>
      </c>
      <c r="Z63" s="1393">
        <f t="shared" si="21"/>
        <v>0</v>
      </c>
      <c r="AA63" s="933" t="str">
        <f t="shared" si="36"/>
        <v/>
      </c>
      <c r="AB63" s="933" t="str">
        <f t="shared" si="25"/>
        <v/>
      </c>
      <c r="AC63" s="933" t="str">
        <f t="shared" si="37"/>
        <v/>
      </c>
      <c r="AD63" s="925" t="str">
        <f t="shared" si="22"/>
        <v/>
      </c>
      <c r="AE63" s="933" t="str">
        <f t="shared" si="38"/>
        <v/>
      </c>
      <c r="AF63" s="927" t="str">
        <f t="shared" si="39"/>
        <v/>
      </c>
      <c r="AG63" s="927" t="str">
        <f t="shared" si="33"/>
        <v/>
      </c>
      <c r="AH63" s="927" t="str">
        <f t="shared" si="40"/>
        <v/>
      </c>
      <c r="AI63" s="925" t="str">
        <f t="shared" si="23"/>
        <v/>
      </c>
      <c r="AJ63" s="927" t="str">
        <f t="shared" si="41"/>
        <v/>
      </c>
      <c r="AK63" s="933" t="str">
        <f t="shared" si="42"/>
        <v/>
      </c>
      <c r="AL63" s="933" t="str">
        <f t="shared" si="34"/>
        <v/>
      </c>
      <c r="AM63" s="933" t="str">
        <f t="shared" si="43"/>
        <v/>
      </c>
      <c r="AN63" s="927" t="str">
        <f t="shared" si="44"/>
        <v/>
      </c>
      <c r="AO63" s="927" t="str">
        <f t="shared" si="35"/>
        <v/>
      </c>
      <c r="AP63" s="927" t="str">
        <f t="shared" si="45"/>
        <v/>
      </c>
      <c r="AR63" s="928" t="str">
        <f t="shared" si="26"/>
        <v/>
      </c>
      <c r="AS63" s="929" t="str">
        <f t="shared" si="27"/>
        <v/>
      </c>
      <c r="AT63" s="928" t="str">
        <f t="shared" si="16"/>
        <v/>
      </c>
      <c r="AU63" s="929" t="str">
        <f t="shared" si="28"/>
        <v/>
      </c>
      <c r="AV63" s="928" t="str">
        <f t="shared" si="29"/>
        <v/>
      </c>
      <c r="AW63" s="928" t="str">
        <f t="shared" si="30"/>
        <v/>
      </c>
      <c r="AX63" s="928" t="str">
        <f t="shared" si="18"/>
        <v/>
      </c>
      <c r="AY63" s="928" t="str">
        <f t="shared" si="31"/>
        <v xml:space="preserve"> </v>
      </c>
      <c r="AZ63" s="928" t="str">
        <f t="shared" si="19"/>
        <v/>
      </c>
    </row>
    <row r="64" spans="1:52" ht="30" customHeight="1" thickBot="1">
      <c r="A64" s="67"/>
      <c r="B64" s="272" t="str">
        <f t="shared" si="46"/>
        <v/>
      </c>
      <c r="C64" s="273" t="str">
        <f>IF(Data!F54="","",Data!F54)</f>
        <v/>
      </c>
      <c r="D64" s="274" t="str">
        <f>IF(Data!H54="","",Data!H54)</f>
        <v/>
      </c>
      <c r="E64" s="275" t="str">
        <f>IF(Data!I54="","",Data!I54)</f>
        <v/>
      </c>
      <c r="F64" s="913"/>
      <c r="G64" s="914"/>
      <c r="H64" s="357"/>
      <c r="I64" s="915"/>
      <c r="J64" s="914"/>
      <c r="K64" s="915"/>
      <c r="L64" s="916" t="str">
        <f t="shared" si="24"/>
        <v/>
      </c>
      <c r="M64" s="917"/>
      <c r="N64" s="301"/>
      <c r="O64" s="299"/>
      <c r="P64" s="302"/>
      <c r="Q64" s="301"/>
      <c r="R64" s="302"/>
      <c r="S64" s="300"/>
      <c r="T64" s="934"/>
      <c r="U64" s="302"/>
      <c r="V64" s="935"/>
      <c r="W64" s="302"/>
      <c r="X64" s="932"/>
      <c r="Y64" s="924" t="str">
        <f t="shared" si="32"/>
        <v/>
      </c>
      <c r="Z64" s="1393">
        <f t="shared" si="21"/>
        <v>0</v>
      </c>
      <c r="AA64" s="933" t="str">
        <f t="shared" si="36"/>
        <v/>
      </c>
      <c r="AB64" s="933" t="str">
        <f t="shared" si="25"/>
        <v/>
      </c>
      <c r="AC64" s="933" t="str">
        <f t="shared" si="37"/>
        <v/>
      </c>
      <c r="AD64" s="925" t="str">
        <f t="shared" si="22"/>
        <v/>
      </c>
      <c r="AE64" s="933" t="str">
        <f t="shared" si="38"/>
        <v/>
      </c>
      <c r="AF64" s="927" t="str">
        <f t="shared" si="39"/>
        <v/>
      </c>
      <c r="AG64" s="927" t="str">
        <f t="shared" si="33"/>
        <v/>
      </c>
      <c r="AH64" s="927" t="str">
        <f t="shared" si="40"/>
        <v/>
      </c>
      <c r="AI64" s="925" t="str">
        <f t="shared" si="23"/>
        <v/>
      </c>
      <c r="AJ64" s="927" t="str">
        <f t="shared" si="41"/>
        <v/>
      </c>
      <c r="AK64" s="933" t="str">
        <f t="shared" si="42"/>
        <v/>
      </c>
      <c r="AL64" s="933" t="str">
        <f t="shared" si="34"/>
        <v/>
      </c>
      <c r="AM64" s="933" t="str">
        <f t="shared" si="43"/>
        <v/>
      </c>
      <c r="AN64" s="927" t="str">
        <f t="shared" si="44"/>
        <v/>
      </c>
      <c r="AO64" s="927" t="str">
        <f t="shared" si="35"/>
        <v/>
      </c>
      <c r="AP64" s="927" t="str">
        <f t="shared" si="45"/>
        <v/>
      </c>
      <c r="AR64" s="928" t="str">
        <f t="shared" si="26"/>
        <v/>
      </c>
      <c r="AS64" s="929" t="str">
        <f t="shared" si="27"/>
        <v/>
      </c>
      <c r="AT64" s="928" t="str">
        <f t="shared" si="16"/>
        <v/>
      </c>
      <c r="AU64" s="929" t="str">
        <f t="shared" si="28"/>
        <v/>
      </c>
      <c r="AV64" s="928" t="str">
        <f t="shared" si="29"/>
        <v/>
      </c>
      <c r="AW64" s="928" t="str">
        <f t="shared" si="30"/>
        <v/>
      </c>
      <c r="AX64" s="928" t="str">
        <f t="shared" si="18"/>
        <v/>
      </c>
      <c r="AY64" s="928" t="str">
        <f t="shared" si="31"/>
        <v xml:space="preserve"> </v>
      </c>
      <c r="AZ64" s="928" t="str">
        <f t="shared" si="19"/>
        <v/>
      </c>
    </row>
    <row r="65" spans="1:40">
      <c r="A65" s="67"/>
      <c r="B65" s="109">
        <v>1</v>
      </c>
      <c r="C65" s="109">
        <v>2</v>
      </c>
      <c r="D65" s="109">
        <v>3</v>
      </c>
      <c r="E65" s="109">
        <v>4</v>
      </c>
      <c r="F65" s="109">
        <v>5</v>
      </c>
      <c r="G65" s="109">
        <v>6</v>
      </c>
      <c r="H65" s="109">
        <v>7</v>
      </c>
      <c r="I65" s="109">
        <v>8</v>
      </c>
      <c r="J65" s="109">
        <v>9</v>
      </c>
      <c r="K65" s="109">
        <v>10</v>
      </c>
      <c r="L65" s="109">
        <v>11</v>
      </c>
      <c r="M65" s="109">
        <v>12</v>
      </c>
      <c r="N65" s="109">
        <v>13</v>
      </c>
      <c r="O65" s="109">
        <v>14</v>
      </c>
      <c r="P65" s="109">
        <v>15</v>
      </c>
      <c r="Q65" s="109">
        <v>16</v>
      </c>
      <c r="R65" s="109">
        <v>17</v>
      </c>
      <c r="S65" s="109">
        <v>18</v>
      </c>
      <c r="T65" s="109">
        <v>19</v>
      </c>
      <c r="U65" s="109">
        <v>20</v>
      </c>
      <c r="V65" s="109">
        <v>21</v>
      </c>
      <c r="W65" s="109">
        <v>22</v>
      </c>
      <c r="X65" s="109">
        <v>23</v>
      </c>
      <c r="Y65" s="109">
        <v>24</v>
      </c>
      <c r="Z65" s="66"/>
      <c r="AA65" s="936"/>
      <c r="AB65" s="936"/>
      <c r="AC65" s="936"/>
      <c r="AD65" s="936"/>
      <c r="AE65" s="936"/>
      <c r="AF65" s="936"/>
      <c r="AG65" s="936"/>
      <c r="AH65" s="936"/>
      <c r="AI65" s="936"/>
      <c r="AJ65" s="936"/>
      <c r="AK65" s="936"/>
      <c r="AL65" s="936"/>
      <c r="AM65" s="936"/>
      <c r="AN65" s="936"/>
    </row>
    <row r="66" spans="1:40">
      <c r="A66" s="67"/>
      <c r="B66" s="81"/>
      <c r="C66" s="82"/>
      <c r="D66" s="81"/>
      <c r="E66" s="83"/>
      <c r="F66" s="83"/>
      <c r="G66" s="82"/>
      <c r="H66" s="82"/>
      <c r="I66" s="82"/>
      <c r="J66" s="294"/>
      <c r="K66" s="294"/>
      <c r="L66" s="294"/>
      <c r="M66" s="83"/>
      <c r="N66" s="294"/>
      <c r="O66" s="294"/>
      <c r="P66" s="294"/>
      <c r="Q66" s="294"/>
      <c r="R66" s="294"/>
      <c r="S66" s="294"/>
      <c r="T66" s="294"/>
      <c r="U66" s="294"/>
      <c r="V66" s="294"/>
      <c r="W66" s="294"/>
      <c r="X66" s="294"/>
      <c r="Y66" s="82"/>
      <c r="Z66" s="66"/>
      <c r="AN66" s="900"/>
    </row>
    <row r="67" spans="1:40">
      <c r="A67" s="67"/>
      <c r="B67" s="84"/>
      <c r="C67" s="82"/>
      <c r="D67" s="81"/>
      <c r="E67" s="106"/>
      <c r="F67" s="106"/>
      <c r="G67" s="106"/>
      <c r="H67" s="106"/>
      <c r="I67" s="106"/>
      <c r="J67" s="106"/>
      <c r="K67" s="106"/>
      <c r="L67" s="106"/>
      <c r="M67" s="106"/>
      <c r="N67" s="294"/>
      <c r="O67" s="294"/>
      <c r="P67" s="294"/>
      <c r="Q67" s="294"/>
      <c r="R67" s="294"/>
      <c r="S67" s="294"/>
      <c r="T67" s="294"/>
      <c r="U67" s="294"/>
      <c r="V67" s="294"/>
      <c r="W67" s="294"/>
      <c r="X67" s="294"/>
      <c r="Y67" s="82"/>
      <c r="Z67" s="26"/>
      <c r="AN67" s="900"/>
    </row>
    <row r="68" spans="1:40" ht="27" customHeight="1">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937"/>
      <c r="AN68" s="900"/>
    </row>
    <row r="69" spans="1:40" ht="27" hidden="1" customHeight="1"/>
    <row r="70" spans="1:40" ht="27" hidden="1" customHeight="1"/>
    <row r="71" spans="1:40" ht="27" hidden="1" customHeight="1"/>
    <row r="72" spans="1:40" ht="27" hidden="1" customHeight="1"/>
    <row r="73" spans="1:40" ht="27" hidden="1" customHeight="1"/>
    <row r="74" spans="1:40" ht="27" hidden="1" customHeight="1"/>
    <row r="75" spans="1:40" ht="27" hidden="1" customHeight="1"/>
    <row r="76" spans="1:40" ht="27" hidden="1" customHeight="1"/>
    <row r="77" spans="1:40" ht="27" hidden="1" customHeight="1"/>
    <row r="78" spans="1:40" hidden="1"/>
    <row r="79" spans="1:40" ht="15" hidden="1" customHeight="1"/>
    <row r="80" spans="1:40" ht="15" hidden="1" customHeight="1"/>
    <row r="81" ht="15" hidden="1" customHeight="1"/>
    <row r="82" ht="15" hidden="1" customHeight="1"/>
    <row r="83" ht="15" hidden="1" customHeight="1"/>
    <row r="84" hidden="1"/>
  </sheetData>
  <sheetProtection insertHyperlinks="0" selectLockedCells="1"/>
  <mergeCells count="43">
    <mergeCell ref="G12:K12"/>
    <mergeCell ref="M12:M14"/>
    <mergeCell ref="B5:E7"/>
    <mergeCell ref="B12:B14"/>
    <mergeCell ref="C12:C14"/>
    <mergeCell ref="D12:D14"/>
    <mergeCell ref="E12:E14"/>
    <mergeCell ref="B11:C11"/>
    <mergeCell ref="D11:E11"/>
    <mergeCell ref="G13:I14"/>
    <mergeCell ref="J13:K14"/>
    <mergeCell ref="L13:L14"/>
    <mergeCell ref="F12:F14"/>
    <mergeCell ref="G7:L7"/>
    <mergeCell ref="G10:L10"/>
    <mergeCell ref="N13:U13"/>
    <mergeCell ref="V13:W14"/>
    <mergeCell ref="N11:S11"/>
    <mergeCell ref="Y13:Y14"/>
    <mergeCell ref="N14:P14"/>
    <mergeCell ref="Q14:S14"/>
    <mergeCell ref="T14:U14"/>
    <mergeCell ref="N12:W12"/>
    <mergeCell ref="X12:X14"/>
    <mergeCell ref="G1:L1"/>
    <mergeCell ref="N1:S1"/>
    <mergeCell ref="G2:L2"/>
    <mergeCell ref="N2:S2"/>
    <mergeCell ref="G3:L3"/>
    <mergeCell ref="N3:S3"/>
    <mergeCell ref="G4:L4"/>
    <mergeCell ref="N4:S4"/>
    <mergeCell ref="G5:L5"/>
    <mergeCell ref="N5:S5"/>
    <mergeCell ref="G6:L6"/>
    <mergeCell ref="N6:S6"/>
    <mergeCell ref="N10:S10"/>
    <mergeCell ref="G11:L11"/>
    <mergeCell ref="N7:S7"/>
    <mergeCell ref="G8:L8"/>
    <mergeCell ref="N8:S8"/>
    <mergeCell ref="G9:L9"/>
    <mergeCell ref="N9:S9"/>
  </mergeCells>
  <conditionalFormatting sqref="B50:E52">
    <cfRule type="expression" dxfId="394" priority="201">
      <formula>AND($B50&lt;&gt;"",$B65="")</formula>
    </cfRule>
    <cfRule type="expression" dxfId="393" priority="202">
      <formula>$B50=""</formula>
    </cfRule>
  </conditionalFormatting>
  <conditionalFormatting sqref="B15:E64">
    <cfRule type="expression" dxfId="392" priority="137">
      <formula>AND($B15&lt;&gt;"",$B16="")</formula>
    </cfRule>
    <cfRule type="expression" dxfId="391" priority="138">
      <formula>$B15=""</formula>
    </cfRule>
  </conditionalFormatting>
  <conditionalFormatting sqref="B57:E57">
    <cfRule type="expression" dxfId="390" priority="139">
      <formula>AND($B57&lt;&gt;"",$B64="")</formula>
    </cfRule>
    <cfRule type="expression" dxfId="389" priority="140">
      <formula>$B57=""</formula>
    </cfRule>
  </conditionalFormatting>
  <conditionalFormatting sqref="B51:E51">
    <cfRule type="expression" dxfId="388" priority="141">
      <formula>AND($B51&lt;&gt;"",$B64="")</formula>
    </cfRule>
    <cfRule type="expression" dxfId="387" priority="142">
      <formula>$B51=""</formula>
    </cfRule>
  </conditionalFormatting>
  <conditionalFormatting sqref="B44:E45">
    <cfRule type="expression" dxfId="386" priority="143">
      <formula>AND($B44&lt;&gt;"",$B63="")</formula>
    </cfRule>
    <cfRule type="expression" dxfId="385" priority="144">
      <formula>$B44=""</formula>
    </cfRule>
  </conditionalFormatting>
  <conditionalFormatting sqref="B64:E64">
    <cfRule type="expression" dxfId="384" priority="145">
      <formula>AND($B64&lt;&gt;"",#REF!="")</formula>
    </cfRule>
    <cfRule type="expression" dxfId="383" priority="146">
      <formula>$B64=""</formula>
    </cfRule>
  </conditionalFormatting>
  <conditionalFormatting sqref="B62:E62">
    <cfRule type="expression" dxfId="382" priority="147">
      <formula>AND($B62&lt;&gt;"",$B65="")</formula>
    </cfRule>
    <cfRule type="expression" dxfId="381" priority="148">
      <formula>$B62=""</formula>
    </cfRule>
  </conditionalFormatting>
  <conditionalFormatting sqref="B58:E61">
    <cfRule type="expression" dxfId="380" priority="149">
      <formula>AND($B58&lt;&gt;"",#REF!="")</formula>
    </cfRule>
    <cfRule type="expression" dxfId="379" priority="150">
      <formula>$B58=""</formula>
    </cfRule>
  </conditionalFormatting>
  <conditionalFormatting sqref="B56:E56">
    <cfRule type="expression" dxfId="378" priority="151">
      <formula>AND($B56&lt;&gt;"",$B65="")</formula>
    </cfRule>
    <cfRule type="expression" dxfId="377" priority="152">
      <formula>$B56=""</formula>
    </cfRule>
  </conditionalFormatting>
  <conditionalFormatting sqref="B52:E55">
    <cfRule type="expression" dxfId="376" priority="153">
      <formula>AND($B52&lt;&gt;"",#REF!="")</formula>
    </cfRule>
    <cfRule type="expression" dxfId="375" priority="154">
      <formula>$B52=""</formula>
    </cfRule>
  </conditionalFormatting>
  <conditionalFormatting sqref="B46:E64">
    <cfRule type="expression" dxfId="374" priority="157">
      <formula>AND($B46&lt;&gt;"",#REF!="")</formula>
    </cfRule>
    <cfRule type="expression" dxfId="373" priority="158">
      <formula>$B46=""</formula>
    </cfRule>
  </conditionalFormatting>
  <conditionalFormatting sqref="B63:E64">
    <cfRule type="expression" dxfId="372" priority="2090">
      <formula>AND($B63&lt;&gt;"",#REF!="")</formula>
    </cfRule>
    <cfRule type="expression" dxfId="371" priority="2091">
      <formula>$B63=""</formula>
    </cfRule>
  </conditionalFormatting>
  <conditionalFormatting sqref="G15:W64">
    <cfRule type="expression" dxfId="370" priority="73">
      <formula>AND($B15&lt;&gt;"",$B16="")</formula>
    </cfRule>
    <cfRule type="expression" dxfId="369" priority="74">
      <formula>$B15=""</formula>
    </cfRule>
  </conditionalFormatting>
  <conditionalFormatting sqref="G57:W57">
    <cfRule type="expression" dxfId="368" priority="75">
      <formula>AND($B57&lt;&gt;"",$B64="")</formula>
    </cfRule>
    <cfRule type="expression" dxfId="367" priority="76">
      <formula>$B57=""</formula>
    </cfRule>
  </conditionalFormatting>
  <conditionalFormatting sqref="G51:W51">
    <cfRule type="expression" dxfId="366" priority="77">
      <formula>AND($B51&lt;&gt;"",$B64="")</formula>
    </cfRule>
    <cfRule type="expression" dxfId="365" priority="78">
      <formula>$B51=""</formula>
    </cfRule>
  </conditionalFormatting>
  <conditionalFormatting sqref="G44:W45">
    <cfRule type="expression" dxfId="364" priority="79">
      <formula>AND($B44&lt;&gt;"",$B63="")</formula>
    </cfRule>
    <cfRule type="expression" dxfId="363" priority="80">
      <formula>$B44=""</formula>
    </cfRule>
  </conditionalFormatting>
  <conditionalFormatting sqref="G64:W64">
    <cfRule type="expression" dxfId="362" priority="81">
      <formula>AND($B64&lt;&gt;"",#REF!="")</formula>
    </cfRule>
    <cfRule type="expression" dxfId="361" priority="82">
      <formula>$B64=""</formula>
    </cfRule>
  </conditionalFormatting>
  <conditionalFormatting sqref="G62:W62">
    <cfRule type="expression" dxfId="360" priority="83">
      <formula>AND($B62&lt;&gt;"",$B65="")</formula>
    </cfRule>
    <cfRule type="expression" dxfId="359" priority="84">
      <formula>$B62=""</formula>
    </cfRule>
  </conditionalFormatting>
  <conditionalFormatting sqref="G58:W61">
    <cfRule type="expression" dxfId="358" priority="85">
      <formula>AND($B58&lt;&gt;"",#REF!="")</formula>
    </cfRule>
    <cfRule type="expression" dxfId="357" priority="86">
      <formula>$B58=""</formula>
    </cfRule>
  </conditionalFormatting>
  <conditionalFormatting sqref="G56:W56">
    <cfRule type="expression" dxfId="356" priority="87">
      <formula>AND($B56&lt;&gt;"",$B65="")</formula>
    </cfRule>
    <cfRule type="expression" dxfId="355" priority="88">
      <formula>$B56=""</formula>
    </cfRule>
  </conditionalFormatting>
  <conditionalFormatting sqref="G52:W55">
    <cfRule type="expression" dxfId="354" priority="89">
      <formula>AND($B52&lt;&gt;"",#REF!="")</formula>
    </cfRule>
    <cfRule type="expression" dxfId="353" priority="90">
      <formula>$B52=""</formula>
    </cfRule>
  </conditionalFormatting>
  <conditionalFormatting sqref="F50:X52">
    <cfRule type="expression" dxfId="352" priority="91">
      <formula>AND($B50&lt;&gt;"",$B65="")</formula>
    </cfRule>
    <cfRule type="expression" dxfId="351" priority="92">
      <formula>$B50=""</formula>
    </cfRule>
  </conditionalFormatting>
  <conditionalFormatting sqref="G46:W64">
    <cfRule type="expression" dxfId="350" priority="93">
      <formula>AND($B46&lt;&gt;"",#REF!="")</formula>
    </cfRule>
    <cfRule type="expression" dxfId="349" priority="94">
      <formula>$B46=""</formula>
    </cfRule>
  </conditionalFormatting>
  <conditionalFormatting sqref="F15:F64">
    <cfRule type="expression" dxfId="348" priority="53">
      <formula>AND($B15&lt;&gt;"",$B16="")</formula>
    </cfRule>
    <cfRule type="expression" dxfId="347" priority="54">
      <formula>$B15=""</formula>
    </cfRule>
  </conditionalFormatting>
  <conditionalFormatting sqref="F57">
    <cfRule type="expression" dxfId="346" priority="55">
      <formula>AND($B57&lt;&gt;"",$B64="")</formula>
    </cfRule>
    <cfRule type="expression" dxfId="345" priority="56">
      <formula>$B57=""</formula>
    </cfRule>
  </conditionalFormatting>
  <conditionalFormatting sqref="F51">
    <cfRule type="expression" dxfId="344" priority="57">
      <formula>AND($B51&lt;&gt;"",$B64="")</formula>
    </cfRule>
    <cfRule type="expression" dxfId="343" priority="58">
      <formula>$B51=""</formula>
    </cfRule>
  </conditionalFormatting>
  <conditionalFormatting sqref="F44:F45">
    <cfRule type="expression" dxfId="342" priority="59">
      <formula>AND($B44&lt;&gt;"",$B63="")</formula>
    </cfRule>
    <cfRule type="expression" dxfId="341" priority="60">
      <formula>$B44=""</formula>
    </cfRule>
  </conditionalFormatting>
  <conditionalFormatting sqref="F64">
    <cfRule type="expression" dxfId="340" priority="61">
      <formula>AND($B64&lt;&gt;"",#REF!="")</formula>
    </cfRule>
    <cfRule type="expression" dxfId="339" priority="62">
      <formula>$B64=""</formula>
    </cfRule>
  </conditionalFormatting>
  <conditionalFormatting sqref="F62">
    <cfRule type="expression" dxfId="338" priority="63">
      <formula>AND($B62&lt;&gt;"",$B65="")</formula>
    </cfRule>
    <cfRule type="expression" dxfId="337" priority="64">
      <formula>$B62=""</formula>
    </cfRule>
  </conditionalFormatting>
  <conditionalFormatting sqref="F58:F61">
    <cfRule type="expression" dxfId="336" priority="65">
      <formula>AND($B58&lt;&gt;"",#REF!="")</formula>
    </cfRule>
    <cfRule type="expression" dxfId="335" priority="66">
      <formula>$B58=""</formula>
    </cfRule>
  </conditionalFormatting>
  <conditionalFormatting sqref="F56">
    <cfRule type="expression" dxfId="334" priority="67">
      <formula>AND($B56&lt;&gt;"",$B65="")</formula>
    </cfRule>
    <cfRule type="expression" dxfId="333" priority="68">
      <formula>$B56=""</formula>
    </cfRule>
  </conditionalFormatting>
  <conditionalFormatting sqref="F52:F55">
    <cfRule type="expression" dxfId="332" priority="69">
      <formula>AND($B52&lt;&gt;"",#REF!="")</formula>
    </cfRule>
    <cfRule type="expression" dxfId="331" priority="70">
      <formula>$B52=""</formula>
    </cfRule>
  </conditionalFormatting>
  <conditionalFormatting sqref="F46:F64">
    <cfRule type="expression" dxfId="330" priority="71">
      <formula>AND($B46&lt;&gt;"",#REF!="")</formula>
    </cfRule>
    <cfRule type="expression" dxfId="329" priority="72">
      <formula>$B46=""</formula>
    </cfRule>
  </conditionalFormatting>
  <conditionalFormatting sqref="F63:W64">
    <cfRule type="expression" dxfId="328" priority="95">
      <formula>AND($B63&lt;&gt;"",#REF!="")</formula>
    </cfRule>
    <cfRule type="expression" dxfId="327" priority="96">
      <formula>$B63=""</formula>
    </cfRule>
  </conditionalFormatting>
  <conditionalFormatting sqref="M15:M64">
    <cfRule type="expression" dxfId="326" priority="49">
      <formula>AND($B15&lt;&gt;"",$B16="")</formula>
    </cfRule>
    <cfRule type="expression" dxfId="325" priority="50">
      <formula>$B15=""</formula>
    </cfRule>
  </conditionalFormatting>
  <conditionalFormatting sqref="M57">
    <cfRule type="expression" dxfId="324" priority="47">
      <formula>AND($B57&lt;&gt;"",$B64="")</formula>
    </cfRule>
    <cfRule type="expression" dxfId="323" priority="48">
      <formula>$B57=""</formula>
    </cfRule>
  </conditionalFormatting>
  <conditionalFormatting sqref="M51">
    <cfRule type="expression" dxfId="322" priority="45">
      <formula>AND($B51&lt;&gt;"",$B64="")</formula>
    </cfRule>
    <cfRule type="expression" dxfId="321" priority="46">
      <formula>$B51=""</formula>
    </cfRule>
  </conditionalFormatting>
  <conditionalFormatting sqref="M44:M45">
    <cfRule type="expression" dxfId="320" priority="43">
      <formula>AND($B44&lt;&gt;"",$B63="")</formula>
    </cfRule>
    <cfRule type="expression" dxfId="319" priority="44">
      <formula>$B44=""</formula>
    </cfRule>
  </conditionalFormatting>
  <conditionalFormatting sqref="M64">
    <cfRule type="expression" dxfId="318" priority="41">
      <formula>AND($B64&lt;&gt;"",#REF!="")</formula>
    </cfRule>
    <cfRule type="expression" dxfId="317" priority="42">
      <formula>$B64=""</formula>
    </cfRule>
  </conditionalFormatting>
  <conditionalFormatting sqref="M62">
    <cfRule type="expression" dxfId="316" priority="39">
      <formula>AND($B62&lt;&gt;"",$B65="")</formula>
    </cfRule>
    <cfRule type="expression" dxfId="315" priority="40">
      <formula>$B62=""</formula>
    </cfRule>
  </conditionalFormatting>
  <conditionalFormatting sqref="M58:M61">
    <cfRule type="expression" dxfId="314" priority="37">
      <formula>AND($B58&lt;&gt;"",#REF!="")</formula>
    </cfRule>
    <cfRule type="expression" dxfId="313" priority="38">
      <formula>$B58=""</formula>
    </cfRule>
  </conditionalFormatting>
  <conditionalFormatting sqref="M56">
    <cfRule type="expression" dxfId="312" priority="35">
      <formula>AND($B56&lt;&gt;"",$B65="")</formula>
    </cfRule>
    <cfRule type="expression" dxfId="311" priority="36">
      <formula>$B56=""</formula>
    </cfRule>
  </conditionalFormatting>
  <conditionalFormatting sqref="M52:M55">
    <cfRule type="expression" dxfId="310" priority="33">
      <formula>AND($B52&lt;&gt;"",#REF!="")</formula>
    </cfRule>
    <cfRule type="expression" dxfId="309" priority="34">
      <formula>$B52=""</formula>
    </cfRule>
  </conditionalFormatting>
  <conditionalFormatting sqref="M46:M64">
    <cfRule type="expression" dxfId="308" priority="31">
      <formula>AND($B46&lt;&gt;"",#REF!="")</formula>
    </cfRule>
    <cfRule type="expression" dxfId="307" priority="32">
      <formula>$B46=""</formula>
    </cfRule>
  </conditionalFormatting>
  <conditionalFormatting sqref="M15:M64">
    <cfRule type="expression" dxfId="306" priority="29">
      <formula>AND($B15&lt;&gt;"",$B16="")</formula>
    </cfRule>
    <cfRule type="expression" dxfId="305" priority="30">
      <formula>$B15=""</formula>
    </cfRule>
  </conditionalFormatting>
  <conditionalFormatting sqref="M15:M64">
    <cfRule type="expression" dxfId="304" priority="27">
      <formula>AND($B15&lt;&gt;"",$B16="")</formula>
    </cfRule>
    <cfRule type="expression" dxfId="303" priority="28">
      <formula>$B15=""</formula>
    </cfRule>
  </conditionalFormatting>
  <conditionalFormatting sqref="M2:M11">
    <cfRule type="colorScale" priority="26">
      <colorScale>
        <cfvo type="min"/>
        <cfvo type="percentile" val="50"/>
        <cfvo type="max"/>
        <color rgb="FFF8696B"/>
        <color rgb="FFFFEB84"/>
        <color rgb="FF63BE7B"/>
      </colorScale>
    </cfRule>
  </conditionalFormatting>
  <conditionalFormatting sqref="X15:X64">
    <cfRule type="expression" dxfId="302" priority="4">
      <formula>AND($B15&lt;&gt;"",$B16="")</formula>
    </cfRule>
    <cfRule type="expression" dxfId="301" priority="5">
      <formula>$B15=""</formula>
    </cfRule>
  </conditionalFormatting>
  <conditionalFormatting sqref="X57">
    <cfRule type="expression" dxfId="300" priority="6">
      <formula>AND($B57&lt;&gt;"",$B64="")</formula>
    </cfRule>
    <cfRule type="expression" dxfId="299" priority="7">
      <formula>$B57=""</formula>
    </cfRule>
  </conditionalFormatting>
  <conditionalFormatting sqref="X51">
    <cfRule type="expression" dxfId="298" priority="8">
      <formula>AND($B51&lt;&gt;"",$B64="")</formula>
    </cfRule>
    <cfRule type="expression" dxfId="297" priority="9">
      <formula>$B51=""</formula>
    </cfRule>
  </conditionalFormatting>
  <conditionalFormatting sqref="X44:X45">
    <cfRule type="expression" dxfId="296" priority="10">
      <formula>AND($B44&lt;&gt;"",$B63="")</formula>
    </cfRule>
    <cfRule type="expression" dxfId="295" priority="11">
      <formula>$B44=""</formula>
    </cfRule>
  </conditionalFormatting>
  <conditionalFormatting sqref="X64">
    <cfRule type="expression" dxfId="294" priority="12">
      <formula>AND($B64&lt;&gt;"",#REF!="")</formula>
    </cfRule>
    <cfRule type="expression" dxfId="293" priority="13">
      <formula>$B64=""</formula>
    </cfRule>
  </conditionalFormatting>
  <conditionalFormatting sqref="X62">
    <cfRule type="expression" dxfId="292" priority="14">
      <formula>AND($B62&lt;&gt;"",$B65="")</formula>
    </cfRule>
    <cfRule type="expression" dxfId="291" priority="15">
      <formula>$B62=""</formula>
    </cfRule>
  </conditionalFormatting>
  <conditionalFormatting sqref="X58:X61">
    <cfRule type="expression" dxfId="290" priority="16">
      <formula>AND($B58&lt;&gt;"",#REF!="")</formula>
    </cfRule>
    <cfRule type="expression" dxfId="289" priority="17">
      <formula>$B58=""</formula>
    </cfRule>
  </conditionalFormatting>
  <conditionalFormatting sqref="X56">
    <cfRule type="expression" dxfId="288" priority="18">
      <formula>AND($B56&lt;&gt;"",$B65="")</formula>
    </cfRule>
    <cfRule type="expression" dxfId="287" priority="19">
      <formula>$B56=""</formula>
    </cfRule>
  </conditionalFormatting>
  <conditionalFormatting sqref="X52:X55">
    <cfRule type="expression" dxfId="286" priority="20">
      <formula>AND($B52&lt;&gt;"",#REF!="")</formula>
    </cfRule>
    <cfRule type="expression" dxfId="285" priority="21">
      <formula>$B52=""</formula>
    </cfRule>
  </conditionalFormatting>
  <conditionalFormatting sqref="X46:X64">
    <cfRule type="expression" dxfId="284" priority="22">
      <formula>AND($B46&lt;&gt;"",#REF!="")</formula>
    </cfRule>
    <cfRule type="expression" dxfId="283" priority="23">
      <formula>$B46=""</formula>
    </cfRule>
  </conditionalFormatting>
  <conditionalFormatting sqref="X63:X64">
    <cfRule type="expression" dxfId="282" priority="24">
      <formula>AND($B63&lt;&gt;"",#REF!="")</formula>
    </cfRule>
    <cfRule type="expression" dxfId="281" priority="25">
      <formula>$B63=""</formula>
    </cfRule>
  </conditionalFormatting>
  <conditionalFormatting sqref="F2:F11">
    <cfRule type="colorScale" priority="3">
      <colorScale>
        <cfvo type="min"/>
        <cfvo type="percentile" val="50"/>
        <cfvo type="max"/>
        <color rgb="FFF8696B"/>
        <color rgb="FFFFEB84"/>
        <color rgb="FF63BE7B"/>
      </colorScale>
    </cfRule>
  </conditionalFormatting>
  <conditionalFormatting sqref="B53:X62">
    <cfRule type="expression" dxfId="280" priority="97">
      <formula>AND($B53&lt;&gt;"",#REF!="")</formula>
    </cfRule>
    <cfRule type="expression" dxfId="279" priority="98">
      <formula>$B53=""</formula>
    </cfRule>
  </conditionalFormatting>
  <conditionalFormatting sqref="Y15:Y64">
    <cfRule type="expression" dxfId="278" priority="1">
      <formula>AND($B15&lt;&gt;"",$B16="")</formula>
    </cfRule>
    <cfRule type="expression" dxfId="277" priority="2">
      <formula>$B15=""</formula>
    </cfRule>
  </conditionalFormatting>
  <dataValidations count="3">
    <dataValidation type="list" allowBlank="1" showInputMessage="1" showErrorMessage="1" errorTitle="Petunjuk" error="Isikan dengan predikat_x000a_SB, B, C, dan D" sqref="F15:F64 M15:M64">
      <formula1>"SB,B,C,D"</formula1>
    </dataValidation>
    <dataValidation type="custom" allowBlank="1" showInputMessage="1" showErrorMessage="1" errorTitle="Petunjuk" error="Jangan menggunakan_x000a_nomor option yang sama" sqref="N15:W64">
      <formula1>COUNTIF($N15:$W15,N15)=1</formula1>
    </dataValidation>
    <dataValidation type="custom" allowBlank="1" showInputMessage="1" showErrorMessage="1" errorTitle="Petunjuk" error="Jangan menggunakan_x000a_nomor option yang sama" sqref="G15:K64">
      <formula1>COUNTIF($G15:$K15,G15)=1</formula1>
    </dataValidation>
  </dataValidations>
  <pageMargins left="0.7" right="0.7" top="0.75" bottom="0.75" header="0.3" footer="0.3"/>
  <pageSetup paperSize="9" orientation="portrait" horizontalDpi="4294967293"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W75"/>
  <sheetViews>
    <sheetView showGridLines="0" showRowColHeaders="0" workbookViewId="0">
      <pane xSplit="5" ySplit="8" topLeftCell="F9" activePane="bottomRight" state="frozen"/>
      <selection activeCell="G68" sqref="G68:Y68"/>
      <selection pane="topRight" activeCell="G68" sqref="G68:Y68"/>
      <selection pane="bottomLeft" activeCell="G68" sqref="G68:Y68"/>
      <selection pane="bottomRight" activeCell="I12" sqref="I12"/>
    </sheetView>
  </sheetViews>
  <sheetFormatPr defaultColWidth="0" defaultRowHeight="15" zeroHeight="1"/>
  <cols>
    <col min="1" max="1" width="1.28515625" style="24" customWidth="1"/>
    <col min="2" max="2" width="3.85546875" style="24" customWidth="1"/>
    <col min="3" max="3" width="9.7109375" style="26" customWidth="1"/>
    <col min="4" max="4" width="25.7109375" style="24" customWidth="1"/>
    <col min="5" max="5" width="3.140625" style="24" customWidth="1"/>
    <col min="6" max="8" width="4.7109375" style="26" customWidth="1"/>
    <col min="9" max="9" width="13.140625" style="26" customWidth="1"/>
    <col min="10" max="10" width="3.85546875" style="26" customWidth="1"/>
    <col min="11" max="11" width="18.140625" style="26" customWidth="1"/>
    <col min="12" max="12" width="11.7109375" style="26" customWidth="1"/>
    <col min="13" max="13" width="3.85546875" style="26" customWidth="1"/>
    <col min="14" max="14" width="18.140625" style="26" customWidth="1"/>
    <col min="15" max="15" width="11.7109375" style="26" customWidth="1"/>
    <col min="16" max="16" width="3.85546875" style="26" customWidth="1"/>
    <col min="17" max="17" width="18.140625" style="24" customWidth="1"/>
    <col min="18" max="18" width="11.7109375" style="24" customWidth="1"/>
    <col min="19" max="19" width="3.85546875" style="24" customWidth="1"/>
    <col min="20" max="20" width="18.140625" style="24" customWidth="1"/>
    <col min="21" max="21" width="13.7109375" style="24" customWidth="1"/>
    <col min="22" max="22" width="1" style="37" customWidth="1"/>
    <col min="23" max="23" width="7.42578125" style="37" customWidth="1"/>
    <col min="24" max="16384" width="9.140625" style="37" hidden="1"/>
  </cols>
  <sheetData>
    <row r="1" spans="1:23" s="35" customFormat="1" ht="9.9499999999999993" hidden="1" customHeight="1">
      <c r="A1" s="52"/>
      <c r="B1" s="167">
        <v>1</v>
      </c>
      <c r="C1" s="303">
        <v>2</v>
      </c>
      <c r="D1" s="168">
        <v>3</v>
      </c>
      <c r="E1" s="303">
        <v>4</v>
      </c>
      <c r="F1" s="303">
        <v>5</v>
      </c>
      <c r="G1" s="168">
        <v>6</v>
      </c>
      <c r="H1" s="303">
        <v>7</v>
      </c>
      <c r="I1" s="303">
        <v>8</v>
      </c>
      <c r="J1" s="168">
        <v>9</v>
      </c>
      <c r="K1" s="303">
        <v>10</v>
      </c>
      <c r="L1" s="303">
        <v>11</v>
      </c>
      <c r="M1" s="168">
        <v>12</v>
      </c>
      <c r="N1" s="303">
        <v>13</v>
      </c>
      <c r="O1" s="303">
        <v>14</v>
      </c>
      <c r="P1" s="168">
        <v>15</v>
      </c>
      <c r="Q1" s="303">
        <v>16</v>
      </c>
      <c r="R1" s="303">
        <v>17</v>
      </c>
      <c r="S1" s="168">
        <v>18</v>
      </c>
      <c r="T1" s="303">
        <v>19</v>
      </c>
      <c r="U1" s="303">
        <v>20</v>
      </c>
    </row>
    <row r="2" spans="1:23" ht="5.0999999999999996" customHeight="1">
      <c r="A2" s="617"/>
      <c r="B2" s="601"/>
      <c r="C2" s="601"/>
      <c r="D2" s="602"/>
      <c r="E2" s="602"/>
      <c r="F2" s="208"/>
      <c r="G2" s="601"/>
      <c r="H2" s="601"/>
      <c r="I2" s="601"/>
      <c r="J2" s="601"/>
      <c r="K2" s="601"/>
      <c r="L2" s="601"/>
      <c r="M2" s="601"/>
      <c r="N2" s="601"/>
      <c r="O2" s="601"/>
      <c r="P2" s="601"/>
      <c r="Q2" s="602"/>
      <c r="R2" s="602"/>
      <c r="S2" s="602"/>
      <c r="T2" s="602"/>
      <c r="U2" s="602"/>
      <c r="V2" s="208"/>
      <c r="W2" s="208"/>
    </row>
    <row r="3" spans="1:23" s="48" customFormat="1" ht="20.25" customHeight="1">
      <c r="A3" s="605"/>
      <c r="B3" s="603" t="s">
        <v>278</v>
      </c>
      <c r="C3" s="604"/>
      <c r="D3" s="605"/>
      <c r="E3" s="605"/>
      <c r="F3" s="604"/>
      <c r="G3" s="604"/>
      <c r="H3" s="604"/>
      <c r="I3" s="604"/>
      <c r="J3" s="604"/>
      <c r="K3" s="604"/>
      <c r="L3" s="604"/>
      <c r="M3" s="604"/>
      <c r="N3" s="604"/>
      <c r="O3" s="604"/>
      <c r="P3" s="606"/>
      <c r="Q3" s="606"/>
      <c r="R3" s="605"/>
      <c r="S3" s="605"/>
      <c r="T3" s="605"/>
      <c r="U3" s="605"/>
      <c r="V3" s="607"/>
      <c r="W3" s="607"/>
    </row>
    <row r="4" spans="1:23">
      <c r="A4" s="617"/>
      <c r="B4" s="608" t="s">
        <v>65</v>
      </c>
      <c r="C4" s="609"/>
      <c r="D4" s="1865" t="str">
        <f>": "&amp;Data!$C$12</f>
        <v>: Sendi Laura Kee, S.Pd</v>
      </c>
      <c r="E4" s="1865"/>
      <c r="F4" s="609"/>
      <c r="G4" s="608"/>
      <c r="H4" s="609"/>
      <c r="I4" s="609"/>
      <c r="J4" s="609"/>
      <c r="K4" s="609"/>
      <c r="L4" s="609"/>
      <c r="M4" s="609"/>
      <c r="N4" s="609"/>
      <c r="O4" s="610"/>
      <c r="P4" s="611"/>
      <c r="Q4" s="208"/>
      <c r="R4" s="608"/>
      <c r="S4" s="612"/>
      <c r="T4" s="208"/>
      <c r="U4" s="208"/>
      <c r="V4" s="208"/>
      <c r="W4" s="208"/>
    </row>
    <row r="5" spans="1:23" hidden="1">
      <c r="A5" s="617"/>
      <c r="B5" s="613" t="s">
        <v>64</v>
      </c>
      <c r="C5" s="613"/>
      <c r="D5" s="608" t="str">
        <f>":  "&amp;Data!C10&amp;" / "&amp;Data!C11</f>
        <v>:  1 / 2022-2023</v>
      </c>
      <c r="E5" s="608"/>
      <c r="F5" s="613"/>
      <c r="G5" s="608"/>
      <c r="H5" s="613"/>
      <c r="I5" s="613"/>
      <c r="J5" s="614"/>
      <c r="K5" s="613"/>
      <c r="L5" s="613"/>
      <c r="M5" s="614"/>
      <c r="N5" s="613"/>
      <c r="O5" s="610"/>
      <c r="P5" s="614"/>
      <c r="Q5" s="613"/>
      <c r="R5" s="608"/>
      <c r="S5" s="615"/>
      <c r="T5" s="616"/>
      <c r="U5" s="208"/>
      <c r="V5" s="208"/>
      <c r="W5" s="208"/>
    </row>
    <row r="6" spans="1:23" ht="4.5" customHeight="1" thickBot="1">
      <c r="A6" s="618"/>
      <c r="B6" s="46"/>
      <c r="C6" s="46"/>
      <c r="D6" s="46"/>
      <c r="E6" s="46"/>
      <c r="F6" s="46"/>
      <c r="G6" s="46"/>
      <c r="H6" s="46"/>
      <c r="I6" s="46"/>
      <c r="J6" s="46"/>
      <c r="K6" s="46"/>
      <c r="L6" s="46"/>
      <c r="M6" s="46"/>
      <c r="N6" s="46"/>
      <c r="O6" s="46"/>
      <c r="P6" s="46"/>
      <c r="Q6" s="46"/>
      <c r="R6" s="46"/>
      <c r="S6" s="46"/>
      <c r="T6" s="46"/>
      <c r="U6" s="46"/>
      <c r="W6" s="208"/>
    </row>
    <row r="7" spans="1:23" ht="20.100000000000001" customHeight="1">
      <c r="A7" s="617"/>
      <c r="B7" s="1876" t="s">
        <v>0</v>
      </c>
      <c r="C7" s="1878" t="s">
        <v>78</v>
      </c>
      <c r="D7" s="1880" t="s">
        <v>2</v>
      </c>
      <c r="E7" s="1881" t="s">
        <v>26</v>
      </c>
      <c r="F7" s="1866" t="s">
        <v>73</v>
      </c>
      <c r="G7" s="1867"/>
      <c r="H7" s="1868"/>
      <c r="I7" s="1869" t="s">
        <v>201</v>
      </c>
      <c r="J7" s="1870"/>
      <c r="K7" s="1870"/>
      <c r="L7" s="1871" t="s">
        <v>202</v>
      </c>
      <c r="M7" s="1872"/>
      <c r="N7" s="1873"/>
      <c r="O7" s="1874" t="s">
        <v>203</v>
      </c>
      <c r="P7" s="1870"/>
      <c r="Q7" s="1875"/>
      <c r="R7" s="1871" t="s">
        <v>204</v>
      </c>
      <c r="S7" s="1872"/>
      <c r="T7" s="1885"/>
      <c r="U7" s="1883" t="s">
        <v>43</v>
      </c>
      <c r="W7" s="208"/>
    </row>
    <row r="8" spans="1:23" ht="15.75" thickBot="1">
      <c r="A8" s="617"/>
      <c r="B8" s="1877"/>
      <c r="C8" s="1879"/>
      <c r="D8" s="1879"/>
      <c r="E8" s="1882"/>
      <c r="F8" s="169" t="s">
        <v>74</v>
      </c>
      <c r="G8" s="170" t="s">
        <v>75</v>
      </c>
      <c r="H8" s="171" t="s">
        <v>58</v>
      </c>
      <c r="I8" s="172" t="s">
        <v>205</v>
      </c>
      <c r="J8" s="173" t="s">
        <v>16</v>
      </c>
      <c r="K8" s="174" t="s">
        <v>14</v>
      </c>
      <c r="L8" s="1336" t="s">
        <v>205</v>
      </c>
      <c r="M8" s="1337" t="s">
        <v>16</v>
      </c>
      <c r="N8" s="1338" t="s">
        <v>14</v>
      </c>
      <c r="O8" s="172" t="s">
        <v>205</v>
      </c>
      <c r="P8" s="173" t="s">
        <v>16</v>
      </c>
      <c r="Q8" s="174" t="s">
        <v>14</v>
      </c>
      <c r="R8" s="1336" t="s">
        <v>205</v>
      </c>
      <c r="S8" s="1337" t="s">
        <v>16</v>
      </c>
      <c r="T8" s="1339" t="s">
        <v>14</v>
      </c>
      <c r="U8" s="1884"/>
      <c r="W8" s="208"/>
    </row>
    <row r="9" spans="1:23" s="48" customFormat="1" ht="24" customHeight="1">
      <c r="A9" s="605"/>
      <c r="B9" s="175">
        <v>1</v>
      </c>
      <c r="C9" s="176">
        <f>IF(Data!F5="","",Data!F5)</f>
        <v>0</v>
      </c>
      <c r="D9" s="177" t="str">
        <f>IF(Data!H5="","",Data!H5)</f>
        <v>Aldo Alfinus Pakae</v>
      </c>
      <c r="E9" s="178" t="str">
        <f>IF(Data!I5="","",Data!I5)</f>
        <v>L</v>
      </c>
      <c r="F9" s="179">
        <v>5</v>
      </c>
      <c r="G9" s="180">
        <v>1</v>
      </c>
      <c r="H9" s="181">
        <v>2</v>
      </c>
      <c r="I9" s="182" t="s">
        <v>272</v>
      </c>
      <c r="J9" s="183" t="s">
        <v>62</v>
      </c>
      <c r="K9" s="184" t="s">
        <v>198</v>
      </c>
      <c r="L9" s="185" t="s">
        <v>77</v>
      </c>
      <c r="M9" s="186" t="s">
        <v>62</v>
      </c>
      <c r="N9" s="187"/>
      <c r="O9" s="182" t="s">
        <v>76</v>
      </c>
      <c r="P9" s="183" t="s">
        <v>59</v>
      </c>
      <c r="Q9" s="184" t="s">
        <v>162</v>
      </c>
      <c r="R9" s="188"/>
      <c r="S9" s="189"/>
      <c r="T9" s="190"/>
      <c r="U9" s="49"/>
      <c r="W9" s="607"/>
    </row>
    <row r="10" spans="1:23" s="48" customFormat="1" ht="24" customHeight="1">
      <c r="A10" s="605"/>
      <c r="B10" s="191">
        <f>IF(D10="","",B9+1)</f>
        <v>2</v>
      </c>
      <c r="C10" s="192">
        <f>IF(Data!F6="","",Data!F6)</f>
        <v>0</v>
      </c>
      <c r="D10" s="193" t="str">
        <f>IF(Data!H6="","",Data!H6)</f>
        <v>Aprianus Bira</v>
      </c>
      <c r="E10" s="194" t="str">
        <f>IF(Data!I6="","",Data!I6)</f>
        <v>L</v>
      </c>
      <c r="F10" s="195">
        <v>4</v>
      </c>
      <c r="G10" s="196">
        <v>3</v>
      </c>
      <c r="H10" s="197">
        <v>2</v>
      </c>
      <c r="I10" s="182" t="s">
        <v>272</v>
      </c>
      <c r="J10" s="198" t="s">
        <v>59</v>
      </c>
      <c r="K10" s="199" t="s">
        <v>160</v>
      </c>
      <c r="L10" s="200" t="s">
        <v>79</v>
      </c>
      <c r="M10" s="201" t="s">
        <v>59</v>
      </c>
      <c r="N10" s="202" t="s">
        <v>161</v>
      </c>
      <c r="O10" s="203" t="s">
        <v>80</v>
      </c>
      <c r="P10" s="198" t="s">
        <v>62</v>
      </c>
      <c r="Q10" s="199" t="s">
        <v>163</v>
      </c>
      <c r="R10" s="204" t="s">
        <v>81</v>
      </c>
      <c r="S10" s="205" t="s">
        <v>59</v>
      </c>
      <c r="T10" s="206" t="s">
        <v>82</v>
      </c>
      <c r="U10" s="50"/>
      <c r="W10" s="607"/>
    </row>
    <row r="11" spans="1:23" s="48" customFormat="1" ht="24" customHeight="1">
      <c r="A11" s="605"/>
      <c r="B11" s="191">
        <f t="shared" ref="B11:B37" si="0">IF(D11="","",B10+1)</f>
        <v>3</v>
      </c>
      <c r="C11" s="192">
        <f>IF(Data!F7="","",Data!F7)</f>
        <v>0</v>
      </c>
      <c r="D11" s="193" t="str">
        <f>IF(Data!H7="","",Data!H7)</f>
        <v>Asri Aldina Baksuni</v>
      </c>
      <c r="E11" s="194" t="str">
        <f>IF(Data!I7="","",Data!I7)</f>
        <v>P</v>
      </c>
      <c r="F11" s="195"/>
      <c r="G11" s="196"/>
      <c r="H11" s="197"/>
      <c r="I11" s="182" t="s">
        <v>272</v>
      </c>
      <c r="J11" s="198"/>
      <c r="K11" s="199"/>
      <c r="L11" s="200"/>
      <c r="M11" s="201"/>
      <c r="N11" s="202"/>
      <c r="O11" s="203"/>
      <c r="P11" s="198"/>
      <c r="Q11" s="199"/>
      <c r="R11" s="204"/>
      <c r="S11" s="205"/>
      <c r="T11" s="206"/>
      <c r="U11" s="51"/>
      <c r="W11" s="607"/>
    </row>
    <row r="12" spans="1:23" s="48" customFormat="1" ht="24" customHeight="1">
      <c r="A12" s="605"/>
      <c r="B12" s="191">
        <f t="shared" si="0"/>
        <v>4</v>
      </c>
      <c r="C12" s="192">
        <f>IF(Data!F8="","",Data!F8)</f>
        <v>0</v>
      </c>
      <c r="D12" s="193" t="str">
        <f>IF(Data!H8="","",Data!H8)</f>
        <v>Asti Welmince Welkis</v>
      </c>
      <c r="E12" s="194" t="str">
        <f>IF(Data!I8="","",Data!I8)</f>
        <v>P</v>
      </c>
      <c r="F12" s="195"/>
      <c r="G12" s="196"/>
      <c r="H12" s="197"/>
      <c r="I12" s="182" t="s">
        <v>272</v>
      </c>
      <c r="J12" s="198" t="s">
        <v>59</v>
      </c>
      <c r="K12" s="199"/>
      <c r="L12" s="200"/>
      <c r="M12" s="201"/>
      <c r="N12" s="202"/>
      <c r="O12" s="203"/>
      <c r="P12" s="198"/>
      <c r="Q12" s="199"/>
      <c r="R12" s="204"/>
      <c r="S12" s="205"/>
      <c r="T12" s="206"/>
      <c r="U12" s="51"/>
      <c r="W12" s="607"/>
    </row>
    <row r="13" spans="1:23" s="48" customFormat="1" ht="24" customHeight="1">
      <c r="A13" s="605"/>
      <c r="B13" s="191">
        <f t="shared" si="0"/>
        <v>5</v>
      </c>
      <c r="C13" s="192">
        <f>IF(Data!F9="","",Data!F9)</f>
        <v>0</v>
      </c>
      <c r="D13" s="193" t="str">
        <f>IF(Data!H9="","",Data!H9)</f>
        <v>Aulya Noviyanti Mbura</v>
      </c>
      <c r="E13" s="194" t="str">
        <f>IF(Data!I9="","",Data!I9)</f>
        <v>P</v>
      </c>
      <c r="F13" s="195"/>
      <c r="G13" s="196"/>
      <c r="H13" s="197"/>
      <c r="I13" s="182" t="s">
        <v>272</v>
      </c>
      <c r="J13" s="198" t="s">
        <v>59</v>
      </c>
      <c r="K13" s="199"/>
      <c r="L13" s="200"/>
      <c r="M13" s="201"/>
      <c r="N13" s="202"/>
      <c r="O13" s="203"/>
      <c r="P13" s="198"/>
      <c r="Q13" s="199"/>
      <c r="R13" s="204"/>
      <c r="S13" s="205"/>
      <c r="T13" s="206"/>
      <c r="U13" s="51"/>
      <c r="W13" s="607"/>
    </row>
    <row r="14" spans="1:23" s="48" customFormat="1" ht="24" customHeight="1">
      <c r="A14" s="605"/>
      <c r="B14" s="191">
        <f t="shared" si="0"/>
        <v>6</v>
      </c>
      <c r="C14" s="192">
        <f>IF(Data!F10="","",Data!F10)</f>
        <v>0</v>
      </c>
      <c r="D14" s="193" t="str">
        <f>IF(Data!H10="","",Data!H10)</f>
        <v>Ayu Oliberta Ranboki</v>
      </c>
      <c r="E14" s="194" t="str">
        <f>IF(Data!I10="","",Data!I10)</f>
        <v>P</v>
      </c>
      <c r="F14" s="195"/>
      <c r="G14" s="196"/>
      <c r="H14" s="197"/>
      <c r="I14" s="182" t="s">
        <v>272</v>
      </c>
      <c r="J14" s="198"/>
      <c r="K14" s="199"/>
      <c r="L14" s="200"/>
      <c r="M14" s="201"/>
      <c r="N14" s="202"/>
      <c r="O14" s="203"/>
      <c r="P14" s="198"/>
      <c r="Q14" s="199"/>
      <c r="R14" s="204"/>
      <c r="S14" s="205"/>
      <c r="T14" s="206"/>
      <c r="U14" s="51"/>
      <c r="W14" s="607"/>
    </row>
    <row r="15" spans="1:23" s="48" customFormat="1" ht="24" customHeight="1">
      <c r="A15" s="605"/>
      <c r="B15" s="191">
        <f t="shared" si="0"/>
        <v>7</v>
      </c>
      <c r="C15" s="192">
        <f>IF(Data!F11="","",Data!F11)</f>
        <v>0</v>
      </c>
      <c r="D15" s="193" t="str">
        <f>IF(Data!H11="","",Data!H11)</f>
        <v>Benediktus Faot</v>
      </c>
      <c r="E15" s="194" t="str">
        <f>IF(Data!I11="","",Data!I11)</f>
        <v>L</v>
      </c>
      <c r="F15" s="195"/>
      <c r="G15" s="196"/>
      <c r="H15" s="197"/>
      <c r="I15" s="182" t="s">
        <v>272</v>
      </c>
      <c r="J15" s="198"/>
      <c r="K15" s="199"/>
      <c r="L15" s="200"/>
      <c r="M15" s="201"/>
      <c r="N15" s="202"/>
      <c r="O15" s="203"/>
      <c r="P15" s="198"/>
      <c r="Q15" s="199"/>
      <c r="R15" s="204"/>
      <c r="S15" s="205"/>
      <c r="T15" s="206"/>
      <c r="U15" s="51"/>
      <c r="W15" s="607"/>
    </row>
    <row r="16" spans="1:23" s="48" customFormat="1" ht="24" customHeight="1">
      <c r="A16" s="605"/>
      <c r="B16" s="191">
        <f t="shared" si="0"/>
        <v>8</v>
      </c>
      <c r="C16" s="192">
        <f>IF(Data!F12="","",Data!F12)</f>
        <v>0</v>
      </c>
      <c r="D16" s="193" t="str">
        <f>IF(Data!H12="","",Data!H12)</f>
        <v>Betron Imanuel Kuni</v>
      </c>
      <c r="E16" s="194" t="str">
        <f>IF(Data!I12="","",Data!I12)</f>
        <v>L</v>
      </c>
      <c r="F16" s="195"/>
      <c r="G16" s="196"/>
      <c r="H16" s="197"/>
      <c r="I16" s="182" t="s">
        <v>272</v>
      </c>
      <c r="J16" s="198"/>
      <c r="K16" s="199"/>
      <c r="L16" s="200"/>
      <c r="M16" s="201"/>
      <c r="N16" s="202"/>
      <c r="O16" s="203"/>
      <c r="P16" s="198"/>
      <c r="Q16" s="199"/>
      <c r="R16" s="204"/>
      <c r="S16" s="205"/>
      <c r="T16" s="206"/>
      <c r="U16" s="51"/>
      <c r="W16" s="607"/>
    </row>
    <row r="17" spans="1:23" s="48" customFormat="1" ht="24" customHeight="1">
      <c r="A17" s="607"/>
      <c r="B17" s="191">
        <f t="shared" si="0"/>
        <v>9</v>
      </c>
      <c r="C17" s="192">
        <f>IF(Data!F13="","",Data!F13)</f>
        <v>0</v>
      </c>
      <c r="D17" s="193" t="str">
        <f>IF(Data!H13="","",Data!H13)</f>
        <v>Demrianus Ton</v>
      </c>
      <c r="E17" s="194" t="str">
        <f>IF(Data!I13="","",Data!I13)</f>
        <v>L</v>
      </c>
      <c r="F17" s="195"/>
      <c r="G17" s="196"/>
      <c r="H17" s="197"/>
      <c r="I17" s="182" t="s">
        <v>272</v>
      </c>
      <c r="J17" s="198"/>
      <c r="K17" s="199"/>
      <c r="L17" s="200"/>
      <c r="M17" s="201"/>
      <c r="N17" s="202"/>
      <c r="O17" s="203"/>
      <c r="P17" s="198"/>
      <c r="Q17" s="199"/>
      <c r="R17" s="204"/>
      <c r="S17" s="205"/>
      <c r="T17" s="206"/>
      <c r="U17" s="51"/>
      <c r="W17" s="607"/>
    </row>
    <row r="18" spans="1:23" s="48" customFormat="1" ht="24" customHeight="1">
      <c r="A18" s="607"/>
      <c r="B18" s="191">
        <f t="shared" si="0"/>
        <v>10</v>
      </c>
      <c r="C18" s="192">
        <f>IF(Data!F14="","",Data!F14)</f>
        <v>0</v>
      </c>
      <c r="D18" s="193" t="str">
        <f>IF(Data!H14="","",Data!H14)</f>
        <v>Desti Manggoa</v>
      </c>
      <c r="E18" s="194" t="str">
        <f>IF(Data!I14="","",Data!I14)</f>
        <v>P</v>
      </c>
      <c r="F18" s="195"/>
      <c r="G18" s="196"/>
      <c r="H18" s="197"/>
      <c r="I18" s="182" t="s">
        <v>272</v>
      </c>
      <c r="J18" s="198"/>
      <c r="K18" s="199"/>
      <c r="L18" s="200"/>
      <c r="M18" s="201"/>
      <c r="N18" s="202"/>
      <c r="O18" s="203"/>
      <c r="P18" s="198"/>
      <c r="Q18" s="199"/>
      <c r="R18" s="204"/>
      <c r="S18" s="205"/>
      <c r="T18" s="206"/>
      <c r="U18" s="51"/>
      <c r="W18" s="607"/>
    </row>
    <row r="19" spans="1:23" s="48" customFormat="1" ht="24" customHeight="1">
      <c r="A19" s="607"/>
      <c r="B19" s="191">
        <f t="shared" si="0"/>
        <v>11</v>
      </c>
      <c r="C19" s="192">
        <f>IF(Data!F15="","",Data!F15)</f>
        <v>0</v>
      </c>
      <c r="D19" s="193" t="str">
        <f>IF(Data!H15="","",Data!H15)</f>
        <v>Dorkas Meliana Talita Kesnay</v>
      </c>
      <c r="E19" s="194" t="str">
        <f>IF(Data!I15="","",Data!I15)</f>
        <v>P</v>
      </c>
      <c r="F19" s="195"/>
      <c r="G19" s="196"/>
      <c r="H19" s="197"/>
      <c r="I19" s="182" t="s">
        <v>272</v>
      </c>
      <c r="J19" s="198"/>
      <c r="K19" s="199"/>
      <c r="L19" s="200"/>
      <c r="M19" s="201"/>
      <c r="N19" s="202"/>
      <c r="O19" s="203"/>
      <c r="P19" s="198"/>
      <c r="Q19" s="199"/>
      <c r="R19" s="204"/>
      <c r="S19" s="205"/>
      <c r="T19" s="206"/>
      <c r="U19" s="51"/>
      <c r="W19" s="607"/>
    </row>
    <row r="20" spans="1:23" s="48" customFormat="1" ht="24" customHeight="1">
      <c r="A20" s="607"/>
      <c r="B20" s="191">
        <f t="shared" si="0"/>
        <v>12</v>
      </c>
      <c r="C20" s="192">
        <f>IF(Data!F16="","",Data!F16)</f>
        <v>0</v>
      </c>
      <c r="D20" s="193" t="str">
        <f>IF(Data!H16="","",Data!H16)</f>
        <v>Erto Seprianto Leukune</v>
      </c>
      <c r="E20" s="194" t="str">
        <f>IF(Data!I16="","",Data!I16)</f>
        <v>L</v>
      </c>
      <c r="F20" s="195"/>
      <c r="G20" s="196"/>
      <c r="H20" s="197"/>
      <c r="I20" s="182" t="s">
        <v>272</v>
      </c>
      <c r="J20" s="198"/>
      <c r="K20" s="199"/>
      <c r="L20" s="200"/>
      <c r="M20" s="201"/>
      <c r="N20" s="202"/>
      <c r="O20" s="203"/>
      <c r="P20" s="198"/>
      <c r="Q20" s="199"/>
      <c r="R20" s="204"/>
      <c r="S20" s="205"/>
      <c r="T20" s="206"/>
      <c r="U20" s="51"/>
      <c r="W20" s="607"/>
    </row>
    <row r="21" spans="1:23" s="48" customFormat="1" ht="24" customHeight="1">
      <c r="A21" s="607"/>
      <c r="B21" s="191">
        <f t="shared" si="0"/>
        <v>13</v>
      </c>
      <c r="C21" s="192">
        <f>IF(Data!F17="","",Data!F17)</f>
        <v>0</v>
      </c>
      <c r="D21" s="193" t="str">
        <f>IF(Data!H17="","",Data!H17)</f>
        <v>Feli Tipnoni</v>
      </c>
      <c r="E21" s="194" t="str">
        <f>IF(Data!I17="","",Data!I17)</f>
        <v>P</v>
      </c>
      <c r="F21" s="195"/>
      <c r="G21" s="196"/>
      <c r="H21" s="197"/>
      <c r="I21" s="182" t="s">
        <v>272</v>
      </c>
      <c r="J21" s="198"/>
      <c r="K21" s="199"/>
      <c r="L21" s="200"/>
      <c r="M21" s="201"/>
      <c r="N21" s="202"/>
      <c r="O21" s="203"/>
      <c r="P21" s="198"/>
      <c r="Q21" s="199"/>
      <c r="R21" s="204"/>
      <c r="S21" s="205"/>
      <c r="T21" s="206"/>
      <c r="U21" s="51"/>
      <c r="W21" s="607"/>
    </row>
    <row r="22" spans="1:23" s="48" customFormat="1" ht="24" customHeight="1">
      <c r="A22" s="607"/>
      <c r="B22" s="191">
        <f t="shared" si="0"/>
        <v>14</v>
      </c>
      <c r="C22" s="192">
        <f>IF(Data!F18="","",Data!F18)</f>
        <v>0</v>
      </c>
      <c r="D22" s="193" t="str">
        <f>IF(Data!H18="","",Data!H18)</f>
        <v xml:space="preserve">Ferdinandes Sakbana </v>
      </c>
      <c r="E22" s="194" t="str">
        <f>IF(Data!I18="","",Data!I18)</f>
        <v>L</v>
      </c>
      <c r="F22" s="195"/>
      <c r="G22" s="196"/>
      <c r="H22" s="197"/>
      <c r="I22" s="182" t="s">
        <v>272</v>
      </c>
      <c r="J22" s="198"/>
      <c r="K22" s="199"/>
      <c r="L22" s="200"/>
      <c r="M22" s="201"/>
      <c r="N22" s="202"/>
      <c r="O22" s="203"/>
      <c r="P22" s="198"/>
      <c r="Q22" s="199"/>
      <c r="R22" s="204"/>
      <c r="S22" s="205"/>
      <c r="T22" s="206"/>
      <c r="U22" s="51"/>
      <c r="W22" s="607"/>
    </row>
    <row r="23" spans="1:23" s="48" customFormat="1" ht="24" customHeight="1">
      <c r="A23" s="607"/>
      <c r="B23" s="191">
        <f t="shared" si="0"/>
        <v>15</v>
      </c>
      <c r="C23" s="192">
        <f>IF(Data!F19="","",Data!F19)</f>
        <v>0</v>
      </c>
      <c r="D23" s="193" t="str">
        <f>IF(Data!H19="","",Data!H19)</f>
        <v>Fitri Novani Nitbani</v>
      </c>
      <c r="E23" s="194" t="str">
        <f>IF(Data!I19="","",Data!I19)</f>
        <v>P</v>
      </c>
      <c r="F23" s="195"/>
      <c r="G23" s="196"/>
      <c r="H23" s="197"/>
      <c r="I23" s="182" t="s">
        <v>272</v>
      </c>
      <c r="J23" s="198"/>
      <c r="K23" s="199"/>
      <c r="L23" s="200"/>
      <c r="M23" s="201"/>
      <c r="N23" s="202"/>
      <c r="O23" s="203"/>
      <c r="P23" s="198"/>
      <c r="Q23" s="199"/>
      <c r="R23" s="204"/>
      <c r="S23" s="205"/>
      <c r="T23" s="206"/>
      <c r="U23" s="51"/>
      <c r="W23" s="607"/>
    </row>
    <row r="24" spans="1:23" s="48" customFormat="1" ht="24" customHeight="1">
      <c r="A24" s="607"/>
      <c r="B24" s="191">
        <f t="shared" si="0"/>
        <v>16</v>
      </c>
      <c r="C24" s="192">
        <f>IF(Data!F20="","",Data!F20)</f>
        <v>0</v>
      </c>
      <c r="D24" s="193" t="str">
        <f>IF(Data!H20="","",Data!H20)</f>
        <v>Helsina Benu</v>
      </c>
      <c r="E24" s="194" t="str">
        <f>IF(Data!I20="","",Data!I20)</f>
        <v>P</v>
      </c>
      <c r="F24" s="195"/>
      <c r="G24" s="196"/>
      <c r="H24" s="197"/>
      <c r="I24" s="182" t="s">
        <v>272</v>
      </c>
      <c r="J24" s="198"/>
      <c r="K24" s="199"/>
      <c r="L24" s="200"/>
      <c r="M24" s="201"/>
      <c r="N24" s="202"/>
      <c r="O24" s="203"/>
      <c r="P24" s="198"/>
      <c r="Q24" s="199"/>
      <c r="R24" s="204"/>
      <c r="S24" s="205"/>
      <c r="T24" s="206"/>
      <c r="U24" s="51"/>
      <c r="W24" s="607"/>
    </row>
    <row r="25" spans="1:23" s="48" customFormat="1" ht="24" customHeight="1">
      <c r="A25" s="607"/>
      <c r="B25" s="191">
        <f t="shared" si="0"/>
        <v>17</v>
      </c>
      <c r="C25" s="192">
        <f>IF(Data!F21="","",Data!F21)</f>
        <v>0</v>
      </c>
      <c r="D25" s="193" t="str">
        <f>IF(Data!H21="","",Data!H21)</f>
        <v xml:space="preserve">Hezron Nubatonis </v>
      </c>
      <c r="E25" s="194" t="str">
        <f>IF(Data!I21="","",Data!I21)</f>
        <v>L</v>
      </c>
      <c r="F25" s="195"/>
      <c r="G25" s="196"/>
      <c r="H25" s="197"/>
      <c r="I25" s="182" t="s">
        <v>272</v>
      </c>
      <c r="J25" s="198"/>
      <c r="K25" s="199"/>
      <c r="L25" s="200"/>
      <c r="M25" s="201"/>
      <c r="N25" s="202"/>
      <c r="O25" s="203"/>
      <c r="P25" s="198"/>
      <c r="Q25" s="199"/>
      <c r="R25" s="204"/>
      <c r="S25" s="205"/>
      <c r="T25" s="206"/>
      <c r="U25" s="51"/>
      <c r="W25" s="607"/>
    </row>
    <row r="26" spans="1:23" s="48" customFormat="1" ht="24" customHeight="1">
      <c r="A26" s="607"/>
      <c r="B26" s="191">
        <f t="shared" si="0"/>
        <v>18</v>
      </c>
      <c r="C26" s="192">
        <f>IF(Data!F22="","",Data!F22)</f>
        <v>0</v>
      </c>
      <c r="D26" s="193" t="str">
        <f>IF(Data!H22="","",Data!H22)</f>
        <v>Jelita Anita Boimau</v>
      </c>
      <c r="E26" s="194" t="str">
        <f>IF(Data!I22="","",Data!I22)</f>
        <v>P</v>
      </c>
      <c r="F26" s="195"/>
      <c r="G26" s="196"/>
      <c r="H26" s="197"/>
      <c r="I26" s="182" t="s">
        <v>272</v>
      </c>
      <c r="J26" s="198"/>
      <c r="K26" s="199"/>
      <c r="L26" s="200"/>
      <c r="M26" s="201"/>
      <c r="N26" s="202"/>
      <c r="O26" s="203"/>
      <c r="P26" s="198"/>
      <c r="Q26" s="199"/>
      <c r="R26" s="204"/>
      <c r="S26" s="205"/>
      <c r="T26" s="206"/>
      <c r="U26" s="51"/>
      <c r="W26" s="607"/>
    </row>
    <row r="27" spans="1:23" s="48" customFormat="1" ht="24" customHeight="1">
      <c r="A27" s="607"/>
      <c r="B27" s="191">
        <f t="shared" si="0"/>
        <v>19</v>
      </c>
      <c r="C27" s="192">
        <f>IF(Data!F23="","",Data!F23)</f>
        <v>0</v>
      </c>
      <c r="D27" s="193" t="str">
        <f>IF(Data!H23="","",Data!H23)</f>
        <v>Jidon Nubatonis</v>
      </c>
      <c r="E27" s="194" t="str">
        <f>IF(Data!I23="","",Data!I23)</f>
        <v>L</v>
      </c>
      <c r="F27" s="195"/>
      <c r="G27" s="196"/>
      <c r="H27" s="197"/>
      <c r="I27" s="182" t="s">
        <v>272</v>
      </c>
      <c r="J27" s="198"/>
      <c r="K27" s="199"/>
      <c r="L27" s="200"/>
      <c r="M27" s="201"/>
      <c r="N27" s="202"/>
      <c r="O27" s="203"/>
      <c r="P27" s="198"/>
      <c r="Q27" s="199"/>
      <c r="R27" s="204"/>
      <c r="S27" s="205"/>
      <c r="T27" s="206"/>
      <c r="U27" s="51"/>
      <c r="W27" s="607"/>
    </row>
    <row r="28" spans="1:23" s="48" customFormat="1" ht="24" customHeight="1">
      <c r="A28" s="607"/>
      <c r="B28" s="191">
        <f t="shared" si="0"/>
        <v>20</v>
      </c>
      <c r="C28" s="192">
        <f>IF(Data!F24="","",Data!F24)</f>
        <v>0</v>
      </c>
      <c r="D28" s="193" t="str">
        <f>IF(Data!H24="","",Data!H24)</f>
        <v>Jitro Andro Baran</v>
      </c>
      <c r="E28" s="194" t="str">
        <f>IF(Data!I24="","",Data!I24)</f>
        <v>L</v>
      </c>
      <c r="F28" s="195"/>
      <c r="G28" s="196"/>
      <c r="H28" s="197"/>
      <c r="I28" s="182" t="s">
        <v>272</v>
      </c>
      <c r="J28" s="198"/>
      <c r="K28" s="199"/>
      <c r="L28" s="200"/>
      <c r="M28" s="201"/>
      <c r="N28" s="202"/>
      <c r="O28" s="203"/>
      <c r="P28" s="198"/>
      <c r="Q28" s="199"/>
      <c r="R28" s="204"/>
      <c r="S28" s="205"/>
      <c r="T28" s="206"/>
      <c r="U28" s="51"/>
      <c r="W28" s="607"/>
    </row>
    <row r="29" spans="1:23" s="48" customFormat="1" ht="24" customHeight="1">
      <c r="A29" s="607"/>
      <c r="B29" s="191">
        <f t="shared" si="0"/>
        <v>21</v>
      </c>
      <c r="C29" s="192">
        <f>IF(Data!F25="","",Data!F25)</f>
        <v>0</v>
      </c>
      <c r="D29" s="193" t="str">
        <f>IF(Data!H25="","",Data!H25)</f>
        <v>Juan Manuel Boys</v>
      </c>
      <c r="E29" s="194" t="str">
        <f>IF(Data!I25="","",Data!I25)</f>
        <v>L</v>
      </c>
      <c r="F29" s="195"/>
      <c r="G29" s="196"/>
      <c r="H29" s="197"/>
      <c r="I29" s="182" t="s">
        <v>272</v>
      </c>
      <c r="J29" s="198"/>
      <c r="K29" s="199"/>
      <c r="L29" s="200"/>
      <c r="M29" s="201"/>
      <c r="N29" s="202"/>
      <c r="O29" s="203"/>
      <c r="P29" s="198"/>
      <c r="Q29" s="199"/>
      <c r="R29" s="204"/>
      <c r="S29" s="205"/>
      <c r="T29" s="206"/>
      <c r="U29" s="51"/>
      <c r="W29" s="607"/>
    </row>
    <row r="30" spans="1:23" s="48" customFormat="1" ht="24" customHeight="1">
      <c r="A30" s="607"/>
      <c r="B30" s="191">
        <f t="shared" si="0"/>
        <v>22</v>
      </c>
      <c r="C30" s="192">
        <f>IF(Data!F26="","",Data!F26)</f>
        <v>0</v>
      </c>
      <c r="D30" s="193" t="str">
        <f>IF(Data!H26="","",Data!H26)</f>
        <v>Krisyanti Ernela Kesnay</v>
      </c>
      <c r="E30" s="194" t="str">
        <f>IF(Data!I26="","",Data!I26)</f>
        <v>P</v>
      </c>
      <c r="F30" s="195"/>
      <c r="G30" s="196"/>
      <c r="H30" s="197"/>
      <c r="I30" s="182" t="s">
        <v>272</v>
      </c>
      <c r="J30" s="198"/>
      <c r="K30" s="199"/>
      <c r="L30" s="200"/>
      <c r="M30" s="201"/>
      <c r="N30" s="202"/>
      <c r="O30" s="203"/>
      <c r="P30" s="198"/>
      <c r="Q30" s="199"/>
      <c r="R30" s="204"/>
      <c r="S30" s="205"/>
      <c r="T30" s="206"/>
      <c r="U30" s="51"/>
      <c r="W30" s="607"/>
    </row>
    <row r="31" spans="1:23" s="48" customFormat="1" ht="24" customHeight="1">
      <c r="A31" s="607"/>
      <c r="B31" s="191">
        <f t="shared" si="0"/>
        <v>23</v>
      </c>
      <c r="C31" s="192">
        <f>IF(Data!F27="","",Data!F27)</f>
        <v>0</v>
      </c>
      <c r="D31" s="193" t="str">
        <f>IF(Data!H27="","",Data!H27)</f>
        <v>Leni Aknesia Knoan</v>
      </c>
      <c r="E31" s="194" t="str">
        <f>IF(Data!I27="","",Data!I27)</f>
        <v>P</v>
      </c>
      <c r="F31" s="195"/>
      <c r="G31" s="196"/>
      <c r="H31" s="197"/>
      <c r="I31" s="182" t="s">
        <v>272</v>
      </c>
      <c r="J31" s="198"/>
      <c r="K31" s="199"/>
      <c r="L31" s="200"/>
      <c r="M31" s="201"/>
      <c r="N31" s="202"/>
      <c r="O31" s="203"/>
      <c r="P31" s="198"/>
      <c r="Q31" s="199"/>
      <c r="R31" s="204"/>
      <c r="S31" s="205"/>
      <c r="T31" s="206"/>
      <c r="U31" s="51"/>
      <c r="W31" s="607"/>
    </row>
    <row r="32" spans="1:23" s="48" customFormat="1" ht="24" customHeight="1">
      <c r="A32" s="607"/>
      <c r="B32" s="191">
        <f t="shared" si="0"/>
        <v>24</v>
      </c>
      <c r="C32" s="192">
        <f>IF(Data!F28="","",Data!F28)</f>
        <v>0</v>
      </c>
      <c r="D32" s="193" t="str">
        <f>IF(Data!H28="","",Data!H28)</f>
        <v>Marlon Dioninsius Lalus</v>
      </c>
      <c r="E32" s="194" t="str">
        <f>IF(Data!I28="","",Data!I28)</f>
        <v>L</v>
      </c>
      <c r="F32" s="195"/>
      <c r="G32" s="196"/>
      <c r="H32" s="197"/>
      <c r="I32" s="182" t="s">
        <v>272</v>
      </c>
      <c r="J32" s="198"/>
      <c r="K32" s="199"/>
      <c r="L32" s="200"/>
      <c r="M32" s="201"/>
      <c r="N32" s="202"/>
      <c r="O32" s="203"/>
      <c r="P32" s="198"/>
      <c r="Q32" s="199"/>
      <c r="R32" s="204"/>
      <c r="S32" s="205"/>
      <c r="T32" s="206"/>
      <c r="U32" s="51"/>
      <c r="W32" s="607"/>
    </row>
    <row r="33" spans="1:23" s="48" customFormat="1" ht="24" customHeight="1">
      <c r="A33" s="607"/>
      <c r="B33" s="191">
        <f t="shared" si="0"/>
        <v>25</v>
      </c>
      <c r="C33" s="192">
        <f>IF(Data!F29="","",Data!F29)</f>
        <v>0</v>
      </c>
      <c r="D33" s="193" t="str">
        <f>IF(Data!H29="","",Data!H29)</f>
        <v>Maya Trifena Niobe</v>
      </c>
      <c r="E33" s="194" t="str">
        <f>IF(Data!I29="","",Data!I29)</f>
        <v>P</v>
      </c>
      <c r="F33" s="195"/>
      <c r="G33" s="196"/>
      <c r="H33" s="197"/>
      <c r="I33" s="182" t="s">
        <v>272</v>
      </c>
      <c r="J33" s="198"/>
      <c r="K33" s="199"/>
      <c r="L33" s="200"/>
      <c r="M33" s="201"/>
      <c r="N33" s="202"/>
      <c r="O33" s="203"/>
      <c r="P33" s="198"/>
      <c r="Q33" s="199"/>
      <c r="R33" s="204"/>
      <c r="S33" s="205"/>
      <c r="T33" s="206"/>
      <c r="U33" s="51"/>
      <c r="W33" s="607"/>
    </row>
    <row r="34" spans="1:23" s="48" customFormat="1" ht="24" customHeight="1">
      <c r="A34" s="607"/>
      <c r="B34" s="191">
        <f t="shared" si="0"/>
        <v>26</v>
      </c>
      <c r="C34" s="192">
        <f>IF(Data!F30="","",Data!F30)</f>
        <v>0</v>
      </c>
      <c r="D34" s="193" t="str">
        <f>IF(Data!H30="","",Data!H30)</f>
        <v>Misel Miranda Sora</v>
      </c>
      <c r="E34" s="194" t="str">
        <f>IF(Data!I30="","",Data!I30)</f>
        <v>P</v>
      </c>
      <c r="F34" s="195"/>
      <c r="G34" s="196"/>
      <c r="H34" s="197"/>
      <c r="I34" s="182" t="s">
        <v>272</v>
      </c>
      <c r="J34" s="198"/>
      <c r="K34" s="199"/>
      <c r="L34" s="200"/>
      <c r="M34" s="201"/>
      <c r="N34" s="202"/>
      <c r="O34" s="203"/>
      <c r="P34" s="198"/>
      <c r="Q34" s="199"/>
      <c r="R34" s="204"/>
      <c r="S34" s="205"/>
      <c r="T34" s="206"/>
      <c r="U34" s="51"/>
      <c r="W34" s="607"/>
    </row>
    <row r="35" spans="1:23" s="48" customFormat="1" ht="24" customHeight="1">
      <c r="A35" s="607"/>
      <c r="B35" s="191">
        <f t="shared" si="0"/>
        <v>27</v>
      </c>
      <c r="C35" s="192">
        <f>IF(Data!F31="","",Data!F31)</f>
        <v>0</v>
      </c>
      <c r="D35" s="193" t="str">
        <f>IF(Data!H31="","",Data!H31)</f>
        <v>Nofianti Tainmeta</v>
      </c>
      <c r="E35" s="194" t="str">
        <f>IF(Data!I31="","",Data!I31)</f>
        <v>P</v>
      </c>
      <c r="F35" s="195"/>
      <c r="G35" s="196"/>
      <c r="H35" s="197"/>
      <c r="I35" s="182" t="s">
        <v>272</v>
      </c>
      <c r="J35" s="198"/>
      <c r="K35" s="199"/>
      <c r="L35" s="200"/>
      <c r="M35" s="201"/>
      <c r="N35" s="202"/>
      <c r="O35" s="203"/>
      <c r="P35" s="198"/>
      <c r="Q35" s="199"/>
      <c r="R35" s="204"/>
      <c r="S35" s="205"/>
      <c r="T35" s="206"/>
      <c r="U35" s="51"/>
      <c r="W35" s="607"/>
    </row>
    <row r="36" spans="1:23" s="48" customFormat="1" ht="24" customHeight="1">
      <c r="A36" s="607"/>
      <c r="B36" s="191">
        <f t="shared" si="0"/>
        <v>28</v>
      </c>
      <c r="C36" s="192">
        <f>IF(Data!F32="","",Data!F32)</f>
        <v>0</v>
      </c>
      <c r="D36" s="193" t="str">
        <f>IF(Data!H32="","",Data!H32)</f>
        <v>Ofni Antrikus Banun</v>
      </c>
      <c r="E36" s="194" t="str">
        <f>IF(Data!I32="","",Data!I32)</f>
        <v>L</v>
      </c>
      <c r="F36" s="195"/>
      <c r="G36" s="196"/>
      <c r="H36" s="197"/>
      <c r="I36" s="182" t="s">
        <v>272</v>
      </c>
      <c r="J36" s="198"/>
      <c r="K36" s="199"/>
      <c r="L36" s="200"/>
      <c r="M36" s="201"/>
      <c r="N36" s="202"/>
      <c r="O36" s="203"/>
      <c r="P36" s="198"/>
      <c r="Q36" s="199"/>
      <c r="R36" s="204"/>
      <c r="S36" s="205"/>
      <c r="T36" s="206"/>
      <c r="U36" s="51"/>
      <c r="W36" s="607"/>
    </row>
    <row r="37" spans="1:23" s="48" customFormat="1" ht="24" customHeight="1">
      <c r="A37" s="607"/>
      <c r="B37" s="191">
        <f t="shared" si="0"/>
        <v>29</v>
      </c>
      <c r="C37" s="192">
        <f>IF(Data!F33="","",Data!F33)</f>
        <v>0</v>
      </c>
      <c r="D37" s="193" t="str">
        <f>IF(Data!H33="","",Data!H33)</f>
        <v>Roiyandi Saebesi</v>
      </c>
      <c r="E37" s="194" t="str">
        <f>IF(Data!I33="","",Data!I33)</f>
        <v>L</v>
      </c>
      <c r="F37" s="195"/>
      <c r="G37" s="196"/>
      <c r="H37" s="197"/>
      <c r="I37" s="182" t="s">
        <v>272</v>
      </c>
      <c r="J37" s="198"/>
      <c r="K37" s="199"/>
      <c r="L37" s="200"/>
      <c r="M37" s="201"/>
      <c r="N37" s="202"/>
      <c r="O37" s="203"/>
      <c r="P37" s="198"/>
      <c r="Q37" s="199"/>
      <c r="R37" s="204"/>
      <c r="S37" s="205"/>
      <c r="T37" s="206"/>
      <c r="U37" s="51"/>
      <c r="W37" s="607"/>
    </row>
    <row r="38" spans="1:23" s="48" customFormat="1" ht="24" customHeight="1">
      <c r="A38" s="607"/>
      <c r="B38" s="191">
        <f t="shared" ref="B38:B58" si="1">IF(D38="","",B37+1)</f>
        <v>30</v>
      </c>
      <c r="C38" s="192">
        <f>IF(Data!F34="","",Data!F34)</f>
        <v>0</v>
      </c>
      <c r="D38" s="193" t="str">
        <f>IF(Data!H34="","",Data!H34)</f>
        <v>Roni Yohanis Bira</v>
      </c>
      <c r="E38" s="194" t="str">
        <f>IF(Data!I34="","",Data!I34)</f>
        <v>L</v>
      </c>
      <c r="F38" s="195"/>
      <c r="G38" s="196"/>
      <c r="H38" s="197"/>
      <c r="I38" s="182" t="s">
        <v>272</v>
      </c>
      <c r="J38" s="198"/>
      <c r="K38" s="199"/>
      <c r="L38" s="200"/>
      <c r="M38" s="201"/>
      <c r="N38" s="202"/>
      <c r="O38" s="203"/>
      <c r="P38" s="198"/>
      <c r="Q38" s="199"/>
      <c r="R38" s="204"/>
      <c r="S38" s="205"/>
      <c r="T38" s="206"/>
      <c r="U38" s="51"/>
      <c r="W38" s="607"/>
    </row>
    <row r="39" spans="1:23" s="48" customFormat="1" ht="24" customHeight="1">
      <c r="A39" s="607"/>
      <c r="B39" s="191">
        <f t="shared" si="1"/>
        <v>31</v>
      </c>
      <c r="C39" s="192">
        <f>IF(Data!F35="","",Data!F35)</f>
        <v>0</v>
      </c>
      <c r="D39" s="193" t="str">
        <f>IF(Data!H35="","",Data!H35)</f>
        <v>Sinta Norliana Funan</v>
      </c>
      <c r="E39" s="194" t="str">
        <f>IF(Data!I35="","",Data!I35)</f>
        <v>P</v>
      </c>
      <c r="F39" s="195"/>
      <c r="G39" s="196"/>
      <c r="H39" s="197"/>
      <c r="I39" s="182" t="s">
        <v>272</v>
      </c>
      <c r="J39" s="198"/>
      <c r="K39" s="199"/>
      <c r="L39" s="200"/>
      <c r="M39" s="201"/>
      <c r="N39" s="202"/>
      <c r="O39" s="203"/>
      <c r="P39" s="198"/>
      <c r="Q39" s="199"/>
      <c r="R39" s="204"/>
      <c r="S39" s="205"/>
      <c r="T39" s="206"/>
      <c r="U39" s="51"/>
      <c r="W39" s="607"/>
    </row>
    <row r="40" spans="1:23" s="48" customFormat="1" ht="24" customHeight="1">
      <c r="A40" s="607"/>
      <c r="B40" s="191">
        <f t="shared" si="1"/>
        <v>32</v>
      </c>
      <c r="C40" s="192">
        <f>IF(Data!F36="","",Data!F36)</f>
        <v>0</v>
      </c>
      <c r="D40" s="193" t="str">
        <f>IF(Data!H36="","",Data!H36)</f>
        <v>Stevi Otnial Loemnanu</v>
      </c>
      <c r="E40" s="194" t="str">
        <f>IF(Data!I36="","",Data!I36)</f>
        <v>L</v>
      </c>
      <c r="F40" s="195"/>
      <c r="G40" s="196"/>
      <c r="H40" s="197"/>
      <c r="I40" s="182" t="s">
        <v>272</v>
      </c>
      <c r="J40" s="198"/>
      <c r="K40" s="199"/>
      <c r="L40" s="200"/>
      <c r="M40" s="201"/>
      <c r="N40" s="202"/>
      <c r="O40" s="203"/>
      <c r="P40" s="198"/>
      <c r="Q40" s="199"/>
      <c r="R40" s="204"/>
      <c r="S40" s="205"/>
      <c r="T40" s="206"/>
      <c r="U40" s="51"/>
      <c r="W40" s="607"/>
    </row>
    <row r="41" spans="1:23" s="48" customFormat="1" ht="24" customHeight="1">
      <c r="A41" s="607"/>
      <c r="B41" s="191">
        <f t="shared" si="1"/>
        <v>33</v>
      </c>
      <c r="C41" s="192">
        <f>IF(Data!F37="","",Data!F37)</f>
        <v>0</v>
      </c>
      <c r="D41" s="193" t="str">
        <f>IF(Data!H37="","",Data!H37)</f>
        <v>Venciani Sefrianti Sufnera</v>
      </c>
      <c r="E41" s="194" t="str">
        <f>IF(Data!I37="","",Data!I37)</f>
        <v>P</v>
      </c>
      <c r="F41" s="195"/>
      <c r="G41" s="196"/>
      <c r="H41" s="197"/>
      <c r="I41" s="182" t="s">
        <v>272</v>
      </c>
      <c r="J41" s="198"/>
      <c r="K41" s="199"/>
      <c r="L41" s="200"/>
      <c r="M41" s="201"/>
      <c r="N41" s="202"/>
      <c r="O41" s="203"/>
      <c r="P41" s="198"/>
      <c r="Q41" s="199"/>
      <c r="R41" s="204"/>
      <c r="S41" s="205"/>
      <c r="T41" s="206"/>
      <c r="U41" s="51"/>
      <c r="W41" s="607"/>
    </row>
    <row r="42" spans="1:23" s="48" customFormat="1" ht="24" customHeight="1">
      <c r="A42" s="607"/>
      <c r="B42" s="191">
        <f t="shared" si="1"/>
        <v>34</v>
      </c>
      <c r="C42" s="192">
        <f>IF(Data!F38="","",Data!F38)</f>
        <v>0</v>
      </c>
      <c r="D42" s="193" t="str">
        <f>IF(Data!H38="","",Data!H38)</f>
        <v>Yangres Nitti</v>
      </c>
      <c r="E42" s="194" t="str">
        <f>IF(Data!I38="","",Data!I38)</f>
        <v>L</v>
      </c>
      <c r="F42" s="195"/>
      <c r="G42" s="196"/>
      <c r="H42" s="197"/>
      <c r="I42" s="182" t="s">
        <v>272</v>
      </c>
      <c r="J42" s="198"/>
      <c r="K42" s="199"/>
      <c r="L42" s="200"/>
      <c r="M42" s="201"/>
      <c r="N42" s="202"/>
      <c r="O42" s="203"/>
      <c r="P42" s="198"/>
      <c r="Q42" s="199"/>
      <c r="R42" s="204"/>
      <c r="S42" s="205"/>
      <c r="T42" s="206"/>
      <c r="U42" s="51"/>
      <c r="W42" s="607"/>
    </row>
    <row r="43" spans="1:23" s="48" customFormat="1" ht="24" customHeight="1">
      <c r="A43" s="607"/>
      <c r="B43" s="191">
        <f t="shared" si="1"/>
        <v>35</v>
      </c>
      <c r="C43" s="192">
        <f>IF(Data!F39="","",Data!F39)</f>
        <v>0</v>
      </c>
      <c r="D43" s="193" t="str">
        <f>IF(Data!H39="","",Data!H39)</f>
        <v>Yefta Trianus Mau</v>
      </c>
      <c r="E43" s="194" t="str">
        <f>IF(Data!I39="","",Data!I39)</f>
        <v>L</v>
      </c>
      <c r="F43" s="195"/>
      <c r="G43" s="196"/>
      <c r="H43" s="197"/>
      <c r="I43" s="182" t="s">
        <v>272</v>
      </c>
      <c r="J43" s="198"/>
      <c r="K43" s="199"/>
      <c r="L43" s="200"/>
      <c r="M43" s="201"/>
      <c r="N43" s="202"/>
      <c r="O43" s="203"/>
      <c r="P43" s="198"/>
      <c r="Q43" s="199"/>
      <c r="R43" s="204"/>
      <c r="S43" s="205"/>
      <c r="T43" s="206"/>
      <c r="U43" s="51"/>
      <c r="W43" s="607"/>
    </row>
    <row r="44" spans="1:23" s="48" customFormat="1" ht="24" customHeight="1">
      <c r="A44" s="607"/>
      <c r="B44" s="191">
        <f t="shared" si="1"/>
        <v>36</v>
      </c>
      <c r="C44" s="192">
        <f>IF(Data!F40="","",Data!F40)</f>
        <v>0</v>
      </c>
      <c r="D44" s="193" t="str">
        <f>IF(Data!H40="","",Data!H40)</f>
        <v>Yuliana Febriyanti Nggeon</v>
      </c>
      <c r="E44" s="194" t="str">
        <f>IF(Data!I40="","",Data!I40)</f>
        <v>P</v>
      </c>
      <c r="F44" s="195"/>
      <c r="G44" s="196"/>
      <c r="H44" s="197"/>
      <c r="I44" s="182" t="s">
        <v>272</v>
      </c>
      <c r="J44" s="198"/>
      <c r="K44" s="199"/>
      <c r="L44" s="200"/>
      <c r="M44" s="201"/>
      <c r="N44" s="202"/>
      <c r="O44" s="203"/>
      <c r="P44" s="198"/>
      <c r="Q44" s="199"/>
      <c r="R44" s="204"/>
      <c r="S44" s="205"/>
      <c r="T44" s="206"/>
      <c r="U44" s="51"/>
      <c r="W44" s="607"/>
    </row>
    <row r="45" spans="1:23" s="48" customFormat="1" ht="24" customHeight="1">
      <c r="A45" s="607"/>
      <c r="B45" s="191">
        <f t="shared" si="1"/>
        <v>37</v>
      </c>
      <c r="C45" s="192">
        <f>IF(Data!F41="","",Data!F41)</f>
        <v>0</v>
      </c>
      <c r="D45" s="193" t="str">
        <f>IF(Data!H41="","",Data!H41)</f>
        <v>Yuninda Pono</v>
      </c>
      <c r="E45" s="194" t="str">
        <f>IF(Data!I41="","",Data!I41)</f>
        <v>P</v>
      </c>
      <c r="F45" s="195"/>
      <c r="G45" s="196"/>
      <c r="H45" s="197"/>
      <c r="I45" s="182" t="s">
        <v>272</v>
      </c>
      <c r="J45" s="198"/>
      <c r="K45" s="199"/>
      <c r="L45" s="200"/>
      <c r="M45" s="201"/>
      <c r="N45" s="202"/>
      <c r="O45" s="203"/>
      <c r="P45" s="198"/>
      <c r="Q45" s="199"/>
      <c r="R45" s="204"/>
      <c r="S45" s="205"/>
      <c r="T45" s="206"/>
      <c r="U45" s="51"/>
      <c r="W45" s="607"/>
    </row>
    <row r="46" spans="1:23" s="48" customFormat="1" ht="24" customHeight="1">
      <c r="A46" s="607"/>
      <c r="B46" s="191" t="str">
        <f t="shared" si="1"/>
        <v/>
      </c>
      <c r="C46" s="192" t="str">
        <f>IF(Data!F42="","",Data!F42)</f>
        <v/>
      </c>
      <c r="D46" s="193" t="str">
        <f>IF(Data!H42="","",Data!H42)</f>
        <v/>
      </c>
      <c r="E46" s="194" t="str">
        <f>IF(Data!I42="","",Data!I42)</f>
        <v/>
      </c>
      <c r="F46" s="195"/>
      <c r="G46" s="196"/>
      <c r="H46" s="197"/>
      <c r="I46" s="182" t="s">
        <v>272</v>
      </c>
      <c r="J46" s="198"/>
      <c r="K46" s="199"/>
      <c r="L46" s="200"/>
      <c r="M46" s="201"/>
      <c r="N46" s="202"/>
      <c r="O46" s="203"/>
      <c r="P46" s="198"/>
      <c r="Q46" s="199"/>
      <c r="R46" s="204"/>
      <c r="S46" s="205"/>
      <c r="T46" s="206"/>
      <c r="U46" s="51"/>
      <c r="W46" s="607"/>
    </row>
    <row r="47" spans="1:23" s="48" customFormat="1" ht="24" customHeight="1">
      <c r="A47" s="607"/>
      <c r="B47" s="191" t="str">
        <f t="shared" si="1"/>
        <v/>
      </c>
      <c r="C47" s="192" t="str">
        <f>IF(Data!F43="","",Data!F43)</f>
        <v/>
      </c>
      <c r="D47" s="193" t="str">
        <f>IF(Data!H43="","",Data!H43)</f>
        <v/>
      </c>
      <c r="E47" s="194" t="str">
        <f>IF(Data!I43="","",Data!I43)</f>
        <v/>
      </c>
      <c r="F47" s="195"/>
      <c r="G47" s="196"/>
      <c r="H47" s="197"/>
      <c r="I47" s="182" t="s">
        <v>272</v>
      </c>
      <c r="J47" s="198"/>
      <c r="K47" s="199"/>
      <c r="L47" s="200"/>
      <c r="M47" s="201"/>
      <c r="N47" s="202"/>
      <c r="O47" s="203"/>
      <c r="P47" s="198"/>
      <c r="Q47" s="199"/>
      <c r="R47" s="204"/>
      <c r="S47" s="205"/>
      <c r="T47" s="206"/>
      <c r="U47" s="51"/>
      <c r="W47" s="607"/>
    </row>
    <row r="48" spans="1:23" s="48" customFormat="1" ht="24" customHeight="1">
      <c r="A48" s="607"/>
      <c r="B48" s="191" t="str">
        <f t="shared" si="1"/>
        <v/>
      </c>
      <c r="C48" s="192" t="str">
        <f>IF(Data!F44="","",Data!F44)</f>
        <v/>
      </c>
      <c r="D48" s="193" t="str">
        <f>IF(Data!H44="","",Data!H44)</f>
        <v/>
      </c>
      <c r="E48" s="194" t="str">
        <f>IF(Data!I44="","",Data!I44)</f>
        <v/>
      </c>
      <c r="F48" s="195"/>
      <c r="G48" s="196"/>
      <c r="H48" s="197"/>
      <c r="I48" s="182" t="s">
        <v>272</v>
      </c>
      <c r="J48" s="198"/>
      <c r="K48" s="199"/>
      <c r="L48" s="200"/>
      <c r="M48" s="201"/>
      <c r="N48" s="202"/>
      <c r="O48" s="203"/>
      <c r="P48" s="198"/>
      <c r="Q48" s="199"/>
      <c r="R48" s="204"/>
      <c r="S48" s="205"/>
      <c r="T48" s="206"/>
      <c r="U48" s="51"/>
      <c r="W48" s="607"/>
    </row>
    <row r="49" spans="1:23" s="48" customFormat="1" ht="24" customHeight="1">
      <c r="A49" s="607"/>
      <c r="B49" s="191" t="str">
        <f t="shared" si="1"/>
        <v/>
      </c>
      <c r="C49" s="192" t="str">
        <f>IF(Data!F45="","",Data!F45)</f>
        <v/>
      </c>
      <c r="D49" s="193" t="str">
        <f>IF(Data!H45="","",Data!H45)</f>
        <v/>
      </c>
      <c r="E49" s="194" t="str">
        <f>IF(Data!I45="","",Data!I45)</f>
        <v/>
      </c>
      <c r="F49" s="195"/>
      <c r="G49" s="196"/>
      <c r="H49" s="197"/>
      <c r="I49" s="182" t="s">
        <v>272</v>
      </c>
      <c r="J49" s="198"/>
      <c r="K49" s="199"/>
      <c r="L49" s="200"/>
      <c r="M49" s="201"/>
      <c r="N49" s="202"/>
      <c r="O49" s="203"/>
      <c r="P49" s="198"/>
      <c r="Q49" s="199"/>
      <c r="R49" s="204"/>
      <c r="S49" s="205"/>
      <c r="T49" s="206"/>
      <c r="U49" s="51"/>
      <c r="W49" s="607"/>
    </row>
    <row r="50" spans="1:23" s="48" customFormat="1" ht="24" customHeight="1">
      <c r="A50" s="607"/>
      <c r="B50" s="191" t="str">
        <f t="shared" si="1"/>
        <v/>
      </c>
      <c r="C50" s="192" t="str">
        <f>IF(Data!F46="","",Data!F46)</f>
        <v/>
      </c>
      <c r="D50" s="193" t="str">
        <f>IF(Data!H46="","",Data!H46)</f>
        <v/>
      </c>
      <c r="E50" s="194" t="str">
        <f>IF(Data!I46="","",Data!I46)</f>
        <v/>
      </c>
      <c r="F50" s="195"/>
      <c r="G50" s="196"/>
      <c r="H50" s="197"/>
      <c r="I50" s="182" t="s">
        <v>272</v>
      </c>
      <c r="J50" s="198"/>
      <c r="K50" s="199"/>
      <c r="L50" s="200"/>
      <c r="M50" s="201"/>
      <c r="N50" s="202"/>
      <c r="O50" s="203"/>
      <c r="P50" s="198"/>
      <c r="Q50" s="199"/>
      <c r="R50" s="204"/>
      <c r="S50" s="205"/>
      <c r="T50" s="206"/>
      <c r="U50" s="51"/>
      <c r="W50" s="607"/>
    </row>
    <row r="51" spans="1:23" s="48" customFormat="1" ht="24" customHeight="1">
      <c r="A51" s="607"/>
      <c r="B51" s="191" t="str">
        <f t="shared" si="1"/>
        <v/>
      </c>
      <c r="C51" s="192" t="str">
        <f>IF(Data!F47="","",Data!F47)</f>
        <v/>
      </c>
      <c r="D51" s="193" t="str">
        <f>IF(Data!H47="","",Data!H47)</f>
        <v/>
      </c>
      <c r="E51" s="194" t="str">
        <f>IF(Data!I47="","",Data!I47)</f>
        <v/>
      </c>
      <c r="F51" s="195"/>
      <c r="G51" s="196"/>
      <c r="H51" s="197"/>
      <c r="I51" s="182" t="s">
        <v>272</v>
      </c>
      <c r="J51" s="198"/>
      <c r="K51" s="199"/>
      <c r="L51" s="200"/>
      <c r="M51" s="201"/>
      <c r="N51" s="202"/>
      <c r="O51" s="203"/>
      <c r="P51" s="198"/>
      <c r="Q51" s="199"/>
      <c r="R51" s="204"/>
      <c r="S51" s="205"/>
      <c r="T51" s="206"/>
      <c r="U51" s="51"/>
      <c r="W51" s="607"/>
    </row>
    <row r="52" spans="1:23" s="48" customFormat="1" ht="24" customHeight="1">
      <c r="A52" s="607"/>
      <c r="B52" s="191" t="str">
        <f t="shared" si="1"/>
        <v/>
      </c>
      <c r="C52" s="192" t="str">
        <f>IF(Data!F48="","",Data!F48)</f>
        <v/>
      </c>
      <c r="D52" s="193" t="str">
        <f>IF(Data!H48="","",Data!H48)</f>
        <v/>
      </c>
      <c r="E52" s="194" t="str">
        <f>IF(Data!I48="","",Data!I48)</f>
        <v/>
      </c>
      <c r="F52" s="195"/>
      <c r="G52" s="196"/>
      <c r="H52" s="197"/>
      <c r="I52" s="182" t="s">
        <v>272</v>
      </c>
      <c r="J52" s="198"/>
      <c r="K52" s="199"/>
      <c r="L52" s="200"/>
      <c r="M52" s="201"/>
      <c r="N52" s="202"/>
      <c r="O52" s="203"/>
      <c r="P52" s="198"/>
      <c r="Q52" s="199"/>
      <c r="R52" s="204"/>
      <c r="S52" s="205"/>
      <c r="T52" s="206"/>
      <c r="U52" s="51"/>
      <c r="W52" s="607"/>
    </row>
    <row r="53" spans="1:23" s="48" customFormat="1" ht="24" customHeight="1">
      <c r="A53" s="607"/>
      <c r="B53" s="191" t="str">
        <f t="shared" si="1"/>
        <v/>
      </c>
      <c r="C53" s="192" t="str">
        <f>IF(Data!F49="","",Data!F49)</f>
        <v/>
      </c>
      <c r="D53" s="193" t="str">
        <f>IF(Data!H49="","",Data!H49)</f>
        <v/>
      </c>
      <c r="E53" s="194" t="str">
        <f>IF(Data!I49="","",Data!I49)</f>
        <v/>
      </c>
      <c r="F53" s="195"/>
      <c r="G53" s="196"/>
      <c r="H53" s="197"/>
      <c r="I53" s="182" t="s">
        <v>272</v>
      </c>
      <c r="J53" s="198"/>
      <c r="K53" s="199"/>
      <c r="L53" s="200"/>
      <c r="M53" s="201"/>
      <c r="N53" s="202"/>
      <c r="O53" s="203"/>
      <c r="P53" s="198"/>
      <c r="Q53" s="199"/>
      <c r="R53" s="204"/>
      <c r="S53" s="205"/>
      <c r="T53" s="206"/>
      <c r="U53" s="51"/>
      <c r="W53" s="607"/>
    </row>
    <row r="54" spans="1:23" s="48" customFormat="1" ht="24" customHeight="1">
      <c r="A54" s="607"/>
      <c r="B54" s="191" t="str">
        <f t="shared" si="1"/>
        <v/>
      </c>
      <c r="C54" s="192" t="str">
        <f>IF(Data!F50="","",Data!F50)</f>
        <v/>
      </c>
      <c r="D54" s="193" t="str">
        <f>IF(Data!H50="","",Data!H50)</f>
        <v/>
      </c>
      <c r="E54" s="194" t="str">
        <f>IF(Data!I50="","",Data!I50)</f>
        <v/>
      </c>
      <c r="F54" s="195"/>
      <c r="G54" s="196"/>
      <c r="H54" s="197"/>
      <c r="I54" s="182" t="s">
        <v>272</v>
      </c>
      <c r="J54" s="198"/>
      <c r="K54" s="199"/>
      <c r="L54" s="200"/>
      <c r="M54" s="201"/>
      <c r="N54" s="202"/>
      <c r="O54" s="203"/>
      <c r="P54" s="198"/>
      <c r="Q54" s="199"/>
      <c r="R54" s="204"/>
      <c r="S54" s="205"/>
      <c r="T54" s="206"/>
      <c r="U54" s="51"/>
      <c r="W54" s="607"/>
    </row>
    <row r="55" spans="1:23" s="48" customFormat="1" ht="24" customHeight="1">
      <c r="A55" s="607"/>
      <c r="B55" s="191" t="str">
        <f t="shared" si="1"/>
        <v/>
      </c>
      <c r="C55" s="192" t="str">
        <f>IF(Data!F51="","",Data!F51)</f>
        <v/>
      </c>
      <c r="D55" s="193" t="str">
        <f>IF(Data!H51="","",Data!H51)</f>
        <v/>
      </c>
      <c r="E55" s="194" t="str">
        <f>IF(Data!I51="","",Data!I51)</f>
        <v/>
      </c>
      <c r="F55" s="195"/>
      <c r="G55" s="196"/>
      <c r="H55" s="197"/>
      <c r="I55" s="182" t="s">
        <v>272</v>
      </c>
      <c r="J55" s="198"/>
      <c r="K55" s="199"/>
      <c r="L55" s="200"/>
      <c r="M55" s="201"/>
      <c r="N55" s="202"/>
      <c r="O55" s="203"/>
      <c r="P55" s="198"/>
      <c r="Q55" s="199"/>
      <c r="R55" s="204"/>
      <c r="S55" s="205"/>
      <c r="T55" s="206"/>
      <c r="U55" s="51"/>
      <c r="W55" s="607"/>
    </row>
    <row r="56" spans="1:23" s="48" customFormat="1" ht="24" customHeight="1">
      <c r="A56" s="607"/>
      <c r="B56" s="191" t="str">
        <f t="shared" si="1"/>
        <v/>
      </c>
      <c r="C56" s="192" t="str">
        <f>IF(Data!F52="","",Data!F52)</f>
        <v/>
      </c>
      <c r="D56" s="193" t="str">
        <f>IF(Data!H52="","",Data!H52)</f>
        <v/>
      </c>
      <c r="E56" s="194" t="str">
        <f>IF(Data!I52="","",Data!I52)</f>
        <v/>
      </c>
      <c r="F56" s="195"/>
      <c r="G56" s="196"/>
      <c r="H56" s="197"/>
      <c r="I56" s="182" t="s">
        <v>272</v>
      </c>
      <c r="J56" s="198"/>
      <c r="K56" s="199"/>
      <c r="L56" s="200"/>
      <c r="M56" s="201"/>
      <c r="N56" s="202"/>
      <c r="O56" s="203"/>
      <c r="P56" s="198"/>
      <c r="Q56" s="199"/>
      <c r="R56" s="204"/>
      <c r="S56" s="205"/>
      <c r="T56" s="206"/>
      <c r="U56" s="51"/>
      <c r="W56" s="607"/>
    </row>
    <row r="57" spans="1:23" s="48" customFormat="1" ht="24" customHeight="1">
      <c r="A57" s="607"/>
      <c r="B57" s="191" t="str">
        <f t="shared" si="1"/>
        <v/>
      </c>
      <c r="C57" s="192" t="str">
        <f>IF(Data!F53="","",Data!F53)</f>
        <v/>
      </c>
      <c r="D57" s="193" t="str">
        <f>IF(Data!H53="","",Data!H53)</f>
        <v/>
      </c>
      <c r="E57" s="194" t="str">
        <f>IF(Data!I53="","",Data!I53)</f>
        <v/>
      </c>
      <c r="F57" s="195"/>
      <c r="G57" s="196"/>
      <c r="H57" s="197"/>
      <c r="I57" s="182" t="s">
        <v>272</v>
      </c>
      <c r="J57" s="198"/>
      <c r="K57" s="199"/>
      <c r="L57" s="200"/>
      <c r="M57" s="201"/>
      <c r="N57" s="202"/>
      <c r="O57" s="203"/>
      <c r="P57" s="198"/>
      <c r="Q57" s="199"/>
      <c r="R57" s="204"/>
      <c r="S57" s="205"/>
      <c r="T57" s="206"/>
      <c r="U57" s="51"/>
      <c r="W57" s="607"/>
    </row>
    <row r="58" spans="1:23" s="48" customFormat="1" ht="24" customHeight="1">
      <c r="A58" s="607"/>
      <c r="B58" s="191" t="str">
        <f t="shared" si="1"/>
        <v/>
      </c>
      <c r="C58" s="192" t="str">
        <f>IF(Data!F54="","",Data!F54)</f>
        <v/>
      </c>
      <c r="D58" s="193" t="str">
        <f>IF(Data!H54="","",Data!H54)</f>
        <v/>
      </c>
      <c r="E58" s="194" t="str">
        <f>IF(Data!I54="","",Data!I54)</f>
        <v/>
      </c>
      <c r="F58" s="195"/>
      <c r="G58" s="196"/>
      <c r="H58" s="197"/>
      <c r="I58" s="182" t="s">
        <v>272</v>
      </c>
      <c r="J58" s="198"/>
      <c r="K58" s="199"/>
      <c r="L58" s="200"/>
      <c r="M58" s="201"/>
      <c r="N58" s="202"/>
      <c r="O58" s="203"/>
      <c r="P58" s="198"/>
      <c r="Q58" s="199"/>
      <c r="R58" s="204"/>
      <c r="S58" s="205"/>
      <c r="T58" s="206"/>
      <c r="U58" s="51"/>
      <c r="W58" s="607"/>
    </row>
    <row r="59" spans="1:23" ht="3" customHeight="1">
      <c r="A59" s="607"/>
      <c r="I59" s="182" t="s">
        <v>271</v>
      </c>
      <c r="W59" s="607"/>
    </row>
    <row r="60" spans="1:23" ht="15" customHeight="1">
      <c r="A60" s="607"/>
      <c r="B60" s="207">
        <v>1</v>
      </c>
      <c r="C60" s="47">
        <v>2</v>
      </c>
      <c r="D60" s="47">
        <v>3</v>
      </c>
      <c r="E60" s="47">
        <v>4</v>
      </c>
      <c r="F60" s="47">
        <v>5</v>
      </c>
      <c r="G60" s="47">
        <v>6</v>
      </c>
      <c r="H60" s="47">
        <v>7</v>
      </c>
      <c r="I60" s="47">
        <v>8</v>
      </c>
      <c r="J60" s="47">
        <v>9</v>
      </c>
      <c r="K60" s="47">
        <v>10</v>
      </c>
      <c r="L60" s="47">
        <v>11</v>
      </c>
      <c r="M60" s="47">
        <v>12</v>
      </c>
      <c r="N60" s="47">
        <v>13</v>
      </c>
      <c r="O60" s="47">
        <v>14</v>
      </c>
      <c r="P60" s="47">
        <v>15</v>
      </c>
      <c r="Q60" s="47">
        <v>16</v>
      </c>
      <c r="R60" s="47">
        <v>17</v>
      </c>
      <c r="S60" s="47">
        <v>18</v>
      </c>
      <c r="T60" s="47">
        <v>19</v>
      </c>
      <c r="U60" s="47">
        <v>20</v>
      </c>
      <c r="W60" s="607"/>
    </row>
    <row r="61" spans="1:23" ht="3.75" customHeight="1">
      <c r="A61" s="607"/>
      <c r="B61" s="81"/>
      <c r="C61" s="82"/>
      <c r="D61" s="81"/>
      <c r="E61" s="81"/>
      <c r="F61" s="82"/>
      <c r="G61" s="82"/>
      <c r="H61" s="82"/>
      <c r="I61" s="82"/>
      <c r="J61" s="82"/>
      <c r="K61" s="82"/>
      <c r="L61" s="82"/>
      <c r="M61" s="82"/>
      <c r="N61" s="82"/>
      <c r="O61" s="82"/>
      <c r="P61" s="82"/>
      <c r="Q61" s="81"/>
      <c r="R61" s="81"/>
      <c r="S61" s="81"/>
      <c r="T61" s="81"/>
      <c r="U61" s="81"/>
      <c r="W61" s="607"/>
    </row>
    <row r="62" spans="1:23">
      <c r="A62" s="607"/>
      <c r="B62" s="617"/>
      <c r="C62" s="610"/>
      <c r="D62" s="617"/>
      <c r="E62" s="617"/>
      <c r="F62" s="610"/>
      <c r="G62" s="610"/>
      <c r="H62" s="610"/>
      <c r="I62" s="610"/>
      <c r="J62" s="610"/>
      <c r="K62" s="610"/>
      <c r="L62" s="610"/>
      <c r="M62" s="610"/>
      <c r="N62" s="610"/>
      <c r="O62" s="610"/>
      <c r="P62" s="610"/>
      <c r="Q62" s="617"/>
      <c r="R62" s="617"/>
      <c r="S62" s="617"/>
      <c r="T62" s="617"/>
      <c r="U62" s="617"/>
      <c r="V62" s="208"/>
      <c r="W62" s="208"/>
    </row>
    <row r="63" spans="1:23" hidden="1"/>
    <row r="64" spans="1:23" hidden="1"/>
    <row r="65" hidden="1"/>
    <row r="66" hidden="1"/>
    <row r="67" hidden="1"/>
    <row r="68" hidden="1"/>
    <row r="69" hidden="1"/>
    <row r="70" hidden="1"/>
    <row r="71" hidden="1"/>
    <row r="72" hidden="1"/>
    <row r="73" hidden="1"/>
    <row r="74" hidden="1"/>
    <row r="75" hidden="1"/>
  </sheetData>
  <sheetProtection selectLockedCells="1"/>
  <mergeCells count="11">
    <mergeCell ref="B7:B8"/>
    <mergeCell ref="C7:C8"/>
    <mergeCell ref="D7:D8"/>
    <mergeCell ref="E7:E8"/>
    <mergeCell ref="U7:U8"/>
    <mergeCell ref="R7:T7"/>
    <mergeCell ref="D4:E4"/>
    <mergeCell ref="F7:H7"/>
    <mergeCell ref="I7:K7"/>
    <mergeCell ref="L7:N7"/>
    <mergeCell ref="O7:Q7"/>
  </mergeCells>
  <conditionalFormatting sqref="B9:T10 B11:H58 J11:T58">
    <cfRule type="expression" dxfId="276" priority="6">
      <formula>$B9=""</formula>
    </cfRule>
    <cfRule type="expression" dxfId="275" priority="7">
      <formula>MOD($B9,2)=0</formula>
    </cfRule>
  </conditionalFormatting>
  <conditionalFormatting sqref="I59">
    <cfRule type="expression" dxfId="274" priority="3">
      <formula>$B59=""</formula>
    </cfRule>
    <cfRule type="expression" dxfId="273" priority="4">
      <formula>MOD($B59,2)=0</formula>
    </cfRule>
  </conditionalFormatting>
  <conditionalFormatting sqref="I11:I58">
    <cfRule type="expression" dxfId="272" priority="1">
      <formula>$B11=""</formula>
    </cfRule>
    <cfRule type="expression" dxfId="271" priority="2">
      <formula>MOD($B11,2)=0</formula>
    </cfRule>
  </conditionalFormatting>
  <dataValidations count="1">
    <dataValidation type="list" allowBlank="1" showInputMessage="1" showErrorMessage="1" sqref="J9:J58 P9:P59 M9:M59 S9:S59">
      <formula1>"SB,B,C,K"</formula1>
    </dataValidation>
  </dataValidations>
  <pageMargins left="0.79" right="0.62" top="0.51181102362204722" bottom="0.44" header="0.31496062992125984" footer="0.31496062992125984"/>
  <pageSetup paperSize="9" pageOrder="overThenDown" orientation="landscape" blackAndWhite="1" horizontalDpi="4294967293" verticalDpi="4294967293"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00B050"/>
  </sheetPr>
  <dimension ref="A1:AJ61"/>
  <sheetViews>
    <sheetView showGridLines="0" showRowColHeaders="0" workbookViewId="0">
      <pane xSplit="4" ySplit="10" topLeftCell="E11" activePane="bottomRight" state="frozen"/>
      <selection pane="topRight" activeCell="E1" sqref="E1"/>
      <selection pane="bottomLeft" activeCell="A11" sqref="A11"/>
      <selection pane="bottomRight" activeCell="G5" sqref="G5:L5"/>
    </sheetView>
  </sheetViews>
  <sheetFormatPr defaultColWidth="0" defaultRowHeight="0" customHeight="1" zeroHeight="1"/>
  <cols>
    <col min="1" max="1" width="1.7109375" style="2" customWidth="1"/>
    <col min="2" max="2" width="3.85546875" style="2" customWidth="1"/>
    <col min="3" max="3" width="7.7109375" style="1" customWidth="1"/>
    <col min="4" max="4" width="21.5703125" style="2" customWidth="1"/>
    <col min="5" max="6" width="4.7109375" style="2" customWidth="1"/>
    <col min="7" max="7" width="18.7109375" style="2" customWidth="1"/>
    <col min="8" max="10" width="3.42578125" style="2" customWidth="1"/>
    <col min="11" max="11" width="18.7109375" style="2" customWidth="1"/>
    <col min="12" max="12" width="22.7109375" style="2" hidden="1" customWidth="1"/>
    <col min="13" max="13" width="11.7109375" style="2" customWidth="1"/>
    <col min="14" max="14" width="17.7109375" style="2" customWidth="1"/>
    <col min="15" max="15" width="11.7109375" style="2" customWidth="1"/>
    <col min="16" max="16" width="17.7109375" style="2" customWidth="1"/>
    <col min="17" max="17" width="11.7109375" style="2" customWidth="1"/>
    <col min="18" max="18" width="17.7109375" style="2" customWidth="1"/>
    <col min="19" max="19" width="2.5703125" style="136" customWidth="1"/>
    <col min="20" max="20" width="5.5703125" style="136" customWidth="1"/>
    <col min="21" max="36" width="0" style="136" hidden="1" customWidth="1"/>
    <col min="37" max="16384" width="9.140625" style="136" hidden="1"/>
  </cols>
  <sheetData>
    <row r="1" spans="1:24" ht="15" customHeight="1">
      <c r="A1" s="369"/>
      <c r="B1" s="66"/>
      <c r="C1" s="66"/>
      <c r="D1" s="784"/>
      <c r="E1" s="1895" t="s">
        <v>191</v>
      </c>
      <c r="F1" s="1896"/>
      <c r="G1" s="1896" t="s">
        <v>559</v>
      </c>
      <c r="H1" s="1896"/>
      <c r="I1" s="1896"/>
      <c r="J1" s="1896"/>
      <c r="K1" s="1896"/>
      <c r="L1" s="1896"/>
      <c r="M1" s="785" t="s">
        <v>560</v>
      </c>
      <c r="N1" s="1896" t="s">
        <v>561</v>
      </c>
      <c r="O1" s="1896"/>
      <c r="P1" s="1896"/>
      <c r="Q1" s="1897"/>
      <c r="R1" s="66"/>
      <c r="S1" s="369"/>
      <c r="T1" s="369"/>
    </row>
    <row r="2" spans="1:24" ht="24.95" customHeight="1">
      <c r="A2" s="369"/>
      <c r="B2" s="1898" t="s">
        <v>329</v>
      </c>
      <c r="C2" s="1898"/>
      <c r="D2" s="1899"/>
      <c r="E2" s="858">
        <v>1</v>
      </c>
      <c r="F2" s="859">
        <v>3</v>
      </c>
      <c r="G2" s="1900" t="s">
        <v>562</v>
      </c>
      <c r="H2" s="1901"/>
      <c r="I2" s="1901"/>
      <c r="J2" s="1901"/>
      <c r="K2" s="1901"/>
      <c r="L2" s="1901"/>
      <c r="M2" s="794">
        <v>1</v>
      </c>
      <c r="N2" s="1902" t="s">
        <v>337</v>
      </c>
      <c r="O2" s="1903"/>
      <c r="P2" s="1903"/>
      <c r="Q2" s="1904"/>
      <c r="R2" s="786" t="s">
        <v>401</v>
      </c>
      <c r="S2" s="369"/>
      <c r="T2" s="369"/>
    </row>
    <row r="3" spans="1:24" ht="24.95" customHeight="1">
      <c r="A3" s="369"/>
      <c r="B3" s="1906" t="s">
        <v>563</v>
      </c>
      <c r="C3" s="1906"/>
      <c r="D3" s="1907"/>
      <c r="E3" s="860">
        <v>4</v>
      </c>
      <c r="F3" s="861">
        <v>10</v>
      </c>
      <c r="G3" s="1889" t="s">
        <v>564</v>
      </c>
      <c r="H3" s="1890"/>
      <c r="I3" s="1890"/>
      <c r="J3" s="1890"/>
      <c r="K3" s="1890"/>
      <c r="L3" s="1890"/>
      <c r="M3" s="794">
        <v>2</v>
      </c>
      <c r="N3" s="1886" t="s">
        <v>342</v>
      </c>
      <c r="O3" s="1887"/>
      <c r="P3" s="1887"/>
      <c r="Q3" s="1888"/>
      <c r="R3" s="1908" t="s">
        <v>572</v>
      </c>
      <c r="S3" s="369"/>
      <c r="T3" s="369"/>
    </row>
    <row r="4" spans="1:24" ht="24.95" customHeight="1">
      <c r="A4" s="369"/>
      <c r="B4" s="1906"/>
      <c r="C4" s="1906"/>
      <c r="D4" s="1907"/>
      <c r="E4" s="860">
        <v>11</v>
      </c>
      <c r="F4" s="861">
        <v>15</v>
      </c>
      <c r="G4" s="1889" t="s">
        <v>565</v>
      </c>
      <c r="H4" s="1890"/>
      <c r="I4" s="1890"/>
      <c r="J4" s="1890"/>
      <c r="K4" s="1890"/>
      <c r="L4" s="1890"/>
      <c r="M4" s="794">
        <v>3</v>
      </c>
      <c r="N4" s="1886" t="s">
        <v>343</v>
      </c>
      <c r="O4" s="1887"/>
      <c r="P4" s="1887"/>
      <c r="Q4" s="1888"/>
      <c r="R4" s="1908"/>
      <c r="S4" s="369"/>
      <c r="T4" s="369"/>
    </row>
    <row r="5" spans="1:24" ht="24.95" customHeight="1">
      <c r="A5" s="369"/>
      <c r="B5" s="1906"/>
      <c r="C5" s="1906"/>
      <c r="D5" s="1907"/>
      <c r="E5" s="860">
        <v>16</v>
      </c>
      <c r="F5" s="861">
        <v>20</v>
      </c>
      <c r="G5" s="1889" t="s">
        <v>566</v>
      </c>
      <c r="H5" s="1890"/>
      <c r="I5" s="1890"/>
      <c r="J5" s="1890"/>
      <c r="K5" s="1890"/>
      <c r="L5" s="1890"/>
      <c r="M5" s="794">
        <v>4</v>
      </c>
      <c r="N5" s="1886" t="s">
        <v>336</v>
      </c>
      <c r="O5" s="1887"/>
      <c r="P5" s="1887"/>
      <c r="Q5" s="1888"/>
      <c r="R5" s="1908"/>
      <c r="S5" s="369"/>
      <c r="T5" s="369"/>
    </row>
    <row r="6" spans="1:24" ht="24.95" customHeight="1">
      <c r="A6" s="369"/>
      <c r="B6" s="1906"/>
      <c r="C6" s="1906"/>
      <c r="D6" s="1907"/>
      <c r="E6" s="860">
        <v>21</v>
      </c>
      <c r="F6" s="861">
        <v>25</v>
      </c>
      <c r="G6" s="1889" t="s">
        <v>567</v>
      </c>
      <c r="H6" s="1890"/>
      <c r="I6" s="1890"/>
      <c r="J6" s="1890"/>
      <c r="K6" s="1890"/>
      <c r="L6" s="1890"/>
      <c r="M6" s="794">
        <v>5</v>
      </c>
      <c r="N6" s="1886" t="s">
        <v>344</v>
      </c>
      <c r="O6" s="1887"/>
      <c r="P6" s="1887"/>
      <c r="Q6" s="1888"/>
      <c r="R6" s="1908"/>
      <c r="S6" s="369"/>
      <c r="T6" s="369"/>
    </row>
    <row r="7" spans="1:24" ht="24.95" customHeight="1" thickBot="1">
      <c r="A7" s="369"/>
      <c r="B7" s="1906"/>
      <c r="C7" s="1906"/>
      <c r="D7" s="1907"/>
      <c r="E7" s="862">
        <v>26</v>
      </c>
      <c r="F7" s="863">
        <v>36</v>
      </c>
      <c r="G7" s="1910" t="s">
        <v>568</v>
      </c>
      <c r="H7" s="1911"/>
      <c r="I7" s="1911"/>
      <c r="J7" s="1911"/>
      <c r="K7" s="1911"/>
      <c r="L7" s="1911"/>
      <c r="M7" s="794">
        <v>6</v>
      </c>
      <c r="N7" s="1912" t="s">
        <v>341</v>
      </c>
      <c r="O7" s="1913"/>
      <c r="P7" s="1913"/>
      <c r="Q7" s="1914"/>
      <c r="R7" s="1909"/>
      <c r="S7" s="369"/>
      <c r="T7" s="369"/>
    </row>
    <row r="8" spans="1:24" ht="6" hidden="1" customHeight="1">
      <c r="A8" s="67"/>
      <c r="B8" s="66"/>
      <c r="C8" s="66"/>
      <c r="D8" s="66"/>
      <c r="E8" s="66"/>
      <c r="F8" s="66"/>
      <c r="G8" s="66"/>
      <c r="H8" s="66"/>
      <c r="I8" s="66"/>
      <c r="J8" s="66"/>
      <c r="K8" s="66"/>
      <c r="L8" s="66"/>
      <c r="M8" s="66"/>
      <c r="N8" s="66"/>
      <c r="O8" s="66"/>
      <c r="P8" s="66"/>
      <c r="Q8" s="66"/>
      <c r="R8" s="66"/>
      <c r="S8" s="368"/>
      <c r="T8" s="369"/>
    </row>
    <row r="9" spans="1:24" ht="15.95" customHeight="1">
      <c r="A9" s="67"/>
      <c r="B9" s="1675" t="s">
        <v>0</v>
      </c>
      <c r="C9" s="1676" t="s">
        <v>1</v>
      </c>
      <c r="D9" s="1676" t="s">
        <v>2</v>
      </c>
      <c r="E9" s="1676" t="s">
        <v>26</v>
      </c>
      <c r="F9" s="1915" t="s">
        <v>329</v>
      </c>
      <c r="G9" s="1915"/>
      <c r="H9" s="1915"/>
      <c r="I9" s="1915"/>
      <c r="J9" s="1915"/>
      <c r="K9" s="1915"/>
      <c r="L9" s="1916"/>
      <c r="M9" s="1891" t="s">
        <v>338</v>
      </c>
      <c r="N9" s="1892"/>
      <c r="O9" s="1893" t="s">
        <v>339</v>
      </c>
      <c r="P9" s="1894"/>
      <c r="Q9" s="1891" t="s">
        <v>340</v>
      </c>
      <c r="R9" s="1892"/>
      <c r="S9" s="369"/>
      <c r="T9" s="370"/>
      <c r="U9" s="297"/>
      <c r="V9" s="297"/>
      <c r="X9" s="297"/>
    </row>
    <row r="10" spans="1:24" ht="15.95" customHeight="1" thickBot="1">
      <c r="A10" s="67"/>
      <c r="B10" s="1629"/>
      <c r="C10" s="1631"/>
      <c r="D10" s="1631"/>
      <c r="E10" s="1631"/>
      <c r="F10" s="787" t="s">
        <v>192</v>
      </c>
      <c r="G10" s="795" t="s">
        <v>569</v>
      </c>
      <c r="H10" s="1905" t="s">
        <v>403</v>
      </c>
      <c r="I10" s="1905"/>
      <c r="J10" s="1905"/>
      <c r="K10" s="796" t="s">
        <v>570</v>
      </c>
      <c r="L10" s="797" t="s">
        <v>14</v>
      </c>
      <c r="M10" s="798" t="s">
        <v>328</v>
      </c>
      <c r="N10" s="799" t="s">
        <v>17</v>
      </c>
      <c r="O10" s="800" t="s">
        <v>328</v>
      </c>
      <c r="P10" s="801" t="s">
        <v>17</v>
      </c>
      <c r="Q10" s="798" t="s">
        <v>328</v>
      </c>
      <c r="R10" s="799" t="s">
        <v>17</v>
      </c>
      <c r="S10" s="369"/>
      <c r="T10" s="370"/>
      <c r="U10" s="297"/>
      <c r="V10" s="297"/>
      <c r="W10" s="297"/>
      <c r="X10" s="297"/>
    </row>
    <row r="11" spans="1:24" ht="24.95" customHeight="1">
      <c r="A11" s="68"/>
      <c r="B11" s="351">
        <v>1</v>
      </c>
      <c r="C11" s="352">
        <f>IF(Data!F5="","",Data!F5)</f>
        <v>0</v>
      </c>
      <c r="D11" s="353" t="str">
        <f>IF(Data!H5="","",Data!H5)</f>
        <v>Aldo Alfinus Pakae</v>
      </c>
      <c r="E11" s="354" t="str">
        <f>IF(Data!I5="","",Data!I5)</f>
        <v>L</v>
      </c>
      <c r="F11" s="788">
        <f>IF($F$10="YA",DKN!AW11,"")</f>
        <v>5</v>
      </c>
      <c r="G11" s="355" t="str">
        <f>IF(F11="","",IF(AND(F11&gt;=$E$2,F11&lt;=$F$2),$G$2,IF(AND(F11&gt;=$E$3,F11&lt;=$F$3),$G$3,IF(AND(F11&gt;=$E$4,F11&lt;=$F$4),$G$4,IF(AND(F11&gt;=$E$5,F11&lt;=$F$5),$G$5,IF(AND(F11&gt;=$E$6,F11&lt;=$F$6),$G$6,IF(AND(F11&gt;=$E$7,F11&lt;=$F$7),$G$7,"")))))))</f>
        <v>Prestasi baik, perlu dipertahankan dan dtingkatkan</v>
      </c>
      <c r="H11" s="356">
        <v>1</v>
      </c>
      <c r="I11" s="356">
        <v>3</v>
      </c>
      <c r="J11" s="356">
        <v>5</v>
      </c>
      <c r="K11" s="789" t="str">
        <f>IF(H11="","",CHOOSE(H11,$N$2,$N$3,$N$4,$N$5,$N$6,$N$7))&amp;" "&amp;IF(I11="","",CHOOSE(I11,$N$2,$N$3,$N$4,$N$5,$N$6,$N$7))&amp;" "&amp;IF(J11="","",CHOOSE(J11,$N$2,$N$3,$N$4,$N$5,$N$6,$N$7))</f>
        <v>Selalu berusaha untuk mematuhi tata tertib sekolah dan patuh terhadap Guru. Mempunyai kemampuan dan motivasi yang tinggi untuk menggunakan waktu secara efisien. Masih perlu memperbanyak teman bergaul dan teman diskusi, kurangi aktifitas menyendiri.</v>
      </c>
      <c r="L11" s="355" t="str">
        <f>G11&amp;""&amp;K11</f>
        <v>Prestasi baik, perlu dipertahankan dan dtingkatkanSelalu berusaha untuk mematuhi tata tertib sekolah dan patuh terhadap Guru. Mempunyai kemampuan dan motivasi yang tinggi untuk menggunakan waktu secara efisien. Masih perlu memperbanyak teman bergaul dan teman diskusi, kurangi aktifitas menyendiri.</v>
      </c>
      <c r="M11" s="790" t="s">
        <v>416</v>
      </c>
      <c r="N11" s="791" t="s">
        <v>571</v>
      </c>
      <c r="O11" s="360" t="s">
        <v>417</v>
      </c>
      <c r="P11" s="361" t="s">
        <v>465</v>
      </c>
      <c r="Q11" s="358"/>
      <c r="R11" s="359"/>
      <c r="S11" s="369"/>
      <c r="T11" s="370"/>
      <c r="U11" s="297"/>
      <c r="V11" s="297"/>
      <c r="W11" s="297"/>
      <c r="X11" s="297"/>
    </row>
    <row r="12" spans="1:24" ht="24.95" customHeight="1">
      <c r="A12" s="67"/>
      <c r="B12" s="272">
        <f t="shared" ref="B12:B60" si="0">IF(D12="","",B11+1)</f>
        <v>2</v>
      </c>
      <c r="C12" s="273">
        <f>IF(Data!F6="","",Data!F6)</f>
        <v>0</v>
      </c>
      <c r="D12" s="274" t="str">
        <f>IF(Data!H6="","",Data!H6)</f>
        <v>Aprianus Bira</v>
      </c>
      <c r="E12" s="350" t="str">
        <f>IF(Data!I6="","",Data!I6)</f>
        <v>L</v>
      </c>
      <c r="F12" s="788">
        <f>IF($F$10="YA",DKN!AW12,"")</f>
        <v>21</v>
      </c>
      <c r="G12" s="355" t="str">
        <f t="shared" ref="G12" si="1">IF(F12="","",IF(AND(F12&gt;=$E$2,F12&lt;=$F$2),$G$2,IF(AND(F12&gt;=$E$3,F12&lt;=$F$3),$G$3,IF(AND(F12&gt;=$E$4,F12&lt;=$F$4),$G$4,IF(AND(F12&gt;=$E$5,F12&lt;=$F$5),$G$5,IF(AND(F12&gt;=$E$6,F12&lt;=$F$6),$G$6,IF(AND(F12&gt;=$E$7,F12&lt;=$F$7),$G$7,"")))))))</f>
        <v>Perlu dimaksimalkan belajarnya, usaha keras dan berdoa</v>
      </c>
      <c r="H12" s="357">
        <v>2</v>
      </c>
      <c r="I12" s="357">
        <v>4</v>
      </c>
      <c r="J12" s="357"/>
      <c r="K12" s="789" t="str">
        <f>IF(H12="","",CHOOSE(H12,$N$2,$N$3,$N$4,$N$5,$N$6,$N$7))&amp;" "&amp;IF(I12="","",CHOOSE(I12,$N$2,$N$3,$N$4,$N$5,$N$6,$N$7))&amp;" "&amp;IF(J12="","",CHOOSE(J12,$N$2,$N$3,$N$4,$N$5,$N$6,$N$7))</f>
        <v xml:space="preserve">Selalu berusaha untuk mandiri dan tepat waktu dalam mengerjakan tugas. Diharapkan merubah penampilannya menjadi lebih rapi. Seperti tentang potong rambut dan cara berpakaian. </v>
      </c>
      <c r="L12" s="355" t="str">
        <f>G12&amp;""&amp;K12</f>
        <v xml:space="preserve">Perlu dimaksimalkan belajarnya, usaha keras dan berdoaSelalu berusaha untuk mandiri dan tepat waktu dalam mengerjakan tugas. Diharapkan merubah penampilannya menjadi lebih rapi. Seperti tentang potong rambut dan cara berpakaian. </v>
      </c>
      <c r="M12" s="792"/>
      <c r="N12" s="793"/>
      <c r="O12" s="364"/>
      <c r="P12" s="365"/>
      <c r="Q12" s="362"/>
      <c r="R12" s="363"/>
      <c r="S12" s="369"/>
      <c r="T12" s="370"/>
      <c r="U12" s="297"/>
      <c r="V12" s="297"/>
      <c r="W12" s="297"/>
      <c r="X12" s="297"/>
    </row>
    <row r="13" spans="1:24" ht="24.95" customHeight="1">
      <c r="A13" s="67"/>
      <c r="B13" s="272">
        <f t="shared" si="0"/>
        <v>3</v>
      </c>
      <c r="C13" s="273">
        <f>IF(Data!F7="","",Data!F7)</f>
        <v>0</v>
      </c>
      <c r="D13" s="274" t="str">
        <f>IF(Data!H7="","",Data!H7)</f>
        <v>Asri Aldina Baksuni</v>
      </c>
      <c r="E13" s="350" t="str">
        <f>IF(Data!I7="","",Data!I7)</f>
        <v>P</v>
      </c>
      <c r="F13" s="788">
        <f>IF($F$10="YA",DKN!AW13,"")</f>
        <v>1</v>
      </c>
      <c r="G13" s="355" t="str">
        <f t="shared" ref="G13:G60" si="2">IF(F13="","",IF(AND(F13&gt;=$E$2,F13&lt;=$F$2),$G$2,IF(AND(F13&gt;=$E$3,F13&lt;=$F$3),$G$3,IF(AND(F13&gt;=$E$4,F13&lt;=$F$4),$G$4,IF(AND(F13&gt;=$E$5,F13&lt;=$F$5),$G$5,IF(AND(F13&gt;=$E$6,F13&lt;=$F$6),$G$6,IF(AND(F13&gt;=$E$7,F13&lt;=$F$7),$G$7,"")))))))</f>
        <v>Prestasinya sangat baik, perlu dipertahankan</v>
      </c>
      <c r="H13" s="357"/>
      <c r="I13" s="357"/>
      <c r="J13" s="357"/>
      <c r="K13" s="789" t="str">
        <f t="shared" ref="K13:K60" si="3">IF(H13="","",CHOOSE(H13,$N$2,$N$3,$N$4,$N$5,$N$6,$N$7))&amp;" "&amp;IF(I13="","",CHOOSE(I13,$N$2,$N$3,$N$4,$N$5,$N$6,$N$7))&amp;" "&amp;IF(J13="","",CHOOSE(J13,$N$2,$N$3,$N$4,$N$5,$N$6,$N$7))</f>
        <v xml:space="preserve">  </v>
      </c>
      <c r="L13" s="355" t="str">
        <f t="shared" ref="L13:L60" si="4">G13&amp;""&amp;K13</f>
        <v xml:space="preserve">Prestasinya sangat baik, perlu dipertahankan  </v>
      </c>
      <c r="M13" s="362"/>
      <c r="N13" s="363"/>
      <c r="O13" s="364"/>
      <c r="P13" s="365"/>
      <c r="Q13" s="362"/>
      <c r="R13" s="363"/>
      <c r="S13" s="369"/>
      <c r="T13" s="370"/>
      <c r="U13" s="297"/>
      <c r="V13" s="297"/>
      <c r="W13" s="297"/>
      <c r="X13" s="297"/>
    </row>
    <row r="14" spans="1:24" ht="24.95" customHeight="1">
      <c r="A14" s="67"/>
      <c r="B14" s="272">
        <f t="shared" si="0"/>
        <v>4</v>
      </c>
      <c r="C14" s="273">
        <f>IF(Data!F8="","",Data!F8)</f>
        <v>0</v>
      </c>
      <c r="D14" s="274" t="str">
        <f>IF(Data!H8="","",Data!H8)</f>
        <v>Asti Welmince Welkis</v>
      </c>
      <c r="E14" s="350" t="str">
        <f>IF(Data!I8="","",Data!I8)</f>
        <v>P</v>
      </c>
      <c r="F14" s="788">
        <f>IF($F$10="YA",DKN!AW14,"")</f>
        <v>6</v>
      </c>
      <c r="G14" s="355" t="str">
        <f t="shared" si="2"/>
        <v>Prestasi baik, perlu dipertahankan dan dtingkatkan</v>
      </c>
      <c r="H14" s="357"/>
      <c r="I14" s="357"/>
      <c r="J14" s="357"/>
      <c r="K14" s="789" t="str">
        <f t="shared" si="3"/>
        <v xml:space="preserve">  </v>
      </c>
      <c r="L14" s="355" t="str">
        <f t="shared" si="4"/>
        <v xml:space="preserve">Prestasi baik, perlu dipertahankan dan dtingkatkan  </v>
      </c>
      <c r="M14" s="362"/>
      <c r="N14" s="363"/>
      <c r="O14" s="364"/>
      <c r="P14" s="365"/>
      <c r="Q14" s="362"/>
      <c r="R14" s="363"/>
      <c r="S14" s="369"/>
      <c r="T14" s="370"/>
      <c r="U14" s="297"/>
      <c r="V14" s="297"/>
      <c r="W14" s="297"/>
      <c r="X14" s="297"/>
    </row>
    <row r="15" spans="1:24" ht="24.95" customHeight="1">
      <c r="A15" s="67"/>
      <c r="B15" s="272">
        <f t="shared" si="0"/>
        <v>5</v>
      </c>
      <c r="C15" s="273">
        <f>IF(Data!F9="","",Data!F9)</f>
        <v>0</v>
      </c>
      <c r="D15" s="274" t="str">
        <f>IF(Data!H9="","",Data!H9)</f>
        <v>Aulya Noviyanti Mbura</v>
      </c>
      <c r="E15" s="350" t="str">
        <f>IF(Data!I9="","",Data!I9)</f>
        <v>P</v>
      </c>
      <c r="F15" s="788">
        <f>IF($F$10="YA",DKN!AW15,"")</f>
        <v>3</v>
      </c>
      <c r="G15" s="355" t="str">
        <f t="shared" si="2"/>
        <v>Prestasinya sangat baik, perlu dipertahankan</v>
      </c>
      <c r="H15" s="357"/>
      <c r="I15" s="357"/>
      <c r="J15" s="357"/>
      <c r="K15" s="789" t="str">
        <f t="shared" si="3"/>
        <v xml:space="preserve">  </v>
      </c>
      <c r="L15" s="355" t="str">
        <f t="shared" si="4"/>
        <v xml:space="preserve">Prestasinya sangat baik, perlu dipertahankan  </v>
      </c>
      <c r="M15" s="362"/>
      <c r="N15" s="363"/>
      <c r="O15" s="364"/>
      <c r="P15" s="365"/>
      <c r="Q15" s="362"/>
      <c r="R15" s="363"/>
      <c r="S15" s="369"/>
      <c r="T15" s="370"/>
      <c r="U15" s="297"/>
      <c r="V15" s="297"/>
      <c r="W15" s="297"/>
      <c r="X15" s="297"/>
    </row>
    <row r="16" spans="1:24" s="61" customFormat="1" ht="24.95" customHeight="1">
      <c r="A16" s="67"/>
      <c r="B16" s="272">
        <f t="shared" si="0"/>
        <v>6</v>
      </c>
      <c r="C16" s="273">
        <f>IF(Data!F10="","",Data!F10)</f>
        <v>0</v>
      </c>
      <c r="D16" s="274" t="str">
        <f>IF(Data!H10="","",Data!H10)</f>
        <v>Ayu Oliberta Ranboki</v>
      </c>
      <c r="E16" s="350" t="str">
        <f>IF(Data!I10="","",Data!I10)</f>
        <v>P</v>
      </c>
      <c r="F16" s="788">
        <f>IF($F$10="YA",DKN!AW16,"")</f>
        <v>2</v>
      </c>
      <c r="G16" s="355" t="str">
        <f t="shared" si="2"/>
        <v>Prestasinya sangat baik, perlu dipertahankan</v>
      </c>
      <c r="H16" s="357"/>
      <c r="I16" s="357"/>
      <c r="J16" s="357"/>
      <c r="K16" s="789" t="str">
        <f t="shared" si="3"/>
        <v xml:space="preserve">  </v>
      </c>
      <c r="L16" s="355" t="str">
        <f t="shared" si="4"/>
        <v xml:space="preserve">Prestasinya sangat baik, perlu dipertahankan  </v>
      </c>
      <c r="M16" s="362"/>
      <c r="N16" s="363"/>
      <c r="O16" s="364"/>
      <c r="P16" s="365"/>
      <c r="Q16" s="362"/>
      <c r="R16" s="363"/>
      <c r="S16" s="368"/>
      <c r="T16" s="254"/>
      <c r="U16" s="346"/>
      <c r="V16" s="346"/>
      <c r="W16" s="346"/>
      <c r="X16" s="346"/>
    </row>
    <row r="17" spans="1:24" ht="24.95" customHeight="1">
      <c r="A17" s="67"/>
      <c r="B17" s="272">
        <f t="shared" si="0"/>
        <v>7</v>
      </c>
      <c r="C17" s="273">
        <f>IF(Data!F11="","",Data!F11)</f>
        <v>0</v>
      </c>
      <c r="D17" s="274" t="str">
        <f>IF(Data!H11="","",Data!H11)</f>
        <v>Benediktus Faot</v>
      </c>
      <c r="E17" s="350" t="str">
        <f>IF(Data!I11="","",Data!I11)</f>
        <v>L</v>
      </c>
      <c r="F17" s="788">
        <f>IF($F$10="YA",DKN!AW17,"")</f>
        <v>18</v>
      </c>
      <c r="G17" s="355" t="str">
        <f t="shared" si="2"/>
        <v>Perlu ditingkatkan belajarnya, jangan lupa berdoa</v>
      </c>
      <c r="H17" s="357"/>
      <c r="I17" s="357"/>
      <c r="J17" s="357"/>
      <c r="K17" s="789" t="str">
        <f t="shared" si="3"/>
        <v xml:space="preserve">  </v>
      </c>
      <c r="L17" s="355" t="str">
        <f t="shared" si="4"/>
        <v xml:space="preserve">Perlu ditingkatkan belajarnya, jangan lupa berdoa  </v>
      </c>
      <c r="M17" s="362"/>
      <c r="N17" s="363"/>
      <c r="O17" s="364"/>
      <c r="P17" s="365"/>
      <c r="Q17" s="362"/>
      <c r="R17" s="363"/>
      <c r="S17" s="369"/>
      <c r="T17" s="370"/>
      <c r="U17" s="297"/>
      <c r="V17" s="297"/>
      <c r="W17" s="297"/>
      <c r="X17" s="297"/>
    </row>
    <row r="18" spans="1:24" ht="24.95" customHeight="1">
      <c r="A18" s="67"/>
      <c r="B18" s="272">
        <f t="shared" si="0"/>
        <v>8</v>
      </c>
      <c r="C18" s="273">
        <f>IF(Data!F12="","",Data!F12)</f>
        <v>0</v>
      </c>
      <c r="D18" s="274" t="str">
        <f>IF(Data!H12="","",Data!H12)</f>
        <v>Betron Imanuel Kuni</v>
      </c>
      <c r="E18" s="350" t="str">
        <f>IF(Data!I12="","",Data!I12)</f>
        <v>L</v>
      </c>
      <c r="F18" s="788">
        <f>IF($F$10="YA",DKN!AW18,"")</f>
        <v>33</v>
      </c>
      <c r="G18" s="355" t="str">
        <f t="shared" si="2"/>
        <v>Perlu usaha keras, maksimalkan belajarnya, lebih giat berdoa dan beribadah.</v>
      </c>
      <c r="H18" s="357"/>
      <c r="I18" s="357"/>
      <c r="J18" s="357"/>
      <c r="K18" s="789" t="str">
        <f t="shared" si="3"/>
        <v xml:space="preserve">  </v>
      </c>
      <c r="L18" s="355" t="str">
        <f t="shared" si="4"/>
        <v xml:space="preserve">Perlu usaha keras, maksimalkan belajarnya, lebih giat berdoa dan beribadah.  </v>
      </c>
      <c r="M18" s="362"/>
      <c r="N18" s="363"/>
      <c r="O18" s="364"/>
      <c r="P18" s="365"/>
      <c r="Q18" s="362"/>
      <c r="R18" s="363"/>
      <c r="S18" s="369"/>
      <c r="T18" s="370"/>
      <c r="U18" s="297"/>
      <c r="V18" s="297"/>
      <c r="W18" s="297"/>
      <c r="X18" s="297"/>
    </row>
    <row r="19" spans="1:24" ht="24.95" customHeight="1">
      <c r="A19" s="67"/>
      <c r="B19" s="272">
        <f t="shared" si="0"/>
        <v>9</v>
      </c>
      <c r="C19" s="273">
        <f>IF(Data!F13="","",Data!F13)</f>
        <v>0</v>
      </c>
      <c r="D19" s="274" t="str">
        <f>IF(Data!H13="","",Data!H13)</f>
        <v>Demrianus Ton</v>
      </c>
      <c r="E19" s="350" t="str">
        <f>IF(Data!I13="","",Data!I13)</f>
        <v>L</v>
      </c>
      <c r="F19" s="788">
        <f>IF($F$10="YA",DKN!AW19,"")</f>
        <v>36</v>
      </c>
      <c r="G19" s="355" t="str">
        <f t="shared" si="2"/>
        <v>Perlu usaha keras, maksimalkan belajarnya, lebih giat berdoa dan beribadah.</v>
      </c>
      <c r="H19" s="357"/>
      <c r="I19" s="357"/>
      <c r="J19" s="357"/>
      <c r="K19" s="789" t="str">
        <f t="shared" si="3"/>
        <v xml:space="preserve">  </v>
      </c>
      <c r="L19" s="355" t="str">
        <f t="shared" si="4"/>
        <v xml:space="preserve">Perlu usaha keras, maksimalkan belajarnya, lebih giat berdoa dan beribadah.  </v>
      </c>
      <c r="M19" s="362"/>
      <c r="N19" s="363"/>
      <c r="O19" s="364"/>
      <c r="P19" s="365"/>
      <c r="Q19" s="362"/>
      <c r="R19" s="363"/>
      <c r="S19" s="369"/>
      <c r="T19" s="370"/>
      <c r="U19" s="297"/>
      <c r="V19" s="297"/>
      <c r="W19" s="297"/>
      <c r="X19" s="297"/>
    </row>
    <row r="20" spans="1:24" ht="24.95" customHeight="1">
      <c r="A20" s="67"/>
      <c r="B20" s="272">
        <f t="shared" si="0"/>
        <v>10</v>
      </c>
      <c r="C20" s="273">
        <f>IF(Data!F14="","",Data!F14)</f>
        <v>0</v>
      </c>
      <c r="D20" s="274" t="str">
        <f>IF(Data!H14="","",Data!H14)</f>
        <v>Desti Manggoa</v>
      </c>
      <c r="E20" s="350" t="str">
        <f>IF(Data!I14="","",Data!I14)</f>
        <v>P</v>
      </c>
      <c r="F20" s="788">
        <f>IF($F$10="YA",DKN!AW20,"")</f>
        <v>26</v>
      </c>
      <c r="G20" s="355" t="str">
        <f t="shared" si="2"/>
        <v>Perlu usaha keras, maksimalkan belajarnya, lebih giat berdoa dan beribadah.</v>
      </c>
      <c r="H20" s="357"/>
      <c r="I20" s="357"/>
      <c r="J20" s="357"/>
      <c r="K20" s="789" t="str">
        <f t="shared" si="3"/>
        <v xml:space="preserve">  </v>
      </c>
      <c r="L20" s="355" t="str">
        <f t="shared" si="4"/>
        <v xml:space="preserve">Perlu usaha keras, maksimalkan belajarnya, lebih giat berdoa dan beribadah.  </v>
      </c>
      <c r="M20" s="362"/>
      <c r="N20" s="363"/>
      <c r="O20" s="364"/>
      <c r="P20" s="365"/>
      <c r="Q20" s="362"/>
      <c r="R20" s="363"/>
      <c r="S20" s="369"/>
      <c r="T20" s="370"/>
      <c r="U20" s="297"/>
      <c r="V20" s="297"/>
      <c r="W20" s="297"/>
      <c r="X20" s="297"/>
    </row>
    <row r="21" spans="1:24" ht="24.95" customHeight="1">
      <c r="A21" s="67"/>
      <c r="B21" s="272">
        <f t="shared" si="0"/>
        <v>11</v>
      </c>
      <c r="C21" s="273">
        <f>IF(Data!F15="","",Data!F15)</f>
        <v>0</v>
      </c>
      <c r="D21" s="274" t="str">
        <f>IF(Data!H15="","",Data!H15)</f>
        <v>Dorkas Meliana Talita Kesnay</v>
      </c>
      <c r="E21" s="350" t="str">
        <f>IF(Data!I15="","",Data!I15)</f>
        <v>P</v>
      </c>
      <c r="F21" s="788">
        <f>IF($F$10="YA",DKN!AW21,"")</f>
        <v>20</v>
      </c>
      <c r="G21" s="355" t="str">
        <f t="shared" si="2"/>
        <v>Perlu ditingkatkan belajarnya, jangan lupa berdoa</v>
      </c>
      <c r="H21" s="357"/>
      <c r="I21" s="357"/>
      <c r="J21" s="357"/>
      <c r="K21" s="789" t="str">
        <f t="shared" si="3"/>
        <v xml:space="preserve">  </v>
      </c>
      <c r="L21" s="355" t="str">
        <f t="shared" si="4"/>
        <v xml:space="preserve">Perlu ditingkatkan belajarnya, jangan lupa berdoa  </v>
      </c>
      <c r="M21" s="362"/>
      <c r="N21" s="363"/>
      <c r="O21" s="364"/>
      <c r="P21" s="365"/>
      <c r="Q21" s="362"/>
      <c r="R21" s="363"/>
      <c r="S21" s="369"/>
      <c r="T21" s="370"/>
      <c r="U21" s="297"/>
      <c r="V21" s="297"/>
      <c r="W21" s="297"/>
      <c r="X21" s="297"/>
    </row>
    <row r="22" spans="1:24" ht="24.95" customHeight="1">
      <c r="A22" s="67"/>
      <c r="B22" s="272">
        <f t="shared" si="0"/>
        <v>12</v>
      </c>
      <c r="C22" s="273">
        <f>IF(Data!F16="","",Data!F16)</f>
        <v>0</v>
      </c>
      <c r="D22" s="274" t="str">
        <f>IF(Data!H16="","",Data!H16)</f>
        <v>Erto Seprianto Leukune</v>
      </c>
      <c r="E22" s="350" t="str">
        <f>IF(Data!I16="","",Data!I16)</f>
        <v>L</v>
      </c>
      <c r="F22" s="788">
        <f>IF($F$10="YA",DKN!AW22,"")</f>
        <v>29</v>
      </c>
      <c r="G22" s="355" t="str">
        <f t="shared" si="2"/>
        <v>Perlu usaha keras, maksimalkan belajarnya, lebih giat berdoa dan beribadah.</v>
      </c>
      <c r="H22" s="357"/>
      <c r="I22" s="357"/>
      <c r="J22" s="357"/>
      <c r="K22" s="789" t="str">
        <f t="shared" si="3"/>
        <v xml:space="preserve">  </v>
      </c>
      <c r="L22" s="355" t="str">
        <f t="shared" si="4"/>
        <v xml:space="preserve">Perlu usaha keras, maksimalkan belajarnya, lebih giat berdoa dan beribadah.  </v>
      </c>
      <c r="M22" s="362"/>
      <c r="N22" s="363"/>
      <c r="O22" s="364"/>
      <c r="P22" s="365"/>
      <c r="Q22" s="362"/>
      <c r="R22" s="363"/>
      <c r="S22" s="369"/>
      <c r="T22" s="370"/>
      <c r="U22" s="297"/>
      <c r="V22" s="297"/>
      <c r="W22" s="297"/>
      <c r="X22" s="297"/>
    </row>
    <row r="23" spans="1:24" ht="24.95" customHeight="1">
      <c r="A23" s="67"/>
      <c r="B23" s="272">
        <f t="shared" si="0"/>
        <v>13</v>
      </c>
      <c r="C23" s="273">
        <f>IF(Data!F17="","",Data!F17)</f>
        <v>0</v>
      </c>
      <c r="D23" s="274" t="str">
        <f>IF(Data!H17="","",Data!H17)</f>
        <v>Feli Tipnoni</v>
      </c>
      <c r="E23" s="350" t="str">
        <f>IF(Data!I17="","",Data!I17)</f>
        <v>P</v>
      </c>
      <c r="F23" s="788">
        <f>IF($F$10="YA",DKN!AW23,"")</f>
        <v>23</v>
      </c>
      <c r="G23" s="355" t="str">
        <f t="shared" si="2"/>
        <v>Perlu dimaksimalkan belajarnya, usaha keras dan berdoa</v>
      </c>
      <c r="H23" s="357"/>
      <c r="I23" s="357"/>
      <c r="J23" s="357"/>
      <c r="K23" s="789" t="str">
        <f t="shared" si="3"/>
        <v xml:space="preserve">  </v>
      </c>
      <c r="L23" s="355" t="str">
        <f t="shared" si="4"/>
        <v xml:space="preserve">Perlu dimaksimalkan belajarnya, usaha keras dan berdoa  </v>
      </c>
      <c r="M23" s="362"/>
      <c r="N23" s="363"/>
      <c r="O23" s="364"/>
      <c r="P23" s="365"/>
      <c r="Q23" s="362"/>
      <c r="R23" s="363"/>
      <c r="S23" s="369"/>
      <c r="T23" s="370"/>
      <c r="U23" s="297"/>
      <c r="V23" s="297"/>
      <c r="W23" s="297"/>
      <c r="X23" s="297"/>
    </row>
    <row r="24" spans="1:24" ht="24.95" customHeight="1">
      <c r="A24" s="67"/>
      <c r="B24" s="272">
        <f t="shared" si="0"/>
        <v>14</v>
      </c>
      <c r="C24" s="273">
        <f>IF(Data!F18="","",Data!F18)</f>
        <v>0</v>
      </c>
      <c r="D24" s="274" t="str">
        <f>IF(Data!H18="","",Data!H18)</f>
        <v xml:space="preserve">Ferdinandes Sakbana </v>
      </c>
      <c r="E24" s="350" t="str">
        <f>IF(Data!I18="","",Data!I18)</f>
        <v>L</v>
      </c>
      <c r="F24" s="788">
        <f>IF($F$10="YA",DKN!AW24,"")</f>
        <v>32</v>
      </c>
      <c r="G24" s="355" t="str">
        <f t="shared" si="2"/>
        <v>Perlu usaha keras, maksimalkan belajarnya, lebih giat berdoa dan beribadah.</v>
      </c>
      <c r="H24" s="357"/>
      <c r="I24" s="357"/>
      <c r="J24" s="357"/>
      <c r="K24" s="789" t="str">
        <f t="shared" si="3"/>
        <v xml:space="preserve">  </v>
      </c>
      <c r="L24" s="355" t="str">
        <f t="shared" si="4"/>
        <v xml:space="preserve">Perlu usaha keras, maksimalkan belajarnya, lebih giat berdoa dan beribadah.  </v>
      </c>
      <c r="M24" s="362"/>
      <c r="N24" s="363"/>
      <c r="O24" s="364"/>
      <c r="P24" s="365"/>
      <c r="Q24" s="362"/>
      <c r="R24" s="363"/>
      <c r="S24" s="369"/>
      <c r="T24" s="370"/>
      <c r="U24" s="297"/>
      <c r="V24" s="297"/>
      <c r="W24" s="297"/>
      <c r="X24" s="297"/>
    </row>
    <row r="25" spans="1:24" ht="24.95" customHeight="1">
      <c r="A25" s="67"/>
      <c r="B25" s="272">
        <f t="shared" si="0"/>
        <v>15</v>
      </c>
      <c r="C25" s="273">
        <f>IF(Data!F19="","",Data!F19)</f>
        <v>0</v>
      </c>
      <c r="D25" s="274" t="str">
        <f>IF(Data!H19="","",Data!H19)</f>
        <v>Fitri Novani Nitbani</v>
      </c>
      <c r="E25" s="350" t="str">
        <f>IF(Data!I19="","",Data!I19)</f>
        <v>P</v>
      </c>
      <c r="F25" s="788">
        <f>IF($F$10="YA",DKN!AW25,"")</f>
        <v>18</v>
      </c>
      <c r="G25" s="355" t="str">
        <f t="shared" si="2"/>
        <v>Perlu ditingkatkan belajarnya, jangan lupa berdoa</v>
      </c>
      <c r="H25" s="357"/>
      <c r="I25" s="357"/>
      <c r="J25" s="357"/>
      <c r="K25" s="789" t="str">
        <f t="shared" si="3"/>
        <v xml:space="preserve">  </v>
      </c>
      <c r="L25" s="355" t="str">
        <f t="shared" si="4"/>
        <v xml:space="preserve">Perlu ditingkatkan belajarnya, jangan lupa berdoa  </v>
      </c>
      <c r="M25" s="362"/>
      <c r="N25" s="363"/>
      <c r="O25" s="364"/>
      <c r="P25" s="365"/>
      <c r="Q25" s="362"/>
      <c r="R25" s="363"/>
      <c r="S25" s="369"/>
      <c r="T25" s="370"/>
      <c r="U25" s="297"/>
      <c r="V25" s="297"/>
      <c r="W25" s="297"/>
      <c r="X25" s="297"/>
    </row>
    <row r="26" spans="1:24" s="61" customFormat="1" ht="24.95" customHeight="1">
      <c r="A26" s="67"/>
      <c r="B26" s="272">
        <f t="shared" si="0"/>
        <v>16</v>
      </c>
      <c r="C26" s="273">
        <f>IF(Data!F20="","",Data!F20)</f>
        <v>0</v>
      </c>
      <c r="D26" s="274" t="str">
        <f>IF(Data!H20="","",Data!H20)</f>
        <v>Helsina Benu</v>
      </c>
      <c r="E26" s="350" t="str">
        <f>IF(Data!I20="","",Data!I20)</f>
        <v>P</v>
      </c>
      <c r="F26" s="788">
        <f>IF($F$10="YA",DKN!AW26,"")</f>
        <v>7</v>
      </c>
      <c r="G26" s="355" t="str">
        <f t="shared" si="2"/>
        <v>Prestasi baik, perlu dipertahankan dan dtingkatkan</v>
      </c>
      <c r="H26" s="357"/>
      <c r="I26" s="357"/>
      <c r="J26" s="357"/>
      <c r="K26" s="789" t="str">
        <f t="shared" si="3"/>
        <v xml:space="preserve">  </v>
      </c>
      <c r="L26" s="355" t="str">
        <f t="shared" si="4"/>
        <v xml:space="preserve">Prestasi baik, perlu dipertahankan dan dtingkatkan  </v>
      </c>
      <c r="M26" s="362"/>
      <c r="N26" s="363"/>
      <c r="O26" s="364"/>
      <c r="P26" s="365"/>
      <c r="Q26" s="362"/>
      <c r="R26" s="363"/>
      <c r="S26" s="368"/>
      <c r="T26" s="254"/>
      <c r="U26" s="346"/>
      <c r="V26" s="346"/>
      <c r="W26" s="346"/>
      <c r="X26" s="346"/>
    </row>
    <row r="27" spans="1:24" ht="24.95" customHeight="1">
      <c r="A27" s="67"/>
      <c r="B27" s="272">
        <f t="shared" si="0"/>
        <v>17</v>
      </c>
      <c r="C27" s="273">
        <f>IF(Data!F21="","",Data!F21)</f>
        <v>0</v>
      </c>
      <c r="D27" s="274" t="str">
        <f>IF(Data!H21="","",Data!H21)</f>
        <v xml:space="preserve">Hezron Nubatonis </v>
      </c>
      <c r="E27" s="350" t="str">
        <f>IF(Data!I21="","",Data!I21)</f>
        <v>L</v>
      </c>
      <c r="F27" s="788">
        <f>IF($F$10="YA",DKN!AW27,"")</f>
        <v>34</v>
      </c>
      <c r="G27" s="355" t="str">
        <f t="shared" si="2"/>
        <v>Perlu usaha keras, maksimalkan belajarnya, lebih giat berdoa dan beribadah.</v>
      </c>
      <c r="H27" s="357"/>
      <c r="I27" s="357"/>
      <c r="J27" s="357"/>
      <c r="K27" s="789" t="str">
        <f t="shared" si="3"/>
        <v xml:space="preserve">  </v>
      </c>
      <c r="L27" s="355" t="str">
        <f t="shared" si="4"/>
        <v xml:space="preserve">Perlu usaha keras, maksimalkan belajarnya, lebih giat berdoa dan beribadah.  </v>
      </c>
      <c r="M27" s="362"/>
      <c r="N27" s="363"/>
      <c r="O27" s="364"/>
      <c r="P27" s="365"/>
      <c r="Q27" s="362"/>
      <c r="R27" s="363"/>
      <c r="S27" s="369"/>
      <c r="T27" s="370"/>
      <c r="U27" s="297"/>
      <c r="V27" s="297"/>
      <c r="W27" s="297"/>
      <c r="X27" s="297"/>
    </row>
    <row r="28" spans="1:24" ht="24.95" customHeight="1">
      <c r="A28" s="67"/>
      <c r="B28" s="272">
        <f t="shared" si="0"/>
        <v>18</v>
      </c>
      <c r="C28" s="273">
        <f>IF(Data!F22="","",Data!F22)</f>
        <v>0</v>
      </c>
      <c r="D28" s="274" t="str">
        <f>IF(Data!H22="","",Data!H22)</f>
        <v>Jelita Anita Boimau</v>
      </c>
      <c r="E28" s="350" t="str">
        <f>IF(Data!I22="","",Data!I22)</f>
        <v>P</v>
      </c>
      <c r="F28" s="788">
        <f>IF($F$10="YA",DKN!AW28,"")</f>
        <v>14</v>
      </c>
      <c r="G28" s="355" t="str">
        <f t="shared" si="2"/>
        <v>Prestasi cukup, perlu ditingkatkan belajar dan berdoa.</v>
      </c>
      <c r="H28" s="357"/>
      <c r="I28" s="357"/>
      <c r="J28" s="357"/>
      <c r="K28" s="789" t="str">
        <f t="shared" si="3"/>
        <v xml:space="preserve">  </v>
      </c>
      <c r="L28" s="355" t="str">
        <f t="shared" si="4"/>
        <v xml:space="preserve">Prestasi cukup, perlu ditingkatkan belajar dan berdoa.  </v>
      </c>
      <c r="M28" s="362"/>
      <c r="N28" s="363"/>
      <c r="O28" s="364"/>
      <c r="P28" s="365"/>
      <c r="Q28" s="362"/>
      <c r="R28" s="363"/>
      <c r="S28" s="369"/>
      <c r="T28" s="370"/>
      <c r="U28" s="297"/>
      <c r="V28" s="297"/>
      <c r="W28" s="297"/>
      <c r="X28" s="297"/>
    </row>
    <row r="29" spans="1:24" ht="24.95" customHeight="1">
      <c r="A29" s="67"/>
      <c r="B29" s="272">
        <f t="shared" si="0"/>
        <v>19</v>
      </c>
      <c r="C29" s="273">
        <f>IF(Data!F23="","",Data!F23)</f>
        <v>0</v>
      </c>
      <c r="D29" s="274" t="str">
        <f>IF(Data!H23="","",Data!H23)</f>
        <v>Jidon Nubatonis</v>
      </c>
      <c r="E29" s="350" t="str">
        <f>IF(Data!I23="","",Data!I23)</f>
        <v>L</v>
      </c>
      <c r="F29" s="788">
        <f>IF($F$10="YA",DKN!AW29,"")</f>
        <v>28</v>
      </c>
      <c r="G29" s="355" t="str">
        <f t="shared" si="2"/>
        <v>Perlu usaha keras, maksimalkan belajarnya, lebih giat berdoa dan beribadah.</v>
      </c>
      <c r="H29" s="357"/>
      <c r="I29" s="357"/>
      <c r="J29" s="357"/>
      <c r="K29" s="789" t="str">
        <f t="shared" si="3"/>
        <v xml:space="preserve">  </v>
      </c>
      <c r="L29" s="355" t="str">
        <f t="shared" si="4"/>
        <v xml:space="preserve">Perlu usaha keras, maksimalkan belajarnya, lebih giat berdoa dan beribadah.  </v>
      </c>
      <c r="M29" s="362"/>
      <c r="N29" s="363"/>
      <c r="O29" s="364"/>
      <c r="P29" s="365"/>
      <c r="Q29" s="362"/>
      <c r="R29" s="363"/>
      <c r="S29" s="369"/>
      <c r="T29" s="370"/>
      <c r="U29" s="297"/>
      <c r="V29" s="297"/>
      <c r="W29" s="297"/>
      <c r="X29" s="297"/>
    </row>
    <row r="30" spans="1:24" ht="24.95" customHeight="1">
      <c r="A30" s="67"/>
      <c r="B30" s="272">
        <f t="shared" si="0"/>
        <v>20</v>
      </c>
      <c r="C30" s="273">
        <f>IF(Data!F24="","",Data!F24)</f>
        <v>0</v>
      </c>
      <c r="D30" s="274" t="str">
        <f>IF(Data!H24="","",Data!H24)</f>
        <v>Jitro Andro Baran</v>
      </c>
      <c r="E30" s="350" t="str">
        <f>IF(Data!I24="","",Data!I24)</f>
        <v>L</v>
      </c>
      <c r="F30" s="788">
        <f>IF($F$10="YA",DKN!AW30,"")</f>
        <v>30</v>
      </c>
      <c r="G30" s="355" t="str">
        <f t="shared" si="2"/>
        <v>Perlu usaha keras, maksimalkan belajarnya, lebih giat berdoa dan beribadah.</v>
      </c>
      <c r="H30" s="357"/>
      <c r="I30" s="357"/>
      <c r="J30" s="357"/>
      <c r="K30" s="789" t="str">
        <f t="shared" si="3"/>
        <v xml:space="preserve">  </v>
      </c>
      <c r="L30" s="355" t="str">
        <f t="shared" si="4"/>
        <v xml:space="preserve">Perlu usaha keras, maksimalkan belajarnya, lebih giat berdoa dan beribadah.  </v>
      </c>
      <c r="M30" s="362"/>
      <c r="N30" s="363"/>
      <c r="O30" s="364"/>
      <c r="P30" s="365"/>
      <c r="Q30" s="362"/>
      <c r="R30" s="363"/>
      <c r="S30" s="369"/>
      <c r="T30" s="370"/>
      <c r="U30" s="297"/>
      <c r="V30" s="297"/>
      <c r="W30" s="297"/>
      <c r="X30" s="297"/>
    </row>
    <row r="31" spans="1:24" ht="24.95" customHeight="1">
      <c r="A31" s="67"/>
      <c r="B31" s="272">
        <f t="shared" si="0"/>
        <v>21</v>
      </c>
      <c r="C31" s="273">
        <f>IF(Data!F25="","",Data!F25)</f>
        <v>0</v>
      </c>
      <c r="D31" s="274" t="str">
        <f>IF(Data!H25="","",Data!H25)</f>
        <v>Juan Manuel Boys</v>
      </c>
      <c r="E31" s="350" t="str">
        <f>IF(Data!I25="","",Data!I25)</f>
        <v>L</v>
      </c>
      <c r="F31" s="788">
        <f>IF($F$10="YA",DKN!AW31,"")</f>
        <v>31</v>
      </c>
      <c r="G31" s="355" t="str">
        <f t="shared" si="2"/>
        <v>Perlu usaha keras, maksimalkan belajarnya, lebih giat berdoa dan beribadah.</v>
      </c>
      <c r="H31" s="357"/>
      <c r="I31" s="357"/>
      <c r="J31" s="357"/>
      <c r="K31" s="789" t="str">
        <f t="shared" si="3"/>
        <v xml:space="preserve">  </v>
      </c>
      <c r="L31" s="355" t="str">
        <f t="shared" si="4"/>
        <v xml:space="preserve">Perlu usaha keras, maksimalkan belajarnya, lebih giat berdoa dan beribadah.  </v>
      </c>
      <c r="M31" s="362"/>
      <c r="N31" s="363"/>
      <c r="O31" s="364"/>
      <c r="P31" s="365"/>
      <c r="Q31" s="362"/>
      <c r="R31" s="363"/>
      <c r="S31" s="369"/>
      <c r="T31" s="370"/>
      <c r="U31" s="297"/>
      <c r="V31" s="297"/>
      <c r="W31" s="297"/>
      <c r="X31" s="297"/>
    </row>
    <row r="32" spans="1:24" ht="24.95" customHeight="1">
      <c r="A32" s="67"/>
      <c r="B32" s="272">
        <f t="shared" si="0"/>
        <v>22</v>
      </c>
      <c r="C32" s="273">
        <f>IF(Data!F26="","",Data!F26)</f>
        <v>0</v>
      </c>
      <c r="D32" s="274" t="str">
        <f>IF(Data!H26="","",Data!H26)</f>
        <v>Krisyanti Ernela Kesnay</v>
      </c>
      <c r="E32" s="350" t="str">
        <f>IF(Data!I26="","",Data!I26)</f>
        <v>P</v>
      </c>
      <c r="F32" s="788">
        <f>IF($F$10="YA",DKN!AW32,"")</f>
        <v>15</v>
      </c>
      <c r="G32" s="355" t="str">
        <f t="shared" si="2"/>
        <v>Prestasi cukup, perlu ditingkatkan belajar dan berdoa.</v>
      </c>
      <c r="H32" s="357"/>
      <c r="I32" s="357"/>
      <c r="J32" s="357"/>
      <c r="K32" s="789" t="str">
        <f t="shared" si="3"/>
        <v xml:space="preserve">  </v>
      </c>
      <c r="L32" s="355" t="str">
        <f t="shared" si="4"/>
        <v xml:space="preserve">Prestasi cukup, perlu ditingkatkan belajar dan berdoa.  </v>
      </c>
      <c r="M32" s="362"/>
      <c r="N32" s="363"/>
      <c r="O32" s="364"/>
      <c r="P32" s="365"/>
      <c r="Q32" s="362"/>
      <c r="R32" s="363"/>
      <c r="S32" s="369"/>
      <c r="T32" s="370"/>
      <c r="U32" s="297"/>
      <c r="V32" s="297"/>
      <c r="W32" s="297"/>
      <c r="X32" s="297"/>
    </row>
    <row r="33" spans="1:24" ht="24.95" customHeight="1">
      <c r="A33" s="67"/>
      <c r="B33" s="272">
        <f t="shared" si="0"/>
        <v>23</v>
      </c>
      <c r="C33" s="273">
        <f>IF(Data!F27="","",Data!F27)</f>
        <v>0</v>
      </c>
      <c r="D33" s="274" t="str">
        <f>IF(Data!H27="","",Data!H27)</f>
        <v>Leni Aknesia Knoan</v>
      </c>
      <c r="E33" s="350" t="str">
        <f>IF(Data!I27="","",Data!I27)</f>
        <v>P</v>
      </c>
      <c r="F33" s="788">
        <f>IF($F$10="YA",DKN!AW33,"")</f>
        <v>37</v>
      </c>
      <c r="G33" s="355" t="str">
        <f t="shared" si="2"/>
        <v/>
      </c>
      <c r="H33" s="357"/>
      <c r="I33" s="357"/>
      <c r="J33" s="357"/>
      <c r="K33" s="789" t="str">
        <f t="shared" si="3"/>
        <v xml:space="preserve">  </v>
      </c>
      <c r="L33" s="355" t="str">
        <f t="shared" si="4"/>
        <v xml:space="preserve">  </v>
      </c>
      <c r="M33" s="362"/>
      <c r="N33" s="363"/>
      <c r="O33" s="364"/>
      <c r="P33" s="365"/>
      <c r="Q33" s="362"/>
      <c r="R33" s="363"/>
      <c r="S33" s="369"/>
      <c r="T33" s="370"/>
      <c r="U33" s="297"/>
      <c r="V33" s="297"/>
      <c r="W33" s="297"/>
      <c r="X33" s="297"/>
    </row>
    <row r="34" spans="1:24" ht="24.95" customHeight="1">
      <c r="A34" s="67"/>
      <c r="B34" s="272">
        <f t="shared" si="0"/>
        <v>24</v>
      </c>
      <c r="C34" s="273">
        <f>IF(Data!F28="","",Data!F28)</f>
        <v>0</v>
      </c>
      <c r="D34" s="274" t="str">
        <f>IF(Data!H28="","",Data!H28)</f>
        <v>Marlon Dioninsius Lalus</v>
      </c>
      <c r="E34" s="350" t="str">
        <f>IF(Data!I28="","",Data!I28)</f>
        <v>L</v>
      </c>
      <c r="F34" s="788">
        <f>IF($F$10="YA",DKN!AW34,"")</f>
        <v>22</v>
      </c>
      <c r="G34" s="355" t="str">
        <f t="shared" si="2"/>
        <v>Perlu dimaksimalkan belajarnya, usaha keras dan berdoa</v>
      </c>
      <c r="H34" s="357"/>
      <c r="I34" s="357"/>
      <c r="J34" s="357"/>
      <c r="K34" s="789" t="str">
        <f t="shared" si="3"/>
        <v xml:space="preserve">  </v>
      </c>
      <c r="L34" s="355" t="str">
        <f t="shared" si="4"/>
        <v xml:space="preserve">Perlu dimaksimalkan belajarnya, usaha keras dan berdoa  </v>
      </c>
      <c r="M34" s="362"/>
      <c r="N34" s="363"/>
      <c r="O34" s="364"/>
      <c r="P34" s="365"/>
      <c r="Q34" s="362"/>
      <c r="R34" s="363"/>
      <c r="S34" s="369"/>
      <c r="T34" s="369"/>
    </row>
    <row r="35" spans="1:24" ht="24.95" customHeight="1">
      <c r="A35" s="67"/>
      <c r="B35" s="272">
        <f t="shared" si="0"/>
        <v>25</v>
      </c>
      <c r="C35" s="273">
        <f>IF(Data!F29="","",Data!F29)</f>
        <v>0</v>
      </c>
      <c r="D35" s="274" t="str">
        <f>IF(Data!H29="","",Data!H29)</f>
        <v>Maya Trifena Niobe</v>
      </c>
      <c r="E35" s="350" t="str">
        <f>IF(Data!I29="","",Data!I29)</f>
        <v>P</v>
      </c>
      <c r="F35" s="788">
        <f>IF($F$10="YA",DKN!AW35,"")</f>
        <v>27</v>
      </c>
      <c r="G35" s="355" t="str">
        <f t="shared" si="2"/>
        <v>Perlu usaha keras, maksimalkan belajarnya, lebih giat berdoa dan beribadah.</v>
      </c>
      <c r="H35" s="357"/>
      <c r="I35" s="357"/>
      <c r="J35" s="357"/>
      <c r="K35" s="789" t="str">
        <f t="shared" si="3"/>
        <v xml:space="preserve">  </v>
      </c>
      <c r="L35" s="355" t="str">
        <f t="shared" si="4"/>
        <v xml:space="preserve">Perlu usaha keras, maksimalkan belajarnya, lebih giat berdoa dan beribadah.  </v>
      </c>
      <c r="M35" s="362"/>
      <c r="N35" s="363"/>
      <c r="O35" s="364"/>
      <c r="P35" s="365"/>
      <c r="Q35" s="362"/>
      <c r="R35" s="363"/>
      <c r="S35" s="369"/>
      <c r="T35" s="369"/>
    </row>
    <row r="36" spans="1:24" ht="24.95" customHeight="1">
      <c r="A36" s="67"/>
      <c r="B36" s="272">
        <f t="shared" si="0"/>
        <v>26</v>
      </c>
      <c r="C36" s="273">
        <f>IF(Data!F30="","",Data!F30)</f>
        <v>0</v>
      </c>
      <c r="D36" s="274" t="str">
        <f>IF(Data!H30="","",Data!H30)</f>
        <v>Misel Miranda Sora</v>
      </c>
      <c r="E36" s="350" t="str">
        <f>IF(Data!I30="","",Data!I30)</f>
        <v>P</v>
      </c>
      <c r="F36" s="788">
        <f>IF($F$10="YA",DKN!AW36,"")</f>
        <v>16</v>
      </c>
      <c r="G36" s="355" t="str">
        <f t="shared" si="2"/>
        <v>Perlu ditingkatkan belajarnya, jangan lupa berdoa</v>
      </c>
      <c r="H36" s="357"/>
      <c r="I36" s="357"/>
      <c r="J36" s="357"/>
      <c r="K36" s="789" t="str">
        <f t="shared" si="3"/>
        <v xml:space="preserve">  </v>
      </c>
      <c r="L36" s="355" t="str">
        <f t="shared" si="4"/>
        <v xml:space="preserve">Perlu ditingkatkan belajarnya, jangan lupa berdoa  </v>
      </c>
      <c r="M36" s="362"/>
      <c r="N36" s="363"/>
      <c r="O36" s="364"/>
      <c r="P36" s="365"/>
      <c r="Q36" s="362"/>
      <c r="R36" s="363"/>
      <c r="S36" s="369"/>
      <c r="T36" s="369"/>
    </row>
    <row r="37" spans="1:24" ht="24.95" customHeight="1">
      <c r="A37" s="67"/>
      <c r="B37" s="272">
        <f t="shared" si="0"/>
        <v>27</v>
      </c>
      <c r="C37" s="273">
        <f>IF(Data!F31="","",Data!F31)</f>
        <v>0</v>
      </c>
      <c r="D37" s="274" t="str">
        <f>IF(Data!H31="","",Data!H31)</f>
        <v>Nofianti Tainmeta</v>
      </c>
      <c r="E37" s="350" t="str">
        <f>IF(Data!I31="","",Data!I31)</f>
        <v>P</v>
      </c>
      <c r="F37" s="788">
        <f>IF($F$10="YA",DKN!AW37,"")</f>
        <v>17</v>
      </c>
      <c r="G37" s="355" t="str">
        <f t="shared" si="2"/>
        <v>Perlu ditingkatkan belajarnya, jangan lupa berdoa</v>
      </c>
      <c r="H37" s="357"/>
      <c r="I37" s="357"/>
      <c r="J37" s="357"/>
      <c r="K37" s="789" t="str">
        <f t="shared" si="3"/>
        <v xml:space="preserve">  </v>
      </c>
      <c r="L37" s="355" t="str">
        <f t="shared" si="4"/>
        <v xml:space="preserve">Perlu ditingkatkan belajarnya, jangan lupa berdoa  </v>
      </c>
      <c r="M37" s="362"/>
      <c r="N37" s="363"/>
      <c r="O37" s="364"/>
      <c r="P37" s="365"/>
      <c r="Q37" s="362"/>
      <c r="R37" s="363"/>
      <c r="S37" s="369"/>
      <c r="T37" s="369"/>
    </row>
    <row r="38" spans="1:24" ht="24.95" customHeight="1">
      <c r="A38" s="67"/>
      <c r="B38" s="272">
        <f t="shared" si="0"/>
        <v>28</v>
      </c>
      <c r="C38" s="273">
        <f>IF(Data!F32="","",Data!F32)</f>
        <v>0</v>
      </c>
      <c r="D38" s="274" t="str">
        <f>IF(Data!H32="","",Data!H32)</f>
        <v>Ofni Antrikus Banun</v>
      </c>
      <c r="E38" s="350" t="str">
        <f>IF(Data!I32="","",Data!I32)</f>
        <v>L</v>
      </c>
      <c r="F38" s="788">
        <f>IF($F$10="YA",DKN!AW38,"")</f>
        <v>35</v>
      </c>
      <c r="G38" s="355" t="str">
        <f t="shared" si="2"/>
        <v>Perlu usaha keras, maksimalkan belajarnya, lebih giat berdoa dan beribadah.</v>
      </c>
      <c r="H38" s="357"/>
      <c r="I38" s="357"/>
      <c r="J38" s="357"/>
      <c r="K38" s="789" t="str">
        <f t="shared" si="3"/>
        <v xml:space="preserve">  </v>
      </c>
      <c r="L38" s="355" t="str">
        <f t="shared" si="4"/>
        <v xml:space="preserve">Perlu usaha keras, maksimalkan belajarnya, lebih giat berdoa dan beribadah.  </v>
      </c>
      <c r="M38" s="362"/>
      <c r="N38" s="363"/>
      <c r="O38" s="364"/>
      <c r="P38" s="365"/>
      <c r="Q38" s="362"/>
      <c r="R38" s="363"/>
      <c r="S38" s="369"/>
      <c r="T38" s="369"/>
    </row>
    <row r="39" spans="1:24" ht="24.95" customHeight="1">
      <c r="A39" s="67"/>
      <c r="B39" s="272">
        <f t="shared" si="0"/>
        <v>29</v>
      </c>
      <c r="C39" s="273">
        <f>IF(Data!F33="","",Data!F33)</f>
        <v>0</v>
      </c>
      <c r="D39" s="274" t="str">
        <f>IF(Data!H33="","",Data!H33)</f>
        <v>Roiyandi Saebesi</v>
      </c>
      <c r="E39" s="350" t="str">
        <f>IF(Data!I33="","",Data!I33)</f>
        <v>L</v>
      </c>
      <c r="F39" s="788">
        <f>IF($F$10="YA",DKN!AW39,"")</f>
        <v>25</v>
      </c>
      <c r="G39" s="355" t="str">
        <f t="shared" si="2"/>
        <v>Perlu dimaksimalkan belajarnya, usaha keras dan berdoa</v>
      </c>
      <c r="H39" s="357"/>
      <c r="I39" s="357"/>
      <c r="J39" s="357"/>
      <c r="K39" s="789" t="str">
        <f t="shared" si="3"/>
        <v xml:space="preserve">  </v>
      </c>
      <c r="L39" s="355" t="str">
        <f t="shared" si="4"/>
        <v xml:space="preserve">Perlu dimaksimalkan belajarnya, usaha keras dan berdoa  </v>
      </c>
      <c r="M39" s="362"/>
      <c r="N39" s="363"/>
      <c r="O39" s="364"/>
      <c r="P39" s="365"/>
      <c r="Q39" s="362"/>
      <c r="R39" s="363"/>
      <c r="S39" s="369"/>
      <c r="T39" s="369"/>
    </row>
    <row r="40" spans="1:24" ht="24.95" customHeight="1">
      <c r="A40" s="67"/>
      <c r="B40" s="272">
        <f t="shared" si="0"/>
        <v>30</v>
      </c>
      <c r="C40" s="273">
        <f>IF(Data!F34="","",Data!F34)</f>
        <v>0</v>
      </c>
      <c r="D40" s="274" t="str">
        <f>IF(Data!H34="","",Data!H34)</f>
        <v>Roni Yohanis Bira</v>
      </c>
      <c r="E40" s="350" t="str">
        <f>IF(Data!I34="","",Data!I34)</f>
        <v>L</v>
      </c>
      <c r="F40" s="788">
        <f>IF($F$10="YA",DKN!AW40,"")</f>
        <v>12</v>
      </c>
      <c r="G40" s="355" t="str">
        <f t="shared" si="2"/>
        <v>Prestasi cukup, perlu ditingkatkan belajar dan berdoa.</v>
      </c>
      <c r="H40" s="357"/>
      <c r="I40" s="357"/>
      <c r="J40" s="357"/>
      <c r="K40" s="789" t="str">
        <f t="shared" si="3"/>
        <v xml:space="preserve">  </v>
      </c>
      <c r="L40" s="355" t="str">
        <f t="shared" si="4"/>
        <v xml:space="preserve">Prestasi cukup, perlu ditingkatkan belajar dan berdoa.  </v>
      </c>
      <c r="M40" s="362"/>
      <c r="N40" s="363"/>
      <c r="O40" s="364"/>
      <c r="P40" s="365"/>
      <c r="Q40" s="362"/>
      <c r="R40" s="363"/>
      <c r="S40" s="369"/>
      <c r="T40" s="369"/>
    </row>
    <row r="41" spans="1:24" ht="24.95" customHeight="1">
      <c r="A41" s="67"/>
      <c r="B41" s="272">
        <f t="shared" si="0"/>
        <v>31</v>
      </c>
      <c r="C41" s="273">
        <f>IF(Data!F35="","",Data!F35)</f>
        <v>0</v>
      </c>
      <c r="D41" s="274" t="str">
        <f>IF(Data!H35="","",Data!H35)</f>
        <v>Sinta Norliana Funan</v>
      </c>
      <c r="E41" s="350" t="str">
        <f>IF(Data!I35="","",Data!I35)</f>
        <v>P</v>
      </c>
      <c r="F41" s="788">
        <f>IF($F$10="YA",DKN!AW41,"")</f>
        <v>7</v>
      </c>
      <c r="G41" s="355" t="str">
        <f t="shared" si="2"/>
        <v>Prestasi baik, perlu dipertahankan dan dtingkatkan</v>
      </c>
      <c r="H41" s="357"/>
      <c r="I41" s="357"/>
      <c r="J41" s="357"/>
      <c r="K41" s="789" t="str">
        <f t="shared" si="3"/>
        <v xml:space="preserve">  </v>
      </c>
      <c r="L41" s="355" t="str">
        <f t="shared" si="4"/>
        <v xml:space="preserve">Prestasi baik, perlu dipertahankan dan dtingkatkan  </v>
      </c>
      <c r="M41" s="362"/>
      <c r="N41" s="363"/>
      <c r="O41" s="364"/>
      <c r="P41" s="365"/>
      <c r="Q41" s="362"/>
      <c r="R41" s="363"/>
      <c r="S41" s="369"/>
      <c r="T41" s="369"/>
    </row>
    <row r="42" spans="1:24" ht="24.95" customHeight="1">
      <c r="A42" s="67"/>
      <c r="B42" s="272">
        <f t="shared" si="0"/>
        <v>32</v>
      </c>
      <c r="C42" s="273">
        <f>IF(Data!F36="","",Data!F36)</f>
        <v>0</v>
      </c>
      <c r="D42" s="274" t="str">
        <f>IF(Data!H36="","",Data!H36)</f>
        <v>Stevi Otnial Loemnanu</v>
      </c>
      <c r="E42" s="350" t="str">
        <f>IF(Data!I36="","",Data!I36)</f>
        <v>L</v>
      </c>
      <c r="F42" s="788">
        <f>IF($F$10="YA",DKN!AW42,"")</f>
        <v>23</v>
      </c>
      <c r="G42" s="355" t="str">
        <f t="shared" si="2"/>
        <v>Perlu dimaksimalkan belajarnya, usaha keras dan berdoa</v>
      </c>
      <c r="H42" s="357"/>
      <c r="I42" s="357"/>
      <c r="J42" s="357"/>
      <c r="K42" s="789" t="str">
        <f t="shared" si="3"/>
        <v xml:space="preserve">  </v>
      </c>
      <c r="L42" s="355" t="str">
        <f t="shared" si="4"/>
        <v xml:space="preserve">Perlu dimaksimalkan belajarnya, usaha keras dan berdoa  </v>
      </c>
      <c r="M42" s="362"/>
      <c r="N42" s="363"/>
      <c r="O42" s="364"/>
      <c r="P42" s="365"/>
      <c r="Q42" s="362"/>
      <c r="R42" s="363"/>
      <c r="S42" s="369"/>
      <c r="T42" s="369"/>
    </row>
    <row r="43" spans="1:24" ht="24.95" customHeight="1">
      <c r="A43" s="67"/>
      <c r="B43" s="272">
        <f t="shared" si="0"/>
        <v>33</v>
      </c>
      <c r="C43" s="273">
        <f>IF(Data!F37="","",Data!F37)</f>
        <v>0</v>
      </c>
      <c r="D43" s="274" t="str">
        <f>IF(Data!H37="","",Data!H37)</f>
        <v>Venciani Sefrianti Sufnera</v>
      </c>
      <c r="E43" s="350" t="str">
        <f>IF(Data!I37="","",Data!I37)</f>
        <v>P</v>
      </c>
      <c r="F43" s="788">
        <f>IF($F$10="YA",DKN!AW43,"")</f>
        <v>10</v>
      </c>
      <c r="G43" s="355" t="str">
        <f t="shared" si="2"/>
        <v>Prestasi baik, perlu dipertahankan dan dtingkatkan</v>
      </c>
      <c r="H43" s="357"/>
      <c r="I43" s="357"/>
      <c r="J43" s="357"/>
      <c r="K43" s="789" t="str">
        <f t="shared" si="3"/>
        <v xml:space="preserve">  </v>
      </c>
      <c r="L43" s="355" t="str">
        <f t="shared" si="4"/>
        <v xml:space="preserve">Prestasi baik, perlu dipertahankan dan dtingkatkan  </v>
      </c>
      <c r="M43" s="362"/>
      <c r="N43" s="363"/>
      <c r="O43" s="364"/>
      <c r="P43" s="365"/>
      <c r="Q43" s="362"/>
      <c r="R43" s="363"/>
      <c r="S43" s="369"/>
      <c r="T43" s="369"/>
    </row>
    <row r="44" spans="1:24" ht="24.95" customHeight="1">
      <c r="A44" s="67"/>
      <c r="B44" s="272">
        <f t="shared" si="0"/>
        <v>34</v>
      </c>
      <c r="C44" s="273">
        <f>IF(Data!F38="","",Data!F38)</f>
        <v>0</v>
      </c>
      <c r="D44" s="274" t="str">
        <f>IF(Data!H38="","",Data!H38)</f>
        <v>Yangres Nitti</v>
      </c>
      <c r="E44" s="350" t="str">
        <f>IF(Data!I38="","",Data!I38)</f>
        <v>L</v>
      </c>
      <c r="F44" s="788">
        <f>IF($F$10="YA",DKN!AW44,"")</f>
        <v>9</v>
      </c>
      <c r="G44" s="355" t="str">
        <f t="shared" si="2"/>
        <v>Prestasi baik, perlu dipertahankan dan dtingkatkan</v>
      </c>
      <c r="H44" s="357"/>
      <c r="I44" s="357"/>
      <c r="J44" s="357"/>
      <c r="K44" s="789" t="str">
        <f t="shared" si="3"/>
        <v xml:space="preserve">  </v>
      </c>
      <c r="L44" s="355" t="str">
        <f t="shared" si="4"/>
        <v xml:space="preserve">Prestasi baik, perlu dipertahankan dan dtingkatkan  </v>
      </c>
      <c r="M44" s="362"/>
      <c r="N44" s="363"/>
      <c r="O44" s="364"/>
      <c r="P44" s="365"/>
      <c r="Q44" s="362"/>
      <c r="R44" s="363"/>
      <c r="S44" s="369"/>
      <c r="T44" s="369"/>
    </row>
    <row r="45" spans="1:24" ht="24.95" customHeight="1">
      <c r="A45" s="67"/>
      <c r="B45" s="272">
        <f t="shared" si="0"/>
        <v>35</v>
      </c>
      <c r="C45" s="273">
        <f>IF(Data!F39="","",Data!F39)</f>
        <v>0</v>
      </c>
      <c r="D45" s="274" t="str">
        <f>IF(Data!H39="","",Data!H39)</f>
        <v>Yefta Trianus Mau</v>
      </c>
      <c r="E45" s="350" t="str">
        <f>IF(Data!I39="","",Data!I39)</f>
        <v>L</v>
      </c>
      <c r="F45" s="788">
        <f>IF($F$10="YA",DKN!AW45,"")</f>
        <v>4</v>
      </c>
      <c r="G45" s="355" t="str">
        <f t="shared" si="2"/>
        <v>Prestasi baik, perlu dipertahankan dan dtingkatkan</v>
      </c>
      <c r="H45" s="357"/>
      <c r="I45" s="357"/>
      <c r="J45" s="357"/>
      <c r="K45" s="789" t="str">
        <f t="shared" si="3"/>
        <v xml:space="preserve">  </v>
      </c>
      <c r="L45" s="355" t="str">
        <f t="shared" si="4"/>
        <v xml:space="preserve">Prestasi baik, perlu dipertahankan dan dtingkatkan  </v>
      </c>
      <c r="M45" s="362"/>
      <c r="N45" s="363"/>
      <c r="O45" s="364"/>
      <c r="P45" s="365"/>
      <c r="Q45" s="362"/>
      <c r="R45" s="363"/>
      <c r="S45" s="369"/>
      <c r="T45" s="369"/>
    </row>
    <row r="46" spans="1:24" ht="24.95" customHeight="1">
      <c r="A46" s="67"/>
      <c r="B46" s="272">
        <f t="shared" si="0"/>
        <v>36</v>
      </c>
      <c r="C46" s="273">
        <f>IF(Data!F40="","",Data!F40)</f>
        <v>0</v>
      </c>
      <c r="D46" s="274" t="str">
        <f>IF(Data!H40="","",Data!H40)</f>
        <v>Yuliana Febriyanti Nggeon</v>
      </c>
      <c r="E46" s="350" t="str">
        <f>IF(Data!I40="","",Data!I40)</f>
        <v>P</v>
      </c>
      <c r="F46" s="788">
        <f>IF($F$10="YA",DKN!AW46,"")</f>
        <v>11</v>
      </c>
      <c r="G46" s="355" t="str">
        <f t="shared" si="2"/>
        <v>Prestasi cukup, perlu ditingkatkan belajar dan berdoa.</v>
      </c>
      <c r="H46" s="357"/>
      <c r="I46" s="357"/>
      <c r="J46" s="357"/>
      <c r="K46" s="789" t="str">
        <f t="shared" si="3"/>
        <v xml:space="preserve">  </v>
      </c>
      <c r="L46" s="355" t="str">
        <f t="shared" si="4"/>
        <v xml:space="preserve">Prestasi cukup, perlu ditingkatkan belajar dan berdoa.  </v>
      </c>
      <c r="M46" s="362"/>
      <c r="N46" s="363"/>
      <c r="O46" s="364"/>
      <c r="P46" s="365"/>
      <c r="Q46" s="362"/>
      <c r="R46" s="363"/>
      <c r="S46" s="369"/>
      <c r="T46" s="369"/>
    </row>
    <row r="47" spans="1:24" ht="24.95" customHeight="1">
      <c r="A47" s="67"/>
      <c r="B47" s="272">
        <f t="shared" si="0"/>
        <v>37</v>
      </c>
      <c r="C47" s="273">
        <f>IF(Data!F41="","",Data!F41)</f>
        <v>0</v>
      </c>
      <c r="D47" s="274" t="str">
        <f>IF(Data!H41="","",Data!H41)</f>
        <v>Yuninda Pono</v>
      </c>
      <c r="E47" s="350" t="str">
        <f>IF(Data!I41="","",Data!I41)</f>
        <v>P</v>
      </c>
      <c r="F47" s="788">
        <f>IF($F$10="YA",DKN!AW47,"")</f>
        <v>12</v>
      </c>
      <c r="G47" s="355" t="str">
        <f t="shared" si="2"/>
        <v>Prestasi cukup, perlu ditingkatkan belajar dan berdoa.</v>
      </c>
      <c r="H47" s="357"/>
      <c r="I47" s="357"/>
      <c r="J47" s="357"/>
      <c r="K47" s="789" t="str">
        <f t="shared" si="3"/>
        <v xml:space="preserve">  </v>
      </c>
      <c r="L47" s="355" t="str">
        <f t="shared" si="4"/>
        <v xml:space="preserve">Prestasi cukup, perlu ditingkatkan belajar dan berdoa.  </v>
      </c>
      <c r="M47" s="362"/>
      <c r="N47" s="363"/>
      <c r="O47" s="364"/>
      <c r="P47" s="365"/>
      <c r="Q47" s="362"/>
      <c r="R47" s="363"/>
      <c r="S47" s="369"/>
      <c r="T47" s="369"/>
    </row>
    <row r="48" spans="1:24" ht="24.95" customHeight="1">
      <c r="A48" s="67"/>
      <c r="B48" s="272" t="str">
        <f t="shared" si="0"/>
        <v/>
      </c>
      <c r="C48" s="273" t="str">
        <f>IF(Data!F42="","",Data!F42)</f>
        <v/>
      </c>
      <c r="D48" s="274" t="str">
        <f>IF(Data!H42="","",Data!H42)</f>
        <v/>
      </c>
      <c r="E48" s="350" t="str">
        <f>IF(Data!I42="","",Data!I42)</f>
        <v/>
      </c>
      <c r="F48" s="788" t="str">
        <f>IF($F$10="YA",DKN!AW48,"")</f>
        <v/>
      </c>
      <c r="G48" s="355" t="str">
        <f t="shared" si="2"/>
        <v/>
      </c>
      <c r="H48" s="357"/>
      <c r="I48" s="357"/>
      <c r="J48" s="357"/>
      <c r="K48" s="789" t="str">
        <f t="shared" si="3"/>
        <v xml:space="preserve">  </v>
      </c>
      <c r="L48" s="355" t="str">
        <f t="shared" si="4"/>
        <v xml:space="preserve">  </v>
      </c>
      <c r="M48" s="362"/>
      <c r="N48" s="363"/>
      <c r="O48" s="364"/>
      <c r="P48" s="365"/>
      <c r="Q48" s="362"/>
      <c r="R48" s="363"/>
      <c r="S48" s="369"/>
      <c r="T48" s="369"/>
    </row>
    <row r="49" spans="1:20" ht="24.95" customHeight="1">
      <c r="A49" s="67"/>
      <c r="B49" s="272" t="str">
        <f t="shared" si="0"/>
        <v/>
      </c>
      <c r="C49" s="273" t="str">
        <f>IF(Data!F43="","",Data!F43)</f>
        <v/>
      </c>
      <c r="D49" s="274" t="str">
        <f>IF(Data!H43="","",Data!H43)</f>
        <v/>
      </c>
      <c r="E49" s="350" t="str">
        <f>IF(Data!I43="","",Data!I43)</f>
        <v/>
      </c>
      <c r="F49" s="788" t="str">
        <f>IF($F$10="YA",DKN!AW49,"")</f>
        <v/>
      </c>
      <c r="G49" s="355" t="str">
        <f t="shared" si="2"/>
        <v/>
      </c>
      <c r="H49" s="357"/>
      <c r="I49" s="357"/>
      <c r="J49" s="357"/>
      <c r="K49" s="789" t="str">
        <f t="shared" si="3"/>
        <v xml:space="preserve">  </v>
      </c>
      <c r="L49" s="355" t="str">
        <f t="shared" si="4"/>
        <v xml:space="preserve">  </v>
      </c>
      <c r="M49" s="362"/>
      <c r="N49" s="363"/>
      <c r="O49" s="364"/>
      <c r="P49" s="365"/>
      <c r="Q49" s="362"/>
      <c r="R49" s="363"/>
      <c r="S49" s="369"/>
      <c r="T49" s="369"/>
    </row>
    <row r="50" spans="1:20" ht="24.95" customHeight="1">
      <c r="A50" s="67"/>
      <c r="B50" s="272" t="str">
        <f t="shared" si="0"/>
        <v/>
      </c>
      <c r="C50" s="273" t="str">
        <f>IF(Data!F44="","",Data!F44)</f>
        <v/>
      </c>
      <c r="D50" s="274" t="str">
        <f>IF(Data!H44="","",Data!H44)</f>
        <v/>
      </c>
      <c r="E50" s="350" t="str">
        <f>IF(Data!I44="","",Data!I44)</f>
        <v/>
      </c>
      <c r="F50" s="788" t="str">
        <f>IF($F$10="YA",DKN!AW50,"")</f>
        <v/>
      </c>
      <c r="G50" s="355" t="str">
        <f t="shared" si="2"/>
        <v/>
      </c>
      <c r="H50" s="357"/>
      <c r="I50" s="357"/>
      <c r="J50" s="357"/>
      <c r="K50" s="789" t="str">
        <f t="shared" si="3"/>
        <v xml:space="preserve">  </v>
      </c>
      <c r="L50" s="355" t="str">
        <f t="shared" si="4"/>
        <v xml:space="preserve">  </v>
      </c>
      <c r="M50" s="362"/>
      <c r="N50" s="363"/>
      <c r="O50" s="364"/>
      <c r="P50" s="365"/>
      <c r="Q50" s="362"/>
      <c r="R50" s="363"/>
      <c r="S50" s="369"/>
      <c r="T50" s="369"/>
    </row>
    <row r="51" spans="1:20" ht="24.95" customHeight="1">
      <c r="A51" s="67"/>
      <c r="B51" s="272" t="str">
        <f t="shared" si="0"/>
        <v/>
      </c>
      <c r="C51" s="273" t="str">
        <f>IF(Data!F45="","",Data!F45)</f>
        <v/>
      </c>
      <c r="D51" s="274" t="str">
        <f>IF(Data!H45="","",Data!H45)</f>
        <v/>
      </c>
      <c r="E51" s="350" t="str">
        <f>IF(Data!I45="","",Data!I45)</f>
        <v/>
      </c>
      <c r="F51" s="788" t="str">
        <f>IF($F$10="YA",DKN!AW51,"")</f>
        <v/>
      </c>
      <c r="G51" s="355" t="str">
        <f t="shared" si="2"/>
        <v/>
      </c>
      <c r="H51" s="357"/>
      <c r="I51" s="357"/>
      <c r="J51" s="357"/>
      <c r="K51" s="789" t="str">
        <f t="shared" si="3"/>
        <v xml:space="preserve">  </v>
      </c>
      <c r="L51" s="355" t="str">
        <f t="shared" si="4"/>
        <v xml:space="preserve">  </v>
      </c>
      <c r="M51" s="362"/>
      <c r="N51" s="363"/>
      <c r="O51" s="364"/>
      <c r="P51" s="365"/>
      <c r="Q51" s="362"/>
      <c r="R51" s="363"/>
      <c r="S51" s="369"/>
      <c r="T51" s="369"/>
    </row>
    <row r="52" spans="1:20" ht="24.95" customHeight="1">
      <c r="A52" s="67"/>
      <c r="B52" s="272" t="str">
        <f t="shared" si="0"/>
        <v/>
      </c>
      <c r="C52" s="273" t="str">
        <f>IF(Data!F46="","",Data!F46)</f>
        <v/>
      </c>
      <c r="D52" s="274" t="str">
        <f>IF(Data!H46="","",Data!H46)</f>
        <v/>
      </c>
      <c r="E52" s="350" t="str">
        <f>IF(Data!I46="","",Data!I46)</f>
        <v/>
      </c>
      <c r="F52" s="788" t="str">
        <f>IF($F$10="YA",DKN!AW52,"")</f>
        <v/>
      </c>
      <c r="G52" s="355" t="str">
        <f t="shared" si="2"/>
        <v/>
      </c>
      <c r="H52" s="357"/>
      <c r="I52" s="357"/>
      <c r="J52" s="357"/>
      <c r="K52" s="789" t="str">
        <f t="shared" si="3"/>
        <v xml:space="preserve">  </v>
      </c>
      <c r="L52" s="355" t="str">
        <f t="shared" si="4"/>
        <v xml:space="preserve">  </v>
      </c>
      <c r="M52" s="362"/>
      <c r="N52" s="363"/>
      <c r="O52" s="364"/>
      <c r="P52" s="365"/>
      <c r="Q52" s="362"/>
      <c r="R52" s="363"/>
      <c r="S52" s="369"/>
      <c r="T52" s="369"/>
    </row>
    <row r="53" spans="1:20" ht="24.95" customHeight="1">
      <c r="A53" s="67"/>
      <c r="B53" s="272" t="str">
        <f t="shared" si="0"/>
        <v/>
      </c>
      <c r="C53" s="273" t="str">
        <f>IF(Data!F47="","",Data!F47)</f>
        <v/>
      </c>
      <c r="D53" s="274" t="str">
        <f>IF(Data!H47="","",Data!H47)</f>
        <v/>
      </c>
      <c r="E53" s="350" t="str">
        <f>IF(Data!I47="","",Data!I47)</f>
        <v/>
      </c>
      <c r="F53" s="788" t="str">
        <f>IF($F$10="YA",DKN!AW53,"")</f>
        <v/>
      </c>
      <c r="G53" s="355" t="str">
        <f t="shared" si="2"/>
        <v/>
      </c>
      <c r="H53" s="357"/>
      <c r="I53" s="357"/>
      <c r="J53" s="357"/>
      <c r="K53" s="789" t="str">
        <f t="shared" si="3"/>
        <v xml:space="preserve">  </v>
      </c>
      <c r="L53" s="355" t="str">
        <f t="shared" si="4"/>
        <v xml:space="preserve">  </v>
      </c>
      <c r="M53" s="362"/>
      <c r="N53" s="363"/>
      <c r="O53" s="364"/>
      <c r="P53" s="365"/>
      <c r="Q53" s="362"/>
      <c r="R53" s="363"/>
      <c r="S53" s="369"/>
      <c r="T53" s="369"/>
    </row>
    <row r="54" spans="1:20" ht="24.95" customHeight="1">
      <c r="A54" s="67"/>
      <c r="B54" s="272" t="str">
        <f t="shared" si="0"/>
        <v/>
      </c>
      <c r="C54" s="273" t="str">
        <f>IF(Data!F48="","",Data!F48)</f>
        <v/>
      </c>
      <c r="D54" s="274" t="str">
        <f>IF(Data!H48="","",Data!H48)</f>
        <v/>
      </c>
      <c r="E54" s="350" t="str">
        <f>IF(Data!I48="","",Data!I48)</f>
        <v/>
      </c>
      <c r="F54" s="788" t="str">
        <f>IF($F$10="YA",DKN!AW54,"")</f>
        <v/>
      </c>
      <c r="G54" s="355" t="str">
        <f t="shared" si="2"/>
        <v/>
      </c>
      <c r="H54" s="357"/>
      <c r="I54" s="357"/>
      <c r="J54" s="357"/>
      <c r="K54" s="789" t="str">
        <f t="shared" si="3"/>
        <v xml:space="preserve">  </v>
      </c>
      <c r="L54" s="355" t="str">
        <f t="shared" si="4"/>
        <v xml:space="preserve">  </v>
      </c>
      <c r="M54" s="362"/>
      <c r="N54" s="363"/>
      <c r="O54" s="364"/>
      <c r="P54" s="365"/>
      <c r="Q54" s="362"/>
      <c r="R54" s="363"/>
      <c r="S54" s="369"/>
      <c r="T54" s="369"/>
    </row>
    <row r="55" spans="1:20" ht="24.95" customHeight="1">
      <c r="A55" s="67"/>
      <c r="B55" s="272" t="str">
        <f t="shared" si="0"/>
        <v/>
      </c>
      <c r="C55" s="273" t="str">
        <f>IF(Data!F49="","",Data!F49)</f>
        <v/>
      </c>
      <c r="D55" s="274" t="str">
        <f>IF(Data!H49="","",Data!H49)</f>
        <v/>
      </c>
      <c r="E55" s="350" t="str">
        <f>IF(Data!I49="","",Data!I49)</f>
        <v/>
      </c>
      <c r="F55" s="788" t="str">
        <f>IF($F$10="YA",DKN!AW55,"")</f>
        <v/>
      </c>
      <c r="G55" s="355" t="str">
        <f t="shared" si="2"/>
        <v/>
      </c>
      <c r="H55" s="357"/>
      <c r="I55" s="357"/>
      <c r="J55" s="357"/>
      <c r="K55" s="789" t="str">
        <f t="shared" si="3"/>
        <v xml:space="preserve">  </v>
      </c>
      <c r="L55" s="355" t="str">
        <f t="shared" si="4"/>
        <v xml:space="preserve">  </v>
      </c>
      <c r="M55" s="362"/>
      <c r="N55" s="363"/>
      <c r="O55" s="364"/>
      <c r="P55" s="365"/>
      <c r="Q55" s="362"/>
      <c r="R55" s="363"/>
      <c r="S55" s="369"/>
      <c r="T55" s="369"/>
    </row>
    <row r="56" spans="1:20" ht="24.95" customHeight="1">
      <c r="A56" s="67"/>
      <c r="B56" s="272" t="str">
        <f t="shared" si="0"/>
        <v/>
      </c>
      <c r="C56" s="273" t="str">
        <f>IF(Data!F50="","",Data!F50)</f>
        <v/>
      </c>
      <c r="D56" s="274" t="str">
        <f>IF(Data!H50="","",Data!H50)</f>
        <v/>
      </c>
      <c r="E56" s="350" t="str">
        <f>IF(Data!I50="","",Data!I50)</f>
        <v/>
      </c>
      <c r="F56" s="788" t="str">
        <f>IF($F$10="YA",DKN!AW56,"")</f>
        <v/>
      </c>
      <c r="G56" s="355" t="str">
        <f t="shared" si="2"/>
        <v/>
      </c>
      <c r="H56" s="357"/>
      <c r="I56" s="357"/>
      <c r="J56" s="357"/>
      <c r="K56" s="789" t="str">
        <f t="shared" si="3"/>
        <v xml:space="preserve">  </v>
      </c>
      <c r="L56" s="355" t="str">
        <f t="shared" si="4"/>
        <v xml:space="preserve">  </v>
      </c>
      <c r="M56" s="362"/>
      <c r="N56" s="363"/>
      <c r="O56" s="364"/>
      <c r="P56" s="365"/>
      <c r="Q56" s="362"/>
      <c r="R56" s="363"/>
      <c r="S56" s="369"/>
      <c r="T56" s="369"/>
    </row>
    <row r="57" spans="1:20" ht="24.95" customHeight="1">
      <c r="A57" s="67"/>
      <c r="B57" s="272" t="str">
        <f t="shared" si="0"/>
        <v/>
      </c>
      <c r="C57" s="273" t="str">
        <f>IF(Data!F51="","",Data!F51)</f>
        <v/>
      </c>
      <c r="D57" s="274" t="str">
        <f>IF(Data!H51="","",Data!H51)</f>
        <v/>
      </c>
      <c r="E57" s="350" t="str">
        <f>IF(Data!I51="","",Data!I51)</f>
        <v/>
      </c>
      <c r="F57" s="788" t="str">
        <f>IF($F$10="YA",DKN!AW57,"")</f>
        <v/>
      </c>
      <c r="G57" s="355" t="str">
        <f t="shared" si="2"/>
        <v/>
      </c>
      <c r="H57" s="357"/>
      <c r="I57" s="357"/>
      <c r="J57" s="357"/>
      <c r="K57" s="789" t="str">
        <f t="shared" si="3"/>
        <v xml:space="preserve">  </v>
      </c>
      <c r="L57" s="355" t="str">
        <f t="shared" si="4"/>
        <v xml:space="preserve">  </v>
      </c>
      <c r="M57" s="362"/>
      <c r="N57" s="363"/>
      <c r="O57" s="364"/>
      <c r="P57" s="365"/>
      <c r="Q57" s="362"/>
      <c r="R57" s="363"/>
      <c r="S57" s="369"/>
      <c r="T57" s="369"/>
    </row>
    <row r="58" spans="1:20" ht="24.95" customHeight="1">
      <c r="A58" s="67"/>
      <c r="B58" s="272" t="str">
        <f t="shared" si="0"/>
        <v/>
      </c>
      <c r="C58" s="273" t="str">
        <f>IF(Data!F52="","",Data!F52)</f>
        <v/>
      </c>
      <c r="D58" s="274" t="str">
        <f>IF(Data!H52="","",Data!H52)</f>
        <v/>
      </c>
      <c r="E58" s="350" t="str">
        <f>IF(Data!I52="","",Data!I52)</f>
        <v/>
      </c>
      <c r="F58" s="788" t="str">
        <f>IF($F$10="YA",DKN!AW58,"")</f>
        <v/>
      </c>
      <c r="G58" s="355" t="str">
        <f t="shared" si="2"/>
        <v/>
      </c>
      <c r="H58" s="357"/>
      <c r="I58" s="357"/>
      <c r="J58" s="357"/>
      <c r="K58" s="789" t="str">
        <f t="shared" si="3"/>
        <v xml:space="preserve">  </v>
      </c>
      <c r="L58" s="355" t="str">
        <f t="shared" si="4"/>
        <v xml:space="preserve">  </v>
      </c>
      <c r="M58" s="362"/>
      <c r="N58" s="363"/>
      <c r="O58" s="364"/>
      <c r="P58" s="365"/>
      <c r="Q58" s="362"/>
      <c r="R58" s="363"/>
      <c r="S58" s="369"/>
      <c r="T58" s="369"/>
    </row>
    <row r="59" spans="1:20" ht="24.95" customHeight="1">
      <c r="A59" s="67"/>
      <c r="B59" s="272" t="str">
        <f t="shared" si="0"/>
        <v/>
      </c>
      <c r="C59" s="273" t="str">
        <f>IF(Data!F53="","",Data!F53)</f>
        <v/>
      </c>
      <c r="D59" s="274" t="str">
        <f>IF(Data!H53="","",Data!H53)</f>
        <v/>
      </c>
      <c r="E59" s="350" t="str">
        <f>IF(Data!I53="","",Data!I53)</f>
        <v/>
      </c>
      <c r="F59" s="788" t="str">
        <f>IF($F$10="YA",DKN!AW59,"")</f>
        <v/>
      </c>
      <c r="G59" s="355" t="str">
        <f t="shared" si="2"/>
        <v/>
      </c>
      <c r="H59" s="357"/>
      <c r="I59" s="357"/>
      <c r="J59" s="357"/>
      <c r="K59" s="789" t="str">
        <f t="shared" si="3"/>
        <v xml:space="preserve">  </v>
      </c>
      <c r="L59" s="355" t="str">
        <f t="shared" si="4"/>
        <v xml:space="preserve">  </v>
      </c>
      <c r="M59" s="362"/>
      <c r="N59" s="363"/>
      <c r="O59" s="364"/>
      <c r="P59" s="365"/>
      <c r="Q59" s="362"/>
      <c r="R59" s="363"/>
      <c r="S59" s="369"/>
      <c r="T59" s="369"/>
    </row>
    <row r="60" spans="1:20" ht="24.95" customHeight="1" thickBot="1">
      <c r="A60" s="67"/>
      <c r="B60" s="272" t="str">
        <f t="shared" si="0"/>
        <v/>
      </c>
      <c r="C60" s="273" t="str">
        <f>IF(Data!F54="","",Data!F54)</f>
        <v/>
      </c>
      <c r="D60" s="274" t="str">
        <f>IF(Data!H54="","",Data!H54)</f>
        <v/>
      </c>
      <c r="E60" s="350" t="str">
        <f>IF(Data!I54="","",Data!I54)</f>
        <v/>
      </c>
      <c r="F60" s="788" t="str">
        <f>IF($F$10="YA",DKN!AW60,"")</f>
        <v/>
      </c>
      <c r="G60" s="355" t="str">
        <f t="shared" si="2"/>
        <v/>
      </c>
      <c r="H60" s="357"/>
      <c r="I60" s="357"/>
      <c r="J60" s="357"/>
      <c r="K60" s="789" t="str">
        <f t="shared" si="3"/>
        <v xml:space="preserve">  </v>
      </c>
      <c r="L60" s="355" t="str">
        <f t="shared" si="4"/>
        <v xml:space="preserve">  </v>
      </c>
      <c r="M60" s="366"/>
      <c r="N60" s="367"/>
      <c r="O60" s="364"/>
      <c r="P60" s="365"/>
      <c r="Q60" s="366"/>
      <c r="R60" s="367"/>
      <c r="S60" s="369"/>
      <c r="T60" s="369"/>
    </row>
    <row r="61" spans="1:20" ht="19.5" customHeight="1">
      <c r="A61" s="67"/>
      <c r="B61" s="109">
        <v>1</v>
      </c>
      <c r="C61" s="109">
        <v>2</v>
      </c>
      <c r="D61" s="109">
        <v>3</v>
      </c>
      <c r="E61" s="109">
        <v>4</v>
      </c>
      <c r="F61" s="109">
        <v>5</v>
      </c>
      <c r="G61" s="109">
        <v>6</v>
      </c>
      <c r="H61" s="109">
        <v>7</v>
      </c>
      <c r="I61" s="109">
        <v>8</v>
      </c>
      <c r="J61" s="109">
        <v>9</v>
      </c>
      <c r="K61" s="109">
        <v>10</v>
      </c>
      <c r="L61" s="109">
        <v>11</v>
      </c>
      <c r="M61" s="109">
        <v>12</v>
      </c>
      <c r="N61" s="109">
        <v>13</v>
      </c>
      <c r="O61" s="109">
        <v>14</v>
      </c>
      <c r="P61" s="109">
        <v>15</v>
      </c>
      <c r="Q61" s="109">
        <v>16</v>
      </c>
      <c r="R61" s="109">
        <v>17</v>
      </c>
      <c r="S61" s="369"/>
      <c r="T61" s="369"/>
    </row>
  </sheetData>
  <sheetProtection insertHyperlinks="0" selectLockedCells="1"/>
  <mergeCells count="27">
    <mergeCell ref="H10:J10"/>
    <mergeCell ref="B3:D7"/>
    <mergeCell ref="G3:L3"/>
    <mergeCell ref="N3:Q3"/>
    <mergeCell ref="R3:R7"/>
    <mergeCell ref="G4:L4"/>
    <mergeCell ref="B9:B10"/>
    <mergeCell ref="C9:C10"/>
    <mergeCell ref="D9:D10"/>
    <mergeCell ref="E9:E10"/>
    <mergeCell ref="M9:N9"/>
    <mergeCell ref="G7:L7"/>
    <mergeCell ref="N7:Q7"/>
    <mergeCell ref="F9:L9"/>
    <mergeCell ref="N4:Q4"/>
    <mergeCell ref="G5:L5"/>
    <mergeCell ref="E1:F1"/>
    <mergeCell ref="G1:L1"/>
    <mergeCell ref="N1:Q1"/>
    <mergeCell ref="B2:D2"/>
    <mergeCell ref="G2:L2"/>
    <mergeCell ref="N2:Q2"/>
    <mergeCell ref="N5:Q5"/>
    <mergeCell ref="G6:L6"/>
    <mergeCell ref="N6:Q6"/>
    <mergeCell ref="Q9:R9"/>
    <mergeCell ref="O9:P9"/>
  </mergeCells>
  <conditionalFormatting sqref="B46:R46">
    <cfRule type="expression" dxfId="270" priority="52">
      <formula>AND($B46&lt;&gt;"",$B61="")</formula>
    </cfRule>
    <cfRule type="expression" dxfId="269" priority="53">
      <formula>$B46=""</formula>
    </cfRule>
  </conditionalFormatting>
  <conditionalFormatting sqref="B13:R60 B11:E12 O11:R12">
    <cfRule type="expression" dxfId="268" priority="50">
      <formula>AND($B11&lt;&gt;"",$B12="")</formula>
    </cfRule>
    <cfRule type="expression" dxfId="267" priority="51">
      <formula>$B11=""</formula>
    </cfRule>
  </conditionalFormatting>
  <conditionalFormatting sqref="B53:R53">
    <cfRule type="expression" dxfId="266" priority="48">
      <formula>AND($B53&lt;&gt;"",$B60="")</formula>
    </cfRule>
    <cfRule type="expression" dxfId="265" priority="49">
      <formula>$B53=""</formula>
    </cfRule>
  </conditionalFormatting>
  <conditionalFormatting sqref="B47:R47">
    <cfRule type="expression" dxfId="264" priority="46">
      <formula>AND($B47&lt;&gt;"",$B60="")</formula>
    </cfRule>
    <cfRule type="expression" dxfId="263" priority="47">
      <formula>$B47=""</formula>
    </cfRule>
  </conditionalFormatting>
  <conditionalFormatting sqref="B40:R41">
    <cfRule type="expression" dxfId="262" priority="44">
      <formula>AND($B40&lt;&gt;"",$B59="")</formula>
    </cfRule>
    <cfRule type="expression" dxfId="261" priority="45">
      <formula>$B40=""</formula>
    </cfRule>
  </conditionalFormatting>
  <conditionalFormatting sqref="B54:R57 B48:R51 B60:R60">
    <cfRule type="expression" dxfId="260" priority="42">
      <formula>AND($B48&lt;&gt;"",#REF!="")</formula>
    </cfRule>
    <cfRule type="expression" dxfId="259" priority="43">
      <formula>$B48=""</formula>
    </cfRule>
  </conditionalFormatting>
  <conditionalFormatting sqref="B58:R58">
    <cfRule type="expression" dxfId="258" priority="40">
      <formula>AND($B58&lt;&gt;"",$B61="")</formula>
    </cfRule>
    <cfRule type="expression" dxfId="257" priority="41">
      <formula>$B58=""</formula>
    </cfRule>
  </conditionalFormatting>
  <conditionalFormatting sqref="B52:R52">
    <cfRule type="expression" dxfId="256" priority="36">
      <formula>AND($B52&lt;&gt;"",$B61="")</formula>
    </cfRule>
    <cfRule type="expression" dxfId="255" priority="37">
      <formula>$B52=""</formula>
    </cfRule>
  </conditionalFormatting>
  <conditionalFormatting sqref="B42:R60">
    <cfRule type="expression" dxfId="254" priority="32">
      <formula>AND($B42&lt;&gt;"",#REF!="")</formula>
    </cfRule>
    <cfRule type="expression" dxfId="253" priority="33">
      <formula>$B42=""</formula>
    </cfRule>
  </conditionalFormatting>
  <conditionalFormatting sqref="B59:R60">
    <cfRule type="expression" dxfId="252" priority="30">
      <formula>AND($B59&lt;&gt;"",#REF!="")</formula>
    </cfRule>
    <cfRule type="expression" dxfId="251" priority="31">
      <formula>$B59=""</formula>
    </cfRule>
  </conditionalFormatting>
  <conditionalFormatting sqref="B47:R58">
    <cfRule type="expression" dxfId="250" priority="102">
      <formula>AND($B47&lt;&gt;"",#REF!="")</formula>
    </cfRule>
    <cfRule type="expression" dxfId="249" priority="103">
      <formula>$B47=""</formula>
    </cfRule>
  </conditionalFormatting>
  <conditionalFormatting sqref="Q46:R46">
    <cfRule type="expression" dxfId="248" priority="28">
      <formula>AND($B46&lt;&gt;"",$B61="")</formula>
    </cfRule>
    <cfRule type="expression" dxfId="247" priority="29">
      <formula>$B46=""</formula>
    </cfRule>
  </conditionalFormatting>
  <conditionalFormatting sqref="Q11:R60">
    <cfRule type="expression" dxfId="246" priority="26">
      <formula>AND($B11&lt;&gt;"",$B12="")</formula>
    </cfRule>
    <cfRule type="expression" dxfId="245" priority="27">
      <formula>$B11=""</formula>
    </cfRule>
  </conditionalFormatting>
  <conditionalFormatting sqref="Q53:R53">
    <cfRule type="expression" dxfId="244" priority="24">
      <formula>AND($B53&lt;&gt;"",$B60="")</formula>
    </cfRule>
    <cfRule type="expression" dxfId="243" priority="25">
      <formula>$B53=""</formula>
    </cfRule>
  </conditionalFormatting>
  <conditionalFormatting sqref="Q47:R47">
    <cfRule type="expression" dxfId="242" priority="22">
      <formula>AND($B47&lt;&gt;"",$B60="")</formula>
    </cfRule>
    <cfRule type="expression" dxfId="241" priority="23">
      <formula>$B47=""</formula>
    </cfRule>
  </conditionalFormatting>
  <conditionalFormatting sqref="Q40:R41">
    <cfRule type="expression" dxfId="240" priority="20">
      <formula>AND($B40&lt;&gt;"",$B59="")</formula>
    </cfRule>
    <cfRule type="expression" dxfId="239" priority="21">
      <formula>$B40=""</formula>
    </cfRule>
  </conditionalFormatting>
  <conditionalFormatting sqref="Q54:R57 Q48:R51 Q60:R60">
    <cfRule type="expression" dxfId="238" priority="18">
      <formula>AND($B48&lt;&gt;"",#REF!="")</formula>
    </cfRule>
    <cfRule type="expression" dxfId="237" priority="19">
      <formula>$B48=""</formula>
    </cfRule>
  </conditionalFormatting>
  <conditionalFormatting sqref="Q58:R58">
    <cfRule type="expression" dxfId="236" priority="16">
      <formula>AND($B58&lt;&gt;"",$B61="")</formula>
    </cfRule>
    <cfRule type="expression" dxfId="235" priority="17">
      <formula>$B58=""</formula>
    </cfRule>
  </conditionalFormatting>
  <conditionalFormatting sqref="Q52:R52">
    <cfRule type="expression" dxfId="234" priority="14">
      <formula>AND($B52&lt;&gt;"",$B61="")</formula>
    </cfRule>
    <cfRule type="expression" dxfId="233" priority="15">
      <formula>$B52=""</formula>
    </cfRule>
  </conditionalFormatting>
  <conditionalFormatting sqref="Q42:R60">
    <cfRule type="expression" dxfId="232" priority="12">
      <formula>AND($B42&lt;&gt;"",#REF!="")</formula>
    </cfRule>
    <cfRule type="expression" dxfId="231" priority="13">
      <formula>$B42=""</formula>
    </cfRule>
  </conditionalFormatting>
  <conditionalFormatting sqref="Q59:R60">
    <cfRule type="expression" dxfId="230" priority="10">
      <formula>AND($B59&lt;&gt;"",#REF!="")</formula>
    </cfRule>
    <cfRule type="expression" dxfId="229" priority="11">
      <formula>$B59=""</formula>
    </cfRule>
  </conditionalFormatting>
  <conditionalFormatting sqref="Q47:R58">
    <cfRule type="expression" dxfId="228" priority="8">
      <formula>AND($B47&lt;&gt;"",#REF!="")</formula>
    </cfRule>
    <cfRule type="expression" dxfId="227" priority="9">
      <formula>$B47=""</formula>
    </cfRule>
  </conditionalFormatting>
  <conditionalFormatting sqref="M11:N12">
    <cfRule type="expression" dxfId="226" priority="6">
      <formula>AND($B11&lt;&gt;"",$B12="")</formula>
    </cfRule>
    <cfRule type="expression" dxfId="225" priority="7">
      <formula>$B11=""</formula>
    </cfRule>
  </conditionalFormatting>
  <conditionalFormatting sqref="F11:L60">
    <cfRule type="expression" dxfId="224" priority="4">
      <formula>AND($B11&lt;&gt;"",$B12="")</formula>
    </cfRule>
    <cfRule type="expression" dxfId="223" priority="5">
      <formula>$B11=""</formula>
    </cfRule>
  </conditionalFormatting>
  <conditionalFormatting sqref="M2:M7">
    <cfRule type="colorScale" priority="1">
      <colorScale>
        <cfvo type="min"/>
        <cfvo type="percentile" val="50"/>
        <cfvo type="max"/>
        <color rgb="FFF8696B"/>
        <color rgb="FFFFEB84"/>
        <color rgb="FF63BE7B"/>
      </colorScale>
    </cfRule>
  </conditionalFormatting>
  <dataValidations count="1">
    <dataValidation type="list" allowBlank="1" showInputMessage="1" showErrorMessage="1" sqref="F10">
      <formula1>"YA,TDK"</formula1>
    </dataValidation>
  </dataValidations>
  <pageMargins left="0.91" right="0.43307086614173229" top="0.46" bottom="0.74803149606299213" header="0.31496062992125984" footer="0.31496062992125984"/>
  <pageSetup paperSize="9" orientation="portrait" horizontalDpi="4294967293"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4:Z880"/>
  <sheetViews>
    <sheetView showGridLines="0" showRowColHeaders="0" topLeftCell="E4" workbookViewId="0">
      <selection activeCell="A4" sqref="A4:D880"/>
    </sheetView>
  </sheetViews>
  <sheetFormatPr defaultRowHeight="15"/>
  <cols>
    <col min="1" max="1" width="9.140625" hidden="1" customWidth="1"/>
    <col min="2" max="2" width="42.28515625" hidden="1" customWidth="1"/>
    <col min="3" max="4" width="6.140625" hidden="1" customWidth="1"/>
    <col min="5" max="5" width="4.42578125" style="622" customWidth="1"/>
    <col min="6" max="6" width="3.85546875" customWidth="1"/>
  </cols>
  <sheetData>
    <row r="4" spans="1:26">
      <c r="A4" s="677"/>
      <c r="B4" s="677" t="s">
        <v>552</v>
      </c>
      <c r="C4" s="677"/>
      <c r="D4" s="677"/>
      <c r="E4" s="622">
        <f>COUNTIF(B5:B500,Data!C4)</f>
        <v>0</v>
      </c>
    </row>
    <row r="5" spans="1:26">
      <c r="A5" s="677"/>
      <c r="B5" s="677" t="s">
        <v>396</v>
      </c>
      <c r="C5" s="677"/>
      <c r="D5" s="677"/>
    </row>
    <row r="6" spans="1:26" ht="23.25">
      <c r="A6" s="677">
        <v>1</v>
      </c>
      <c r="B6" s="677" t="s">
        <v>418</v>
      </c>
      <c r="C6" s="677"/>
      <c r="D6" s="677"/>
      <c r="G6" s="865" t="s">
        <v>599</v>
      </c>
    </row>
    <row r="7" spans="1:26">
      <c r="A7" s="677">
        <v>2</v>
      </c>
      <c r="B7" s="677" t="s">
        <v>411</v>
      </c>
      <c r="C7" s="677"/>
      <c r="D7" s="677"/>
      <c r="G7" s="623"/>
    </row>
    <row r="8" spans="1:26">
      <c r="A8" s="677">
        <v>3</v>
      </c>
      <c r="B8" s="677" t="s">
        <v>419</v>
      </c>
      <c r="C8" s="677"/>
      <c r="D8" s="677"/>
      <c r="G8" s="624" t="s">
        <v>412</v>
      </c>
    </row>
    <row r="9" spans="1:26">
      <c r="A9" s="677">
        <v>4</v>
      </c>
      <c r="B9" s="677" t="s">
        <v>421</v>
      </c>
      <c r="C9" s="677"/>
      <c r="D9" s="677"/>
      <c r="G9" s="623" t="s">
        <v>413</v>
      </c>
      <c r="Z9" s="1041"/>
    </row>
    <row r="10" spans="1:26">
      <c r="A10" s="677">
        <v>5</v>
      </c>
      <c r="B10" s="677" t="s">
        <v>422</v>
      </c>
      <c r="C10" s="677"/>
      <c r="D10" s="677"/>
      <c r="G10" s="623" t="s">
        <v>414</v>
      </c>
    </row>
    <row r="11" spans="1:26">
      <c r="A11" s="677">
        <v>6</v>
      </c>
      <c r="B11" s="677" t="s">
        <v>423</v>
      </c>
      <c r="C11" s="677"/>
      <c r="D11" s="677"/>
      <c r="G11" s="623" t="s">
        <v>415</v>
      </c>
    </row>
    <row r="12" spans="1:26">
      <c r="A12" s="677">
        <v>7</v>
      </c>
      <c r="B12" s="677" t="s">
        <v>466</v>
      </c>
      <c r="C12" s="677"/>
      <c r="D12" s="677"/>
      <c r="G12" s="623"/>
    </row>
    <row r="13" spans="1:26" ht="15.75">
      <c r="A13" s="677">
        <v>8</v>
      </c>
      <c r="B13" s="677" t="s">
        <v>528</v>
      </c>
      <c r="C13" s="677"/>
      <c r="D13" s="677"/>
      <c r="G13" s="766" t="s">
        <v>543</v>
      </c>
    </row>
    <row r="14" spans="1:26" ht="15.75">
      <c r="A14" s="677">
        <v>9</v>
      </c>
      <c r="B14" s="677" t="s">
        <v>547</v>
      </c>
      <c r="C14" s="677"/>
      <c r="D14" s="677"/>
      <c r="G14" s="767" t="s">
        <v>544</v>
      </c>
    </row>
    <row r="15" spans="1:26">
      <c r="A15" s="677">
        <v>10</v>
      </c>
      <c r="B15" s="677" t="s">
        <v>548</v>
      </c>
      <c r="C15" s="677"/>
      <c r="D15" s="677"/>
      <c r="G15" s="623" t="s">
        <v>546</v>
      </c>
    </row>
    <row r="16" spans="1:26">
      <c r="A16" s="677">
        <v>11</v>
      </c>
      <c r="B16" s="677" t="s">
        <v>549</v>
      </c>
      <c r="C16" s="677"/>
      <c r="D16" s="677"/>
      <c r="G16" s="765"/>
    </row>
    <row r="17" spans="1:7">
      <c r="A17" s="677">
        <v>12</v>
      </c>
      <c r="B17" s="677" t="s">
        <v>550</v>
      </c>
      <c r="C17" s="677"/>
      <c r="D17" s="677"/>
      <c r="G17" s="765" t="s">
        <v>227</v>
      </c>
    </row>
    <row r="18" spans="1:7" ht="0.4" customHeight="1">
      <c r="A18" s="677">
        <v>13</v>
      </c>
      <c r="B18" s="677" t="s">
        <v>551</v>
      </c>
      <c r="C18" s="677"/>
      <c r="D18" s="677"/>
      <c r="G18" s="623"/>
    </row>
    <row r="19" spans="1:7" ht="0.4" customHeight="1">
      <c r="A19" s="677">
        <v>14</v>
      </c>
      <c r="B19" s="677" t="s">
        <v>553</v>
      </c>
      <c r="C19" s="677"/>
      <c r="D19" s="677"/>
      <c r="G19" s="623"/>
    </row>
    <row r="20" spans="1:7" ht="0.4" customHeight="1">
      <c r="A20" s="677">
        <v>15</v>
      </c>
      <c r="B20" s="677" t="s">
        <v>554</v>
      </c>
      <c r="C20" s="677"/>
      <c r="D20" s="677"/>
    </row>
    <row r="21" spans="1:7" ht="0.4" customHeight="1">
      <c r="A21" s="677">
        <v>16</v>
      </c>
      <c r="B21" s="677" t="s">
        <v>555</v>
      </c>
      <c r="C21" s="677"/>
      <c r="D21" s="677"/>
    </row>
    <row r="22" spans="1:7" ht="0.4" customHeight="1">
      <c r="A22" s="677">
        <v>17</v>
      </c>
      <c r="B22" s="677" t="s">
        <v>556</v>
      </c>
      <c r="C22" s="677"/>
      <c r="D22" s="677"/>
    </row>
    <row r="23" spans="1:7" ht="0.4" customHeight="1">
      <c r="A23" s="677">
        <v>18</v>
      </c>
      <c r="B23" s="677" t="s">
        <v>557</v>
      </c>
      <c r="C23" s="677"/>
      <c r="D23" s="677"/>
    </row>
    <row r="24" spans="1:7" ht="0.4" customHeight="1">
      <c r="A24" s="677">
        <v>19</v>
      </c>
      <c r="B24" s="677" t="s">
        <v>558</v>
      </c>
      <c r="C24" s="677"/>
      <c r="D24" s="677"/>
    </row>
    <row r="25" spans="1:7" ht="0.4" customHeight="1">
      <c r="A25" s="677">
        <v>20</v>
      </c>
      <c r="B25" s="677" t="s">
        <v>594</v>
      </c>
      <c r="C25" s="677"/>
      <c r="D25" s="677"/>
    </row>
    <row r="26" spans="1:7" ht="0.4" customHeight="1">
      <c r="A26" s="677">
        <v>21</v>
      </c>
      <c r="B26" s="677" t="s">
        <v>595</v>
      </c>
      <c r="C26" s="677"/>
      <c r="D26" s="677"/>
    </row>
    <row r="27" spans="1:7" ht="0.4" customHeight="1">
      <c r="A27" s="677">
        <v>22</v>
      </c>
      <c r="B27" s="677" t="s">
        <v>596</v>
      </c>
      <c r="C27" s="677"/>
      <c r="D27" s="677"/>
    </row>
    <row r="28" spans="1:7" ht="0.4" customHeight="1">
      <c r="A28" s="677">
        <v>23</v>
      </c>
      <c r="B28" s="677" t="s">
        <v>597</v>
      </c>
      <c r="C28" s="677"/>
      <c r="D28" s="677"/>
    </row>
    <row r="29" spans="1:7" ht="0.4" customHeight="1">
      <c r="A29" s="677">
        <v>24</v>
      </c>
      <c r="B29" s="677" t="s">
        <v>598</v>
      </c>
      <c r="C29" s="677"/>
      <c r="D29" s="677"/>
    </row>
    <row r="30" spans="1:7" ht="0.4" customHeight="1">
      <c r="A30" s="677">
        <v>25</v>
      </c>
      <c r="B30" s="677" t="s">
        <v>600</v>
      </c>
      <c r="C30" s="677"/>
      <c r="D30" s="677"/>
    </row>
    <row r="31" spans="1:7" ht="0.4" customHeight="1">
      <c r="A31" s="677">
        <v>26</v>
      </c>
      <c r="B31" s="677" t="s">
        <v>601</v>
      </c>
      <c r="C31" s="677"/>
      <c r="D31" s="677"/>
    </row>
    <row r="32" spans="1:7" ht="0.4" customHeight="1">
      <c r="A32" s="677">
        <v>27</v>
      </c>
      <c r="B32" s="677" t="s">
        <v>602</v>
      </c>
      <c r="C32" s="677"/>
      <c r="D32" s="677"/>
    </row>
    <row r="33" spans="1:4" ht="0.4" customHeight="1">
      <c r="A33" s="677">
        <v>28</v>
      </c>
      <c r="B33" s="677" t="s">
        <v>603</v>
      </c>
      <c r="C33" s="677"/>
      <c r="D33" s="677"/>
    </row>
    <row r="34" spans="1:4" ht="0.4" customHeight="1">
      <c r="A34" s="677">
        <v>29</v>
      </c>
      <c r="B34" s="677" t="s">
        <v>606</v>
      </c>
      <c r="C34" s="677"/>
      <c r="D34" s="677"/>
    </row>
    <row r="35" spans="1:4" ht="0.4" customHeight="1">
      <c r="A35" s="677">
        <v>30</v>
      </c>
      <c r="B35" s="677" t="s">
        <v>607</v>
      </c>
      <c r="C35" s="677"/>
      <c r="D35" s="677"/>
    </row>
    <row r="36" spans="1:4" ht="0.4" customHeight="1">
      <c r="A36" s="677">
        <v>31</v>
      </c>
      <c r="B36" s="677" t="s">
        <v>622</v>
      </c>
      <c r="C36" s="677"/>
      <c r="D36" s="677"/>
    </row>
    <row r="37" spans="1:4" ht="0.4" customHeight="1">
      <c r="A37" s="677">
        <v>32</v>
      </c>
      <c r="B37" s="677" t="s">
        <v>623</v>
      </c>
      <c r="C37" s="677"/>
      <c r="D37" s="677"/>
    </row>
    <row r="38" spans="1:4" ht="0.4" customHeight="1">
      <c r="A38" s="677">
        <v>33</v>
      </c>
      <c r="B38" s="677" t="s">
        <v>627</v>
      </c>
      <c r="C38" s="677"/>
      <c r="D38" s="677"/>
    </row>
    <row r="39" spans="1:4" ht="0.4" customHeight="1">
      <c r="A39" s="677">
        <v>34</v>
      </c>
      <c r="B39" s="677" t="s">
        <v>628</v>
      </c>
      <c r="C39" s="677"/>
      <c r="D39" s="677"/>
    </row>
    <row r="40" spans="1:4" ht="0.4" customHeight="1">
      <c r="A40" s="677">
        <v>35</v>
      </c>
      <c r="B40" s="677" t="s">
        <v>629</v>
      </c>
      <c r="C40" s="677"/>
      <c r="D40" s="677"/>
    </row>
    <row r="41" spans="1:4" ht="0.4" customHeight="1">
      <c r="A41" s="677">
        <v>36</v>
      </c>
      <c r="B41" s="677" t="s">
        <v>654</v>
      </c>
      <c r="C41" s="677"/>
      <c r="D41" s="677"/>
    </row>
    <row r="42" spans="1:4" ht="0.4" customHeight="1">
      <c r="A42" s="677">
        <v>37</v>
      </c>
      <c r="B42" s="677" t="s">
        <v>655</v>
      </c>
      <c r="C42" s="677"/>
      <c r="D42" s="677"/>
    </row>
    <row r="43" spans="1:4" ht="0.4" customHeight="1">
      <c r="A43" s="677">
        <v>38</v>
      </c>
      <c r="B43" s="677" t="s">
        <v>656</v>
      </c>
      <c r="C43" s="677"/>
      <c r="D43" s="677"/>
    </row>
    <row r="44" spans="1:4" ht="0.4" customHeight="1">
      <c r="A44" s="677">
        <v>39</v>
      </c>
      <c r="B44" s="677" t="s">
        <v>657</v>
      </c>
      <c r="C44" s="677"/>
      <c r="D44" s="677"/>
    </row>
    <row r="45" spans="1:4" ht="0.4" customHeight="1">
      <c r="A45" s="677">
        <v>40</v>
      </c>
      <c r="B45" s="677" t="s">
        <v>658</v>
      </c>
      <c r="C45" s="677"/>
      <c r="D45" s="677"/>
    </row>
    <row r="46" spans="1:4" ht="0.4" customHeight="1">
      <c r="A46" s="677">
        <v>41</v>
      </c>
      <c r="B46" s="677" t="s">
        <v>659</v>
      </c>
      <c r="C46" s="677"/>
      <c r="D46" s="677"/>
    </row>
    <row r="47" spans="1:4" ht="0.4" customHeight="1">
      <c r="A47" s="677">
        <v>42</v>
      </c>
      <c r="B47" s="677" t="s">
        <v>660</v>
      </c>
      <c r="C47" s="677"/>
      <c r="D47" s="677"/>
    </row>
    <row r="48" spans="1:4" ht="0.4" customHeight="1">
      <c r="A48" s="677">
        <v>43</v>
      </c>
      <c r="B48" s="677" t="s">
        <v>661</v>
      </c>
      <c r="C48" s="677"/>
      <c r="D48" s="677"/>
    </row>
    <row r="49" spans="1:4" ht="0.4" customHeight="1">
      <c r="A49" s="677">
        <v>44</v>
      </c>
      <c r="B49" s="677" t="s">
        <v>662</v>
      </c>
      <c r="C49" s="677"/>
      <c r="D49" s="677"/>
    </row>
    <row r="50" spans="1:4" ht="0.4" customHeight="1">
      <c r="A50" s="677">
        <v>45</v>
      </c>
      <c r="B50" s="677" t="s">
        <v>663</v>
      </c>
      <c r="C50" s="677"/>
      <c r="D50" s="677"/>
    </row>
    <row r="51" spans="1:4" ht="0.4" customHeight="1">
      <c r="A51" s="677">
        <v>46</v>
      </c>
      <c r="B51" s="677" t="s">
        <v>664</v>
      </c>
      <c r="C51" s="677"/>
      <c r="D51" s="677"/>
    </row>
    <row r="52" spans="1:4" ht="0.4" customHeight="1">
      <c r="A52" s="677">
        <v>47</v>
      </c>
      <c r="B52" s="677" t="s">
        <v>665</v>
      </c>
      <c r="C52" s="677"/>
      <c r="D52" s="677"/>
    </row>
    <row r="53" spans="1:4" ht="0.4" customHeight="1">
      <c r="A53" s="677">
        <v>48</v>
      </c>
      <c r="B53" s="677" t="s">
        <v>674</v>
      </c>
      <c r="C53" s="677"/>
      <c r="D53" s="677"/>
    </row>
    <row r="54" spans="1:4" ht="0.4" customHeight="1">
      <c r="A54" s="677">
        <v>49</v>
      </c>
      <c r="B54" s="677" t="s">
        <v>675</v>
      </c>
      <c r="C54" s="677"/>
      <c r="D54" s="677"/>
    </row>
    <row r="55" spans="1:4" ht="0.4" customHeight="1">
      <c r="A55" s="677">
        <v>50</v>
      </c>
      <c r="B55" s="677" t="s">
        <v>676</v>
      </c>
      <c r="C55" s="677"/>
      <c r="D55" s="677"/>
    </row>
    <row r="56" spans="1:4" ht="0.4" customHeight="1">
      <c r="A56" s="677">
        <v>51</v>
      </c>
      <c r="B56" s="677" t="s">
        <v>683</v>
      </c>
      <c r="C56" s="677"/>
      <c r="D56" s="677"/>
    </row>
    <row r="57" spans="1:4" ht="0.4" customHeight="1">
      <c r="A57" s="677">
        <v>52</v>
      </c>
      <c r="B57" s="677" t="s">
        <v>684</v>
      </c>
      <c r="C57" s="677"/>
      <c r="D57" s="677"/>
    </row>
    <row r="58" spans="1:4" ht="0.4" customHeight="1">
      <c r="A58" s="677">
        <v>53</v>
      </c>
      <c r="B58" s="677" t="s">
        <v>685</v>
      </c>
      <c r="C58" s="677"/>
      <c r="D58" s="677"/>
    </row>
    <row r="59" spans="1:4" ht="0.4" customHeight="1">
      <c r="A59" s="677">
        <v>54</v>
      </c>
      <c r="B59" s="677" t="s">
        <v>686</v>
      </c>
      <c r="C59" s="677"/>
      <c r="D59" s="677"/>
    </row>
    <row r="60" spans="1:4" ht="0.4" customHeight="1">
      <c r="A60" s="677">
        <v>55</v>
      </c>
      <c r="B60" s="1041" t="s">
        <v>717</v>
      </c>
      <c r="C60" s="677"/>
      <c r="D60" s="677"/>
    </row>
    <row r="61" spans="1:4" ht="0.4" customHeight="1">
      <c r="A61" s="677">
        <v>56</v>
      </c>
      <c r="B61" s="1041" t="s">
        <v>718</v>
      </c>
      <c r="C61" s="677"/>
      <c r="D61" s="677"/>
    </row>
    <row r="62" spans="1:4" ht="0.4" customHeight="1">
      <c r="A62" s="677">
        <v>57</v>
      </c>
      <c r="B62" s="677" t="s">
        <v>719</v>
      </c>
      <c r="C62" s="677"/>
      <c r="D62" s="677"/>
    </row>
    <row r="63" spans="1:4" ht="0.4" customHeight="1">
      <c r="A63" s="677">
        <v>58</v>
      </c>
      <c r="B63" s="677" t="s">
        <v>720</v>
      </c>
      <c r="C63" s="677"/>
      <c r="D63" s="677"/>
    </row>
    <row r="64" spans="1:4" ht="0.4" customHeight="1">
      <c r="A64" s="677">
        <v>59</v>
      </c>
      <c r="B64" s="677" t="s">
        <v>721</v>
      </c>
      <c r="C64" s="677"/>
      <c r="D64" s="677"/>
    </row>
    <row r="65" spans="1:4" ht="0.4" customHeight="1">
      <c r="A65" s="677">
        <v>60</v>
      </c>
      <c r="B65" s="1041" t="s">
        <v>722</v>
      </c>
      <c r="C65" s="677"/>
      <c r="D65" s="677"/>
    </row>
    <row r="66" spans="1:4" ht="0.4" customHeight="1">
      <c r="A66" s="677">
        <v>61</v>
      </c>
      <c r="B66" s="1041" t="s">
        <v>723</v>
      </c>
      <c r="C66" s="677"/>
      <c r="D66" s="677"/>
    </row>
    <row r="67" spans="1:4" ht="0.4" customHeight="1">
      <c r="A67" s="677">
        <v>62</v>
      </c>
      <c r="B67" s="1041" t="s">
        <v>724</v>
      </c>
      <c r="C67" s="677"/>
      <c r="D67" s="677"/>
    </row>
    <row r="68" spans="1:4" ht="0.4" customHeight="1">
      <c r="A68" s="677">
        <v>63</v>
      </c>
      <c r="B68" s="1041" t="s">
        <v>725</v>
      </c>
      <c r="C68" s="677"/>
      <c r="D68" s="677"/>
    </row>
    <row r="69" spans="1:4" ht="0.4" customHeight="1">
      <c r="A69" s="677">
        <v>64</v>
      </c>
      <c r="B69" s="677" t="s">
        <v>736</v>
      </c>
      <c r="C69" s="677"/>
      <c r="D69" s="677"/>
    </row>
    <row r="70" spans="1:4" ht="0.4" customHeight="1">
      <c r="A70" s="677">
        <v>65</v>
      </c>
      <c r="B70" s="677" t="s">
        <v>737</v>
      </c>
      <c r="C70" s="677"/>
      <c r="D70" s="677"/>
    </row>
    <row r="71" spans="1:4" ht="0.4" customHeight="1">
      <c r="A71" s="677">
        <v>66</v>
      </c>
      <c r="B71" s="677" t="s">
        <v>761</v>
      </c>
      <c r="C71" s="677"/>
      <c r="D71" s="677"/>
    </row>
    <row r="72" spans="1:4" ht="0.4" customHeight="1">
      <c r="A72" s="677">
        <v>67</v>
      </c>
      <c r="B72" s="677" t="s">
        <v>762</v>
      </c>
      <c r="C72" s="677"/>
      <c r="D72" s="677"/>
    </row>
    <row r="73" spans="1:4" ht="0.4" customHeight="1">
      <c r="A73" s="677">
        <v>68</v>
      </c>
      <c r="B73" s="677" t="s">
        <v>763</v>
      </c>
      <c r="C73" s="677"/>
      <c r="D73" s="677"/>
    </row>
    <row r="74" spans="1:4" ht="0.4" customHeight="1">
      <c r="A74" s="677">
        <v>69</v>
      </c>
      <c r="B74" s="677" t="s">
        <v>764</v>
      </c>
      <c r="C74" s="677"/>
      <c r="D74" s="677"/>
    </row>
    <row r="75" spans="1:4" ht="0.4" customHeight="1">
      <c r="A75" s="677">
        <v>70</v>
      </c>
      <c r="B75" s="1041" t="s">
        <v>765</v>
      </c>
      <c r="C75" s="677"/>
      <c r="D75" s="677"/>
    </row>
    <row r="76" spans="1:4" ht="0.4" customHeight="1">
      <c r="A76" s="677">
        <v>71</v>
      </c>
      <c r="B76" s="1041" t="s">
        <v>766</v>
      </c>
      <c r="C76" s="677"/>
      <c r="D76" s="677"/>
    </row>
    <row r="77" spans="1:4" ht="0.4" customHeight="1">
      <c r="A77" s="677">
        <v>72</v>
      </c>
      <c r="B77" s="1041" t="s">
        <v>767</v>
      </c>
      <c r="C77" s="677"/>
      <c r="D77" s="677"/>
    </row>
    <row r="78" spans="1:4" ht="0.4" customHeight="1">
      <c r="A78" s="677">
        <v>73</v>
      </c>
      <c r="B78" s="1041" t="s">
        <v>768</v>
      </c>
      <c r="C78" s="677"/>
      <c r="D78" s="677"/>
    </row>
    <row r="79" spans="1:4" ht="0.4" customHeight="1">
      <c r="A79" s="677">
        <v>74</v>
      </c>
      <c r="B79" s="1041" t="s">
        <v>769</v>
      </c>
      <c r="C79" s="677"/>
      <c r="D79" s="677"/>
    </row>
    <row r="80" spans="1:4" ht="0.4" customHeight="1">
      <c r="A80" s="677">
        <v>75</v>
      </c>
      <c r="B80" s="677" t="s">
        <v>770</v>
      </c>
      <c r="C80" s="677"/>
      <c r="D80" s="677"/>
    </row>
    <row r="81" spans="1:4" ht="0.4" customHeight="1">
      <c r="A81" s="677">
        <v>76</v>
      </c>
      <c r="B81" s="677" t="s">
        <v>771</v>
      </c>
      <c r="C81" s="677"/>
      <c r="D81" s="677"/>
    </row>
    <row r="82" spans="1:4" ht="0.4" customHeight="1">
      <c r="A82" s="677">
        <v>77</v>
      </c>
      <c r="B82" s="677" t="s">
        <v>772</v>
      </c>
      <c r="C82" s="677"/>
      <c r="D82" s="677"/>
    </row>
    <row r="83" spans="1:4" ht="0.4" customHeight="1">
      <c r="A83" s="677">
        <v>78</v>
      </c>
      <c r="B83" s="677" t="s">
        <v>773</v>
      </c>
      <c r="C83" s="677"/>
      <c r="D83" s="677"/>
    </row>
    <row r="84" spans="1:4" ht="0.4" customHeight="1">
      <c r="A84" s="677">
        <v>79</v>
      </c>
      <c r="B84" s="677" t="s">
        <v>774</v>
      </c>
      <c r="C84" s="677"/>
      <c r="D84" s="677"/>
    </row>
    <row r="85" spans="1:4" ht="0.4" customHeight="1">
      <c r="A85" s="677">
        <v>80</v>
      </c>
      <c r="B85" s="677" t="s">
        <v>775</v>
      </c>
      <c r="C85" s="677"/>
      <c r="D85" s="677"/>
    </row>
    <row r="86" spans="1:4" ht="0.4" customHeight="1">
      <c r="A86" s="677">
        <v>81</v>
      </c>
      <c r="B86" s="677" t="s">
        <v>776</v>
      </c>
      <c r="C86" s="677"/>
      <c r="D86" s="677"/>
    </row>
    <row r="87" spans="1:4" ht="0.4" customHeight="1">
      <c r="A87" s="677">
        <v>82</v>
      </c>
      <c r="B87" s="677" t="s">
        <v>777</v>
      </c>
      <c r="C87" s="677"/>
      <c r="D87" s="677"/>
    </row>
    <row r="88" spans="1:4" ht="0.4" customHeight="1">
      <c r="A88" s="677">
        <v>83</v>
      </c>
      <c r="B88" s="677" t="s">
        <v>778</v>
      </c>
      <c r="C88" s="677"/>
      <c r="D88" s="677"/>
    </row>
    <row r="89" spans="1:4" ht="0.4" customHeight="1">
      <c r="A89" s="677">
        <v>84</v>
      </c>
      <c r="B89" s="677" t="s">
        <v>779</v>
      </c>
      <c r="C89" s="677"/>
      <c r="D89" s="677"/>
    </row>
    <row r="90" spans="1:4" ht="0.4" customHeight="1">
      <c r="A90" s="677">
        <v>85</v>
      </c>
      <c r="B90" s="677" t="s">
        <v>780</v>
      </c>
      <c r="C90" s="677"/>
      <c r="D90" s="677"/>
    </row>
    <row r="91" spans="1:4" ht="0.4" customHeight="1">
      <c r="A91" s="677">
        <v>86</v>
      </c>
      <c r="B91" s="677" t="s">
        <v>781</v>
      </c>
      <c r="C91" s="677"/>
      <c r="D91" s="677"/>
    </row>
    <row r="92" spans="1:4" ht="0.4" customHeight="1">
      <c r="A92" s="677">
        <v>87</v>
      </c>
      <c r="B92" s="677" t="s">
        <v>782</v>
      </c>
      <c r="C92" s="677"/>
      <c r="D92" s="677"/>
    </row>
    <row r="93" spans="1:4" ht="0.4" customHeight="1">
      <c r="A93" s="677">
        <v>88</v>
      </c>
      <c r="B93" s="677" t="s">
        <v>784</v>
      </c>
      <c r="C93" s="677"/>
      <c r="D93" s="677"/>
    </row>
    <row r="94" spans="1:4" ht="0.4" customHeight="1">
      <c r="A94" s="677">
        <v>89</v>
      </c>
      <c r="B94" s="677" t="s">
        <v>783</v>
      </c>
      <c r="C94" s="677"/>
      <c r="D94" s="677"/>
    </row>
    <row r="95" spans="1:4" ht="0.4" customHeight="1">
      <c r="A95" s="677">
        <v>90</v>
      </c>
      <c r="B95" s="677" t="s">
        <v>788</v>
      </c>
      <c r="C95" s="677"/>
      <c r="D95" s="677"/>
    </row>
    <row r="96" spans="1:4" ht="0.4" customHeight="1">
      <c r="A96" s="677">
        <v>91</v>
      </c>
      <c r="B96" s="677" t="s">
        <v>789</v>
      </c>
      <c r="C96" s="677"/>
      <c r="D96" s="677"/>
    </row>
    <row r="97" spans="1:4" ht="0.4" customHeight="1">
      <c r="A97" s="677">
        <v>92</v>
      </c>
      <c r="B97" s="677" t="s">
        <v>790</v>
      </c>
      <c r="C97" s="677"/>
      <c r="D97" s="677"/>
    </row>
    <row r="98" spans="1:4" ht="0.4" customHeight="1">
      <c r="A98" s="677">
        <v>93</v>
      </c>
      <c r="B98" s="677" t="s">
        <v>791</v>
      </c>
      <c r="C98" s="677"/>
      <c r="D98" s="677"/>
    </row>
    <row r="99" spans="1:4" ht="0.4" customHeight="1">
      <c r="A99" s="677">
        <v>94</v>
      </c>
      <c r="B99" s="677" t="s">
        <v>792</v>
      </c>
      <c r="C99" s="677"/>
      <c r="D99" s="677"/>
    </row>
    <row r="100" spans="1:4" ht="0.4" customHeight="1">
      <c r="A100" s="677">
        <v>95</v>
      </c>
      <c r="B100" s="677" t="s">
        <v>793</v>
      </c>
      <c r="C100" s="677"/>
      <c r="D100" s="677"/>
    </row>
    <row r="101" spans="1:4" ht="0.4" customHeight="1">
      <c r="A101" s="677">
        <v>96</v>
      </c>
      <c r="B101" s="677" t="s">
        <v>794</v>
      </c>
      <c r="C101" s="677"/>
      <c r="D101" s="677"/>
    </row>
    <row r="102" spans="1:4" ht="0.4" customHeight="1">
      <c r="A102" s="677">
        <v>97</v>
      </c>
      <c r="B102" s="677" t="s">
        <v>795</v>
      </c>
      <c r="C102" s="677"/>
      <c r="D102" s="677"/>
    </row>
    <row r="103" spans="1:4" ht="0.4" customHeight="1">
      <c r="A103" s="677">
        <v>98</v>
      </c>
      <c r="B103" s="677" t="s">
        <v>796</v>
      </c>
      <c r="C103" s="677"/>
      <c r="D103" s="677"/>
    </row>
    <row r="104" spans="1:4" ht="0.4" customHeight="1">
      <c r="A104" s="677">
        <v>99</v>
      </c>
      <c r="B104" s="677" t="s">
        <v>797</v>
      </c>
      <c r="C104" s="677"/>
      <c r="D104" s="677"/>
    </row>
    <row r="105" spans="1:4" ht="0.4" customHeight="1">
      <c r="A105" s="677">
        <v>100</v>
      </c>
      <c r="B105" s="677" t="s">
        <v>798</v>
      </c>
      <c r="C105" s="677"/>
      <c r="D105" s="677"/>
    </row>
    <row r="106" spans="1:4" ht="0.4" customHeight="1">
      <c r="A106" s="677">
        <v>101</v>
      </c>
      <c r="B106" s="677" t="s">
        <v>799</v>
      </c>
      <c r="C106" s="677"/>
      <c r="D106" s="677"/>
    </row>
    <row r="107" spans="1:4" ht="0.4" customHeight="1">
      <c r="A107" s="677">
        <v>102</v>
      </c>
      <c r="B107" s="677" t="s">
        <v>800</v>
      </c>
      <c r="C107" s="677"/>
      <c r="D107" s="677"/>
    </row>
    <row r="108" spans="1:4" ht="0.4" customHeight="1">
      <c r="A108" s="677">
        <v>103</v>
      </c>
      <c r="B108" s="677" t="s">
        <v>801</v>
      </c>
      <c r="C108" s="677"/>
      <c r="D108" s="677"/>
    </row>
    <row r="109" spans="1:4" ht="0.4" customHeight="1">
      <c r="A109" s="677">
        <v>104</v>
      </c>
      <c r="B109" s="677" t="s">
        <v>802</v>
      </c>
      <c r="C109" s="677"/>
      <c r="D109" s="677"/>
    </row>
    <row r="110" spans="1:4" ht="0.4" customHeight="1">
      <c r="A110" s="677">
        <v>105</v>
      </c>
      <c r="B110" s="677" t="s">
        <v>803</v>
      </c>
      <c r="C110" s="677"/>
      <c r="D110" s="677"/>
    </row>
    <row r="111" spans="1:4" ht="0.4" customHeight="1">
      <c r="A111" s="677">
        <v>106</v>
      </c>
      <c r="B111" s="677" t="s">
        <v>804</v>
      </c>
      <c r="C111" s="677"/>
      <c r="D111" s="677"/>
    </row>
    <row r="112" spans="1:4" ht="0.4" customHeight="1">
      <c r="A112" s="677">
        <v>107</v>
      </c>
      <c r="B112" s="677" t="s">
        <v>805</v>
      </c>
      <c r="C112" s="677"/>
      <c r="D112" s="677"/>
    </row>
    <row r="113" spans="1:4" ht="0.4" customHeight="1">
      <c r="A113" s="677">
        <v>108</v>
      </c>
      <c r="B113" s="677" t="s">
        <v>806</v>
      </c>
      <c r="C113" s="677"/>
      <c r="D113" s="677"/>
    </row>
    <row r="114" spans="1:4" ht="0.4" customHeight="1">
      <c r="A114" s="677">
        <v>109</v>
      </c>
      <c r="B114" s="677" t="s">
        <v>807</v>
      </c>
      <c r="C114" s="677"/>
      <c r="D114" s="677"/>
    </row>
    <row r="115" spans="1:4" ht="0.4" customHeight="1">
      <c r="A115" s="677">
        <v>110</v>
      </c>
      <c r="B115" s="677" t="s">
        <v>808</v>
      </c>
      <c r="C115" s="677"/>
      <c r="D115" s="677"/>
    </row>
    <row r="116" spans="1:4" ht="0.4" customHeight="1">
      <c r="A116" s="677">
        <v>111</v>
      </c>
      <c r="B116" s="677" t="s">
        <v>809</v>
      </c>
      <c r="C116" s="677"/>
      <c r="D116" s="677"/>
    </row>
    <row r="117" spans="1:4" ht="0.4" customHeight="1">
      <c r="A117" s="677">
        <v>112</v>
      </c>
      <c r="B117" s="677" t="s">
        <v>810</v>
      </c>
      <c r="C117" s="677"/>
      <c r="D117" s="677"/>
    </row>
    <row r="118" spans="1:4" ht="0.4" customHeight="1">
      <c r="A118" s="677">
        <v>113</v>
      </c>
      <c r="B118" s="677" t="s">
        <v>811</v>
      </c>
      <c r="C118" s="677"/>
      <c r="D118" s="677"/>
    </row>
    <row r="119" spans="1:4" ht="0.4" customHeight="1">
      <c r="A119" s="677">
        <v>114</v>
      </c>
      <c r="B119" s="677" t="s">
        <v>816</v>
      </c>
      <c r="C119" s="677"/>
      <c r="D119" s="677"/>
    </row>
    <row r="120" spans="1:4" ht="0.4" customHeight="1">
      <c r="A120" s="677">
        <v>115</v>
      </c>
      <c r="B120" s="677" t="s">
        <v>812</v>
      </c>
      <c r="C120" s="677"/>
      <c r="D120" s="677"/>
    </row>
    <row r="121" spans="1:4" ht="0.4" customHeight="1">
      <c r="A121" s="677">
        <v>116</v>
      </c>
      <c r="B121" s="677" t="s">
        <v>813</v>
      </c>
      <c r="C121" s="677"/>
      <c r="D121" s="677"/>
    </row>
    <row r="122" spans="1:4" ht="0.4" customHeight="1">
      <c r="A122" s="677">
        <v>117</v>
      </c>
      <c r="B122" s="677" t="s">
        <v>817</v>
      </c>
      <c r="C122" s="677"/>
      <c r="D122" s="677"/>
    </row>
    <row r="123" spans="1:4" ht="0.4" customHeight="1">
      <c r="A123" s="677">
        <v>118</v>
      </c>
      <c r="B123" s="677" t="s">
        <v>818</v>
      </c>
      <c r="C123" s="677"/>
      <c r="D123" s="677"/>
    </row>
    <row r="124" spans="1:4" ht="0.4" customHeight="1">
      <c r="A124" s="677">
        <v>119</v>
      </c>
      <c r="B124" s="677" t="s">
        <v>814</v>
      </c>
      <c r="C124" s="677"/>
      <c r="D124" s="677"/>
    </row>
    <row r="125" spans="1:4" ht="0.4" customHeight="1">
      <c r="A125" s="677">
        <v>120</v>
      </c>
      <c r="B125" s="677" t="s">
        <v>815</v>
      </c>
      <c r="C125" s="677"/>
      <c r="D125" s="677"/>
    </row>
    <row r="126" spans="1:4" ht="0.4" customHeight="1">
      <c r="A126" s="677">
        <v>121</v>
      </c>
      <c r="B126" s="677" t="s">
        <v>819</v>
      </c>
      <c r="C126" s="677"/>
      <c r="D126" s="677"/>
    </row>
    <row r="127" spans="1:4" ht="0.4" customHeight="1">
      <c r="A127" s="677">
        <v>122</v>
      </c>
      <c r="B127" s="677" t="s">
        <v>825</v>
      </c>
      <c r="C127" s="677"/>
      <c r="D127" s="677"/>
    </row>
    <row r="128" spans="1:4" ht="0.4" customHeight="1">
      <c r="A128" s="677">
        <v>123</v>
      </c>
      <c r="B128" s="677" t="s">
        <v>820</v>
      </c>
      <c r="C128" s="677"/>
      <c r="D128" s="677"/>
    </row>
    <row r="129" spans="1:4" ht="0.4" customHeight="1">
      <c r="A129" s="677">
        <v>124</v>
      </c>
      <c r="B129" s="677" t="s">
        <v>821</v>
      </c>
      <c r="C129" s="677"/>
      <c r="D129" s="677"/>
    </row>
    <row r="130" spans="1:4" ht="0.4" customHeight="1">
      <c r="A130" s="677">
        <v>125</v>
      </c>
      <c r="B130" s="677" t="s">
        <v>822</v>
      </c>
      <c r="C130" s="677"/>
      <c r="D130" s="677"/>
    </row>
    <row r="131" spans="1:4" ht="0.4" customHeight="1">
      <c r="A131" s="677">
        <v>126</v>
      </c>
      <c r="B131" s="677" t="s">
        <v>823</v>
      </c>
      <c r="C131" s="677"/>
      <c r="D131" s="677"/>
    </row>
    <row r="132" spans="1:4" ht="0.4" customHeight="1">
      <c r="A132" s="677">
        <v>127</v>
      </c>
      <c r="B132" s="677" t="s">
        <v>826</v>
      </c>
      <c r="C132" s="677"/>
      <c r="D132" s="677"/>
    </row>
    <row r="133" spans="1:4" ht="0.4" customHeight="1">
      <c r="A133" s="677">
        <v>128</v>
      </c>
      <c r="B133" s="677" t="s">
        <v>824</v>
      </c>
      <c r="C133" s="677"/>
      <c r="D133" s="677"/>
    </row>
    <row r="134" spans="1:4" ht="0.4" customHeight="1">
      <c r="A134" s="677">
        <v>129</v>
      </c>
      <c r="B134" s="677" t="s">
        <v>827</v>
      </c>
      <c r="C134" s="677"/>
      <c r="D134" s="677"/>
    </row>
    <row r="135" spans="1:4" ht="0.4" customHeight="1">
      <c r="A135" s="677">
        <v>130</v>
      </c>
      <c r="B135" s="677" t="s">
        <v>828</v>
      </c>
      <c r="C135" s="677"/>
      <c r="D135" s="677"/>
    </row>
    <row r="136" spans="1:4" ht="0.4" customHeight="1">
      <c r="A136" s="677">
        <v>131</v>
      </c>
      <c r="B136" s="677" t="s">
        <v>829</v>
      </c>
      <c r="C136" s="677"/>
      <c r="D136" s="677"/>
    </row>
    <row r="137" spans="1:4" ht="0.4" customHeight="1">
      <c r="A137" s="677">
        <v>132</v>
      </c>
      <c r="B137" s="677" t="s">
        <v>830</v>
      </c>
      <c r="C137" s="677"/>
      <c r="D137" s="677"/>
    </row>
    <row r="138" spans="1:4" ht="0.4" customHeight="1">
      <c r="A138" s="677">
        <v>133</v>
      </c>
      <c r="B138" s="677" t="s">
        <v>831</v>
      </c>
      <c r="C138" s="677"/>
      <c r="D138" s="677"/>
    </row>
    <row r="139" spans="1:4" ht="0.4" customHeight="1">
      <c r="A139" s="677">
        <v>134</v>
      </c>
      <c r="B139" s="677" t="s">
        <v>832</v>
      </c>
      <c r="C139" s="677"/>
      <c r="D139" s="677"/>
    </row>
    <row r="140" spans="1:4" ht="0.4" customHeight="1">
      <c r="A140" s="677">
        <v>135</v>
      </c>
      <c r="B140" s="677" t="s">
        <v>833</v>
      </c>
      <c r="C140" s="677"/>
      <c r="D140" s="677"/>
    </row>
    <row r="141" spans="1:4" ht="0.4" customHeight="1">
      <c r="A141" s="677">
        <v>136</v>
      </c>
      <c r="B141" s="677" t="s">
        <v>834</v>
      </c>
      <c r="C141" s="677"/>
      <c r="D141" s="677"/>
    </row>
    <row r="142" spans="1:4" ht="0.4" customHeight="1">
      <c r="A142" s="677">
        <v>137</v>
      </c>
      <c r="B142" s="677" t="s">
        <v>835</v>
      </c>
      <c r="C142" s="677"/>
      <c r="D142" s="677"/>
    </row>
    <row r="143" spans="1:4" ht="0.4" customHeight="1">
      <c r="A143" s="677">
        <v>138</v>
      </c>
      <c r="B143" s="677" t="s">
        <v>836</v>
      </c>
      <c r="C143" s="677"/>
      <c r="D143" s="677"/>
    </row>
    <row r="144" spans="1:4" ht="0.4" customHeight="1">
      <c r="A144" s="677">
        <v>139</v>
      </c>
      <c r="B144" s="677" t="s">
        <v>839</v>
      </c>
      <c r="C144" s="677"/>
      <c r="D144" s="677"/>
    </row>
    <row r="145" spans="1:4" ht="0.4" customHeight="1">
      <c r="A145" s="677">
        <v>140</v>
      </c>
      <c r="B145" s="677" t="s">
        <v>837</v>
      </c>
      <c r="C145" s="677"/>
      <c r="D145" s="677"/>
    </row>
    <row r="146" spans="1:4" ht="0.4" customHeight="1">
      <c r="A146" s="677">
        <v>141</v>
      </c>
      <c r="B146" s="677" t="s">
        <v>838</v>
      </c>
      <c r="C146" s="677"/>
      <c r="D146" s="677"/>
    </row>
    <row r="147" spans="1:4" ht="0.4" customHeight="1">
      <c r="A147" s="677">
        <v>142</v>
      </c>
      <c r="B147" s="677" t="s">
        <v>840</v>
      </c>
      <c r="C147" s="677"/>
      <c r="D147" s="677"/>
    </row>
    <row r="148" spans="1:4" ht="0.4" customHeight="1">
      <c r="A148" s="677">
        <v>143</v>
      </c>
      <c r="B148" s="677" t="s">
        <v>841</v>
      </c>
      <c r="C148" s="677"/>
      <c r="D148" s="677"/>
    </row>
    <row r="149" spans="1:4" ht="0.4" customHeight="1">
      <c r="A149" s="677">
        <v>144</v>
      </c>
      <c r="B149" s="677" t="s">
        <v>842</v>
      </c>
      <c r="C149" s="677"/>
      <c r="D149" s="677"/>
    </row>
    <row r="150" spans="1:4" ht="0.4" customHeight="1">
      <c r="A150" s="677">
        <v>145</v>
      </c>
      <c r="B150" s="677" t="s">
        <v>843</v>
      </c>
      <c r="C150" s="677"/>
      <c r="D150" s="677"/>
    </row>
    <row r="151" spans="1:4" ht="0.4" customHeight="1">
      <c r="A151" s="677">
        <v>146</v>
      </c>
      <c r="B151" s="677" t="s">
        <v>844</v>
      </c>
      <c r="C151" s="677"/>
      <c r="D151" s="677"/>
    </row>
    <row r="152" spans="1:4" ht="0.4" customHeight="1">
      <c r="A152" s="677">
        <v>147</v>
      </c>
      <c r="B152" s="677" t="s">
        <v>845</v>
      </c>
      <c r="C152" s="677"/>
      <c r="D152" s="677"/>
    </row>
    <row r="153" spans="1:4" ht="0.4" customHeight="1">
      <c r="A153" s="677">
        <v>148</v>
      </c>
      <c r="B153" s="677" t="s">
        <v>846</v>
      </c>
      <c r="C153" s="677"/>
      <c r="D153" s="677"/>
    </row>
    <row r="154" spans="1:4" ht="0.4" customHeight="1">
      <c r="A154" s="677">
        <v>149</v>
      </c>
      <c r="B154" s="677" t="s">
        <v>847</v>
      </c>
      <c r="C154" s="677"/>
      <c r="D154" s="677"/>
    </row>
    <row r="155" spans="1:4" ht="0.4" customHeight="1">
      <c r="A155" s="677">
        <v>150</v>
      </c>
      <c r="B155" s="677" t="s">
        <v>848</v>
      </c>
      <c r="C155" s="677"/>
      <c r="D155" s="677"/>
    </row>
    <row r="156" spans="1:4" ht="0.4" customHeight="1">
      <c r="A156" s="677">
        <v>151</v>
      </c>
      <c r="B156" s="677" t="s">
        <v>849</v>
      </c>
      <c r="C156" s="677"/>
      <c r="D156" s="677"/>
    </row>
    <row r="157" spans="1:4" ht="0.4" customHeight="1">
      <c r="A157" s="677">
        <v>152</v>
      </c>
      <c r="B157" s="677" t="s">
        <v>850</v>
      </c>
      <c r="C157" s="677"/>
      <c r="D157" s="677"/>
    </row>
    <row r="158" spans="1:4" ht="0.4" customHeight="1">
      <c r="A158" s="677">
        <v>153</v>
      </c>
      <c r="B158" s="677" t="s">
        <v>851</v>
      </c>
      <c r="C158" s="677"/>
      <c r="D158" s="677"/>
    </row>
    <row r="159" spans="1:4" ht="0.4" customHeight="1">
      <c r="A159" s="677">
        <v>154</v>
      </c>
      <c r="B159" s="677" t="s">
        <v>852</v>
      </c>
      <c r="C159" s="677"/>
      <c r="D159" s="677"/>
    </row>
    <row r="160" spans="1:4" ht="0.4" customHeight="1">
      <c r="A160" s="677">
        <v>155</v>
      </c>
      <c r="B160" s="677" t="s">
        <v>853</v>
      </c>
      <c r="C160" s="677"/>
      <c r="D160" s="677"/>
    </row>
    <row r="161" spans="1:4" ht="0.4" customHeight="1">
      <c r="A161" s="677">
        <v>156</v>
      </c>
      <c r="B161" s="677" t="s">
        <v>854</v>
      </c>
      <c r="C161" s="677"/>
      <c r="D161" s="677"/>
    </row>
    <row r="162" spans="1:4" ht="0.4" customHeight="1">
      <c r="A162" s="677">
        <v>157</v>
      </c>
      <c r="B162" s="677" t="s">
        <v>856</v>
      </c>
      <c r="C162" s="677"/>
      <c r="D162" s="677"/>
    </row>
    <row r="163" spans="1:4" ht="0.4" customHeight="1">
      <c r="A163" s="677">
        <v>158</v>
      </c>
      <c r="B163" s="677" t="s">
        <v>855</v>
      </c>
      <c r="C163" s="677"/>
      <c r="D163" s="677"/>
    </row>
    <row r="164" spans="1:4" ht="0.4" customHeight="1">
      <c r="A164" s="677">
        <v>159</v>
      </c>
      <c r="B164" s="677" t="s">
        <v>857</v>
      </c>
      <c r="C164" s="677"/>
      <c r="D164" s="677"/>
    </row>
    <row r="165" spans="1:4" ht="0.4" customHeight="1">
      <c r="A165" s="677">
        <v>160</v>
      </c>
      <c r="B165" s="677" t="s">
        <v>858</v>
      </c>
      <c r="C165" s="677"/>
      <c r="D165" s="677"/>
    </row>
    <row r="166" spans="1:4" ht="0.4" customHeight="1">
      <c r="A166" s="677">
        <v>161</v>
      </c>
      <c r="B166" s="677" t="s">
        <v>859</v>
      </c>
      <c r="C166" s="677"/>
      <c r="D166" s="677"/>
    </row>
    <row r="167" spans="1:4" ht="0.4" customHeight="1">
      <c r="A167" s="677">
        <v>162</v>
      </c>
      <c r="B167" s="677" t="s">
        <v>860</v>
      </c>
      <c r="C167" s="677"/>
      <c r="D167" s="677"/>
    </row>
    <row r="168" spans="1:4" ht="0.4" customHeight="1">
      <c r="A168" s="677">
        <v>163</v>
      </c>
      <c r="B168" s="677" t="s">
        <v>861</v>
      </c>
      <c r="C168" s="677"/>
      <c r="D168" s="677"/>
    </row>
    <row r="169" spans="1:4" ht="0.4" customHeight="1">
      <c r="A169" s="677">
        <v>164</v>
      </c>
      <c r="B169" s="677" t="s">
        <v>862</v>
      </c>
      <c r="C169" s="677"/>
      <c r="D169" s="677"/>
    </row>
    <row r="170" spans="1:4" ht="0.4" customHeight="1">
      <c r="A170" s="677">
        <v>165</v>
      </c>
      <c r="B170" s="677" t="s">
        <v>863</v>
      </c>
      <c r="C170" s="677"/>
      <c r="D170" s="677"/>
    </row>
    <row r="171" spans="1:4" ht="0.4" customHeight="1">
      <c r="A171" s="677">
        <v>166</v>
      </c>
      <c r="B171" s="677" t="s">
        <v>864</v>
      </c>
      <c r="C171" s="677"/>
      <c r="D171" s="677"/>
    </row>
    <row r="172" spans="1:4" ht="0.4" customHeight="1">
      <c r="A172" s="677">
        <v>167</v>
      </c>
      <c r="B172" s="677" t="s">
        <v>865</v>
      </c>
      <c r="C172" s="677"/>
      <c r="D172" s="677"/>
    </row>
    <row r="173" spans="1:4" ht="0.4" customHeight="1">
      <c r="A173" s="677">
        <v>168</v>
      </c>
      <c r="B173" s="677" t="s">
        <v>866</v>
      </c>
      <c r="C173" s="677"/>
      <c r="D173" s="677"/>
    </row>
    <row r="174" spans="1:4" ht="0.4" customHeight="1">
      <c r="A174" s="677">
        <v>169</v>
      </c>
      <c r="B174" s="677" t="s">
        <v>867</v>
      </c>
      <c r="C174" s="677"/>
      <c r="D174" s="677"/>
    </row>
    <row r="175" spans="1:4" ht="0.4" customHeight="1">
      <c r="A175" s="677">
        <v>170</v>
      </c>
      <c r="B175" s="677" t="s">
        <v>868</v>
      </c>
      <c r="C175" s="677"/>
      <c r="D175" s="677"/>
    </row>
    <row r="176" spans="1:4" ht="0.4" customHeight="1">
      <c r="A176" s="677">
        <v>171</v>
      </c>
      <c r="B176" s="677" t="s">
        <v>869</v>
      </c>
      <c r="C176" s="677"/>
      <c r="D176" s="677"/>
    </row>
    <row r="177" spans="1:4" ht="0.4" customHeight="1">
      <c r="A177" s="677">
        <v>172</v>
      </c>
      <c r="B177" s="677" t="s">
        <v>870</v>
      </c>
      <c r="C177" s="677"/>
      <c r="D177" s="677"/>
    </row>
    <row r="178" spans="1:4" ht="0.4" customHeight="1">
      <c r="A178" s="677">
        <v>173</v>
      </c>
      <c r="B178" s="677" t="s">
        <v>871</v>
      </c>
      <c r="C178" s="677"/>
      <c r="D178" s="677"/>
    </row>
    <row r="179" spans="1:4" ht="0.4" customHeight="1">
      <c r="A179" s="677">
        <v>174</v>
      </c>
      <c r="B179" s="677" t="s">
        <v>873</v>
      </c>
      <c r="C179" s="677"/>
      <c r="D179" s="677"/>
    </row>
    <row r="180" spans="1:4" ht="0.4" customHeight="1">
      <c r="A180" s="677">
        <v>175</v>
      </c>
      <c r="B180" s="677" t="s">
        <v>872</v>
      </c>
      <c r="C180" s="677"/>
      <c r="D180" s="677"/>
    </row>
    <row r="181" spans="1:4" ht="0.4" customHeight="1">
      <c r="A181" s="677">
        <v>176</v>
      </c>
      <c r="B181" s="677" t="s">
        <v>874</v>
      </c>
      <c r="C181" s="677"/>
      <c r="D181" s="677"/>
    </row>
    <row r="182" spans="1:4" ht="0.4" customHeight="1">
      <c r="A182" s="677">
        <v>177</v>
      </c>
      <c r="B182" s="677" t="s">
        <v>875</v>
      </c>
      <c r="C182" s="677"/>
      <c r="D182" s="677"/>
    </row>
    <row r="183" spans="1:4" ht="0.4" customHeight="1">
      <c r="A183" s="677">
        <v>178</v>
      </c>
      <c r="B183" s="677" t="s">
        <v>876</v>
      </c>
      <c r="C183" s="677"/>
      <c r="D183" s="677"/>
    </row>
    <row r="184" spans="1:4" ht="0.4" customHeight="1">
      <c r="A184" s="677">
        <v>179</v>
      </c>
      <c r="B184" s="677" t="s">
        <v>877</v>
      </c>
      <c r="C184" s="677"/>
      <c r="D184" s="677"/>
    </row>
    <row r="185" spans="1:4" ht="0.4" customHeight="1">
      <c r="A185" s="677">
        <v>180</v>
      </c>
      <c r="B185" s="677" t="s">
        <v>878</v>
      </c>
      <c r="C185" s="677"/>
      <c r="D185" s="677"/>
    </row>
    <row r="186" spans="1:4" ht="0.4" customHeight="1">
      <c r="A186" s="677">
        <v>181</v>
      </c>
      <c r="B186" s="677" t="s">
        <v>879</v>
      </c>
      <c r="C186" s="677"/>
      <c r="D186" s="677"/>
    </row>
    <row r="187" spans="1:4" ht="0.4" customHeight="1">
      <c r="A187" s="677">
        <v>182</v>
      </c>
      <c r="B187" s="677" t="s">
        <v>880</v>
      </c>
      <c r="C187" s="677"/>
      <c r="D187" s="677"/>
    </row>
    <row r="188" spans="1:4" ht="0.4" customHeight="1">
      <c r="A188" s="677">
        <v>183</v>
      </c>
      <c r="B188" s="677" t="s">
        <v>881</v>
      </c>
      <c r="C188" s="677"/>
      <c r="D188" s="677"/>
    </row>
    <row r="189" spans="1:4" ht="0.4" customHeight="1">
      <c r="A189" s="677">
        <v>184</v>
      </c>
      <c r="B189" s="677" t="s">
        <v>882</v>
      </c>
      <c r="C189" s="677"/>
      <c r="D189" s="677"/>
    </row>
    <row r="190" spans="1:4" ht="0.4" customHeight="1">
      <c r="A190" s="677">
        <v>185</v>
      </c>
      <c r="B190" s="677" t="s">
        <v>883</v>
      </c>
      <c r="C190" s="677"/>
      <c r="D190" s="677"/>
    </row>
    <row r="191" spans="1:4" ht="0.4" customHeight="1">
      <c r="A191" s="677">
        <v>186</v>
      </c>
      <c r="B191" s="677" t="s">
        <v>884</v>
      </c>
      <c r="C191" s="677"/>
      <c r="D191" s="677"/>
    </row>
    <row r="192" spans="1:4" ht="0.4" customHeight="1">
      <c r="A192" s="677">
        <v>187</v>
      </c>
      <c r="B192" s="677" t="s">
        <v>885</v>
      </c>
      <c r="C192" s="677"/>
      <c r="D192" s="677"/>
    </row>
    <row r="193" spans="1:4" ht="0.4" customHeight="1">
      <c r="A193" s="677">
        <v>188</v>
      </c>
      <c r="B193" s="677" t="s">
        <v>886</v>
      </c>
      <c r="C193" s="677"/>
      <c r="D193" s="677"/>
    </row>
    <row r="194" spans="1:4" ht="0.4" customHeight="1">
      <c r="A194" s="677">
        <v>189</v>
      </c>
      <c r="B194" s="677" t="s">
        <v>887</v>
      </c>
      <c r="C194" s="677"/>
      <c r="D194" s="677"/>
    </row>
    <row r="195" spans="1:4" ht="0.4" customHeight="1">
      <c r="A195" s="677">
        <v>190</v>
      </c>
      <c r="B195" s="677" t="s">
        <v>888</v>
      </c>
      <c r="C195" s="677"/>
      <c r="D195" s="677"/>
    </row>
    <row r="196" spans="1:4" ht="0.4" customHeight="1">
      <c r="A196" s="677">
        <v>191</v>
      </c>
      <c r="B196" s="677" t="s">
        <v>889</v>
      </c>
      <c r="C196" s="677"/>
      <c r="D196" s="677"/>
    </row>
    <row r="197" spans="1:4" ht="0.4" customHeight="1">
      <c r="A197" s="677">
        <v>192</v>
      </c>
      <c r="B197" s="677" t="s">
        <v>890</v>
      </c>
      <c r="C197" s="677"/>
      <c r="D197" s="677"/>
    </row>
    <row r="198" spans="1:4" ht="0.4" customHeight="1">
      <c r="A198" s="677">
        <v>193</v>
      </c>
      <c r="B198" s="677" t="s">
        <v>891</v>
      </c>
      <c r="C198" s="677"/>
      <c r="D198" s="677"/>
    </row>
    <row r="199" spans="1:4" ht="0.4" customHeight="1">
      <c r="A199" s="677">
        <v>194</v>
      </c>
      <c r="B199" s="677" t="s">
        <v>892</v>
      </c>
      <c r="C199" s="677"/>
      <c r="D199" s="677"/>
    </row>
    <row r="200" spans="1:4" ht="0.4" customHeight="1">
      <c r="A200" s="677">
        <v>195</v>
      </c>
      <c r="B200" s="677" t="s">
        <v>893</v>
      </c>
      <c r="C200" s="677"/>
      <c r="D200" s="677"/>
    </row>
    <row r="201" spans="1:4" ht="0.4" customHeight="1">
      <c r="A201" s="677">
        <v>196</v>
      </c>
      <c r="B201" s="677" t="s">
        <v>894</v>
      </c>
      <c r="C201" s="677"/>
      <c r="D201" s="677"/>
    </row>
    <row r="202" spans="1:4" ht="0.4" customHeight="1">
      <c r="A202" s="677">
        <v>197</v>
      </c>
      <c r="B202" s="677" t="s">
        <v>895</v>
      </c>
      <c r="C202" s="677"/>
      <c r="D202" s="677"/>
    </row>
    <row r="203" spans="1:4" ht="0.4" customHeight="1">
      <c r="A203" s="677">
        <v>198</v>
      </c>
      <c r="B203" s="677" t="s">
        <v>896</v>
      </c>
      <c r="C203" s="677"/>
      <c r="D203" s="677"/>
    </row>
    <row r="204" spans="1:4" ht="0.4" customHeight="1">
      <c r="A204" s="677">
        <v>199</v>
      </c>
      <c r="B204" s="677" t="s">
        <v>897</v>
      </c>
      <c r="C204" s="677"/>
      <c r="D204" s="677"/>
    </row>
    <row r="205" spans="1:4" ht="0.4" customHeight="1">
      <c r="A205" s="677">
        <v>200</v>
      </c>
      <c r="B205" s="677" t="s">
        <v>898</v>
      </c>
      <c r="C205" s="677"/>
      <c r="D205" s="677"/>
    </row>
    <row r="206" spans="1:4" ht="0.4" customHeight="1">
      <c r="A206" s="677">
        <v>201</v>
      </c>
      <c r="B206" s="677" t="s">
        <v>899</v>
      </c>
      <c r="C206" s="677"/>
      <c r="D206" s="677"/>
    </row>
    <row r="207" spans="1:4" ht="0.4" customHeight="1">
      <c r="A207" s="677">
        <v>202</v>
      </c>
      <c r="B207" s="677" t="s">
        <v>900</v>
      </c>
      <c r="C207" s="677"/>
      <c r="D207" s="677"/>
    </row>
    <row r="208" spans="1:4" ht="0.4" customHeight="1">
      <c r="A208" s="677">
        <v>203</v>
      </c>
      <c r="B208" s="677" t="s">
        <v>901</v>
      </c>
      <c r="C208" s="677"/>
      <c r="D208" s="677"/>
    </row>
    <row r="209" spans="1:4" ht="0.4" customHeight="1">
      <c r="A209" s="677">
        <v>204</v>
      </c>
      <c r="B209" s="677" t="s">
        <v>902</v>
      </c>
      <c r="C209" s="677"/>
      <c r="D209" s="677"/>
    </row>
    <row r="210" spans="1:4" ht="0.4" customHeight="1">
      <c r="A210" s="677">
        <v>205</v>
      </c>
      <c r="B210" s="677" t="s">
        <v>903</v>
      </c>
      <c r="C210" s="677"/>
      <c r="D210" s="677"/>
    </row>
    <row r="211" spans="1:4" ht="0.4" customHeight="1">
      <c r="A211" s="677">
        <v>206</v>
      </c>
      <c r="B211" s="677" t="s">
        <v>1050</v>
      </c>
      <c r="C211" s="677"/>
      <c r="D211" s="677"/>
    </row>
    <row r="212" spans="1:4" ht="0.4" customHeight="1">
      <c r="A212" s="677">
        <v>207</v>
      </c>
      <c r="B212" s="677" t="s">
        <v>1051</v>
      </c>
      <c r="C212" s="677"/>
      <c r="D212" s="677"/>
    </row>
    <row r="213" spans="1:4" ht="0.4" customHeight="1">
      <c r="A213" s="677">
        <v>208</v>
      </c>
      <c r="B213" s="677" t="s">
        <v>1052</v>
      </c>
      <c r="C213" s="677"/>
      <c r="D213" s="677"/>
    </row>
    <row r="214" spans="1:4" ht="0.4" customHeight="1">
      <c r="A214" s="677">
        <v>209</v>
      </c>
      <c r="B214" s="677" t="s">
        <v>1053</v>
      </c>
      <c r="C214" s="677"/>
      <c r="D214" s="677"/>
    </row>
    <row r="215" spans="1:4" ht="0.4" customHeight="1">
      <c r="A215" s="677">
        <v>210</v>
      </c>
      <c r="B215" s="677" t="s">
        <v>1054</v>
      </c>
      <c r="C215" s="677"/>
      <c r="D215" s="677"/>
    </row>
    <row r="216" spans="1:4" ht="0.4" customHeight="1">
      <c r="A216" s="677">
        <v>211</v>
      </c>
      <c r="B216" s="677" t="s">
        <v>1055</v>
      </c>
      <c r="C216" s="677"/>
      <c r="D216" s="677"/>
    </row>
    <row r="217" spans="1:4" ht="0.4" customHeight="1">
      <c r="A217" s="677">
        <v>212</v>
      </c>
      <c r="B217" s="677" t="s">
        <v>1056</v>
      </c>
      <c r="C217" s="677"/>
      <c r="D217" s="677"/>
    </row>
    <row r="218" spans="1:4" ht="0.4" customHeight="1">
      <c r="A218" s="677">
        <v>213</v>
      </c>
      <c r="B218" s="677" t="s">
        <v>1310</v>
      </c>
      <c r="C218" s="677"/>
      <c r="D218" s="677"/>
    </row>
    <row r="219" spans="1:4" ht="0.4" customHeight="1">
      <c r="A219" s="677">
        <v>214</v>
      </c>
      <c r="B219" s="677" t="s">
        <v>1311</v>
      </c>
      <c r="C219" s="677"/>
      <c r="D219" s="677"/>
    </row>
    <row r="220" spans="1:4" ht="0.4" customHeight="1">
      <c r="A220" s="677">
        <v>215</v>
      </c>
      <c r="B220" s="677" t="s">
        <v>1312</v>
      </c>
      <c r="C220" s="677"/>
      <c r="D220" s="677"/>
    </row>
    <row r="221" spans="1:4" ht="0.4" customHeight="1">
      <c r="A221" s="677">
        <v>216</v>
      </c>
      <c r="B221" s="677" t="s">
        <v>1313</v>
      </c>
      <c r="C221" s="677"/>
      <c r="D221" s="677"/>
    </row>
    <row r="222" spans="1:4" ht="0.4" customHeight="1">
      <c r="A222" s="677">
        <v>217</v>
      </c>
      <c r="B222" s="677" t="s">
        <v>1314</v>
      </c>
      <c r="C222" s="677"/>
      <c r="D222" s="677"/>
    </row>
    <row r="223" spans="1:4" ht="0.4" customHeight="1">
      <c r="A223" s="677">
        <v>218</v>
      </c>
      <c r="B223" s="677" t="s">
        <v>1315</v>
      </c>
      <c r="C223" s="677"/>
      <c r="D223" s="677"/>
    </row>
    <row r="224" spans="1:4" ht="0.4" customHeight="1">
      <c r="A224" s="677">
        <v>219</v>
      </c>
      <c r="B224" s="677" t="s">
        <v>1316</v>
      </c>
      <c r="C224" s="677"/>
      <c r="D224" s="677"/>
    </row>
    <row r="225" spans="1:4" ht="0.4" customHeight="1">
      <c r="A225" s="677">
        <v>220</v>
      </c>
      <c r="B225" s="677" t="s">
        <v>1317</v>
      </c>
      <c r="C225" s="677"/>
      <c r="D225" s="677"/>
    </row>
    <row r="226" spans="1:4" ht="0.4" customHeight="1">
      <c r="A226" s="677">
        <v>221</v>
      </c>
      <c r="B226" s="677" t="s">
        <v>1318</v>
      </c>
      <c r="C226" s="677"/>
      <c r="D226" s="677"/>
    </row>
    <row r="227" spans="1:4" ht="0.4" customHeight="1">
      <c r="A227" s="677">
        <v>222</v>
      </c>
      <c r="B227" s="677" t="s">
        <v>1319</v>
      </c>
      <c r="C227" s="677"/>
      <c r="D227" s="677"/>
    </row>
    <row r="228" spans="1:4" ht="0.4" customHeight="1">
      <c r="A228" s="677">
        <v>223</v>
      </c>
      <c r="B228" s="677" t="s">
        <v>1348</v>
      </c>
      <c r="C228" s="677"/>
      <c r="D228" s="677"/>
    </row>
    <row r="229" spans="1:4" ht="0.4" customHeight="1">
      <c r="A229" s="677">
        <v>224</v>
      </c>
      <c r="B229" s="677" t="s">
        <v>1349</v>
      </c>
      <c r="C229" s="677"/>
      <c r="D229" s="677"/>
    </row>
    <row r="230" spans="1:4" ht="0.4" customHeight="1">
      <c r="A230" s="677">
        <v>225</v>
      </c>
      <c r="B230" s="677" t="s">
        <v>1350</v>
      </c>
      <c r="C230" s="677"/>
      <c r="D230" s="677"/>
    </row>
    <row r="231" spans="1:4" ht="0.4" customHeight="1">
      <c r="A231" s="677">
        <v>226</v>
      </c>
      <c r="B231" s="677" t="s">
        <v>1351</v>
      </c>
      <c r="C231" s="677"/>
      <c r="D231" s="677"/>
    </row>
    <row r="232" spans="1:4" ht="0.4" customHeight="1">
      <c r="A232" s="677">
        <v>227</v>
      </c>
      <c r="B232" s="677" t="s">
        <v>1352</v>
      </c>
      <c r="C232" s="677"/>
      <c r="D232" s="677"/>
    </row>
    <row r="233" spans="1:4" ht="0.4" customHeight="1">
      <c r="A233" s="677">
        <v>228</v>
      </c>
      <c r="B233" s="677" t="s">
        <v>1353</v>
      </c>
      <c r="C233" s="677"/>
      <c r="D233" s="677"/>
    </row>
    <row r="234" spans="1:4" ht="0.4" customHeight="1">
      <c r="A234" s="677">
        <v>229</v>
      </c>
      <c r="B234" s="677" t="s">
        <v>1354</v>
      </c>
      <c r="C234" s="677"/>
      <c r="D234" s="677"/>
    </row>
    <row r="235" spans="1:4" ht="0.4" customHeight="1">
      <c r="A235" s="677">
        <v>230</v>
      </c>
      <c r="B235" s="677" t="s">
        <v>1355</v>
      </c>
      <c r="C235" s="677"/>
      <c r="D235" s="677"/>
    </row>
    <row r="236" spans="1:4" ht="0.4" customHeight="1">
      <c r="A236" s="677">
        <v>231</v>
      </c>
      <c r="B236" s="677" t="s">
        <v>1356</v>
      </c>
      <c r="C236" s="677"/>
      <c r="D236" s="677"/>
    </row>
    <row r="237" spans="1:4" ht="0.4" customHeight="1">
      <c r="A237" s="677">
        <v>232</v>
      </c>
      <c r="B237" s="677" t="s">
        <v>1357</v>
      </c>
      <c r="C237" s="677"/>
      <c r="D237" s="677"/>
    </row>
    <row r="238" spans="1:4" ht="0.4" customHeight="1">
      <c r="A238" s="677">
        <v>233</v>
      </c>
      <c r="B238" s="677" t="s">
        <v>1358</v>
      </c>
      <c r="C238" s="677"/>
      <c r="D238" s="677"/>
    </row>
    <row r="239" spans="1:4" ht="0.4" customHeight="1">
      <c r="A239" s="677">
        <v>234</v>
      </c>
      <c r="B239" s="677" t="s">
        <v>1359</v>
      </c>
      <c r="C239" s="677"/>
      <c r="D239" s="677"/>
    </row>
    <row r="240" spans="1:4" ht="0.4" customHeight="1">
      <c r="A240" s="677">
        <v>235</v>
      </c>
      <c r="B240" s="677" t="s">
        <v>1360</v>
      </c>
      <c r="C240" s="677"/>
      <c r="D240" s="677"/>
    </row>
    <row r="241" spans="1:4" ht="0.4" customHeight="1">
      <c r="A241" s="677">
        <v>236</v>
      </c>
      <c r="B241" s="677" t="s">
        <v>1361</v>
      </c>
      <c r="C241" s="677"/>
      <c r="D241" s="677"/>
    </row>
    <row r="242" spans="1:4" ht="0.6" customHeight="1">
      <c r="A242" s="677">
        <v>237</v>
      </c>
      <c r="B242" s="677" t="s">
        <v>1362</v>
      </c>
      <c r="C242" s="677"/>
      <c r="D242" s="677"/>
    </row>
    <row r="243" spans="1:4" ht="0.6" customHeight="1">
      <c r="A243" s="677">
        <v>238</v>
      </c>
      <c r="B243" s="677" t="s">
        <v>1363</v>
      </c>
      <c r="C243" s="677"/>
      <c r="D243" s="677"/>
    </row>
    <row r="244" spans="1:4" ht="0.6" customHeight="1">
      <c r="A244" s="677">
        <v>239</v>
      </c>
      <c r="B244" s="677" t="s">
        <v>1364</v>
      </c>
      <c r="C244" s="677"/>
      <c r="D244" s="677"/>
    </row>
    <row r="245" spans="1:4" ht="0.6" customHeight="1">
      <c r="A245" s="677">
        <v>240</v>
      </c>
      <c r="B245" s="677" t="s">
        <v>1365</v>
      </c>
      <c r="C245" s="677"/>
      <c r="D245" s="677"/>
    </row>
    <row r="246" spans="1:4" ht="0.6" customHeight="1">
      <c r="A246" s="677">
        <v>241</v>
      </c>
      <c r="B246" s="677" t="s">
        <v>1366</v>
      </c>
      <c r="C246" s="677"/>
      <c r="D246" s="677"/>
    </row>
    <row r="247" spans="1:4" ht="0.6" customHeight="1">
      <c r="A247" s="677">
        <v>242</v>
      </c>
      <c r="B247" s="677" t="s">
        <v>1367</v>
      </c>
      <c r="C247" s="677"/>
      <c r="D247" s="677"/>
    </row>
    <row r="248" spans="1:4" ht="0.6" customHeight="1">
      <c r="A248" s="677">
        <v>243</v>
      </c>
      <c r="B248" s="677" t="s">
        <v>1368</v>
      </c>
      <c r="C248" s="677"/>
      <c r="D248" s="677"/>
    </row>
    <row r="249" spans="1:4" ht="0.6" customHeight="1">
      <c r="A249" s="677">
        <v>244</v>
      </c>
      <c r="B249" s="677" t="s">
        <v>1369</v>
      </c>
      <c r="C249" s="677"/>
      <c r="D249" s="677"/>
    </row>
    <row r="250" spans="1:4" ht="0.6" customHeight="1">
      <c r="A250" s="677">
        <v>245</v>
      </c>
      <c r="B250" s="677" t="s">
        <v>1370</v>
      </c>
      <c r="C250" s="677"/>
      <c r="D250" s="677"/>
    </row>
    <row r="251" spans="1:4" ht="0.6" customHeight="1">
      <c r="A251" s="677">
        <v>246</v>
      </c>
      <c r="B251" s="677" t="s">
        <v>1371</v>
      </c>
      <c r="C251" s="677"/>
      <c r="D251" s="677"/>
    </row>
    <row r="252" spans="1:4" ht="0.6" customHeight="1">
      <c r="A252" s="677">
        <v>247</v>
      </c>
      <c r="B252" s="677" t="s">
        <v>1372</v>
      </c>
      <c r="C252" s="677"/>
      <c r="D252" s="677"/>
    </row>
    <row r="253" spans="1:4" ht="0.6" customHeight="1">
      <c r="A253" s="677">
        <v>248</v>
      </c>
      <c r="B253" s="677" t="s">
        <v>1373</v>
      </c>
      <c r="C253" s="677"/>
      <c r="D253" s="677"/>
    </row>
    <row r="254" spans="1:4" ht="0.6" customHeight="1">
      <c r="A254" s="677">
        <v>249</v>
      </c>
      <c r="B254" s="677" t="s">
        <v>1374</v>
      </c>
      <c r="C254" s="677"/>
      <c r="D254" s="677"/>
    </row>
    <row r="255" spans="1:4" ht="0.6" customHeight="1">
      <c r="A255" s="677">
        <v>250</v>
      </c>
      <c r="B255" s="677" t="s">
        <v>1375</v>
      </c>
      <c r="C255" s="677"/>
      <c r="D255" s="677"/>
    </row>
    <row r="256" spans="1:4" ht="0.6" customHeight="1">
      <c r="A256" s="677">
        <v>251</v>
      </c>
      <c r="B256" s="677" t="s">
        <v>1381</v>
      </c>
      <c r="C256" s="677"/>
      <c r="D256" s="677"/>
    </row>
    <row r="257" spans="1:4" ht="0.6" customHeight="1">
      <c r="A257" s="677">
        <v>252</v>
      </c>
      <c r="B257" s="677" t="s">
        <v>1382</v>
      </c>
      <c r="C257" s="677"/>
      <c r="D257" s="677"/>
    </row>
    <row r="258" spans="1:4" ht="0.6" customHeight="1">
      <c r="A258" s="677">
        <v>253</v>
      </c>
      <c r="B258" s="677" t="s">
        <v>1383</v>
      </c>
      <c r="C258" s="677"/>
      <c r="D258" s="677"/>
    </row>
    <row r="259" spans="1:4" ht="0.6" customHeight="1">
      <c r="A259" s="677">
        <v>254</v>
      </c>
      <c r="B259" s="677" t="s">
        <v>1384</v>
      </c>
      <c r="C259" s="677"/>
      <c r="D259" s="677"/>
    </row>
    <row r="260" spans="1:4" ht="0.6" customHeight="1">
      <c r="A260" s="677">
        <v>255</v>
      </c>
      <c r="B260" s="677" t="s">
        <v>1385</v>
      </c>
      <c r="C260" s="677"/>
      <c r="D260" s="677"/>
    </row>
    <row r="261" spans="1:4" ht="0.6" customHeight="1">
      <c r="A261" s="677">
        <v>256</v>
      </c>
      <c r="B261" s="677" t="s">
        <v>1386</v>
      </c>
      <c r="C261" s="677"/>
      <c r="D261" s="677"/>
    </row>
    <row r="262" spans="1:4" ht="0.6" customHeight="1">
      <c r="A262" s="677">
        <v>257</v>
      </c>
      <c r="B262" s="677" t="s">
        <v>1387</v>
      </c>
      <c r="C262" s="677"/>
      <c r="D262" s="677"/>
    </row>
    <row r="263" spans="1:4" ht="0.6" customHeight="1">
      <c r="A263" s="677">
        <v>258</v>
      </c>
      <c r="B263" s="677" t="s">
        <v>1388</v>
      </c>
      <c r="C263" s="677"/>
      <c r="D263" s="677"/>
    </row>
    <row r="264" spans="1:4" ht="0.6" customHeight="1">
      <c r="A264" s="677">
        <v>259</v>
      </c>
      <c r="B264" s="677" t="s">
        <v>1389</v>
      </c>
      <c r="C264" s="677"/>
      <c r="D264" s="677"/>
    </row>
    <row r="265" spans="1:4" ht="0.6" customHeight="1">
      <c r="A265" s="677">
        <v>260</v>
      </c>
      <c r="B265" s="677" t="s">
        <v>1390</v>
      </c>
      <c r="C265" s="677"/>
      <c r="D265" s="677"/>
    </row>
    <row r="266" spans="1:4" ht="0.6" customHeight="1">
      <c r="A266" s="677">
        <v>261</v>
      </c>
      <c r="B266" s="677" t="s">
        <v>1391</v>
      </c>
      <c r="C266" s="677"/>
      <c r="D266" s="677"/>
    </row>
    <row r="267" spans="1:4">
      <c r="A267" s="677">
        <v>262</v>
      </c>
      <c r="B267" s="677" t="s">
        <v>1392</v>
      </c>
      <c r="C267" s="677"/>
      <c r="D267" s="677"/>
    </row>
    <row r="268" spans="1:4">
      <c r="A268" s="677">
        <v>263</v>
      </c>
      <c r="B268" s="677" t="s">
        <v>1393</v>
      </c>
      <c r="C268" s="677"/>
      <c r="D268" s="677"/>
    </row>
    <row r="269" spans="1:4">
      <c r="A269" s="677">
        <v>264</v>
      </c>
      <c r="B269" s="677" t="s">
        <v>1394</v>
      </c>
      <c r="C269" s="677"/>
      <c r="D269" s="677"/>
    </row>
    <row r="270" spans="1:4">
      <c r="A270" s="677">
        <v>265</v>
      </c>
      <c r="B270" s="677" t="s">
        <v>1395</v>
      </c>
      <c r="C270" s="677"/>
      <c r="D270" s="677"/>
    </row>
    <row r="271" spans="1:4">
      <c r="A271" s="677">
        <v>266</v>
      </c>
      <c r="B271" s="677" t="s">
        <v>1396</v>
      </c>
      <c r="C271" s="677"/>
      <c r="D271" s="677"/>
    </row>
    <row r="272" spans="1:4">
      <c r="A272" s="677">
        <v>267</v>
      </c>
      <c r="B272" s="677" t="s">
        <v>1397</v>
      </c>
      <c r="C272" s="677"/>
      <c r="D272" s="677"/>
    </row>
    <row r="273" spans="1:4">
      <c r="A273" s="677">
        <v>268</v>
      </c>
      <c r="B273" s="677" t="s">
        <v>1398</v>
      </c>
      <c r="C273" s="677"/>
      <c r="D273" s="677"/>
    </row>
    <row r="274" spans="1:4">
      <c r="A274" s="677">
        <v>269</v>
      </c>
      <c r="B274" s="677" t="s">
        <v>1399</v>
      </c>
      <c r="C274" s="677"/>
      <c r="D274" s="677"/>
    </row>
    <row r="275" spans="1:4">
      <c r="A275" s="677">
        <v>270</v>
      </c>
      <c r="B275" s="677" t="s">
        <v>1400</v>
      </c>
      <c r="C275" s="677"/>
      <c r="D275" s="677"/>
    </row>
    <row r="276" spans="1:4">
      <c r="A276" s="677">
        <v>271</v>
      </c>
      <c r="B276" s="677"/>
      <c r="C276" s="677"/>
      <c r="D276" s="677"/>
    </row>
    <row r="277" spans="1:4">
      <c r="A277" s="677">
        <v>272</v>
      </c>
      <c r="B277" s="677"/>
      <c r="C277" s="677"/>
      <c r="D277" s="677"/>
    </row>
    <row r="278" spans="1:4">
      <c r="A278" s="677">
        <v>273</v>
      </c>
      <c r="B278" s="677"/>
      <c r="C278" s="677"/>
      <c r="D278" s="677"/>
    </row>
    <row r="279" spans="1:4">
      <c r="A279" s="677">
        <v>274</v>
      </c>
      <c r="B279" s="677"/>
      <c r="C279" s="677"/>
      <c r="D279" s="677"/>
    </row>
    <row r="280" spans="1:4">
      <c r="A280" s="677">
        <v>275</v>
      </c>
      <c r="B280" s="677"/>
      <c r="C280" s="677"/>
      <c r="D280" s="677"/>
    </row>
    <row r="281" spans="1:4">
      <c r="A281" s="677">
        <v>276</v>
      </c>
      <c r="B281" s="677"/>
      <c r="C281" s="677"/>
      <c r="D281" s="677"/>
    </row>
    <row r="282" spans="1:4">
      <c r="A282" s="677">
        <v>277</v>
      </c>
      <c r="B282" s="677"/>
      <c r="C282" s="677"/>
      <c r="D282" s="677"/>
    </row>
    <row r="283" spans="1:4">
      <c r="A283" s="677">
        <v>278</v>
      </c>
      <c r="B283" s="677"/>
      <c r="C283" s="677"/>
      <c r="D283" s="677"/>
    </row>
    <row r="284" spans="1:4">
      <c r="A284" s="677">
        <v>279</v>
      </c>
      <c r="B284" s="677"/>
      <c r="C284" s="677"/>
      <c r="D284" s="677"/>
    </row>
    <row r="285" spans="1:4">
      <c r="A285" s="677">
        <v>280</v>
      </c>
      <c r="B285" s="677"/>
      <c r="C285" s="677"/>
      <c r="D285" s="677"/>
    </row>
    <row r="286" spans="1:4">
      <c r="A286" s="677"/>
      <c r="B286" s="677"/>
      <c r="C286" s="677"/>
      <c r="D286" s="677"/>
    </row>
    <row r="287" spans="1:4">
      <c r="A287" s="677"/>
      <c r="B287" s="677"/>
      <c r="C287" s="677"/>
      <c r="D287" s="677"/>
    </row>
    <row r="288" spans="1:4">
      <c r="A288" s="677"/>
      <c r="B288" s="677"/>
      <c r="C288" s="677"/>
      <c r="D288" s="677"/>
    </row>
    <row r="289" spans="1:4">
      <c r="A289" s="677"/>
      <c r="B289" s="677"/>
      <c r="C289" s="677"/>
      <c r="D289" s="677"/>
    </row>
    <row r="290" spans="1:4">
      <c r="A290" s="677"/>
      <c r="B290" s="677"/>
      <c r="C290" s="677"/>
      <c r="D290" s="677"/>
    </row>
    <row r="291" spans="1:4">
      <c r="A291" s="677"/>
      <c r="B291" s="677"/>
      <c r="C291" s="677"/>
      <c r="D291" s="677"/>
    </row>
    <row r="292" spans="1:4">
      <c r="A292" s="677"/>
      <c r="B292" s="677"/>
      <c r="C292" s="677"/>
      <c r="D292" s="677"/>
    </row>
    <row r="293" spans="1:4">
      <c r="A293" s="677"/>
      <c r="B293" s="677"/>
      <c r="C293" s="677"/>
      <c r="D293" s="677"/>
    </row>
    <row r="294" spans="1:4">
      <c r="A294" s="677"/>
      <c r="B294" s="677"/>
      <c r="C294" s="677"/>
      <c r="D294" s="677"/>
    </row>
    <row r="295" spans="1:4">
      <c r="A295" s="677"/>
      <c r="B295" s="677"/>
      <c r="C295" s="677"/>
      <c r="D295" s="677"/>
    </row>
    <row r="296" spans="1:4">
      <c r="A296" s="677"/>
      <c r="B296" s="677"/>
      <c r="C296" s="677"/>
      <c r="D296" s="677"/>
    </row>
    <row r="297" spans="1:4">
      <c r="A297" s="677"/>
      <c r="B297" s="677"/>
      <c r="C297" s="677"/>
      <c r="D297" s="677"/>
    </row>
    <row r="298" spans="1:4">
      <c r="A298" s="677"/>
      <c r="B298" s="677"/>
      <c r="C298" s="677"/>
      <c r="D298" s="677"/>
    </row>
    <row r="299" spans="1:4">
      <c r="A299" s="677"/>
      <c r="B299" s="677"/>
      <c r="C299" s="677"/>
      <c r="D299" s="677"/>
    </row>
    <row r="300" spans="1:4">
      <c r="A300" s="677"/>
      <c r="B300" s="677"/>
      <c r="C300" s="677"/>
      <c r="D300" s="677"/>
    </row>
    <row r="301" spans="1:4">
      <c r="A301" s="677"/>
      <c r="B301" s="677"/>
      <c r="C301" s="677"/>
      <c r="D301" s="677"/>
    </row>
    <row r="302" spans="1:4">
      <c r="A302" s="677"/>
      <c r="B302" s="677"/>
      <c r="C302" s="677"/>
      <c r="D302" s="677"/>
    </row>
    <row r="303" spans="1:4">
      <c r="A303" s="677"/>
      <c r="B303" s="677"/>
      <c r="C303" s="677"/>
      <c r="D303" s="677"/>
    </row>
    <row r="304" spans="1:4">
      <c r="A304" s="677"/>
      <c r="B304" s="677"/>
      <c r="C304" s="677"/>
      <c r="D304" s="677"/>
    </row>
    <row r="305" spans="1:4">
      <c r="A305" s="677"/>
      <c r="B305" s="677"/>
      <c r="C305" s="677"/>
      <c r="D305" s="677"/>
    </row>
    <row r="306" spans="1:4">
      <c r="A306" s="677"/>
      <c r="B306" s="677"/>
      <c r="C306" s="677"/>
      <c r="D306" s="677"/>
    </row>
    <row r="307" spans="1:4">
      <c r="A307" s="677"/>
      <c r="B307" s="677"/>
      <c r="C307" s="677"/>
      <c r="D307" s="677"/>
    </row>
    <row r="308" spans="1:4">
      <c r="A308" s="677"/>
      <c r="B308" s="677"/>
      <c r="C308" s="677"/>
      <c r="D308" s="677"/>
    </row>
    <row r="309" spans="1:4">
      <c r="A309" s="677"/>
      <c r="B309" s="677"/>
      <c r="C309" s="677"/>
      <c r="D309" s="677"/>
    </row>
    <row r="310" spans="1:4">
      <c r="A310" s="677"/>
      <c r="B310" s="677"/>
      <c r="C310" s="677"/>
      <c r="D310" s="677"/>
    </row>
    <row r="311" spans="1:4">
      <c r="A311" s="677"/>
      <c r="B311" s="677"/>
      <c r="C311" s="677"/>
      <c r="D311" s="677"/>
    </row>
    <row r="312" spans="1:4">
      <c r="A312" s="677"/>
      <c r="B312" s="677"/>
      <c r="C312" s="677"/>
      <c r="D312" s="677"/>
    </row>
    <row r="313" spans="1:4">
      <c r="A313" s="677"/>
      <c r="B313" s="677"/>
      <c r="C313" s="677"/>
      <c r="D313" s="677"/>
    </row>
    <row r="314" spans="1:4">
      <c r="A314" s="677"/>
      <c r="B314" s="677"/>
      <c r="C314" s="677"/>
      <c r="D314" s="677"/>
    </row>
    <row r="315" spans="1:4">
      <c r="A315" s="677"/>
      <c r="B315" s="677"/>
      <c r="C315" s="677"/>
      <c r="D315" s="677"/>
    </row>
    <row r="316" spans="1:4">
      <c r="A316" s="677"/>
      <c r="B316" s="677"/>
      <c r="C316" s="677"/>
      <c r="D316" s="677"/>
    </row>
    <row r="317" spans="1:4">
      <c r="A317" s="677"/>
      <c r="B317" s="677"/>
      <c r="C317" s="677"/>
      <c r="D317" s="677"/>
    </row>
    <row r="318" spans="1:4">
      <c r="A318" s="677"/>
      <c r="B318" s="677"/>
      <c r="C318" s="677"/>
      <c r="D318" s="677"/>
    </row>
    <row r="319" spans="1:4">
      <c r="A319" s="677"/>
      <c r="B319" s="677"/>
      <c r="C319" s="677"/>
      <c r="D319" s="677"/>
    </row>
    <row r="320" spans="1:4">
      <c r="A320" s="677"/>
      <c r="B320" s="677"/>
      <c r="C320" s="677"/>
      <c r="D320" s="677"/>
    </row>
    <row r="321" spans="1:4">
      <c r="A321" s="677"/>
      <c r="B321" s="677"/>
      <c r="C321" s="677"/>
      <c r="D321" s="677"/>
    </row>
    <row r="322" spans="1:4">
      <c r="A322" s="677"/>
      <c r="B322" s="677"/>
      <c r="C322" s="677"/>
      <c r="D322" s="677"/>
    </row>
    <row r="323" spans="1:4">
      <c r="A323" s="677"/>
      <c r="B323" s="677"/>
      <c r="C323" s="677"/>
      <c r="D323" s="677"/>
    </row>
    <row r="324" spans="1:4">
      <c r="A324" s="677"/>
      <c r="B324" s="677"/>
      <c r="C324" s="677"/>
      <c r="D324" s="677"/>
    </row>
    <row r="325" spans="1:4">
      <c r="A325" s="677"/>
      <c r="B325" s="677"/>
      <c r="C325" s="677"/>
      <c r="D325" s="677"/>
    </row>
    <row r="326" spans="1:4">
      <c r="A326" s="677"/>
      <c r="B326" s="677"/>
      <c r="C326" s="677"/>
      <c r="D326" s="677"/>
    </row>
    <row r="327" spans="1:4">
      <c r="A327" s="677"/>
      <c r="B327" s="677"/>
      <c r="C327" s="677"/>
      <c r="D327" s="677"/>
    </row>
    <row r="328" spans="1:4">
      <c r="A328" s="677"/>
      <c r="B328" s="677"/>
      <c r="C328" s="677"/>
      <c r="D328" s="677"/>
    </row>
    <row r="329" spans="1:4">
      <c r="A329" s="677"/>
      <c r="B329" s="677"/>
      <c r="C329" s="677"/>
      <c r="D329" s="677"/>
    </row>
    <row r="330" spans="1:4">
      <c r="A330" s="677"/>
      <c r="B330" s="677"/>
      <c r="C330" s="677"/>
      <c r="D330" s="677"/>
    </row>
    <row r="331" spans="1:4">
      <c r="A331" s="677"/>
      <c r="B331" s="677"/>
      <c r="C331" s="677"/>
      <c r="D331" s="677"/>
    </row>
    <row r="332" spans="1:4">
      <c r="A332" s="677"/>
      <c r="B332" s="677"/>
      <c r="C332" s="677"/>
      <c r="D332" s="677"/>
    </row>
    <row r="333" spans="1:4">
      <c r="A333" s="677"/>
      <c r="B333" s="677"/>
      <c r="C333" s="677"/>
      <c r="D333" s="677"/>
    </row>
    <row r="334" spans="1:4">
      <c r="A334" s="677"/>
      <c r="B334" s="677"/>
      <c r="C334" s="677"/>
      <c r="D334" s="677"/>
    </row>
    <row r="335" spans="1:4">
      <c r="A335" s="677"/>
      <c r="B335" s="677"/>
      <c r="C335" s="677"/>
      <c r="D335" s="677"/>
    </row>
    <row r="336" spans="1:4">
      <c r="A336" s="677"/>
      <c r="B336" s="677"/>
      <c r="C336" s="677"/>
      <c r="D336" s="677"/>
    </row>
    <row r="337" spans="1:4">
      <c r="A337" s="677"/>
      <c r="B337" s="677"/>
      <c r="C337" s="677"/>
      <c r="D337" s="677"/>
    </row>
    <row r="338" spans="1:4">
      <c r="A338" s="677"/>
      <c r="B338" s="677"/>
      <c r="C338" s="677"/>
      <c r="D338" s="677"/>
    </row>
    <row r="339" spans="1:4">
      <c r="A339" s="677"/>
      <c r="B339" s="677"/>
      <c r="C339" s="677"/>
      <c r="D339" s="677"/>
    </row>
    <row r="340" spans="1:4">
      <c r="A340" s="677"/>
      <c r="B340" s="677"/>
      <c r="C340" s="677"/>
      <c r="D340" s="677"/>
    </row>
    <row r="341" spans="1:4">
      <c r="A341" s="677"/>
      <c r="B341" s="677"/>
      <c r="C341" s="677"/>
      <c r="D341" s="677"/>
    </row>
    <row r="342" spans="1:4">
      <c r="A342" s="677"/>
      <c r="B342" s="677"/>
      <c r="C342" s="677"/>
      <c r="D342" s="677"/>
    </row>
    <row r="343" spans="1:4">
      <c r="A343" s="677"/>
      <c r="B343" s="677"/>
      <c r="C343" s="677"/>
      <c r="D343" s="677"/>
    </row>
    <row r="344" spans="1:4">
      <c r="A344" s="677"/>
      <c r="B344" s="677"/>
      <c r="C344" s="677"/>
      <c r="D344" s="677"/>
    </row>
    <row r="345" spans="1:4">
      <c r="A345" s="677"/>
      <c r="B345" s="677"/>
      <c r="C345" s="677"/>
      <c r="D345" s="677"/>
    </row>
    <row r="346" spans="1:4">
      <c r="A346" s="677"/>
      <c r="B346" s="677"/>
      <c r="C346" s="677"/>
      <c r="D346" s="677"/>
    </row>
    <row r="347" spans="1:4">
      <c r="A347" s="677"/>
      <c r="B347" s="677"/>
      <c r="C347" s="677"/>
      <c r="D347" s="677"/>
    </row>
    <row r="348" spans="1:4">
      <c r="A348" s="677"/>
      <c r="B348" s="677"/>
      <c r="C348" s="677"/>
      <c r="D348" s="677"/>
    </row>
    <row r="349" spans="1:4">
      <c r="A349" s="677"/>
      <c r="B349" s="677"/>
      <c r="C349" s="677"/>
      <c r="D349" s="677"/>
    </row>
    <row r="350" spans="1:4">
      <c r="A350" s="677"/>
      <c r="B350" s="677"/>
      <c r="C350" s="677"/>
      <c r="D350" s="677"/>
    </row>
    <row r="351" spans="1:4">
      <c r="A351" s="677"/>
      <c r="B351" s="677"/>
      <c r="C351" s="677"/>
      <c r="D351" s="677"/>
    </row>
    <row r="352" spans="1:4">
      <c r="A352" s="677"/>
      <c r="B352" s="677"/>
      <c r="C352" s="677"/>
      <c r="D352" s="677"/>
    </row>
    <row r="353" spans="1:4">
      <c r="A353" s="677"/>
      <c r="B353" s="677"/>
      <c r="C353" s="677"/>
      <c r="D353" s="677"/>
    </row>
    <row r="354" spans="1:4">
      <c r="A354" s="677"/>
      <c r="B354" s="677"/>
      <c r="C354" s="677"/>
      <c r="D354" s="677"/>
    </row>
    <row r="355" spans="1:4">
      <c r="A355" s="677"/>
      <c r="B355" s="677"/>
      <c r="C355" s="677"/>
      <c r="D355" s="677"/>
    </row>
    <row r="356" spans="1:4">
      <c r="A356" s="677"/>
      <c r="B356" s="677"/>
      <c r="C356" s="677"/>
      <c r="D356" s="677"/>
    </row>
    <row r="357" spans="1:4">
      <c r="A357" s="677"/>
      <c r="B357" s="677"/>
      <c r="C357" s="677"/>
      <c r="D357" s="677"/>
    </row>
    <row r="358" spans="1:4">
      <c r="A358" s="677"/>
      <c r="B358" s="677"/>
      <c r="C358" s="677"/>
      <c r="D358" s="677"/>
    </row>
    <row r="359" spans="1:4">
      <c r="A359" s="677"/>
      <c r="B359" s="677"/>
      <c r="C359" s="677"/>
      <c r="D359" s="677"/>
    </row>
    <row r="360" spans="1:4">
      <c r="A360" s="677"/>
      <c r="B360" s="677"/>
      <c r="C360" s="677"/>
      <c r="D360" s="677"/>
    </row>
    <row r="361" spans="1:4">
      <c r="A361" s="677"/>
      <c r="B361" s="677"/>
      <c r="C361" s="677"/>
      <c r="D361" s="677"/>
    </row>
    <row r="362" spans="1:4">
      <c r="A362" s="677"/>
      <c r="B362" s="677"/>
      <c r="C362" s="677"/>
      <c r="D362" s="677"/>
    </row>
    <row r="363" spans="1:4">
      <c r="A363" s="677"/>
      <c r="B363" s="677"/>
      <c r="C363" s="677"/>
      <c r="D363" s="677"/>
    </row>
    <row r="364" spans="1:4">
      <c r="A364" s="677"/>
      <c r="B364" s="677"/>
      <c r="C364" s="677"/>
      <c r="D364" s="677"/>
    </row>
    <row r="365" spans="1:4">
      <c r="A365" s="677"/>
      <c r="B365" s="677"/>
      <c r="C365" s="677"/>
      <c r="D365" s="677"/>
    </row>
    <row r="366" spans="1:4">
      <c r="A366" s="677"/>
      <c r="B366" s="677"/>
      <c r="C366" s="677"/>
      <c r="D366" s="677"/>
    </row>
    <row r="367" spans="1:4">
      <c r="A367" s="677"/>
      <c r="B367" s="677"/>
      <c r="C367" s="677"/>
      <c r="D367" s="677"/>
    </row>
    <row r="368" spans="1:4">
      <c r="A368" s="677"/>
      <c r="B368" s="677"/>
      <c r="C368" s="677"/>
      <c r="D368" s="677"/>
    </row>
    <row r="369" spans="1:4">
      <c r="A369" s="677"/>
      <c r="B369" s="677"/>
      <c r="C369" s="677"/>
      <c r="D369" s="677"/>
    </row>
    <row r="370" spans="1:4">
      <c r="A370" s="677"/>
      <c r="B370" s="677"/>
      <c r="C370" s="677"/>
      <c r="D370" s="677"/>
    </row>
    <row r="371" spans="1:4">
      <c r="A371" s="677"/>
      <c r="B371" s="677"/>
      <c r="C371" s="677"/>
      <c r="D371" s="677"/>
    </row>
    <row r="372" spans="1:4">
      <c r="A372" s="677"/>
      <c r="B372" s="677"/>
      <c r="C372" s="677"/>
      <c r="D372" s="677"/>
    </row>
    <row r="373" spans="1:4">
      <c r="A373" s="677"/>
      <c r="B373" s="677"/>
      <c r="C373" s="677"/>
      <c r="D373" s="677"/>
    </row>
    <row r="374" spans="1:4">
      <c r="A374" s="677"/>
      <c r="B374" s="677"/>
      <c r="C374" s="677"/>
      <c r="D374" s="677"/>
    </row>
    <row r="375" spans="1:4">
      <c r="A375" s="677"/>
      <c r="B375" s="677"/>
      <c r="C375" s="677"/>
      <c r="D375" s="677"/>
    </row>
    <row r="376" spans="1:4">
      <c r="A376" s="677"/>
      <c r="B376" s="677"/>
      <c r="C376" s="677"/>
      <c r="D376" s="677"/>
    </row>
    <row r="377" spans="1:4">
      <c r="A377" s="677"/>
      <c r="B377" s="677"/>
      <c r="C377" s="677"/>
      <c r="D377" s="677"/>
    </row>
    <row r="378" spans="1:4">
      <c r="A378" s="677"/>
      <c r="B378" s="677"/>
      <c r="C378" s="677"/>
      <c r="D378" s="677"/>
    </row>
    <row r="379" spans="1:4">
      <c r="A379" s="677"/>
      <c r="B379" s="677"/>
      <c r="C379" s="677"/>
      <c r="D379" s="677"/>
    </row>
    <row r="380" spans="1:4">
      <c r="A380" s="677"/>
      <c r="B380" s="677"/>
      <c r="C380" s="677"/>
      <c r="D380" s="677"/>
    </row>
    <row r="381" spans="1:4">
      <c r="A381" s="677"/>
      <c r="B381" s="677"/>
      <c r="C381" s="677"/>
      <c r="D381" s="677"/>
    </row>
    <row r="382" spans="1:4">
      <c r="A382" s="677"/>
      <c r="B382" s="677"/>
      <c r="C382" s="677"/>
      <c r="D382" s="677"/>
    </row>
    <row r="383" spans="1:4">
      <c r="A383" s="677"/>
      <c r="B383" s="677"/>
      <c r="C383" s="677"/>
      <c r="D383" s="677"/>
    </row>
    <row r="384" spans="1:4">
      <c r="A384" s="677"/>
      <c r="B384" s="677"/>
      <c r="C384" s="677"/>
      <c r="D384" s="677"/>
    </row>
    <row r="385" spans="1:4">
      <c r="A385" s="677"/>
      <c r="B385" s="677"/>
      <c r="C385" s="677"/>
      <c r="D385" s="677"/>
    </row>
    <row r="386" spans="1:4">
      <c r="A386" s="677"/>
      <c r="B386" s="677"/>
      <c r="C386" s="677"/>
      <c r="D386" s="677"/>
    </row>
    <row r="387" spans="1:4">
      <c r="A387" s="677"/>
      <c r="B387" s="677"/>
      <c r="C387" s="677"/>
      <c r="D387" s="677"/>
    </row>
    <row r="388" spans="1:4">
      <c r="A388" s="677"/>
      <c r="B388" s="677"/>
      <c r="C388" s="677"/>
      <c r="D388" s="677"/>
    </row>
    <row r="389" spans="1:4">
      <c r="A389" s="677"/>
      <c r="B389" s="677"/>
      <c r="C389" s="677"/>
      <c r="D389" s="677"/>
    </row>
    <row r="390" spans="1:4">
      <c r="A390" s="677"/>
      <c r="B390" s="677"/>
      <c r="C390" s="677"/>
      <c r="D390" s="677"/>
    </row>
    <row r="391" spans="1:4">
      <c r="A391" s="677"/>
      <c r="B391" s="677"/>
      <c r="C391" s="677"/>
      <c r="D391" s="677"/>
    </row>
    <row r="392" spans="1:4">
      <c r="A392" s="677"/>
      <c r="B392" s="677"/>
      <c r="C392" s="677"/>
      <c r="D392" s="677"/>
    </row>
    <row r="393" spans="1:4">
      <c r="A393" s="677"/>
      <c r="B393" s="677"/>
      <c r="C393" s="677"/>
      <c r="D393" s="677"/>
    </row>
    <row r="394" spans="1:4">
      <c r="A394" s="677"/>
      <c r="B394" s="677"/>
      <c r="C394" s="677"/>
      <c r="D394" s="677"/>
    </row>
    <row r="395" spans="1:4">
      <c r="A395" s="677"/>
      <c r="B395" s="677"/>
      <c r="C395" s="677"/>
      <c r="D395" s="677"/>
    </row>
    <row r="396" spans="1:4">
      <c r="A396" s="677"/>
      <c r="B396" s="677"/>
      <c r="C396" s="677"/>
      <c r="D396" s="677"/>
    </row>
    <row r="397" spans="1:4">
      <c r="A397" s="677"/>
      <c r="B397" s="677"/>
      <c r="C397" s="677"/>
      <c r="D397" s="677"/>
    </row>
    <row r="398" spans="1:4">
      <c r="A398" s="677"/>
      <c r="B398" s="677"/>
      <c r="C398" s="677"/>
      <c r="D398" s="677"/>
    </row>
    <row r="399" spans="1:4">
      <c r="A399" s="677"/>
      <c r="B399" s="677"/>
      <c r="C399" s="677"/>
      <c r="D399" s="677"/>
    </row>
    <row r="400" spans="1:4">
      <c r="A400" s="677"/>
      <c r="B400" s="677"/>
      <c r="C400" s="677"/>
      <c r="D400" s="677"/>
    </row>
    <row r="401" spans="1:4">
      <c r="A401" s="677"/>
      <c r="B401" s="677"/>
      <c r="C401" s="677"/>
      <c r="D401" s="677"/>
    </row>
    <row r="402" spans="1:4">
      <c r="A402" s="677"/>
      <c r="B402" s="677"/>
      <c r="C402" s="677"/>
      <c r="D402" s="677"/>
    </row>
    <row r="403" spans="1:4">
      <c r="A403" s="677"/>
      <c r="B403" s="677"/>
      <c r="C403" s="677"/>
      <c r="D403" s="677"/>
    </row>
    <row r="404" spans="1:4">
      <c r="A404" s="677"/>
      <c r="B404" s="677"/>
      <c r="C404" s="677"/>
      <c r="D404" s="677"/>
    </row>
    <row r="405" spans="1:4">
      <c r="A405" s="677"/>
      <c r="B405" s="677"/>
      <c r="C405" s="677"/>
      <c r="D405" s="677"/>
    </row>
    <row r="406" spans="1:4">
      <c r="A406" s="677"/>
      <c r="B406" s="677"/>
      <c r="C406" s="677"/>
      <c r="D406" s="677"/>
    </row>
    <row r="407" spans="1:4">
      <c r="A407" s="677"/>
      <c r="B407" s="677"/>
      <c r="C407" s="677"/>
      <c r="D407" s="677"/>
    </row>
    <row r="408" spans="1:4">
      <c r="A408" s="677"/>
      <c r="B408" s="677"/>
      <c r="C408" s="677"/>
      <c r="D408" s="677"/>
    </row>
    <row r="409" spans="1:4">
      <c r="A409" s="677"/>
      <c r="B409" s="677"/>
      <c r="C409" s="677"/>
      <c r="D409" s="677"/>
    </row>
    <row r="410" spans="1:4">
      <c r="A410" s="677"/>
      <c r="B410" s="677"/>
      <c r="C410" s="677"/>
      <c r="D410" s="677"/>
    </row>
    <row r="411" spans="1:4">
      <c r="A411" s="677"/>
      <c r="B411" s="677"/>
      <c r="C411" s="677"/>
      <c r="D411" s="677"/>
    </row>
    <row r="412" spans="1:4">
      <c r="A412" s="677"/>
      <c r="B412" s="677"/>
      <c r="C412" s="677"/>
      <c r="D412" s="677"/>
    </row>
    <row r="413" spans="1:4">
      <c r="A413" s="677"/>
      <c r="B413" s="677"/>
      <c r="C413" s="677"/>
      <c r="D413" s="677"/>
    </row>
    <row r="414" spans="1:4">
      <c r="A414" s="677"/>
      <c r="B414" s="677"/>
      <c r="C414" s="677"/>
      <c r="D414" s="677"/>
    </row>
    <row r="415" spans="1:4">
      <c r="A415" s="677"/>
      <c r="B415" s="677"/>
      <c r="C415" s="677"/>
      <c r="D415" s="677"/>
    </row>
    <row r="416" spans="1:4">
      <c r="A416" s="677"/>
      <c r="B416" s="677"/>
      <c r="C416" s="677"/>
      <c r="D416" s="677"/>
    </row>
    <row r="417" spans="1:4">
      <c r="A417" s="677"/>
      <c r="B417" s="677"/>
      <c r="C417" s="677"/>
      <c r="D417" s="677"/>
    </row>
    <row r="418" spans="1:4">
      <c r="A418" s="677"/>
      <c r="B418" s="677"/>
      <c r="C418" s="677"/>
      <c r="D418" s="677"/>
    </row>
    <row r="419" spans="1:4">
      <c r="A419" s="677"/>
      <c r="B419" s="677"/>
      <c r="C419" s="677"/>
      <c r="D419" s="677"/>
    </row>
    <row r="420" spans="1:4">
      <c r="A420" s="677"/>
      <c r="B420" s="677"/>
      <c r="C420" s="677"/>
      <c r="D420" s="677"/>
    </row>
    <row r="421" spans="1:4">
      <c r="A421" s="677"/>
      <c r="B421" s="677"/>
      <c r="C421" s="677"/>
      <c r="D421" s="677"/>
    </row>
    <row r="422" spans="1:4">
      <c r="A422" s="677"/>
      <c r="B422" s="677"/>
      <c r="C422" s="677"/>
      <c r="D422" s="677"/>
    </row>
    <row r="423" spans="1:4">
      <c r="A423" s="677"/>
      <c r="B423" s="677"/>
      <c r="C423" s="677"/>
      <c r="D423" s="677"/>
    </row>
    <row r="424" spans="1:4">
      <c r="A424" s="677"/>
      <c r="B424" s="677"/>
      <c r="C424" s="677"/>
      <c r="D424" s="677"/>
    </row>
    <row r="425" spans="1:4">
      <c r="A425" s="677"/>
      <c r="B425" s="677"/>
      <c r="C425" s="677"/>
      <c r="D425" s="677"/>
    </row>
    <row r="426" spans="1:4">
      <c r="A426" s="677"/>
      <c r="B426" s="677"/>
      <c r="C426" s="677"/>
      <c r="D426" s="677"/>
    </row>
    <row r="427" spans="1:4">
      <c r="A427" s="677"/>
      <c r="B427" s="677"/>
      <c r="C427" s="677"/>
      <c r="D427" s="677"/>
    </row>
    <row r="428" spans="1:4">
      <c r="A428" s="677"/>
      <c r="B428" s="677"/>
      <c r="C428" s="677"/>
      <c r="D428" s="677"/>
    </row>
    <row r="429" spans="1:4">
      <c r="A429" s="677"/>
      <c r="B429" s="677"/>
      <c r="C429" s="677"/>
      <c r="D429" s="677"/>
    </row>
    <row r="430" spans="1:4">
      <c r="A430" s="677"/>
      <c r="B430" s="677"/>
      <c r="C430" s="677"/>
      <c r="D430" s="677"/>
    </row>
    <row r="431" spans="1:4">
      <c r="A431" s="677"/>
      <c r="B431" s="677"/>
      <c r="C431" s="677"/>
      <c r="D431" s="677"/>
    </row>
    <row r="432" spans="1:4">
      <c r="A432" s="677"/>
      <c r="B432" s="677"/>
      <c r="C432" s="677"/>
      <c r="D432" s="677"/>
    </row>
    <row r="433" spans="1:4">
      <c r="A433" s="677"/>
      <c r="B433" s="677"/>
      <c r="C433" s="677"/>
      <c r="D433" s="677"/>
    </row>
    <row r="434" spans="1:4">
      <c r="A434" s="677"/>
      <c r="B434" s="677"/>
      <c r="C434" s="677"/>
      <c r="D434" s="677"/>
    </row>
    <row r="435" spans="1:4">
      <c r="A435" s="677"/>
      <c r="B435" s="677"/>
      <c r="C435" s="677"/>
      <c r="D435" s="677"/>
    </row>
    <row r="436" spans="1:4">
      <c r="A436" s="677"/>
      <c r="B436" s="677"/>
      <c r="C436" s="677"/>
      <c r="D436" s="677"/>
    </row>
    <row r="437" spans="1:4">
      <c r="A437" s="677"/>
      <c r="B437" s="677"/>
      <c r="C437" s="677"/>
      <c r="D437" s="677"/>
    </row>
    <row r="438" spans="1:4">
      <c r="A438" s="677"/>
      <c r="B438" s="677"/>
      <c r="C438" s="677"/>
      <c r="D438" s="677"/>
    </row>
    <row r="439" spans="1:4">
      <c r="A439" s="677"/>
      <c r="B439" s="677"/>
      <c r="C439" s="677"/>
      <c r="D439" s="677"/>
    </row>
    <row r="440" spans="1:4">
      <c r="A440" s="677"/>
      <c r="B440" s="677"/>
      <c r="C440" s="677"/>
      <c r="D440" s="677"/>
    </row>
    <row r="441" spans="1:4">
      <c r="A441" s="677"/>
      <c r="B441" s="677"/>
      <c r="C441" s="677"/>
      <c r="D441" s="677"/>
    </row>
    <row r="442" spans="1:4">
      <c r="A442" s="677"/>
      <c r="B442" s="677"/>
      <c r="C442" s="677"/>
      <c r="D442" s="677"/>
    </row>
    <row r="443" spans="1:4">
      <c r="A443" s="677"/>
      <c r="B443" s="677"/>
      <c r="C443" s="677"/>
      <c r="D443" s="677"/>
    </row>
    <row r="444" spans="1:4">
      <c r="A444" s="677"/>
      <c r="B444" s="677"/>
      <c r="C444" s="677"/>
      <c r="D444" s="677"/>
    </row>
    <row r="445" spans="1:4">
      <c r="A445" s="677"/>
      <c r="B445" s="677"/>
      <c r="C445" s="677"/>
      <c r="D445" s="677"/>
    </row>
    <row r="446" spans="1:4">
      <c r="A446" s="677"/>
      <c r="B446" s="677"/>
      <c r="C446" s="677"/>
      <c r="D446" s="677"/>
    </row>
    <row r="447" spans="1:4">
      <c r="A447" s="677"/>
      <c r="B447" s="677"/>
      <c r="C447" s="677"/>
      <c r="D447" s="677"/>
    </row>
    <row r="448" spans="1:4">
      <c r="A448" s="677"/>
      <c r="B448" s="677"/>
      <c r="C448" s="677"/>
      <c r="D448" s="677"/>
    </row>
    <row r="449" spans="1:4">
      <c r="A449" s="677"/>
      <c r="B449" s="677"/>
      <c r="C449" s="677"/>
      <c r="D449" s="677"/>
    </row>
    <row r="450" spans="1:4">
      <c r="A450" s="677"/>
      <c r="B450" s="677"/>
      <c r="C450" s="677"/>
      <c r="D450" s="677"/>
    </row>
    <row r="451" spans="1:4">
      <c r="A451" s="677"/>
      <c r="B451" s="677"/>
      <c r="C451" s="677"/>
      <c r="D451" s="677"/>
    </row>
    <row r="452" spans="1:4">
      <c r="A452" s="677"/>
      <c r="B452" s="677"/>
      <c r="C452" s="677"/>
      <c r="D452" s="677"/>
    </row>
    <row r="453" spans="1:4">
      <c r="A453" s="677"/>
      <c r="B453" s="677"/>
      <c r="C453" s="677"/>
      <c r="D453" s="677"/>
    </row>
    <row r="454" spans="1:4">
      <c r="A454" s="677"/>
      <c r="B454" s="677"/>
      <c r="C454" s="677"/>
      <c r="D454" s="677"/>
    </row>
    <row r="455" spans="1:4">
      <c r="A455" s="677"/>
      <c r="B455" s="677"/>
      <c r="C455" s="677"/>
      <c r="D455" s="677"/>
    </row>
    <row r="456" spans="1:4">
      <c r="A456" s="677"/>
      <c r="B456" s="677"/>
      <c r="C456" s="677"/>
      <c r="D456" s="677"/>
    </row>
    <row r="457" spans="1:4">
      <c r="A457" s="677"/>
      <c r="B457" s="677"/>
      <c r="C457" s="677"/>
      <c r="D457" s="677"/>
    </row>
    <row r="458" spans="1:4">
      <c r="A458" s="677"/>
      <c r="B458" s="677"/>
      <c r="C458" s="677"/>
      <c r="D458" s="677"/>
    </row>
    <row r="459" spans="1:4">
      <c r="A459" s="677"/>
      <c r="B459" s="677"/>
      <c r="C459" s="677"/>
      <c r="D459" s="677"/>
    </row>
    <row r="460" spans="1:4">
      <c r="A460" s="677"/>
      <c r="B460" s="677"/>
      <c r="C460" s="677"/>
      <c r="D460" s="677"/>
    </row>
    <row r="461" spans="1:4">
      <c r="A461" s="677"/>
      <c r="B461" s="677"/>
      <c r="C461" s="677"/>
      <c r="D461" s="677"/>
    </row>
    <row r="462" spans="1:4">
      <c r="A462" s="677"/>
      <c r="B462" s="677"/>
      <c r="C462" s="677"/>
      <c r="D462" s="677"/>
    </row>
    <row r="463" spans="1:4">
      <c r="A463" s="677"/>
      <c r="B463" s="677"/>
      <c r="C463" s="677"/>
      <c r="D463" s="677"/>
    </row>
    <row r="464" spans="1:4">
      <c r="A464" s="677"/>
      <c r="B464" s="677"/>
      <c r="C464" s="677"/>
      <c r="D464" s="677"/>
    </row>
    <row r="465" spans="1:4">
      <c r="A465" s="677"/>
      <c r="B465" s="677"/>
      <c r="C465" s="677"/>
      <c r="D465" s="677"/>
    </row>
    <row r="466" spans="1:4">
      <c r="A466" s="677"/>
      <c r="B466" s="677"/>
      <c r="C466" s="677"/>
      <c r="D466" s="677"/>
    </row>
    <row r="467" spans="1:4">
      <c r="A467" s="677"/>
      <c r="B467" s="677"/>
      <c r="C467" s="677"/>
      <c r="D467" s="677"/>
    </row>
    <row r="468" spans="1:4">
      <c r="A468" s="677"/>
      <c r="B468" s="677"/>
      <c r="C468" s="677"/>
      <c r="D468" s="677"/>
    </row>
    <row r="469" spans="1:4">
      <c r="A469" s="677"/>
      <c r="B469" s="677"/>
      <c r="C469" s="677"/>
      <c r="D469" s="677"/>
    </row>
    <row r="470" spans="1:4">
      <c r="A470" s="677"/>
      <c r="B470" s="677"/>
      <c r="C470" s="677"/>
      <c r="D470" s="677"/>
    </row>
    <row r="471" spans="1:4">
      <c r="A471" s="677"/>
      <c r="B471" s="677"/>
      <c r="C471" s="677"/>
      <c r="D471" s="677"/>
    </row>
    <row r="472" spans="1:4">
      <c r="A472" s="677"/>
      <c r="B472" s="677"/>
      <c r="C472" s="677"/>
      <c r="D472" s="677"/>
    </row>
    <row r="473" spans="1:4">
      <c r="A473" s="677"/>
      <c r="B473" s="677"/>
      <c r="C473" s="677"/>
      <c r="D473" s="677"/>
    </row>
    <row r="474" spans="1:4">
      <c r="A474" s="677"/>
      <c r="B474" s="677"/>
      <c r="C474" s="677"/>
      <c r="D474" s="677"/>
    </row>
    <row r="475" spans="1:4">
      <c r="A475" s="677"/>
      <c r="B475" s="677"/>
      <c r="C475" s="677"/>
      <c r="D475" s="677"/>
    </row>
    <row r="476" spans="1:4">
      <c r="A476" s="677"/>
      <c r="B476" s="677"/>
      <c r="C476" s="677"/>
      <c r="D476" s="677"/>
    </row>
    <row r="477" spans="1:4">
      <c r="A477" s="677"/>
      <c r="B477" s="677"/>
      <c r="C477" s="677"/>
      <c r="D477" s="677"/>
    </row>
    <row r="478" spans="1:4">
      <c r="A478" s="677"/>
      <c r="B478" s="677"/>
      <c r="C478" s="677"/>
      <c r="D478" s="677"/>
    </row>
    <row r="479" spans="1:4">
      <c r="A479" s="677"/>
      <c r="B479" s="677"/>
      <c r="C479" s="677"/>
      <c r="D479" s="677"/>
    </row>
    <row r="480" spans="1:4">
      <c r="A480" s="677"/>
      <c r="B480" s="677"/>
      <c r="C480" s="677"/>
      <c r="D480" s="677"/>
    </row>
    <row r="481" spans="1:4">
      <c r="A481" s="677"/>
      <c r="B481" s="677"/>
      <c r="C481" s="677"/>
      <c r="D481" s="677"/>
    </row>
    <row r="482" spans="1:4">
      <c r="A482" s="677"/>
      <c r="B482" s="677"/>
      <c r="C482" s="677"/>
      <c r="D482" s="677"/>
    </row>
    <row r="483" spans="1:4">
      <c r="A483" s="677"/>
      <c r="B483" s="677"/>
      <c r="C483" s="677"/>
      <c r="D483" s="677"/>
    </row>
    <row r="484" spans="1:4">
      <c r="A484" s="677"/>
      <c r="B484" s="677"/>
      <c r="C484" s="677"/>
      <c r="D484" s="677"/>
    </row>
    <row r="485" spans="1:4">
      <c r="A485" s="677"/>
      <c r="B485" s="677"/>
      <c r="C485" s="677"/>
      <c r="D485" s="677"/>
    </row>
    <row r="486" spans="1:4">
      <c r="A486" s="677"/>
      <c r="B486" s="677"/>
      <c r="C486" s="677"/>
      <c r="D486" s="677"/>
    </row>
    <row r="487" spans="1:4">
      <c r="A487" s="677"/>
      <c r="B487" s="677"/>
      <c r="C487" s="677"/>
      <c r="D487" s="677"/>
    </row>
    <row r="488" spans="1:4">
      <c r="A488" s="677"/>
      <c r="B488" s="677"/>
      <c r="C488" s="677"/>
      <c r="D488" s="677"/>
    </row>
    <row r="489" spans="1:4">
      <c r="A489" s="677"/>
      <c r="B489" s="677"/>
      <c r="C489" s="677"/>
      <c r="D489" s="677"/>
    </row>
    <row r="490" spans="1:4">
      <c r="A490" s="677"/>
      <c r="B490" s="677"/>
      <c r="C490" s="677"/>
      <c r="D490" s="677"/>
    </row>
    <row r="491" spans="1:4">
      <c r="A491" s="677"/>
      <c r="B491" s="677"/>
      <c r="C491" s="677"/>
      <c r="D491" s="677"/>
    </row>
    <row r="492" spans="1:4">
      <c r="A492" s="677"/>
      <c r="B492" s="677"/>
      <c r="C492" s="677"/>
      <c r="D492" s="677"/>
    </row>
    <row r="493" spans="1:4">
      <c r="A493" s="677"/>
      <c r="B493" s="677"/>
      <c r="C493" s="677"/>
      <c r="D493" s="677"/>
    </row>
    <row r="494" spans="1:4">
      <c r="A494" s="677"/>
      <c r="B494" s="677"/>
      <c r="C494" s="677"/>
      <c r="D494" s="677"/>
    </row>
    <row r="495" spans="1:4">
      <c r="A495" s="677"/>
      <c r="B495" s="677"/>
      <c r="C495" s="677"/>
      <c r="D495" s="677"/>
    </row>
    <row r="496" spans="1:4">
      <c r="A496" s="677"/>
      <c r="B496" s="677"/>
      <c r="C496" s="677"/>
      <c r="D496" s="677"/>
    </row>
    <row r="497" spans="1:4">
      <c r="A497" s="677"/>
      <c r="B497" s="677"/>
      <c r="C497" s="677"/>
      <c r="D497" s="677"/>
    </row>
    <row r="498" spans="1:4">
      <c r="A498" s="677"/>
      <c r="B498" s="677"/>
      <c r="C498" s="677"/>
      <c r="D498" s="677"/>
    </row>
    <row r="499" spans="1:4">
      <c r="A499" s="677"/>
      <c r="B499" s="677"/>
      <c r="C499" s="677"/>
      <c r="D499" s="677"/>
    </row>
    <row r="500" spans="1:4">
      <c r="A500" s="677"/>
      <c r="B500" s="677"/>
      <c r="C500" s="677"/>
      <c r="D500" s="677"/>
    </row>
    <row r="501" spans="1:4">
      <c r="A501" s="677"/>
      <c r="B501" s="677"/>
      <c r="C501" s="677"/>
      <c r="D501" s="677"/>
    </row>
    <row r="502" spans="1:4">
      <c r="A502" s="677"/>
      <c r="B502" s="677"/>
      <c r="C502" s="677"/>
      <c r="D502" s="677"/>
    </row>
    <row r="503" spans="1:4">
      <c r="A503" s="677"/>
      <c r="B503" s="677"/>
      <c r="C503" s="677"/>
      <c r="D503" s="677"/>
    </row>
    <row r="504" spans="1:4">
      <c r="A504" s="677"/>
      <c r="B504" s="677"/>
      <c r="C504" s="677"/>
      <c r="D504" s="677"/>
    </row>
    <row r="505" spans="1:4">
      <c r="A505" s="677"/>
      <c r="B505" s="677"/>
      <c r="C505" s="677"/>
      <c r="D505" s="677"/>
    </row>
    <row r="506" spans="1:4">
      <c r="A506" s="677"/>
      <c r="B506" s="677"/>
      <c r="C506" s="677"/>
      <c r="D506" s="677"/>
    </row>
    <row r="507" spans="1:4">
      <c r="A507" s="677"/>
      <c r="B507" s="677"/>
      <c r="C507" s="677"/>
      <c r="D507" s="677"/>
    </row>
    <row r="508" spans="1:4">
      <c r="A508" s="677"/>
      <c r="B508" s="677"/>
      <c r="C508" s="677"/>
      <c r="D508" s="677"/>
    </row>
    <row r="509" spans="1:4">
      <c r="A509" s="677"/>
      <c r="B509" s="677"/>
      <c r="C509" s="677"/>
      <c r="D509" s="677"/>
    </row>
    <row r="510" spans="1:4">
      <c r="A510" s="677"/>
      <c r="B510" s="677"/>
      <c r="C510" s="677"/>
      <c r="D510" s="677"/>
    </row>
    <row r="511" spans="1:4">
      <c r="A511" s="677"/>
      <c r="B511" s="677"/>
      <c r="C511" s="677"/>
      <c r="D511" s="677"/>
    </row>
    <row r="512" spans="1:4">
      <c r="A512" s="677"/>
      <c r="B512" s="677"/>
      <c r="C512" s="677"/>
      <c r="D512" s="677"/>
    </row>
    <row r="513" spans="1:4">
      <c r="A513" s="677"/>
      <c r="B513" s="677"/>
      <c r="C513" s="677"/>
      <c r="D513" s="677"/>
    </row>
    <row r="514" spans="1:4">
      <c r="A514" s="677"/>
      <c r="B514" s="677"/>
      <c r="C514" s="677"/>
      <c r="D514" s="677"/>
    </row>
    <row r="515" spans="1:4">
      <c r="A515" s="677"/>
      <c r="B515" s="677"/>
      <c r="C515" s="677"/>
      <c r="D515" s="677"/>
    </row>
    <row r="516" spans="1:4">
      <c r="A516" s="677"/>
      <c r="B516" s="677"/>
      <c r="C516" s="677"/>
      <c r="D516" s="677"/>
    </row>
    <row r="517" spans="1:4">
      <c r="A517" s="677"/>
      <c r="B517" s="677"/>
      <c r="C517" s="677"/>
      <c r="D517" s="677"/>
    </row>
    <row r="518" spans="1:4">
      <c r="A518" s="677"/>
      <c r="B518" s="677"/>
      <c r="C518" s="677"/>
      <c r="D518" s="677"/>
    </row>
    <row r="519" spans="1:4">
      <c r="A519" s="677"/>
      <c r="B519" s="677"/>
      <c r="C519" s="677"/>
      <c r="D519" s="677"/>
    </row>
    <row r="520" spans="1:4">
      <c r="A520" s="677"/>
      <c r="B520" s="677"/>
      <c r="C520" s="677"/>
      <c r="D520" s="677"/>
    </row>
    <row r="521" spans="1:4">
      <c r="A521" s="677"/>
      <c r="B521" s="677"/>
      <c r="C521" s="677"/>
      <c r="D521" s="677"/>
    </row>
    <row r="522" spans="1:4">
      <c r="A522" s="677"/>
      <c r="B522" s="677"/>
      <c r="C522" s="677"/>
      <c r="D522" s="677"/>
    </row>
    <row r="523" spans="1:4">
      <c r="A523" s="677"/>
      <c r="B523" s="677"/>
      <c r="C523" s="677"/>
      <c r="D523" s="677"/>
    </row>
    <row r="524" spans="1:4">
      <c r="A524" s="677"/>
      <c r="B524" s="677"/>
      <c r="C524" s="677"/>
      <c r="D524" s="677"/>
    </row>
    <row r="525" spans="1:4">
      <c r="A525" s="677"/>
      <c r="B525" s="677"/>
      <c r="C525" s="677"/>
      <c r="D525" s="677"/>
    </row>
    <row r="526" spans="1:4">
      <c r="A526" s="677"/>
      <c r="B526" s="677"/>
      <c r="C526" s="677"/>
      <c r="D526" s="677"/>
    </row>
    <row r="527" spans="1:4">
      <c r="A527" s="677"/>
      <c r="B527" s="677"/>
      <c r="C527" s="677"/>
      <c r="D527" s="677"/>
    </row>
    <row r="528" spans="1:4">
      <c r="A528" s="677"/>
      <c r="B528" s="677"/>
      <c r="C528" s="677"/>
      <c r="D528" s="677"/>
    </row>
    <row r="529" spans="1:4">
      <c r="A529" s="677"/>
      <c r="B529" s="677"/>
      <c r="C529" s="677"/>
      <c r="D529" s="677"/>
    </row>
    <row r="530" spans="1:4">
      <c r="A530" s="677"/>
      <c r="B530" s="677"/>
      <c r="C530" s="677"/>
      <c r="D530" s="677"/>
    </row>
    <row r="531" spans="1:4">
      <c r="A531" s="677"/>
      <c r="B531" s="677"/>
      <c r="C531" s="677"/>
      <c r="D531" s="677"/>
    </row>
    <row r="532" spans="1:4">
      <c r="A532" s="677"/>
      <c r="B532" s="677"/>
      <c r="C532" s="677"/>
      <c r="D532" s="677"/>
    </row>
    <row r="533" spans="1:4">
      <c r="A533" s="677"/>
      <c r="B533" s="677"/>
      <c r="C533" s="677"/>
      <c r="D533" s="677"/>
    </row>
    <row r="534" spans="1:4">
      <c r="A534" s="677"/>
      <c r="B534" s="677"/>
      <c r="C534" s="677"/>
      <c r="D534" s="677"/>
    </row>
    <row r="535" spans="1:4">
      <c r="A535" s="677"/>
      <c r="B535" s="677"/>
      <c r="C535" s="677"/>
      <c r="D535" s="677"/>
    </row>
    <row r="536" spans="1:4">
      <c r="A536" s="677"/>
      <c r="B536" s="677"/>
      <c r="C536" s="677"/>
      <c r="D536" s="677"/>
    </row>
    <row r="537" spans="1:4">
      <c r="A537" s="677"/>
      <c r="B537" s="677"/>
      <c r="C537" s="677"/>
      <c r="D537" s="677"/>
    </row>
    <row r="538" spans="1:4">
      <c r="A538" s="677"/>
      <c r="B538" s="677"/>
      <c r="C538" s="677"/>
      <c r="D538" s="677"/>
    </row>
    <row r="539" spans="1:4">
      <c r="A539" s="677"/>
      <c r="B539" s="677"/>
      <c r="C539" s="677"/>
      <c r="D539" s="677"/>
    </row>
    <row r="540" spans="1:4">
      <c r="A540" s="677"/>
      <c r="B540" s="677"/>
      <c r="C540" s="677"/>
      <c r="D540" s="677"/>
    </row>
    <row r="541" spans="1:4">
      <c r="A541" s="677"/>
      <c r="B541" s="677"/>
      <c r="C541" s="677"/>
      <c r="D541" s="677"/>
    </row>
    <row r="542" spans="1:4">
      <c r="A542" s="677"/>
      <c r="B542" s="677"/>
      <c r="C542" s="677"/>
      <c r="D542" s="677"/>
    </row>
    <row r="543" spans="1:4">
      <c r="A543" s="677"/>
      <c r="B543" s="677"/>
      <c r="C543" s="677"/>
      <c r="D543" s="677"/>
    </row>
    <row r="544" spans="1:4">
      <c r="A544" s="677"/>
      <c r="B544" s="677"/>
      <c r="C544" s="677"/>
      <c r="D544" s="677"/>
    </row>
    <row r="545" spans="1:4">
      <c r="A545" s="677"/>
      <c r="B545" s="677"/>
      <c r="C545" s="677"/>
      <c r="D545" s="677"/>
    </row>
    <row r="546" spans="1:4">
      <c r="A546" s="677"/>
      <c r="B546" s="677"/>
      <c r="C546" s="677"/>
      <c r="D546" s="677"/>
    </row>
    <row r="547" spans="1:4">
      <c r="A547" s="677"/>
      <c r="B547" s="677"/>
      <c r="C547" s="677"/>
      <c r="D547" s="677"/>
    </row>
    <row r="548" spans="1:4">
      <c r="A548" s="677"/>
      <c r="B548" s="677"/>
      <c r="C548" s="677"/>
      <c r="D548" s="677"/>
    </row>
    <row r="549" spans="1:4">
      <c r="A549" s="677"/>
      <c r="B549" s="677"/>
      <c r="C549" s="677"/>
      <c r="D549" s="677"/>
    </row>
    <row r="550" spans="1:4">
      <c r="A550" s="677"/>
      <c r="B550" s="677"/>
      <c r="C550" s="677"/>
      <c r="D550" s="677"/>
    </row>
    <row r="551" spans="1:4">
      <c r="A551" s="677"/>
      <c r="B551" s="677"/>
      <c r="C551" s="677"/>
      <c r="D551" s="677"/>
    </row>
    <row r="552" spans="1:4">
      <c r="A552" s="677"/>
      <c r="B552" s="677"/>
      <c r="C552" s="677"/>
      <c r="D552" s="677"/>
    </row>
    <row r="553" spans="1:4">
      <c r="A553" s="677"/>
      <c r="B553" s="677"/>
      <c r="C553" s="677"/>
      <c r="D553" s="677"/>
    </row>
    <row r="554" spans="1:4">
      <c r="A554" s="677"/>
      <c r="B554" s="677"/>
      <c r="C554" s="677"/>
      <c r="D554" s="677"/>
    </row>
    <row r="555" spans="1:4">
      <c r="A555" s="677"/>
      <c r="B555" s="677"/>
      <c r="C555" s="677"/>
      <c r="D555" s="677"/>
    </row>
    <row r="556" spans="1:4">
      <c r="A556" s="677"/>
      <c r="B556" s="677"/>
      <c r="C556" s="677"/>
      <c r="D556" s="677"/>
    </row>
    <row r="557" spans="1:4">
      <c r="A557" s="677"/>
      <c r="B557" s="677"/>
      <c r="C557" s="677"/>
      <c r="D557" s="677"/>
    </row>
    <row r="558" spans="1:4">
      <c r="A558" s="677"/>
      <c r="B558" s="677"/>
      <c r="C558" s="677"/>
      <c r="D558" s="677"/>
    </row>
    <row r="559" spans="1:4">
      <c r="A559" s="677"/>
      <c r="B559" s="677"/>
      <c r="C559" s="677"/>
      <c r="D559" s="677"/>
    </row>
    <row r="560" spans="1:4">
      <c r="A560" s="677"/>
      <c r="B560" s="677"/>
      <c r="C560" s="677"/>
      <c r="D560" s="677"/>
    </row>
    <row r="561" spans="1:4">
      <c r="A561" s="677"/>
      <c r="B561" s="677"/>
      <c r="C561" s="677"/>
      <c r="D561" s="677"/>
    </row>
    <row r="562" spans="1:4">
      <c r="A562" s="677"/>
      <c r="B562" s="677"/>
      <c r="C562" s="677"/>
      <c r="D562" s="677"/>
    </row>
    <row r="563" spans="1:4">
      <c r="A563" s="677"/>
      <c r="B563" s="677"/>
      <c r="C563" s="677"/>
      <c r="D563" s="677"/>
    </row>
    <row r="564" spans="1:4">
      <c r="A564" s="677"/>
      <c r="B564" s="677"/>
      <c r="C564" s="677"/>
      <c r="D564" s="677"/>
    </row>
    <row r="565" spans="1:4">
      <c r="A565" s="677"/>
      <c r="B565" s="677"/>
      <c r="C565" s="677"/>
      <c r="D565" s="677"/>
    </row>
    <row r="566" spans="1:4">
      <c r="A566" s="677"/>
      <c r="B566" s="677"/>
      <c r="C566" s="677"/>
      <c r="D566" s="677"/>
    </row>
    <row r="567" spans="1:4">
      <c r="A567" s="677"/>
      <c r="B567" s="677"/>
      <c r="C567" s="677"/>
      <c r="D567" s="677"/>
    </row>
    <row r="568" spans="1:4">
      <c r="A568" s="677"/>
      <c r="B568" s="677"/>
      <c r="C568" s="677"/>
      <c r="D568" s="677"/>
    </row>
    <row r="569" spans="1:4">
      <c r="A569" s="677"/>
      <c r="B569" s="677"/>
      <c r="C569" s="677"/>
      <c r="D569" s="677"/>
    </row>
    <row r="570" spans="1:4">
      <c r="A570" s="677"/>
      <c r="B570" s="677"/>
      <c r="C570" s="677"/>
      <c r="D570" s="677"/>
    </row>
    <row r="571" spans="1:4">
      <c r="A571" s="677"/>
      <c r="B571" s="677"/>
      <c r="C571" s="677"/>
      <c r="D571" s="677"/>
    </row>
    <row r="572" spans="1:4">
      <c r="A572" s="677"/>
      <c r="B572" s="677"/>
      <c r="C572" s="677"/>
      <c r="D572" s="677"/>
    </row>
    <row r="573" spans="1:4">
      <c r="A573" s="677"/>
      <c r="B573" s="677"/>
      <c r="C573" s="677"/>
      <c r="D573" s="677"/>
    </row>
    <row r="574" spans="1:4">
      <c r="A574" s="677"/>
      <c r="B574" s="677"/>
      <c r="C574" s="677"/>
      <c r="D574" s="677"/>
    </row>
    <row r="575" spans="1:4">
      <c r="A575" s="677"/>
      <c r="B575" s="677"/>
      <c r="C575" s="677"/>
      <c r="D575" s="677"/>
    </row>
    <row r="576" spans="1:4">
      <c r="A576" s="677"/>
      <c r="B576" s="677"/>
      <c r="C576" s="677"/>
      <c r="D576" s="677"/>
    </row>
    <row r="577" spans="1:4">
      <c r="A577" s="677"/>
      <c r="B577" s="677"/>
      <c r="C577" s="677"/>
      <c r="D577" s="677"/>
    </row>
    <row r="578" spans="1:4">
      <c r="A578" s="677"/>
      <c r="B578" s="677"/>
      <c r="C578" s="677"/>
      <c r="D578" s="677"/>
    </row>
    <row r="579" spans="1:4">
      <c r="A579" s="677"/>
      <c r="B579" s="677"/>
      <c r="C579" s="677"/>
      <c r="D579" s="677"/>
    </row>
    <row r="580" spans="1:4">
      <c r="A580" s="677"/>
      <c r="B580" s="677"/>
      <c r="C580" s="677"/>
      <c r="D580" s="677"/>
    </row>
    <row r="581" spans="1:4">
      <c r="A581" s="677"/>
      <c r="B581" s="677"/>
      <c r="C581" s="677"/>
      <c r="D581" s="677"/>
    </row>
    <row r="582" spans="1:4">
      <c r="A582" s="677"/>
      <c r="B582" s="677"/>
      <c r="C582" s="677"/>
      <c r="D582" s="677"/>
    </row>
    <row r="583" spans="1:4">
      <c r="A583" s="677"/>
      <c r="B583" s="677"/>
      <c r="C583" s="677"/>
      <c r="D583" s="677"/>
    </row>
    <row r="584" spans="1:4">
      <c r="A584" s="677"/>
      <c r="B584" s="677"/>
      <c r="C584" s="677"/>
      <c r="D584" s="677"/>
    </row>
    <row r="585" spans="1:4">
      <c r="A585" s="677"/>
      <c r="B585" s="677"/>
      <c r="C585" s="677"/>
      <c r="D585" s="677"/>
    </row>
    <row r="586" spans="1:4">
      <c r="A586" s="677"/>
      <c r="B586" s="677"/>
      <c r="C586" s="677"/>
      <c r="D586" s="677"/>
    </row>
    <row r="587" spans="1:4">
      <c r="A587" s="677"/>
      <c r="B587" s="677"/>
      <c r="C587" s="677"/>
      <c r="D587" s="677"/>
    </row>
    <row r="588" spans="1:4">
      <c r="A588" s="677"/>
      <c r="B588" s="677"/>
      <c r="C588" s="677"/>
      <c r="D588" s="677"/>
    </row>
    <row r="589" spans="1:4">
      <c r="A589" s="677"/>
      <c r="B589" s="677"/>
      <c r="C589" s="677"/>
      <c r="D589" s="677"/>
    </row>
    <row r="590" spans="1:4">
      <c r="A590" s="677"/>
      <c r="B590" s="677"/>
      <c r="C590" s="677"/>
      <c r="D590" s="677"/>
    </row>
    <row r="591" spans="1:4">
      <c r="A591" s="677"/>
      <c r="B591" s="677"/>
      <c r="C591" s="677"/>
      <c r="D591" s="677"/>
    </row>
    <row r="592" spans="1:4">
      <c r="A592" s="677"/>
      <c r="B592" s="677"/>
      <c r="C592" s="677"/>
      <c r="D592" s="677"/>
    </row>
    <row r="593" spans="1:4">
      <c r="A593" s="677"/>
      <c r="B593" s="677"/>
      <c r="C593" s="677"/>
      <c r="D593" s="677"/>
    </row>
    <row r="594" spans="1:4">
      <c r="A594" s="677"/>
      <c r="B594" s="677"/>
      <c r="C594" s="677"/>
      <c r="D594" s="677"/>
    </row>
    <row r="595" spans="1:4">
      <c r="A595" s="677"/>
      <c r="B595" s="677"/>
      <c r="C595" s="677"/>
      <c r="D595" s="677"/>
    </row>
    <row r="596" spans="1:4">
      <c r="A596" s="677"/>
      <c r="B596" s="677"/>
      <c r="C596" s="677"/>
      <c r="D596" s="677"/>
    </row>
    <row r="597" spans="1:4">
      <c r="A597" s="677"/>
      <c r="B597" s="677"/>
      <c r="C597" s="677"/>
      <c r="D597" s="677"/>
    </row>
    <row r="598" spans="1:4">
      <c r="A598" s="677"/>
      <c r="B598" s="677"/>
      <c r="C598" s="677"/>
      <c r="D598" s="677"/>
    </row>
    <row r="599" spans="1:4">
      <c r="A599" s="677"/>
      <c r="B599" s="677"/>
      <c r="C599" s="677"/>
      <c r="D599" s="677"/>
    </row>
    <row r="600" spans="1:4">
      <c r="A600" s="677"/>
      <c r="B600" s="677"/>
      <c r="C600" s="677"/>
      <c r="D600" s="677"/>
    </row>
    <row r="601" spans="1:4">
      <c r="A601" s="677"/>
      <c r="B601" s="677"/>
      <c r="C601" s="677"/>
      <c r="D601" s="677"/>
    </row>
    <row r="602" spans="1:4">
      <c r="A602" s="677"/>
      <c r="B602" s="677"/>
      <c r="C602" s="677"/>
      <c r="D602" s="677"/>
    </row>
    <row r="603" spans="1:4">
      <c r="A603" s="677"/>
      <c r="B603" s="677"/>
      <c r="C603" s="677"/>
      <c r="D603" s="677"/>
    </row>
    <row r="604" spans="1:4">
      <c r="A604" s="677"/>
      <c r="B604" s="677"/>
      <c r="C604" s="677"/>
      <c r="D604" s="677"/>
    </row>
    <row r="605" spans="1:4">
      <c r="A605" s="677"/>
      <c r="B605" s="677"/>
      <c r="C605" s="677"/>
      <c r="D605" s="677"/>
    </row>
    <row r="606" spans="1:4">
      <c r="A606" s="677"/>
      <c r="B606" s="677"/>
      <c r="C606" s="677"/>
      <c r="D606" s="677"/>
    </row>
    <row r="607" spans="1:4">
      <c r="A607" s="677"/>
      <c r="B607" s="677"/>
      <c r="C607" s="677"/>
      <c r="D607" s="677"/>
    </row>
    <row r="608" spans="1:4">
      <c r="A608" s="677"/>
      <c r="B608" s="677"/>
      <c r="C608" s="677"/>
      <c r="D608" s="677"/>
    </row>
    <row r="609" spans="1:4">
      <c r="A609" s="677"/>
      <c r="B609" s="677"/>
      <c r="C609" s="677"/>
      <c r="D609" s="677"/>
    </row>
    <row r="610" spans="1:4">
      <c r="A610" s="677"/>
      <c r="B610" s="677"/>
      <c r="C610" s="677"/>
      <c r="D610" s="677"/>
    </row>
    <row r="611" spans="1:4">
      <c r="A611" s="677"/>
      <c r="B611" s="677"/>
      <c r="C611" s="677"/>
      <c r="D611" s="677"/>
    </row>
    <row r="612" spans="1:4">
      <c r="A612" s="677"/>
      <c r="B612" s="677"/>
      <c r="C612" s="677"/>
      <c r="D612" s="677"/>
    </row>
    <row r="613" spans="1:4">
      <c r="A613" s="677"/>
      <c r="B613" s="677"/>
      <c r="C613" s="677"/>
      <c r="D613" s="677"/>
    </row>
    <row r="614" spans="1:4">
      <c r="A614" s="677"/>
      <c r="B614" s="677"/>
      <c r="C614" s="677"/>
      <c r="D614" s="677"/>
    </row>
    <row r="615" spans="1:4">
      <c r="A615" s="677"/>
      <c r="B615" s="677"/>
      <c r="C615" s="677"/>
      <c r="D615" s="677"/>
    </row>
    <row r="616" spans="1:4">
      <c r="A616" s="677"/>
      <c r="B616" s="677"/>
      <c r="C616" s="677"/>
      <c r="D616" s="677"/>
    </row>
    <row r="617" spans="1:4">
      <c r="A617" s="677"/>
      <c r="B617" s="677"/>
      <c r="C617" s="677"/>
      <c r="D617" s="677"/>
    </row>
    <row r="618" spans="1:4">
      <c r="A618" s="677"/>
      <c r="B618" s="677"/>
      <c r="C618" s="677"/>
      <c r="D618" s="677"/>
    </row>
    <row r="619" spans="1:4">
      <c r="A619" s="677"/>
      <c r="B619" s="677"/>
      <c r="C619" s="677"/>
      <c r="D619" s="677"/>
    </row>
    <row r="620" spans="1:4">
      <c r="A620" s="677"/>
      <c r="B620" s="677"/>
      <c r="C620" s="677"/>
      <c r="D620" s="677"/>
    </row>
    <row r="621" spans="1:4">
      <c r="A621" s="677"/>
      <c r="B621" s="677"/>
      <c r="C621" s="677"/>
      <c r="D621" s="677"/>
    </row>
    <row r="622" spans="1:4">
      <c r="A622" s="677"/>
      <c r="B622" s="677"/>
      <c r="C622" s="677"/>
      <c r="D622" s="677"/>
    </row>
    <row r="623" spans="1:4">
      <c r="A623" s="677"/>
      <c r="B623" s="677"/>
      <c r="C623" s="677"/>
      <c r="D623" s="677"/>
    </row>
    <row r="624" spans="1:4">
      <c r="A624" s="677"/>
      <c r="B624" s="677"/>
      <c r="C624" s="677"/>
      <c r="D624" s="677"/>
    </row>
    <row r="625" spans="1:4">
      <c r="A625" s="677"/>
      <c r="B625" s="677"/>
      <c r="C625" s="677"/>
      <c r="D625" s="677"/>
    </row>
    <row r="626" spans="1:4">
      <c r="A626" s="677"/>
      <c r="B626" s="677"/>
      <c r="C626" s="677"/>
      <c r="D626" s="677"/>
    </row>
    <row r="627" spans="1:4">
      <c r="A627" s="677"/>
      <c r="B627" s="677"/>
      <c r="C627" s="677"/>
      <c r="D627" s="677"/>
    </row>
    <row r="628" spans="1:4">
      <c r="A628" s="677"/>
      <c r="B628" s="677"/>
      <c r="C628" s="677"/>
      <c r="D628" s="677"/>
    </row>
    <row r="629" spans="1:4">
      <c r="A629" s="677"/>
      <c r="B629" s="677"/>
      <c r="C629" s="677"/>
      <c r="D629" s="677"/>
    </row>
    <row r="630" spans="1:4">
      <c r="A630" s="677"/>
      <c r="B630" s="677"/>
      <c r="C630" s="677"/>
      <c r="D630" s="677"/>
    </row>
    <row r="631" spans="1:4">
      <c r="A631" s="677"/>
      <c r="B631" s="677"/>
      <c r="C631" s="677"/>
      <c r="D631" s="677"/>
    </row>
    <row r="632" spans="1:4">
      <c r="A632" s="677"/>
      <c r="B632" s="677"/>
      <c r="C632" s="677"/>
      <c r="D632" s="677"/>
    </row>
    <row r="633" spans="1:4">
      <c r="A633" s="677"/>
      <c r="B633" s="677"/>
      <c r="C633" s="677"/>
      <c r="D633" s="677"/>
    </row>
    <row r="634" spans="1:4">
      <c r="A634" s="677"/>
      <c r="B634" s="677"/>
      <c r="C634" s="677"/>
      <c r="D634" s="677"/>
    </row>
    <row r="635" spans="1:4">
      <c r="A635" s="677"/>
      <c r="B635" s="677"/>
      <c r="C635" s="677"/>
      <c r="D635" s="677"/>
    </row>
    <row r="636" spans="1:4">
      <c r="A636" s="677"/>
      <c r="B636" s="677"/>
      <c r="C636" s="677"/>
      <c r="D636" s="677"/>
    </row>
    <row r="637" spans="1:4">
      <c r="A637" s="677"/>
      <c r="B637" s="677"/>
      <c r="C637" s="677"/>
      <c r="D637" s="677"/>
    </row>
    <row r="638" spans="1:4">
      <c r="A638" s="677"/>
      <c r="B638" s="677"/>
      <c r="C638" s="677"/>
      <c r="D638" s="677"/>
    </row>
    <row r="639" spans="1:4">
      <c r="A639" s="677"/>
      <c r="B639" s="677"/>
      <c r="C639" s="677"/>
      <c r="D639" s="677"/>
    </row>
    <row r="640" spans="1:4">
      <c r="A640" s="677"/>
      <c r="B640" s="677"/>
      <c r="C640" s="677"/>
      <c r="D640" s="677"/>
    </row>
    <row r="641" spans="1:4">
      <c r="A641" s="677"/>
      <c r="B641" s="677"/>
      <c r="C641" s="677"/>
      <c r="D641" s="677"/>
    </row>
    <row r="642" spans="1:4">
      <c r="A642" s="677"/>
      <c r="B642" s="677"/>
      <c r="C642" s="677"/>
      <c r="D642" s="677"/>
    </row>
    <row r="643" spans="1:4">
      <c r="A643" s="677"/>
      <c r="B643" s="677"/>
      <c r="C643" s="677"/>
      <c r="D643" s="677"/>
    </row>
    <row r="644" spans="1:4">
      <c r="A644" s="677"/>
      <c r="B644" s="677"/>
      <c r="C644" s="677"/>
      <c r="D644" s="677"/>
    </row>
    <row r="645" spans="1:4">
      <c r="A645" s="677"/>
      <c r="B645" s="677"/>
      <c r="C645" s="677"/>
      <c r="D645" s="677"/>
    </row>
    <row r="646" spans="1:4">
      <c r="A646" s="677"/>
      <c r="B646" s="677"/>
      <c r="C646" s="677"/>
      <c r="D646" s="677"/>
    </row>
    <row r="647" spans="1:4">
      <c r="A647" s="677"/>
      <c r="B647" s="677"/>
      <c r="C647" s="677"/>
      <c r="D647" s="677"/>
    </row>
    <row r="648" spans="1:4">
      <c r="A648" s="677"/>
      <c r="B648" s="677"/>
      <c r="C648" s="677"/>
      <c r="D648" s="677"/>
    </row>
    <row r="649" spans="1:4">
      <c r="A649" s="677"/>
      <c r="B649" s="677"/>
      <c r="C649" s="677"/>
      <c r="D649" s="677"/>
    </row>
    <row r="650" spans="1:4">
      <c r="A650" s="677"/>
      <c r="B650" s="677"/>
      <c r="C650" s="677"/>
      <c r="D650" s="677"/>
    </row>
    <row r="651" spans="1:4">
      <c r="A651" s="677"/>
      <c r="B651" s="677"/>
      <c r="C651" s="677"/>
      <c r="D651" s="677"/>
    </row>
    <row r="652" spans="1:4">
      <c r="A652" s="677"/>
      <c r="B652" s="677"/>
      <c r="C652" s="677"/>
      <c r="D652" s="677"/>
    </row>
    <row r="653" spans="1:4">
      <c r="A653" s="677"/>
      <c r="B653" s="677"/>
      <c r="C653" s="677"/>
      <c r="D653" s="677"/>
    </row>
    <row r="654" spans="1:4">
      <c r="A654" s="677"/>
      <c r="B654" s="677"/>
      <c r="C654" s="677"/>
      <c r="D654" s="677"/>
    </row>
    <row r="655" spans="1:4">
      <c r="A655" s="677"/>
      <c r="B655" s="677"/>
      <c r="C655" s="677"/>
      <c r="D655" s="677"/>
    </row>
    <row r="656" spans="1:4">
      <c r="A656" s="677"/>
      <c r="B656" s="677"/>
      <c r="C656" s="677"/>
      <c r="D656" s="677"/>
    </row>
    <row r="657" spans="1:4">
      <c r="A657" s="677"/>
      <c r="B657" s="677"/>
      <c r="C657" s="677"/>
      <c r="D657" s="677"/>
    </row>
    <row r="658" spans="1:4">
      <c r="A658" s="677"/>
      <c r="B658" s="677"/>
      <c r="C658" s="677"/>
      <c r="D658" s="677"/>
    </row>
    <row r="659" spans="1:4">
      <c r="A659" s="677"/>
      <c r="B659" s="677"/>
      <c r="C659" s="677"/>
      <c r="D659" s="677"/>
    </row>
    <row r="660" spans="1:4">
      <c r="A660" s="677"/>
      <c r="B660" s="677"/>
      <c r="C660" s="677"/>
      <c r="D660" s="677"/>
    </row>
    <row r="661" spans="1:4">
      <c r="A661" s="677"/>
      <c r="B661" s="677"/>
      <c r="C661" s="677"/>
      <c r="D661" s="677"/>
    </row>
    <row r="662" spans="1:4">
      <c r="A662" s="677"/>
      <c r="B662" s="677"/>
      <c r="C662" s="677"/>
      <c r="D662" s="677"/>
    </row>
    <row r="663" spans="1:4">
      <c r="A663" s="677"/>
      <c r="B663" s="677"/>
      <c r="C663" s="677"/>
      <c r="D663" s="677"/>
    </row>
    <row r="664" spans="1:4">
      <c r="A664" s="677"/>
      <c r="B664" s="677"/>
      <c r="C664" s="677"/>
      <c r="D664" s="677"/>
    </row>
    <row r="665" spans="1:4">
      <c r="A665" s="677"/>
      <c r="B665" s="677"/>
      <c r="C665" s="677"/>
      <c r="D665" s="677"/>
    </row>
    <row r="666" spans="1:4">
      <c r="A666" s="677"/>
      <c r="B666" s="677"/>
      <c r="C666" s="677"/>
      <c r="D666" s="677"/>
    </row>
    <row r="667" spans="1:4">
      <c r="A667" s="677"/>
      <c r="B667" s="677"/>
      <c r="C667" s="677"/>
      <c r="D667" s="677"/>
    </row>
    <row r="668" spans="1:4">
      <c r="A668" s="677"/>
      <c r="B668" s="677"/>
      <c r="C668" s="677"/>
      <c r="D668" s="677"/>
    </row>
    <row r="669" spans="1:4">
      <c r="A669" s="677"/>
      <c r="B669" s="677"/>
      <c r="C669" s="677"/>
      <c r="D669" s="677"/>
    </row>
    <row r="670" spans="1:4">
      <c r="A670" s="677"/>
      <c r="B670" s="677"/>
      <c r="C670" s="677"/>
      <c r="D670" s="677"/>
    </row>
    <row r="671" spans="1:4">
      <c r="A671" s="677"/>
      <c r="B671" s="677"/>
      <c r="C671" s="677"/>
      <c r="D671" s="677"/>
    </row>
    <row r="672" spans="1:4">
      <c r="A672" s="677"/>
      <c r="B672" s="677"/>
      <c r="C672" s="677"/>
      <c r="D672" s="677"/>
    </row>
    <row r="673" spans="1:4">
      <c r="A673" s="677"/>
      <c r="B673" s="677"/>
      <c r="C673" s="677"/>
      <c r="D673" s="677"/>
    </row>
    <row r="674" spans="1:4">
      <c r="A674" s="677"/>
      <c r="B674" s="677"/>
      <c r="C674" s="677"/>
      <c r="D674" s="677"/>
    </row>
    <row r="675" spans="1:4">
      <c r="A675" s="677"/>
      <c r="B675" s="677"/>
      <c r="C675" s="677"/>
      <c r="D675" s="677"/>
    </row>
    <row r="676" spans="1:4">
      <c r="A676" s="677"/>
      <c r="B676" s="677"/>
      <c r="C676" s="677"/>
      <c r="D676" s="677"/>
    </row>
    <row r="677" spans="1:4">
      <c r="A677" s="677"/>
      <c r="B677" s="677"/>
      <c r="C677" s="677"/>
      <c r="D677" s="677"/>
    </row>
    <row r="678" spans="1:4">
      <c r="A678" s="677"/>
      <c r="B678" s="677"/>
      <c r="C678" s="677"/>
      <c r="D678" s="677"/>
    </row>
    <row r="679" spans="1:4">
      <c r="A679" s="677"/>
      <c r="B679" s="677"/>
      <c r="C679" s="677"/>
      <c r="D679" s="677"/>
    </row>
    <row r="680" spans="1:4">
      <c r="A680" s="677"/>
      <c r="B680" s="677"/>
      <c r="C680" s="677"/>
      <c r="D680" s="677"/>
    </row>
    <row r="681" spans="1:4">
      <c r="A681" s="677"/>
      <c r="B681" s="677"/>
      <c r="C681" s="677"/>
      <c r="D681" s="677"/>
    </row>
    <row r="682" spans="1:4">
      <c r="A682" s="677"/>
      <c r="B682" s="677"/>
      <c r="C682" s="677"/>
      <c r="D682" s="677"/>
    </row>
    <row r="683" spans="1:4">
      <c r="A683" s="677"/>
      <c r="B683" s="677"/>
      <c r="C683" s="677"/>
      <c r="D683" s="677"/>
    </row>
    <row r="684" spans="1:4">
      <c r="A684" s="677"/>
      <c r="B684" s="677"/>
      <c r="C684" s="677"/>
      <c r="D684" s="677"/>
    </row>
    <row r="685" spans="1:4">
      <c r="A685" s="677"/>
      <c r="B685" s="677"/>
      <c r="C685" s="677"/>
      <c r="D685" s="677"/>
    </row>
    <row r="686" spans="1:4">
      <c r="A686" s="677"/>
      <c r="B686" s="677"/>
      <c r="C686" s="677"/>
      <c r="D686" s="677"/>
    </row>
    <row r="687" spans="1:4">
      <c r="A687" s="677"/>
      <c r="B687" s="677"/>
      <c r="C687" s="677"/>
      <c r="D687" s="677"/>
    </row>
    <row r="688" spans="1:4">
      <c r="A688" s="677"/>
      <c r="B688" s="677"/>
      <c r="C688" s="677"/>
      <c r="D688" s="677"/>
    </row>
    <row r="689" spans="1:4">
      <c r="A689" s="677"/>
      <c r="B689" s="677"/>
      <c r="C689" s="677"/>
      <c r="D689" s="677"/>
    </row>
    <row r="690" spans="1:4">
      <c r="A690" s="677"/>
      <c r="B690" s="677"/>
      <c r="C690" s="677"/>
      <c r="D690" s="677"/>
    </row>
    <row r="691" spans="1:4">
      <c r="A691" s="677"/>
      <c r="B691" s="677"/>
      <c r="C691" s="677"/>
      <c r="D691" s="677"/>
    </row>
    <row r="692" spans="1:4">
      <c r="A692" s="677"/>
      <c r="B692" s="677"/>
      <c r="C692" s="677"/>
      <c r="D692" s="677"/>
    </row>
    <row r="693" spans="1:4">
      <c r="A693" s="677"/>
      <c r="B693" s="677"/>
      <c r="C693" s="677"/>
      <c r="D693" s="677"/>
    </row>
    <row r="694" spans="1:4">
      <c r="A694" s="677"/>
      <c r="B694" s="677"/>
      <c r="C694" s="677"/>
      <c r="D694" s="677"/>
    </row>
    <row r="695" spans="1:4">
      <c r="A695" s="677"/>
      <c r="B695" s="677"/>
      <c r="C695" s="677"/>
      <c r="D695" s="677"/>
    </row>
    <row r="696" spans="1:4">
      <c r="A696" s="677"/>
      <c r="B696" s="677"/>
      <c r="C696" s="677"/>
      <c r="D696" s="677"/>
    </row>
    <row r="697" spans="1:4">
      <c r="A697" s="677"/>
      <c r="B697" s="677"/>
      <c r="C697" s="677"/>
      <c r="D697" s="677"/>
    </row>
    <row r="698" spans="1:4">
      <c r="A698" s="677"/>
      <c r="B698" s="677"/>
      <c r="C698" s="677"/>
      <c r="D698" s="677"/>
    </row>
    <row r="699" spans="1:4">
      <c r="A699" s="677"/>
      <c r="B699" s="677"/>
      <c r="C699" s="677"/>
      <c r="D699" s="677"/>
    </row>
    <row r="700" spans="1:4">
      <c r="A700" s="677"/>
      <c r="B700" s="677"/>
      <c r="C700" s="677"/>
      <c r="D700" s="677"/>
    </row>
    <row r="701" spans="1:4">
      <c r="A701" s="677"/>
      <c r="B701" s="677"/>
      <c r="C701" s="677"/>
      <c r="D701" s="677"/>
    </row>
    <row r="702" spans="1:4">
      <c r="A702" s="677"/>
      <c r="B702" s="677"/>
      <c r="C702" s="677"/>
      <c r="D702" s="677"/>
    </row>
    <row r="703" spans="1:4">
      <c r="A703" s="677"/>
      <c r="B703" s="677"/>
      <c r="C703" s="677"/>
      <c r="D703" s="677"/>
    </row>
    <row r="704" spans="1:4">
      <c r="A704" s="677"/>
      <c r="B704" s="677"/>
      <c r="C704" s="677"/>
      <c r="D704" s="677"/>
    </row>
    <row r="705" spans="1:4">
      <c r="A705" s="677"/>
      <c r="B705" s="677"/>
      <c r="C705" s="677"/>
      <c r="D705" s="677"/>
    </row>
    <row r="706" spans="1:4">
      <c r="A706" s="677"/>
      <c r="B706" s="677"/>
      <c r="C706" s="677"/>
      <c r="D706" s="677"/>
    </row>
    <row r="707" spans="1:4">
      <c r="A707" s="677"/>
      <c r="B707" s="677"/>
      <c r="C707" s="677"/>
      <c r="D707" s="677"/>
    </row>
    <row r="708" spans="1:4">
      <c r="A708" s="677"/>
      <c r="B708" s="677"/>
      <c r="C708" s="677"/>
      <c r="D708" s="677"/>
    </row>
    <row r="709" spans="1:4">
      <c r="A709" s="677"/>
      <c r="B709" s="677"/>
      <c r="C709" s="677"/>
      <c r="D709" s="677"/>
    </row>
    <row r="710" spans="1:4">
      <c r="A710" s="677"/>
      <c r="B710" s="677"/>
      <c r="C710" s="677"/>
      <c r="D710" s="677"/>
    </row>
    <row r="711" spans="1:4">
      <c r="A711" s="677"/>
      <c r="B711" s="677"/>
      <c r="C711" s="677"/>
      <c r="D711" s="677"/>
    </row>
    <row r="712" spans="1:4">
      <c r="A712" s="677"/>
      <c r="B712" s="677"/>
      <c r="C712" s="677"/>
      <c r="D712" s="677"/>
    </row>
    <row r="713" spans="1:4">
      <c r="A713" s="677"/>
      <c r="B713" s="677"/>
      <c r="C713" s="677"/>
      <c r="D713" s="677"/>
    </row>
    <row r="714" spans="1:4">
      <c r="A714" s="677"/>
      <c r="B714" s="677"/>
      <c r="C714" s="677"/>
      <c r="D714" s="677"/>
    </row>
    <row r="715" spans="1:4">
      <c r="A715" s="677"/>
      <c r="B715" s="677"/>
      <c r="C715" s="677"/>
      <c r="D715" s="677"/>
    </row>
    <row r="716" spans="1:4">
      <c r="A716" s="677"/>
      <c r="B716" s="677"/>
      <c r="C716" s="677"/>
      <c r="D716" s="677"/>
    </row>
    <row r="717" spans="1:4">
      <c r="A717" s="677"/>
      <c r="B717" s="677"/>
      <c r="C717" s="677"/>
      <c r="D717" s="677"/>
    </row>
    <row r="718" spans="1:4">
      <c r="A718" s="677"/>
      <c r="B718" s="677"/>
      <c r="C718" s="677"/>
      <c r="D718" s="677"/>
    </row>
    <row r="719" spans="1:4">
      <c r="A719" s="677"/>
      <c r="B719" s="677"/>
      <c r="C719" s="677"/>
      <c r="D719" s="677"/>
    </row>
    <row r="720" spans="1:4">
      <c r="A720" s="677"/>
      <c r="B720" s="677"/>
      <c r="C720" s="677"/>
      <c r="D720" s="677"/>
    </row>
    <row r="721" spans="1:4">
      <c r="A721" s="677"/>
      <c r="B721" s="677"/>
      <c r="C721" s="677"/>
      <c r="D721" s="677"/>
    </row>
    <row r="722" spans="1:4">
      <c r="A722" s="677"/>
      <c r="B722" s="677"/>
      <c r="C722" s="677"/>
      <c r="D722" s="677"/>
    </row>
    <row r="723" spans="1:4">
      <c r="A723" s="677"/>
      <c r="B723" s="677"/>
      <c r="C723" s="677"/>
      <c r="D723" s="677"/>
    </row>
    <row r="724" spans="1:4">
      <c r="A724" s="677"/>
      <c r="B724" s="677"/>
      <c r="C724" s="677"/>
      <c r="D724" s="677"/>
    </row>
    <row r="725" spans="1:4">
      <c r="A725" s="677"/>
      <c r="B725" s="677"/>
      <c r="C725" s="677"/>
      <c r="D725" s="677"/>
    </row>
    <row r="726" spans="1:4">
      <c r="A726" s="677"/>
      <c r="B726" s="677"/>
      <c r="C726" s="677"/>
      <c r="D726" s="677"/>
    </row>
    <row r="727" spans="1:4">
      <c r="A727" s="677"/>
      <c r="B727" s="677"/>
      <c r="C727" s="677"/>
      <c r="D727" s="677"/>
    </row>
    <row r="728" spans="1:4">
      <c r="A728" s="677"/>
      <c r="B728" s="677"/>
      <c r="C728" s="677"/>
      <c r="D728" s="677"/>
    </row>
    <row r="729" spans="1:4">
      <c r="A729" s="677"/>
      <c r="B729" s="677"/>
      <c r="C729" s="677"/>
      <c r="D729" s="677"/>
    </row>
    <row r="730" spans="1:4">
      <c r="A730" s="677"/>
      <c r="B730" s="677"/>
      <c r="C730" s="677"/>
      <c r="D730" s="677"/>
    </row>
    <row r="731" spans="1:4">
      <c r="A731" s="677"/>
      <c r="B731" s="677"/>
      <c r="C731" s="677"/>
      <c r="D731" s="677"/>
    </row>
    <row r="732" spans="1:4">
      <c r="A732" s="677"/>
      <c r="B732" s="677"/>
      <c r="C732" s="677"/>
      <c r="D732" s="677"/>
    </row>
    <row r="733" spans="1:4">
      <c r="A733" s="677"/>
      <c r="B733" s="677"/>
      <c r="C733" s="677"/>
      <c r="D733" s="677"/>
    </row>
    <row r="734" spans="1:4">
      <c r="A734" s="677"/>
      <c r="B734" s="677"/>
      <c r="C734" s="677"/>
      <c r="D734" s="677"/>
    </row>
    <row r="735" spans="1:4">
      <c r="A735" s="677"/>
      <c r="B735" s="677"/>
      <c r="C735" s="677"/>
      <c r="D735" s="677"/>
    </row>
    <row r="736" spans="1:4">
      <c r="A736" s="677"/>
      <c r="B736" s="677"/>
      <c r="C736" s="677"/>
      <c r="D736" s="677"/>
    </row>
    <row r="737" spans="1:4">
      <c r="A737" s="677"/>
      <c r="B737" s="677"/>
      <c r="C737" s="677"/>
      <c r="D737" s="677"/>
    </row>
    <row r="738" spans="1:4">
      <c r="A738" s="677"/>
      <c r="B738" s="677"/>
      <c r="C738" s="677"/>
      <c r="D738" s="677"/>
    </row>
    <row r="739" spans="1:4">
      <c r="A739" s="677"/>
      <c r="B739" s="677"/>
      <c r="C739" s="677"/>
      <c r="D739" s="677"/>
    </row>
    <row r="740" spans="1:4">
      <c r="A740" s="677"/>
      <c r="B740" s="677"/>
      <c r="C740" s="677"/>
      <c r="D740" s="677"/>
    </row>
    <row r="741" spans="1:4">
      <c r="A741" s="677"/>
      <c r="B741" s="677"/>
      <c r="C741" s="677"/>
      <c r="D741" s="677"/>
    </row>
    <row r="742" spans="1:4">
      <c r="A742" s="677"/>
      <c r="B742" s="677"/>
      <c r="C742" s="677"/>
      <c r="D742" s="677"/>
    </row>
    <row r="743" spans="1:4">
      <c r="A743" s="677"/>
      <c r="B743" s="677"/>
      <c r="C743" s="677"/>
      <c r="D743" s="677"/>
    </row>
    <row r="744" spans="1:4">
      <c r="A744" s="677"/>
      <c r="B744" s="677"/>
      <c r="C744" s="677"/>
      <c r="D744" s="677"/>
    </row>
    <row r="745" spans="1:4">
      <c r="A745" s="677"/>
      <c r="B745" s="677"/>
      <c r="C745" s="677"/>
      <c r="D745" s="677"/>
    </row>
    <row r="746" spans="1:4">
      <c r="A746" s="677"/>
      <c r="B746" s="677"/>
      <c r="C746" s="677"/>
      <c r="D746" s="677"/>
    </row>
    <row r="747" spans="1:4">
      <c r="A747" s="677"/>
      <c r="B747" s="677"/>
      <c r="C747" s="677"/>
      <c r="D747" s="677"/>
    </row>
    <row r="748" spans="1:4">
      <c r="A748" s="677"/>
      <c r="B748" s="677"/>
      <c r="C748" s="677"/>
      <c r="D748" s="677"/>
    </row>
    <row r="749" spans="1:4">
      <c r="A749" s="677"/>
      <c r="B749" s="677"/>
      <c r="C749" s="677"/>
      <c r="D749" s="677"/>
    </row>
    <row r="750" spans="1:4">
      <c r="A750" s="677"/>
      <c r="B750" s="677"/>
      <c r="C750" s="677"/>
      <c r="D750" s="677"/>
    </row>
    <row r="751" spans="1:4">
      <c r="A751" s="677"/>
      <c r="B751" s="677"/>
      <c r="C751" s="677"/>
      <c r="D751" s="677"/>
    </row>
    <row r="752" spans="1:4">
      <c r="A752" s="677"/>
      <c r="B752" s="677"/>
      <c r="C752" s="677"/>
      <c r="D752" s="677"/>
    </row>
    <row r="753" spans="1:4">
      <c r="A753" s="677"/>
      <c r="B753" s="677"/>
      <c r="C753" s="677"/>
      <c r="D753" s="677"/>
    </row>
    <row r="754" spans="1:4">
      <c r="A754" s="677"/>
      <c r="B754" s="677"/>
      <c r="C754" s="677"/>
      <c r="D754" s="677"/>
    </row>
    <row r="755" spans="1:4">
      <c r="A755" s="677"/>
      <c r="B755" s="677"/>
      <c r="C755" s="677"/>
      <c r="D755" s="677"/>
    </row>
    <row r="756" spans="1:4">
      <c r="A756" s="677"/>
      <c r="B756" s="677"/>
      <c r="C756" s="677"/>
      <c r="D756" s="677"/>
    </row>
    <row r="757" spans="1:4">
      <c r="A757" s="677"/>
      <c r="B757" s="677"/>
      <c r="C757" s="677"/>
      <c r="D757" s="677"/>
    </row>
    <row r="758" spans="1:4">
      <c r="A758" s="677"/>
      <c r="B758" s="677"/>
      <c r="C758" s="677"/>
      <c r="D758" s="677"/>
    </row>
    <row r="759" spans="1:4">
      <c r="A759" s="677"/>
      <c r="B759" s="677"/>
      <c r="C759" s="677"/>
      <c r="D759" s="677"/>
    </row>
    <row r="760" spans="1:4">
      <c r="A760" s="677"/>
      <c r="B760" s="677"/>
      <c r="C760" s="677"/>
      <c r="D760" s="677"/>
    </row>
    <row r="761" spans="1:4">
      <c r="A761" s="677"/>
      <c r="B761" s="677"/>
      <c r="C761" s="677"/>
      <c r="D761" s="677"/>
    </row>
    <row r="762" spans="1:4">
      <c r="A762" s="677"/>
      <c r="B762" s="677"/>
      <c r="C762" s="677"/>
      <c r="D762" s="677"/>
    </row>
    <row r="763" spans="1:4">
      <c r="A763" s="677"/>
      <c r="B763" s="677"/>
      <c r="C763" s="677"/>
      <c r="D763" s="677"/>
    </row>
    <row r="764" spans="1:4">
      <c r="A764" s="677"/>
      <c r="B764" s="677"/>
      <c r="C764" s="677"/>
      <c r="D764" s="677"/>
    </row>
    <row r="765" spans="1:4">
      <c r="A765" s="677"/>
      <c r="B765" s="677"/>
      <c r="C765" s="677"/>
      <c r="D765" s="677"/>
    </row>
    <row r="766" spans="1:4">
      <c r="A766" s="677"/>
      <c r="B766" s="677"/>
      <c r="C766" s="677"/>
      <c r="D766" s="677"/>
    </row>
    <row r="767" spans="1:4">
      <c r="A767" s="677"/>
      <c r="B767" s="677"/>
      <c r="C767" s="677"/>
      <c r="D767" s="677"/>
    </row>
    <row r="768" spans="1:4">
      <c r="A768" s="677"/>
      <c r="B768" s="677"/>
      <c r="C768" s="677"/>
      <c r="D768" s="677"/>
    </row>
    <row r="769" spans="1:4">
      <c r="A769" s="677"/>
      <c r="B769" s="677"/>
      <c r="C769" s="677"/>
      <c r="D769" s="677"/>
    </row>
    <row r="770" spans="1:4">
      <c r="A770" s="677"/>
      <c r="B770" s="677"/>
      <c r="C770" s="677"/>
      <c r="D770" s="677"/>
    </row>
    <row r="771" spans="1:4">
      <c r="A771" s="677"/>
      <c r="B771" s="677"/>
      <c r="C771" s="677"/>
      <c r="D771" s="677"/>
    </row>
    <row r="772" spans="1:4">
      <c r="A772" s="677"/>
      <c r="B772" s="677"/>
      <c r="C772" s="677"/>
      <c r="D772" s="677"/>
    </row>
    <row r="773" spans="1:4">
      <c r="A773" s="677"/>
      <c r="B773" s="677"/>
      <c r="C773" s="677"/>
      <c r="D773" s="677"/>
    </row>
    <row r="774" spans="1:4">
      <c r="A774" s="677"/>
      <c r="B774" s="677"/>
      <c r="C774" s="677"/>
      <c r="D774" s="677"/>
    </row>
    <row r="775" spans="1:4">
      <c r="A775" s="677"/>
      <c r="B775" s="677"/>
      <c r="C775" s="677"/>
      <c r="D775" s="677"/>
    </row>
    <row r="776" spans="1:4">
      <c r="A776" s="677"/>
      <c r="B776" s="677"/>
      <c r="C776" s="677"/>
      <c r="D776" s="677"/>
    </row>
    <row r="777" spans="1:4">
      <c r="A777" s="677"/>
      <c r="B777" s="677"/>
      <c r="C777" s="677"/>
      <c r="D777" s="677"/>
    </row>
    <row r="778" spans="1:4">
      <c r="A778" s="677"/>
      <c r="B778" s="677"/>
      <c r="C778" s="677"/>
      <c r="D778" s="677"/>
    </row>
    <row r="779" spans="1:4">
      <c r="A779" s="677"/>
      <c r="B779" s="677"/>
      <c r="C779" s="677"/>
      <c r="D779" s="677"/>
    </row>
    <row r="780" spans="1:4">
      <c r="A780" s="677"/>
      <c r="B780" s="677"/>
      <c r="C780" s="677"/>
      <c r="D780" s="677"/>
    </row>
    <row r="781" spans="1:4">
      <c r="A781" s="677"/>
      <c r="B781" s="677"/>
      <c r="C781" s="677"/>
      <c r="D781" s="677"/>
    </row>
    <row r="782" spans="1:4">
      <c r="A782" s="677"/>
      <c r="B782" s="677"/>
      <c r="C782" s="677"/>
      <c r="D782" s="677"/>
    </row>
    <row r="783" spans="1:4">
      <c r="A783" s="677"/>
      <c r="B783" s="677"/>
      <c r="C783" s="677"/>
      <c r="D783" s="677"/>
    </row>
    <row r="784" spans="1:4">
      <c r="A784" s="677"/>
      <c r="B784" s="677"/>
      <c r="C784" s="677"/>
      <c r="D784" s="677"/>
    </row>
    <row r="785" spans="1:4">
      <c r="A785" s="677"/>
      <c r="B785" s="677"/>
      <c r="C785" s="677"/>
      <c r="D785" s="677"/>
    </row>
    <row r="786" spans="1:4">
      <c r="A786" s="677"/>
      <c r="B786" s="677"/>
      <c r="C786" s="677"/>
      <c r="D786" s="677"/>
    </row>
    <row r="787" spans="1:4">
      <c r="A787" s="677"/>
      <c r="B787" s="677"/>
      <c r="C787" s="677"/>
      <c r="D787" s="677"/>
    </row>
    <row r="788" spans="1:4">
      <c r="A788" s="677"/>
      <c r="B788" s="677"/>
      <c r="C788" s="677"/>
      <c r="D788" s="677"/>
    </row>
    <row r="789" spans="1:4">
      <c r="A789" s="677"/>
      <c r="B789" s="677"/>
      <c r="C789" s="677"/>
      <c r="D789" s="677"/>
    </row>
    <row r="790" spans="1:4">
      <c r="A790" s="677"/>
      <c r="B790" s="677"/>
      <c r="C790" s="677"/>
      <c r="D790" s="677"/>
    </row>
    <row r="791" spans="1:4">
      <c r="A791" s="677"/>
      <c r="B791" s="677"/>
      <c r="C791" s="677"/>
      <c r="D791" s="677"/>
    </row>
    <row r="792" spans="1:4">
      <c r="A792" s="677"/>
      <c r="B792" s="677"/>
      <c r="C792" s="677"/>
      <c r="D792" s="677"/>
    </row>
    <row r="793" spans="1:4">
      <c r="A793" s="677"/>
      <c r="B793" s="677"/>
      <c r="C793" s="677"/>
      <c r="D793" s="677"/>
    </row>
    <row r="794" spans="1:4">
      <c r="A794" s="677"/>
      <c r="B794" s="677"/>
      <c r="C794" s="677"/>
      <c r="D794" s="677"/>
    </row>
    <row r="795" spans="1:4">
      <c r="A795" s="677"/>
      <c r="B795" s="677"/>
      <c r="C795" s="677"/>
      <c r="D795" s="677"/>
    </row>
    <row r="796" spans="1:4">
      <c r="A796" s="677"/>
      <c r="B796" s="677"/>
      <c r="C796" s="677"/>
      <c r="D796" s="677"/>
    </row>
    <row r="797" spans="1:4">
      <c r="A797" s="677"/>
      <c r="B797" s="677"/>
      <c r="C797" s="677"/>
      <c r="D797" s="677"/>
    </row>
    <row r="798" spans="1:4">
      <c r="A798" s="677"/>
      <c r="B798" s="677"/>
      <c r="C798" s="677"/>
      <c r="D798" s="677"/>
    </row>
    <row r="799" spans="1:4">
      <c r="A799" s="677"/>
      <c r="B799" s="677"/>
      <c r="C799" s="677"/>
      <c r="D799" s="677"/>
    </row>
    <row r="800" spans="1:4">
      <c r="A800" s="677"/>
      <c r="B800" s="677"/>
      <c r="C800" s="677"/>
      <c r="D800" s="677"/>
    </row>
    <row r="801" spans="1:4">
      <c r="A801" s="677"/>
      <c r="B801" s="677"/>
      <c r="C801" s="677"/>
      <c r="D801" s="677"/>
    </row>
    <row r="802" spans="1:4">
      <c r="A802" s="677"/>
      <c r="B802" s="677"/>
      <c r="C802" s="677"/>
      <c r="D802" s="677"/>
    </row>
    <row r="803" spans="1:4">
      <c r="A803" s="677"/>
      <c r="B803" s="677"/>
      <c r="C803" s="677"/>
      <c r="D803" s="677"/>
    </row>
    <row r="804" spans="1:4">
      <c r="A804" s="677"/>
      <c r="B804" s="677"/>
      <c r="C804" s="677"/>
      <c r="D804" s="677"/>
    </row>
    <row r="805" spans="1:4">
      <c r="A805" s="677"/>
      <c r="B805" s="677"/>
      <c r="C805" s="677"/>
      <c r="D805" s="677"/>
    </row>
    <row r="806" spans="1:4">
      <c r="A806" s="677"/>
      <c r="B806" s="677"/>
      <c r="C806" s="677"/>
      <c r="D806" s="677"/>
    </row>
    <row r="807" spans="1:4">
      <c r="A807" s="677"/>
      <c r="B807" s="677"/>
      <c r="C807" s="677"/>
      <c r="D807" s="677"/>
    </row>
    <row r="808" spans="1:4">
      <c r="A808" s="677"/>
      <c r="B808" s="677"/>
      <c r="C808" s="677"/>
      <c r="D808" s="677"/>
    </row>
    <row r="809" spans="1:4">
      <c r="A809" s="677"/>
      <c r="B809" s="677"/>
      <c r="C809" s="677"/>
      <c r="D809" s="677"/>
    </row>
    <row r="810" spans="1:4">
      <c r="A810" s="677"/>
      <c r="B810" s="677"/>
      <c r="C810" s="677"/>
      <c r="D810" s="677"/>
    </row>
    <row r="811" spans="1:4">
      <c r="A811" s="677"/>
      <c r="B811" s="677"/>
      <c r="C811" s="677"/>
      <c r="D811" s="677"/>
    </row>
    <row r="812" spans="1:4">
      <c r="A812" s="677"/>
      <c r="B812" s="677"/>
      <c r="C812" s="677"/>
      <c r="D812" s="677"/>
    </row>
    <row r="813" spans="1:4">
      <c r="A813" s="677"/>
      <c r="B813" s="677"/>
      <c r="C813" s="677"/>
      <c r="D813" s="677"/>
    </row>
    <row r="814" spans="1:4">
      <c r="A814" s="677"/>
      <c r="B814" s="677"/>
      <c r="C814" s="677"/>
      <c r="D814" s="677"/>
    </row>
    <row r="815" spans="1:4">
      <c r="A815" s="677"/>
      <c r="B815" s="677"/>
      <c r="C815" s="677"/>
      <c r="D815" s="677"/>
    </row>
    <row r="816" spans="1:4">
      <c r="A816" s="677"/>
      <c r="B816" s="677"/>
      <c r="C816" s="677"/>
      <c r="D816" s="677"/>
    </row>
    <row r="817" spans="1:4">
      <c r="A817" s="677"/>
      <c r="B817" s="677"/>
      <c r="C817" s="677"/>
      <c r="D817" s="677"/>
    </row>
    <row r="818" spans="1:4">
      <c r="A818" s="677"/>
      <c r="B818" s="677"/>
      <c r="C818" s="677"/>
      <c r="D818" s="677"/>
    </row>
    <row r="819" spans="1:4">
      <c r="A819" s="677"/>
      <c r="B819" s="677"/>
      <c r="C819" s="677"/>
      <c r="D819" s="677"/>
    </row>
    <row r="820" spans="1:4">
      <c r="A820" s="677"/>
      <c r="B820" s="677"/>
      <c r="C820" s="677"/>
      <c r="D820" s="677"/>
    </row>
    <row r="821" spans="1:4">
      <c r="A821" s="677"/>
      <c r="B821" s="677"/>
      <c r="C821" s="677"/>
      <c r="D821" s="677"/>
    </row>
    <row r="822" spans="1:4">
      <c r="A822" s="677"/>
      <c r="B822" s="677"/>
      <c r="C822" s="677"/>
      <c r="D822" s="677"/>
    </row>
    <row r="823" spans="1:4">
      <c r="A823" s="677"/>
      <c r="B823" s="677"/>
      <c r="C823" s="677"/>
      <c r="D823" s="677"/>
    </row>
    <row r="824" spans="1:4">
      <c r="A824" s="677"/>
      <c r="B824" s="677"/>
      <c r="C824" s="677"/>
      <c r="D824" s="677"/>
    </row>
    <row r="825" spans="1:4">
      <c r="A825" s="677"/>
      <c r="B825" s="677"/>
      <c r="C825" s="677"/>
      <c r="D825" s="677"/>
    </row>
    <row r="826" spans="1:4">
      <c r="A826" s="677"/>
      <c r="B826" s="677"/>
      <c r="C826" s="677"/>
      <c r="D826" s="677"/>
    </row>
    <row r="827" spans="1:4">
      <c r="A827" s="677"/>
      <c r="B827" s="677"/>
      <c r="C827" s="677"/>
      <c r="D827" s="677"/>
    </row>
    <row r="828" spans="1:4">
      <c r="A828" s="677"/>
      <c r="B828" s="677"/>
      <c r="C828" s="677"/>
      <c r="D828" s="677"/>
    </row>
    <row r="829" spans="1:4">
      <c r="A829" s="677"/>
      <c r="B829" s="677"/>
      <c r="C829" s="677"/>
      <c r="D829" s="677"/>
    </row>
    <row r="830" spans="1:4">
      <c r="A830" s="677"/>
      <c r="B830" s="677"/>
      <c r="C830" s="677"/>
      <c r="D830" s="677"/>
    </row>
    <row r="831" spans="1:4">
      <c r="A831" s="677"/>
      <c r="B831" s="677"/>
      <c r="C831" s="677"/>
      <c r="D831" s="677"/>
    </row>
    <row r="832" spans="1:4">
      <c r="A832" s="677"/>
      <c r="B832" s="677"/>
      <c r="C832" s="677"/>
      <c r="D832" s="677"/>
    </row>
    <row r="833" spans="1:4">
      <c r="A833" s="677"/>
      <c r="B833" s="677"/>
      <c r="C833" s="677"/>
      <c r="D833" s="677"/>
    </row>
    <row r="834" spans="1:4">
      <c r="A834" s="677"/>
      <c r="B834" s="677"/>
      <c r="C834" s="677"/>
      <c r="D834" s="677"/>
    </row>
    <row r="835" spans="1:4">
      <c r="A835" s="677"/>
      <c r="B835" s="677"/>
      <c r="C835" s="677"/>
      <c r="D835" s="677"/>
    </row>
    <row r="836" spans="1:4">
      <c r="A836" s="677"/>
      <c r="B836" s="677"/>
      <c r="C836" s="677"/>
      <c r="D836" s="677"/>
    </row>
    <row r="837" spans="1:4">
      <c r="A837" s="677"/>
      <c r="B837" s="677"/>
      <c r="C837" s="677"/>
      <c r="D837" s="677"/>
    </row>
    <row r="838" spans="1:4">
      <c r="A838" s="677"/>
      <c r="B838" s="677"/>
      <c r="C838" s="677"/>
      <c r="D838" s="677"/>
    </row>
    <row r="839" spans="1:4">
      <c r="A839" s="677"/>
      <c r="B839" s="677"/>
      <c r="C839" s="677"/>
      <c r="D839" s="677"/>
    </row>
    <row r="840" spans="1:4">
      <c r="A840" s="677"/>
      <c r="B840" s="677"/>
      <c r="C840" s="677"/>
      <c r="D840" s="677"/>
    </row>
    <row r="841" spans="1:4">
      <c r="A841" s="677"/>
      <c r="B841" s="677"/>
      <c r="C841" s="677"/>
      <c r="D841" s="677"/>
    </row>
    <row r="842" spans="1:4">
      <c r="A842" s="677"/>
      <c r="B842" s="677"/>
      <c r="C842" s="677"/>
      <c r="D842" s="677"/>
    </row>
    <row r="843" spans="1:4">
      <c r="A843" s="677"/>
      <c r="B843" s="677"/>
      <c r="C843" s="677"/>
      <c r="D843" s="677"/>
    </row>
    <row r="844" spans="1:4">
      <c r="A844" s="677"/>
      <c r="B844" s="677"/>
      <c r="C844" s="677"/>
      <c r="D844" s="677"/>
    </row>
    <row r="845" spans="1:4">
      <c r="A845" s="677"/>
      <c r="B845" s="677"/>
      <c r="C845" s="677"/>
      <c r="D845" s="677"/>
    </row>
    <row r="846" spans="1:4">
      <c r="A846" s="677"/>
      <c r="B846" s="677"/>
      <c r="C846" s="677"/>
      <c r="D846" s="677"/>
    </row>
    <row r="847" spans="1:4">
      <c r="A847" s="677"/>
      <c r="B847" s="677"/>
      <c r="C847" s="677"/>
      <c r="D847" s="677"/>
    </row>
    <row r="848" spans="1:4">
      <c r="A848" s="677"/>
      <c r="B848" s="677"/>
      <c r="C848" s="677"/>
      <c r="D848" s="677"/>
    </row>
    <row r="849" spans="1:4">
      <c r="A849" s="677"/>
      <c r="B849" s="677"/>
      <c r="C849" s="677"/>
      <c r="D849" s="677"/>
    </row>
    <row r="850" spans="1:4">
      <c r="A850" s="677"/>
      <c r="B850" s="677"/>
      <c r="C850" s="677"/>
      <c r="D850" s="677"/>
    </row>
    <row r="851" spans="1:4">
      <c r="A851" s="677"/>
      <c r="B851" s="677"/>
      <c r="C851" s="677"/>
      <c r="D851" s="677"/>
    </row>
    <row r="852" spans="1:4">
      <c r="A852" s="677"/>
      <c r="B852" s="677"/>
      <c r="C852" s="677"/>
      <c r="D852" s="677"/>
    </row>
    <row r="853" spans="1:4">
      <c r="A853" s="677"/>
      <c r="B853" s="677"/>
      <c r="C853" s="677"/>
      <c r="D853" s="677"/>
    </row>
    <row r="854" spans="1:4">
      <c r="A854" s="677"/>
      <c r="B854" s="677"/>
      <c r="C854" s="677"/>
      <c r="D854" s="677"/>
    </row>
    <row r="855" spans="1:4">
      <c r="A855" s="677"/>
      <c r="B855" s="677"/>
      <c r="C855" s="677"/>
      <c r="D855" s="677"/>
    </row>
    <row r="856" spans="1:4">
      <c r="A856" s="677"/>
      <c r="B856" s="677"/>
      <c r="C856" s="677"/>
      <c r="D856" s="677"/>
    </row>
    <row r="857" spans="1:4">
      <c r="A857" s="677"/>
      <c r="B857" s="677"/>
      <c r="C857" s="677"/>
      <c r="D857" s="677"/>
    </row>
    <row r="858" spans="1:4">
      <c r="A858" s="677"/>
      <c r="B858" s="677"/>
      <c r="C858" s="677"/>
      <c r="D858" s="677"/>
    </row>
    <row r="859" spans="1:4">
      <c r="A859" s="677"/>
      <c r="B859" s="677"/>
      <c r="C859" s="677"/>
      <c r="D859" s="677"/>
    </row>
    <row r="860" spans="1:4">
      <c r="A860" s="677"/>
      <c r="B860" s="677"/>
      <c r="C860" s="677"/>
      <c r="D860" s="677"/>
    </row>
    <row r="861" spans="1:4">
      <c r="A861" s="677"/>
      <c r="B861" s="677"/>
      <c r="C861" s="677"/>
      <c r="D861" s="677"/>
    </row>
    <row r="862" spans="1:4">
      <c r="A862" s="677"/>
      <c r="B862" s="677"/>
      <c r="C862" s="677"/>
      <c r="D862" s="677"/>
    </row>
    <row r="863" spans="1:4">
      <c r="A863" s="677"/>
      <c r="B863" s="677"/>
      <c r="C863" s="677"/>
      <c r="D863" s="677"/>
    </row>
    <row r="864" spans="1:4">
      <c r="A864" s="677"/>
      <c r="B864" s="677"/>
      <c r="C864" s="677"/>
      <c r="D864" s="677"/>
    </row>
    <row r="865" spans="1:4">
      <c r="A865" s="677"/>
      <c r="B865" s="677"/>
      <c r="C865" s="677"/>
      <c r="D865" s="677"/>
    </row>
    <row r="866" spans="1:4">
      <c r="A866" s="677"/>
      <c r="B866" s="677"/>
      <c r="C866" s="677"/>
      <c r="D866" s="677"/>
    </row>
    <row r="867" spans="1:4">
      <c r="A867" s="677"/>
      <c r="B867" s="677"/>
      <c r="C867" s="677"/>
      <c r="D867" s="677"/>
    </row>
    <row r="868" spans="1:4">
      <c r="A868" s="677"/>
      <c r="B868" s="677"/>
      <c r="C868" s="677"/>
      <c r="D868" s="677"/>
    </row>
    <row r="869" spans="1:4">
      <c r="A869" s="677"/>
      <c r="B869" s="677"/>
      <c r="C869" s="677"/>
      <c r="D869" s="677"/>
    </row>
    <row r="870" spans="1:4">
      <c r="A870" s="677"/>
      <c r="B870" s="677"/>
      <c r="C870" s="677"/>
      <c r="D870" s="677"/>
    </row>
    <row r="871" spans="1:4">
      <c r="A871" s="677"/>
      <c r="B871" s="677"/>
      <c r="C871" s="677"/>
      <c r="D871" s="677"/>
    </row>
    <row r="872" spans="1:4">
      <c r="A872" s="677"/>
      <c r="B872" s="677"/>
      <c r="C872" s="677"/>
      <c r="D872" s="677"/>
    </row>
    <row r="873" spans="1:4">
      <c r="A873" s="677"/>
      <c r="B873" s="677"/>
      <c r="C873" s="677"/>
      <c r="D873" s="677"/>
    </row>
    <row r="874" spans="1:4">
      <c r="A874" s="677"/>
      <c r="B874" s="677"/>
      <c r="C874" s="677"/>
      <c r="D874" s="677"/>
    </row>
    <row r="875" spans="1:4">
      <c r="A875" s="677"/>
      <c r="B875" s="677"/>
      <c r="C875" s="677"/>
      <c r="D875" s="677"/>
    </row>
    <row r="876" spans="1:4">
      <c r="A876" s="677"/>
      <c r="B876" s="677"/>
      <c r="C876" s="677"/>
      <c r="D876" s="677"/>
    </row>
    <row r="877" spans="1:4">
      <c r="A877" s="677"/>
      <c r="B877" s="677"/>
      <c r="C877" s="677"/>
      <c r="D877" s="677"/>
    </row>
    <row r="878" spans="1:4">
      <c r="A878" s="677"/>
      <c r="B878" s="677"/>
      <c r="C878" s="677"/>
      <c r="D878" s="677"/>
    </row>
    <row r="879" spans="1:4">
      <c r="A879" s="677"/>
      <c r="B879" s="677"/>
      <c r="C879" s="677"/>
      <c r="D879" s="677"/>
    </row>
    <row r="880" spans="1:4">
      <c r="A880" s="677"/>
      <c r="B880" s="677"/>
      <c r="C880" s="677"/>
      <c r="D880" s="677"/>
    </row>
  </sheetData>
  <sheetProtection password="CCDF" sheet="1" objects="1" scenarios="1" selectLockedCells="1" selectUnlockedCells="1"/>
  <conditionalFormatting sqref="G16">
    <cfRule type="expression" dxfId="222" priority="4">
      <formula>$A$3="INFO"</formula>
    </cfRule>
  </conditionalFormatting>
  <conditionalFormatting sqref="G13:G14">
    <cfRule type="expression" dxfId="221" priority="3">
      <formula>$A$3="INFO"</formula>
    </cfRule>
  </conditionalFormatting>
  <conditionalFormatting sqref="G17">
    <cfRule type="expression" dxfId="220" priority="2">
      <formula>$A$3="INFO"</formula>
    </cfRule>
  </conditionalFormatting>
  <conditionalFormatting sqref="A4:D880">
    <cfRule type="expression" dxfId="219" priority="1">
      <formula>COUNTIF(SKLH,A4)&gt;1</formula>
    </cfRule>
  </conditionalFormatting>
  <pageMargins left="0.7" right="0.7" top="0.75" bottom="0.75" header="0.3" footer="0.3"/>
  <pageSetup paperSize="9" orientation="portrait" horizontalDpi="4294967292"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
  <sheetViews>
    <sheetView workbookViewId="0">
      <selection activeCell="B7" sqref="B7"/>
    </sheetView>
  </sheetViews>
  <sheetFormatPr defaultRowHeight="15"/>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tabColor rgb="FFFF0000"/>
  </sheetPr>
  <dimension ref="A1:U176"/>
  <sheetViews>
    <sheetView showGridLines="0" showRowColHeaders="0" workbookViewId="0">
      <pane xSplit="2" ySplit="3" topLeftCell="C38" activePane="bottomRight" state="frozen"/>
      <selection pane="topRight" activeCell="C1" sqref="C1"/>
      <selection pane="bottomLeft" activeCell="A4" sqref="A4"/>
      <selection pane="bottomRight" activeCell="D57" sqref="D57"/>
    </sheetView>
  </sheetViews>
  <sheetFormatPr defaultColWidth="0" defaultRowHeight="0" customHeight="1" zeroHeight="1"/>
  <cols>
    <col min="1" max="1" width="1.28515625" style="876" customWidth="1"/>
    <col min="2" max="2" width="5" style="876" customWidth="1"/>
    <col min="3" max="3" width="1" style="876" customWidth="1"/>
    <col min="4" max="4" width="3.7109375" style="876" customWidth="1"/>
    <col min="5" max="5" width="10.42578125" style="876" customWidth="1"/>
    <col min="6" max="6" width="10.7109375" style="876" customWidth="1"/>
    <col min="7" max="17" width="4.7109375" style="876" customWidth="1"/>
    <col min="18" max="18" width="5.7109375" style="876" customWidth="1"/>
    <col min="19" max="19" width="1.140625" style="876" customWidth="1"/>
    <col min="20" max="20" width="17" style="876" customWidth="1"/>
    <col min="21" max="21" width="0" style="876" hidden="1" customWidth="1"/>
    <col min="22" max="16384" width="9.140625" style="876" hidden="1"/>
  </cols>
  <sheetData>
    <row r="1" spans="1:20" ht="12.75">
      <c r="A1" s="382"/>
      <c r="B1" s="382"/>
      <c r="C1" s="382"/>
      <c r="D1" s="382"/>
      <c r="E1" s="382"/>
      <c r="F1" s="382"/>
      <c r="G1" s="382"/>
      <c r="H1" s="382"/>
      <c r="I1" s="382"/>
      <c r="J1" s="382"/>
      <c r="K1" s="382"/>
      <c r="L1" s="382"/>
      <c r="M1" s="382"/>
      <c r="N1" s="382"/>
      <c r="O1" s="382"/>
      <c r="P1" s="382"/>
      <c r="Q1" s="382"/>
      <c r="R1" s="382"/>
      <c r="S1" s="382"/>
      <c r="T1" s="382"/>
    </row>
    <row r="2" spans="1:20" ht="15" customHeight="1">
      <c r="A2" s="382"/>
      <c r="B2" s="1919">
        <v>1</v>
      </c>
      <c r="C2" s="382"/>
      <c r="D2" s="382">
        <f>IDLOK</f>
        <v>0</v>
      </c>
      <c r="E2" s="382"/>
      <c r="F2" s="382"/>
      <c r="G2" s="382"/>
      <c r="H2" s="382"/>
      <c r="I2" s="883" t="s">
        <v>612</v>
      </c>
      <c r="J2" s="1970">
        <f ca="1">NOW()</f>
        <v>45092.582233564812</v>
      </c>
      <c r="K2" s="1970"/>
      <c r="L2" s="1970"/>
      <c r="M2" s="1970"/>
      <c r="N2" s="382"/>
      <c r="O2" s="884" t="s">
        <v>613</v>
      </c>
      <c r="P2" s="1971" t="s">
        <v>142</v>
      </c>
      <c r="Q2" s="1971"/>
      <c r="R2" s="1971"/>
      <c r="S2" s="382"/>
      <c r="T2" s="382"/>
    </row>
    <row r="3" spans="1:20" ht="12.75">
      <c r="A3" s="386"/>
      <c r="B3" s="1920"/>
      <c r="C3" s="386"/>
      <c r="D3" s="386"/>
      <c r="E3" s="386"/>
      <c r="F3" s="386"/>
      <c r="G3" s="386"/>
      <c r="H3" s="386"/>
      <c r="I3" s="386"/>
      <c r="J3" s="386"/>
      <c r="K3" s="386"/>
      <c r="L3" s="386"/>
      <c r="M3" s="386"/>
      <c r="N3" s="387"/>
      <c r="O3" s="387"/>
      <c r="P3" s="387"/>
      <c r="Q3" s="386"/>
      <c r="R3" s="386"/>
      <c r="S3" s="386"/>
      <c r="T3" s="386"/>
    </row>
    <row r="4" spans="1:20" ht="18">
      <c r="A4" s="386"/>
      <c r="B4" s="889"/>
      <c r="C4" s="388"/>
      <c r="D4" s="882"/>
      <c r="E4" s="882"/>
      <c r="F4" s="882"/>
      <c r="G4" s="882"/>
      <c r="H4" s="882"/>
      <c r="I4" s="882"/>
      <c r="J4" s="882"/>
      <c r="K4" s="882"/>
      <c r="L4" s="882"/>
      <c r="M4" s="882"/>
      <c r="N4" s="882"/>
      <c r="O4" s="882"/>
      <c r="P4" s="882"/>
      <c r="Q4" s="882"/>
      <c r="R4" s="882"/>
      <c r="S4" s="389"/>
      <c r="T4" s="1951" t="s">
        <v>619</v>
      </c>
    </row>
    <row r="5" spans="1:20" ht="18">
      <c r="A5" s="386"/>
      <c r="B5" s="386"/>
      <c r="C5" s="388"/>
      <c r="D5" s="882"/>
      <c r="E5" s="882"/>
      <c r="F5" s="882"/>
      <c r="G5" s="882"/>
      <c r="H5" s="882"/>
      <c r="I5" s="882"/>
      <c r="J5" s="882"/>
      <c r="K5" s="882"/>
      <c r="L5" s="882"/>
      <c r="M5" s="882"/>
      <c r="N5" s="882"/>
      <c r="O5" s="882"/>
      <c r="P5" s="882"/>
      <c r="Q5" s="882"/>
      <c r="R5" s="882"/>
      <c r="S5" s="389"/>
      <c r="T5" s="1952"/>
    </row>
    <row r="6" spans="1:20" ht="18">
      <c r="A6" s="386"/>
      <c r="B6" s="386"/>
      <c r="C6" s="388"/>
      <c r="D6" s="872"/>
      <c r="E6" s="872"/>
      <c r="F6" s="872"/>
      <c r="G6" s="872"/>
      <c r="H6" s="872"/>
      <c r="I6" s="872"/>
      <c r="J6" s="872"/>
      <c r="K6" s="872"/>
      <c r="L6" s="872"/>
      <c r="M6" s="872"/>
      <c r="N6" s="872"/>
      <c r="O6" s="872"/>
      <c r="P6" s="872"/>
      <c r="Q6" s="872"/>
      <c r="R6" s="872"/>
      <c r="S6" s="389"/>
      <c r="T6" s="1952"/>
    </row>
    <row r="7" spans="1:20" ht="11.1" customHeight="1">
      <c r="A7" s="386"/>
      <c r="B7" s="386"/>
      <c r="C7" s="388"/>
      <c r="D7" s="1959" t="s">
        <v>611</v>
      </c>
      <c r="E7" s="1959"/>
      <c r="F7" s="1959"/>
      <c r="G7" s="1959"/>
      <c r="H7" s="1959"/>
      <c r="I7" s="1959"/>
      <c r="J7" s="1959"/>
      <c r="K7" s="1959"/>
      <c r="L7" s="1959"/>
      <c r="M7" s="1959"/>
      <c r="N7" s="1959"/>
      <c r="O7" s="1959"/>
      <c r="P7" s="1959"/>
      <c r="Q7" s="1959"/>
      <c r="R7" s="1959"/>
      <c r="S7" s="389"/>
      <c r="T7" s="1953"/>
    </row>
    <row r="8" spans="1:20" ht="11.1" customHeight="1">
      <c r="A8" s="386"/>
      <c r="B8" s="386"/>
      <c r="C8" s="388"/>
      <c r="D8" s="1959"/>
      <c r="E8" s="1959"/>
      <c r="F8" s="1959"/>
      <c r="G8" s="1959"/>
      <c r="H8" s="1959"/>
      <c r="I8" s="1959"/>
      <c r="J8" s="1959"/>
      <c r="K8" s="1959"/>
      <c r="L8" s="1959"/>
      <c r="M8" s="1959"/>
      <c r="N8" s="1959"/>
      <c r="O8" s="1959"/>
      <c r="P8" s="1959"/>
      <c r="Q8" s="1959"/>
      <c r="R8" s="1959"/>
      <c r="T8" s="1953"/>
    </row>
    <row r="9" spans="1:20" ht="14.1" customHeight="1">
      <c r="A9" s="386"/>
      <c r="B9" s="386"/>
      <c r="C9" s="388"/>
      <c r="D9" s="881"/>
      <c r="E9" s="881"/>
      <c r="F9" s="881"/>
      <c r="G9" s="881"/>
      <c r="H9" s="881"/>
      <c r="I9" s="881"/>
      <c r="J9" s="881"/>
      <c r="K9" s="881"/>
      <c r="L9" s="881"/>
      <c r="M9" s="881"/>
      <c r="N9" s="881"/>
      <c r="O9" s="881"/>
      <c r="P9" s="881"/>
      <c r="Q9" s="881"/>
      <c r="R9" s="881"/>
      <c r="T9" s="582" t="s">
        <v>404</v>
      </c>
    </row>
    <row r="10" spans="1:20" s="873" customFormat="1" ht="15" customHeight="1">
      <c r="A10" s="391"/>
      <c r="B10" s="386"/>
      <c r="D10" s="1921" t="s">
        <v>22</v>
      </c>
      <c r="E10" s="1921"/>
      <c r="F10" s="1973" t="str">
        <f>": "&amp;Data!C4</f>
        <v>: SMA Negeri 1 Amabi Efeto</v>
      </c>
      <c r="G10" s="1973"/>
      <c r="H10" s="1973"/>
      <c r="I10" s="1973"/>
      <c r="J10" s="1973"/>
      <c r="K10" s="1973"/>
      <c r="L10" s="1973"/>
      <c r="M10" s="1973"/>
      <c r="N10" s="1147" t="s">
        <v>1022</v>
      </c>
      <c r="Q10" s="1972" t="str">
        <f>": "&amp;IF($T$10="romawi",ROMAN(VALUE(LEFT(Data!$C$9,2)))&amp;MID(Data!$C$9,3,15),Data!$C$9)</f>
        <v>: X IIS 2</v>
      </c>
      <c r="R10" s="1972"/>
      <c r="S10" s="393"/>
      <c r="T10" s="885" t="s">
        <v>397</v>
      </c>
    </row>
    <row r="11" spans="1:20" s="873" customFormat="1" ht="15" customHeight="1">
      <c r="A11" s="391"/>
      <c r="B11" s="386"/>
      <c r="D11" s="1921" t="s">
        <v>9</v>
      </c>
      <c r="E11" s="1921"/>
      <c r="F11" s="1972" t="str">
        <f>": "&amp;Data!C5</f>
        <v>: Jl. Dusun V Hunaek Desa Fatukanutu</v>
      </c>
      <c r="G11" s="1972"/>
      <c r="H11" s="1972"/>
      <c r="I11" s="1972"/>
      <c r="J11" s="1972"/>
      <c r="K11" s="1972"/>
      <c r="L11" s="1972"/>
      <c r="M11" s="1972"/>
      <c r="N11" s="1147" t="s">
        <v>1023</v>
      </c>
      <c r="Q11" s="1972" t="str">
        <f>IF(Data!C10=1,": 1 (Satu)",IF(Data!C10=2,": 2 (Dua)",": "&amp;Data!C10))</f>
        <v>: 1 (Satu)</v>
      </c>
      <c r="R11" s="1972"/>
      <c r="S11" s="393"/>
      <c r="T11" s="886"/>
    </row>
    <row r="12" spans="1:20" s="873" customFormat="1" ht="15" customHeight="1">
      <c r="A12" s="391"/>
      <c r="B12" s="386"/>
      <c r="D12" s="1921" t="s">
        <v>71</v>
      </c>
      <c r="E12" s="1921"/>
      <c r="F12" s="1973" t="str">
        <f>": "&amp;VLOOKUP($B$2,Data!E5:I54,4)</f>
        <v>: Aldo Alfinus Pakae</v>
      </c>
      <c r="G12" s="1973"/>
      <c r="H12" s="1973"/>
      <c r="I12" s="1973"/>
      <c r="J12" s="1973"/>
      <c r="K12" s="1973"/>
      <c r="L12" s="1973"/>
      <c r="M12" s="1973"/>
      <c r="N12" s="1147" t="s">
        <v>1024</v>
      </c>
      <c r="Q12" s="1972" t="str">
        <f>": "&amp;Data!C11</f>
        <v>: 2022-2023</v>
      </c>
      <c r="R12" s="1972"/>
      <c r="S12" s="393"/>
      <c r="T12" s="886"/>
    </row>
    <row r="13" spans="1:20" s="873" customFormat="1" ht="15" customHeight="1">
      <c r="A13" s="391"/>
      <c r="B13" s="386"/>
      <c r="D13" s="1921" t="str">
        <f>IF(VLOOKUP($B$2,Data!$E$5:$AC$54,Data!G55)="","Nomor Induk","No. Induk / NISN")</f>
        <v>No. Induk / NISN</v>
      </c>
      <c r="E13" s="1921"/>
      <c r="F13" s="1972" t="str">
        <f>": "&amp;TEXT(VLOOKUP($B$2,Data!E5:I54,2),Data!C18)&amp;IF(VLOOKUP($B$2,Data!$E$5:$AC$54,Data!G55)="",""," / "&amp;TEXT(VLOOKUP($B$2,Data!$E$5:$AC$54,Data!G55),Data!C20))</f>
        <v>: 00000 / 0066338468</v>
      </c>
      <c r="G13" s="1972"/>
      <c r="H13" s="1972"/>
      <c r="I13" s="1972"/>
      <c r="J13" s="1972"/>
      <c r="K13" s="1972"/>
      <c r="L13" s="1972"/>
      <c r="M13" s="1972"/>
      <c r="N13" s="1305"/>
      <c r="S13" s="874"/>
      <c r="T13" s="886"/>
    </row>
    <row r="14" spans="1:20" ht="6.95" customHeight="1" thickBot="1">
      <c r="A14" s="386"/>
      <c r="B14" s="386"/>
      <c r="C14" s="395"/>
      <c r="D14" s="873"/>
      <c r="E14" s="873"/>
      <c r="F14" s="873"/>
      <c r="G14" s="873"/>
      <c r="H14" s="880"/>
      <c r="I14" s="880"/>
      <c r="J14" s="880"/>
      <c r="K14" s="880"/>
      <c r="L14" s="880"/>
      <c r="M14" s="880"/>
      <c r="N14" s="880"/>
      <c r="O14" s="880"/>
      <c r="P14" s="880"/>
      <c r="Q14" s="880"/>
      <c r="R14" s="880"/>
      <c r="T14" s="1954" t="s">
        <v>618</v>
      </c>
    </row>
    <row r="15" spans="1:20" s="400" customFormat="1" ht="12.75">
      <c r="A15" s="572"/>
      <c r="B15" s="575"/>
      <c r="C15" s="154"/>
      <c r="D15" s="1944" t="s">
        <v>55</v>
      </c>
      <c r="E15" s="1947" t="s">
        <v>39</v>
      </c>
      <c r="F15" s="1947"/>
      <c r="G15" s="1947" t="s">
        <v>317</v>
      </c>
      <c r="H15" s="1950" t="s">
        <v>608</v>
      </c>
      <c r="I15" s="1950"/>
      <c r="J15" s="1950"/>
      <c r="K15" s="1950"/>
      <c r="L15" s="1950"/>
      <c r="M15" s="1950"/>
      <c r="N15" s="1950"/>
      <c r="O15" s="1950"/>
      <c r="P15" s="1950"/>
      <c r="Q15" s="1950"/>
      <c r="R15" s="1956" t="s">
        <v>293</v>
      </c>
      <c r="T15" s="1954"/>
    </row>
    <row r="16" spans="1:20" ht="12.75">
      <c r="A16" s="386"/>
      <c r="B16" s="396"/>
      <c r="C16" s="395"/>
      <c r="D16" s="1945"/>
      <c r="E16" s="1948"/>
      <c r="F16" s="1948"/>
      <c r="G16" s="1948"/>
      <c r="H16" s="1948" t="s">
        <v>609</v>
      </c>
      <c r="I16" s="1958"/>
      <c r="J16" s="1958"/>
      <c r="K16" s="1958"/>
      <c r="L16" s="1958"/>
      <c r="M16" s="1943" t="s">
        <v>610</v>
      </c>
      <c r="N16" s="1943"/>
      <c r="O16" s="1943"/>
      <c r="P16" s="1943"/>
      <c r="Q16" s="1943"/>
      <c r="R16" s="1943"/>
      <c r="T16" s="1954"/>
    </row>
    <row r="17" spans="1:20" s="875" customFormat="1" ht="12" thickBot="1">
      <c r="A17" s="567"/>
      <c r="B17" s="567"/>
      <c r="C17" s="568"/>
      <c r="D17" s="1946"/>
      <c r="E17" s="1949"/>
      <c r="F17" s="1949"/>
      <c r="G17" s="1949"/>
      <c r="H17" s="877">
        <v>1</v>
      </c>
      <c r="I17" s="878">
        <v>2</v>
      </c>
      <c r="J17" s="878">
        <v>3</v>
      </c>
      <c r="K17" s="878">
        <v>4</v>
      </c>
      <c r="L17" s="878">
        <v>5</v>
      </c>
      <c r="M17" s="879">
        <v>1</v>
      </c>
      <c r="N17" s="879">
        <v>2</v>
      </c>
      <c r="O17" s="879">
        <v>3</v>
      </c>
      <c r="P17" s="879">
        <v>4</v>
      </c>
      <c r="Q17" s="879">
        <v>5</v>
      </c>
      <c r="R17" s="1957"/>
      <c r="S17" s="570"/>
      <c r="T17" s="1955"/>
    </row>
    <row r="18" spans="1:20" ht="15" customHeight="1">
      <c r="A18" s="386"/>
      <c r="B18" s="386"/>
      <c r="C18" s="395"/>
      <c r="D18" s="956" t="s">
        <v>394</v>
      </c>
      <c r="E18" s="887"/>
      <c r="F18" s="887"/>
      <c r="G18" s="954"/>
      <c r="H18" s="954"/>
      <c r="I18" s="954"/>
      <c r="J18" s="954"/>
      <c r="K18" s="954"/>
      <c r="L18" s="954"/>
      <c r="M18" s="954"/>
      <c r="N18" s="954"/>
      <c r="O18" s="954"/>
      <c r="P18" s="954"/>
      <c r="Q18" s="954"/>
      <c r="R18" s="954"/>
      <c r="S18" s="401"/>
      <c r="T18" s="888">
        <v>1</v>
      </c>
    </row>
    <row r="19" spans="1:20" ht="24.95" customHeight="1">
      <c r="A19" s="386"/>
      <c r="B19" s="386"/>
      <c r="C19" s="395"/>
      <c r="D19" s="957">
        <v>1</v>
      </c>
      <c r="E19" s="1922" t="str">
        <f>"Pendidikan Agama "&amp;VLOOKUP(B2,'KD-PA'!B9:G58,'KD-PA'!G59)&amp;" dan Budi Pekerti"</f>
        <v>Pendidikan Agama Kristen dan Budi Pekerti</v>
      </c>
      <c r="F19" s="1923"/>
      <c r="G19" s="402">
        <f>IF(Data2!$L$16="KKM TUNGGAL",Data2!$L$3,Data2!G4)</f>
        <v>76</v>
      </c>
      <c r="H19" s="403">
        <f>IFERROR(VLOOKUP($B$2,PA!$B$14:$BN$63,PA!F64),"")</f>
        <v>95</v>
      </c>
      <c r="I19" s="403">
        <f>IFERROR(VLOOKUP($B$2,PA!$B$14:$BN$63,PA!G64),"")</f>
        <v>95</v>
      </c>
      <c r="J19" s="403">
        <f>IFERROR(VLOOKUP($B$2,PA!$B$14:$BN$63,PA!H64),"")</f>
        <v>0</v>
      </c>
      <c r="K19" s="403">
        <f>IFERROR(VLOOKUP($B$2,PA!$B$14:$BN$63,PA!I64),"")</f>
        <v>0</v>
      </c>
      <c r="L19" s="403">
        <f>IFERROR(VLOOKUP($B$2,PA!$B$14:$BN$63,PA!J64),"")</f>
        <v>0</v>
      </c>
      <c r="M19" s="403">
        <f>IFERROR(VLOOKUP($B$2,PA!$B$14:$BN$63,PA!AL64),"")</f>
        <v>95</v>
      </c>
      <c r="N19" s="403">
        <f>IFERROR(VLOOKUP($B$2,PA!$B$14:$BN$63,PA!AM64),"")</f>
        <v>95</v>
      </c>
      <c r="O19" s="403">
        <f>IFERROR(VLOOKUP($B$2,PA!$B$14:$BN$63,PA!AN64),"")</f>
        <v>0</v>
      </c>
      <c r="P19" s="403">
        <f>IFERROR(VLOOKUP($B$2,PA!$B$14:$BN$63,PA!AO64),"")</f>
        <v>0</v>
      </c>
      <c r="Q19" s="403">
        <f>IFERROR(VLOOKUP($B$2,PA!$B$14:$BN$63,PA!AP64),"")</f>
        <v>0</v>
      </c>
      <c r="R19" s="403">
        <f>IFERROR(VLOOKUP($B$2,PA!$B$14:$BN$63,PA!Q64),"")</f>
        <v>95</v>
      </c>
      <c r="S19" s="404"/>
      <c r="T19" s="888">
        <v>2</v>
      </c>
    </row>
    <row r="20" spans="1:20" ht="24.95" customHeight="1">
      <c r="A20" s="386"/>
      <c r="B20" s="386"/>
      <c r="C20" s="395"/>
      <c r="D20" s="957">
        <v>2</v>
      </c>
      <c r="E20" s="1922" t="str">
        <f>Data2!C5</f>
        <v>Pendidikan Pancasila dan Kewarganegaraan</v>
      </c>
      <c r="F20" s="1923"/>
      <c r="G20" s="402">
        <f>IF(Data2!$L$16="KKM TUNGGAL",Data2!$L$3,Data2!G5)</f>
        <v>76</v>
      </c>
      <c r="H20" s="403">
        <f>IFERROR(VLOOKUP($B$2,PKn!$B$14:$BO$63,PKn!F64),"")</f>
        <v>86</v>
      </c>
      <c r="I20" s="403">
        <f>IFERROR(VLOOKUP($B$2,PKn!$B$14:$BO$63,PKn!G64),"")</f>
        <v>81</v>
      </c>
      <c r="J20" s="403">
        <f>IFERROR(VLOOKUP($B$2,PKn!$B$14:$BO$63,PKn!H64),"")</f>
        <v>86</v>
      </c>
      <c r="K20" s="403">
        <f>IFERROR(VLOOKUP($B$2,PKn!$B$14:$BO$63,PKn!I64),"")</f>
        <v>0</v>
      </c>
      <c r="L20" s="403">
        <f>IFERROR(VLOOKUP($B$2,PKn!$B$14:$BO$63,PKn!J64),"")</f>
        <v>0</v>
      </c>
      <c r="M20" s="403">
        <f>IFERROR(VLOOKUP($B$2,PKn!$B$14:$BO$63,PKn!AL64),"")</f>
        <v>95</v>
      </c>
      <c r="N20" s="403">
        <f>IFERROR(VLOOKUP($B$2,PKn!$B$14:$BO$63,PKn!AM64),"")</f>
        <v>95</v>
      </c>
      <c r="O20" s="403">
        <f>IFERROR(VLOOKUP($B$2,PKn!$B$14:$BO$63,PKn!AN64),"")</f>
        <v>95</v>
      </c>
      <c r="P20" s="403">
        <f>IFERROR(VLOOKUP($B$2,PKn!$B$14:$BO$63,PKn!AO64),"")</f>
        <v>0</v>
      </c>
      <c r="Q20" s="403">
        <f>IFERROR(VLOOKUP($B$2,PKn!$B$14:$BO$63,PKn!AP64),"")</f>
        <v>0</v>
      </c>
      <c r="R20" s="403">
        <f>IFERROR(VLOOKUP($B$2,PKn!$B$14:$BO$63,PKn!Q64),"")</f>
        <v>89</v>
      </c>
      <c r="S20" s="404"/>
      <c r="T20" s="888">
        <v>3</v>
      </c>
    </row>
    <row r="21" spans="1:20" ht="15" customHeight="1">
      <c r="A21" s="386"/>
      <c r="B21" s="386"/>
      <c r="C21" s="395"/>
      <c r="D21" s="957">
        <v>3</v>
      </c>
      <c r="E21" s="1922" t="str">
        <f>Data2!C6</f>
        <v>Bahasa Indonesia</v>
      </c>
      <c r="F21" s="1923"/>
      <c r="G21" s="402">
        <f>IF(Data2!$L$16="KKM TUNGGAL",Data2!$L$3,Data2!G6)</f>
        <v>76</v>
      </c>
      <c r="H21" s="403">
        <f>IFERROR(VLOOKUP($B$2,BInd!$B$14:$BO$63,BInd!F64),"")</f>
        <v>85</v>
      </c>
      <c r="I21" s="403">
        <f>IFERROR(VLOOKUP($B$2,BInd!$B$14:$BO$63,BInd!G64),"")</f>
        <v>85</v>
      </c>
      <c r="J21" s="403">
        <f>IFERROR(VLOOKUP($B$2,BInd!$B$14:$BO$63,BInd!H64),"")</f>
        <v>85</v>
      </c>
      <c r="K21" s="403">
        <f>IFERROR(VLOOKUP($B$2,BInd!$B$14:$BO$63,BInd!I64),"")</f>
        <v>85</v>
      </c>
      <c r="L21" s="403">
        <f>IFERROR(VLOOKUP($B$2,BInd!$B$14:$BO$63,BInd!J64),"")</f>
        <v>0</v>
      </c>
      <c r="M21" s="403">
        <f>IFERROR(VLOOKUP($B$2,BInd!$B$14:$BO$63,BInd!AL64),"")</f>
        <v>88</v>
      </c>
      <c r="N21" s="403">
        <f>IFERROR(VLOOKUP($B$2,BInd!$B$14:$BO$63,BInd!AM64),"")</f>
        <v>88</v>
      </c>
      <c r="O21" s="403">
        <f>IFERROR(VLOOKUP($B$2,BInd!$B$14:$BO$63,BInd!AN64),"")</f>
        <v>0</v>
      </c>
      <c r="P21" s="403">
        <f>IFERROR(VLOOKUP($B$2,BInd!$B$14:$BO$63,BInd!AO64),"")</f>
        <v>0</v>
      </c>
      <c r="Q21" s="403">
        <f>IFERROR(VLOOKUP($B$2,BInd!$B$14:$BO$63,BInd!AP64),"")</f>
        <v>0</v>
      </c>
      <c r="R21" s="403">
        <f>IFERROR(VLOOKUP($B$2,BInd!$B$14:$BO$63,BInd!Q64),"")</f>
        <v>86</v>
      </c>
      <c r="S21" s="404"/>
      <c r="T21" s="888">
        <v>4</v>
      </c>
    </row>
    <row r="22" spans="1:20" ht="15" customHeight="1">
      <c r="A22" s="386"/>
      <c r="B22" s="386"/>
      <c r="C22" s="395"/>
      <c r="D22" s="957">
        <v>4</v>
      </c>
      <c r="E22" s="1922" t="str">
        <f>Data2!C7</f>
        <v>Matematika</v>
      </c>
      <c r="F22" s="1923"/>
      <c r="G22" s="402">
        <f>IF(Data2!$L$16="KKM TUNGGAL",Data2!$L$3,Data2!G7)</f>
        <v>76</v>
      </c>
      <c r="H22" s="403">
        <f>IFERROR(VLOOKUP($B$2,Mat!$B$14:$BO$63,Mat!F64),"")</f>
        <v>90</v>
      </c>
      <c r="I22" s="403">
        <f>IFERROR(VLOOKUP($B$2,Mat!$B$14:$BO$63,Mat!G64),"")</f>
        <v>90</v>
      </c>
      <c r="J22" s="403">
        <f>IFERROR(VLOOKUP($B$2,Mat!$B$14:$BO$63,Mat!H64),"")</f>
        <v>70</v>
      </c>
      <c r="K22" s="403">
        <f>IFERROR(VLOOKUP($B$2,Mat!$B$14:$BO$63,Mat!I64),"")</f>
        <v>90</v>
      </c>
      <c r="L22" s="403">
        <f>IFERROR(VLOOKUP($B$2,Mat!$B$14:$BO$63,Mat!J64),"")</f>
        <v>90</v>
      </c>
      <c r="M22" s="403">
        <f>IFERROR(VLOOKUP($B$2,Mat!$B$14:$BO$63,Mat!AL64),"")</f>
        <v>90</v>
      </c>
      <c r="N22" s="403">
        <f>IFERROR(VLOOKUP($B$2,Mat!$B$14:$BO$63,Mat!AM64),"")</f>
        <v>90</v>
      </c>
      <c r="O22" s="403">
        <f>IFERROR(VLOOKUP($B$2,Mat!$B$14:$BO$63,Mat!AN64),"")</f>
        <v>70</v>
      </c>
      <c r="P22" s="403">
        <f>IFERROR(VLOOKUP($B$2,Mat!$B$14:$BO$63,Mat!AO64),"")</f>
        <v>90</v>
      </c>
      <c r="Q22" s="403">
        <f>IFERROR(VLOOKUP($B$2,Mat!$B$14:$BO$63,Mat!AP64),"")</f>
        <v>90</v>
      </c>
      <c r="R22" s="403">
        <f>IFERROR(VLOOKUP($B$2,Mat!$B$14:$BO$63,Mat!Q64),"")</f>
        <v>80</v>
      </c>
      <c r="S22" s="404"/>
      <c r="T22" s="888">
        <v>5</v>
      </c>
    </row>
    <row r="23" spans="1:20" ht="15" customHeight="1">
      <c r="A23" s="386"/>
      <c r="B23" s="386"/>
      <c r="C23" s="395"/>
      <c r="D23" s="957">
        <v>5</v>
      </c>
      <c r="E23" s="1922" t="str">
        <f>Data2!C8</f>
        <v>Sejarah Indonesia</v>
      </c>
      <c r="F23" s="1923"/>
      <c r="G23" s="402">
        <f>IF(Data2!$L$16="KKM TUNGGAL",Data2!$L$3,Data2!G8)</f>
        <v>76</v>
      </c>
      <c r="H23" s="403">
        <f>IFERROR(VLOOKUP($B$2,SEJ!$B$14:$BO$63,SEJ!F64),"")</f>
        <v>0</v>
      </c>
      <c r="I23" s="403">
        <f>IFERROR(VLOOKUP($B$2,SEJ!$B$14:$BO$63,SEJ!G64),"")</f>
        <v>0</v>
      </c>
      <c r="J23" s="403">
        <f>IFERROR(VLOOKUP($B$2,SEJ!$B$14:$BO$63,SEJ!H64),"")</f>
        <v>0</v>
      </c>
      <c r="K23" s="403">
        <f>IFERROR(VLOOKUP($B$2,SEJ!$B$14:$BO$63,SEJ!I64),"")</f>
        <v>0</v>
      </c>
      <c r="L23" s="403">
        <f>IFERROR(VLOOKUP($B$2,SEJ!$B$14:$BO$63,SEJ!J64),"")</f>
        <v>0</v>
      </c>
      <c r="M23" s="403">
        <f>IFERROR(VLOOKUP($B$2,SEJ!$B$14:$BO$63,SEJ!AL64),"")</f>
        <v>0</v>
      </c>
      <c r="N23" s="403">
        <f>IFERROR(VLOOKUP($B$2,SEJ!$B$14:$BO$63,SEJ!AM64),"")</f>
        <v>0</v>
      </c>
      <c r="O23" s="403">
        <f>IFERROR(VLOOKUP($B$2,SEJ!$B$14:$BO$63,SEJ!AN64),"")</f>
        <v>0</v>
      </c>
      <c r="P23" s="403">
        <f>IFERROR(VLOOKUP($B$2,SEJ!$B$14:$BO$63,SEJ!AO64),"")</f>
        <v>0</v>
      </c>
      <c r="Q23" s="403">
        <f>IFERROR(VLOOKUP($B$2,SEJ!$B$14:$BO$63,SEJ!AP64),"")</f>
        <v>0</v>
      </c>
      <c r="R23" s="403">
        <f>IFERROR(VLOOKUP($B$2,SEJ!$B$14:$BO$63,SEJ!Q64),"")</f>
        <v>0</v>
      </c>
      <c r="S23" s="404"/>
      <c r="T23" s="888">
        <v>6</v>
      </c>
    </row>
    <row r="24" spans="1:20" ht="15" customHeight="1">
      <c r="A24" s="386"/>
      <c r="B24" s="386"/>
      <c r="C24" s="395"/>
      <c r="D24" s="957">
        <v>6</v>
      </c>
      <c r="E24" s="1922" t="str">
        <f>Data2!C9</f>
        <v>Bahasa Inggris</v>
      </c>
      <c r="F24" s="1923"/>
      <c r="G24" s="402">
        <f>IF(Data2!$L$16="KKM TUNGGAL",Data2!$L$3,Data2!G9)</f>
        <v>76</v>
      </c>
      <c r="H24" s="403">
        <f>IFERROR(VLOOKUP($B$2,BIng!$B$14:$BO$63,BIng!F64),"")</f>
        <v>80</v>
      </c>
      <c r="I24" s="403">
        <f>IFERROR(VLOOKUP($B$2,BIng!$B$14:$BO$63,BIng!G64),"")</f>
        <v>80</v>
      </c>
      <c r="J24" s="403">
        <f>IFERROR(VLOOKUP($B$2,BIng!$B$14:$BO$63,BIng!H64),"")</f>
        <v>84</v>
      </c>
      <c r="K24" s="403">
        <f>IFERROR(VLOOKUP($B$2,BIng!$B$14:$BO$63,BIng!I64),"")</f>
        <v>85</v>
      </c>
      <c r="L24" s="403">
        <f>IFERROR(VLOOKUP($B$2,BIng!$B$14:$BO$63,BIng!J64),"")</f>
        <v>0</v>
      </c>
      <c r="M24" s="403">
        <f>IFERROR(VLOOKUP($B$2,BIng!$B$14:$BO$63,BIng!AL64),"")</f>
        <v>85</v>
      </c>
      <c r="N24" s="403">
        <f>IFERROR(VLOOKUP($B$2,BIng!$B$14:$BO$63,BIng!AM64),"")</f>
        <v>85</v>
      </c>
      <c r="O24" s="403">
        <f>IFERROR(VLOOKUP($B$2,BIng!$B$14:$BO$63,BIng!AN64),"")</f>
        <v>85</v>
      </c>
      <c r="P24" s="403">
        <f>IFERROR(VLOOKUP($B$2,BIng!$B$14:$BO$63,BIng!AO64),"")</f>
        <v>90</v>
      </c>
      <c r="Q24" s="403">
        <f>IFERROR(VLOOKUP($B$2,BIng!$B$14:$BO$63,BIng!AP64),"")</f>
        <v>0</v>
      </c>
      <c r="R24" s="403">
        <f>IFERROR(VLOOKUP($B$2,BIng!$B$14:$BO$63,BIng!Q64),"")</f>
        <v>85</v>
      </c>
      <c r="S24" s="404"/>
      <c r="T24" s="888">
        <v>7</v>
      </c>
    </row>
    <row r="25" spans="1:20" ht="15" customHeight="1">
      <c r="A25" s="386"/>
      <c r="B25" s="386"/>
      <c r="C25" s="395"/>
      <c r="D25" s="956" t="s">
        <v>392</v>
      </c>
      <c r="E25" s="887"/>
      <c r="F25" s="887"/>
      <c r="G25" s="984"/>
      <c r="H25" s="1006"/>
      <c r="I25" s="1006"/>
      <c r="J25" s="1006"/>
      <c r="K25" s="1006"/>
      <c r="L25" s="1006"/>
      <c r="M25" s="1006"/>
      <c r="N25" s="1006"/>
      <c r="O25" s="1006"/>
      <c r="P25" s="1006"/>
      <c r="Q25" s="1006"/>
      <c r="R25" s="1006"/>
      <c r="S25" s="404"/>
      <c r="T25" s="888">
        <v>8</v>
      </c>
    </row>
    <row r="26" spans="1:20" ht="15" customHeight="1">
      <c r="A26" s="386"/>
      <c r="B26" s="386"/>
      <c r="C26" s="395"/>
      <c r="D26" s="957">
        <v>1</v>
      </c>
      <c r="E26" s="1922" t="str">
        <f>Data2!C10</f>
        <v>Seni Budaya</v>
      </c>
      <c r="F26" s="1923"/>
      <c r="G26" s="402">
        <f>IF(Data2!$L$16="KKM TUNGGAL",Data2!$L$3,Data2!G10)</f>
        <v>76</v>
      </c>
      <c r="H26" s="403">
        <f>IFERROR(VLOOKUP($B$2,SB!$B$14:$BO$63,SB!F64),"")</f>
        <v>88</v>
      </c>
      <c r="I26" s="403">
        <f>IFERROR(VLOOKUP($B$2,SB!$B$14:$BO$63,SB!G64),"")</f>
        <v>85</v>
      </c>
      <c r="J26" s="403">
        <f>IFERROR(VLOOKUP($B$2,SB!$B$14:$BO$63,SB!H64),"")</f>
        <v>85</v>
      </c>
      <c r="K26" s="403">
        <f>IFERROR(VLOOKUP($B$2,SB!$B$14:$BO$63,SB!I64),"")</f>
        <v>0</v>
      </c>
      <c r="L26" s="403">
        <f>IFERROR(VLOOKUP($B$2,SB!$B$14:$BO$63,SB!J64),"")</f>
        <v>0</v>
      </c>
      <c r="M26" s="403">
        <f>IFERROR(VLOOKUP($B$2,SB!$B$14:$BO$63,SB!AL64),"")</f>
        <v>90</v>
      </c>
      <c r="N26" s="403">
        <f>IFERROR(VLOOKUP($B$2,SB!$B$14:$BO$63,SB!AM64),"")</f>
        <v>90</v>
      </c>
      <c r="O26" s="403">
        <f>IFERROR(VLOOKUP($B$2,SB!$B$14:$BO$63,SB!AN64),"")</f>
        <v>90</v>
      </c>
      <c r="P26" s="403">
        <f>IFERROR(VLOOKUP($B$2,SB!$B$14:$BO$63,SB!AO64),"")</f>
        <v>0</v>
      </c>
      <c r="Q26" s="403">
        <f>IFERROR(VLOOKUP($B$2,SB!$B$14:$BO$63,SB!AP64),"")</f>
        <v>0</v>
      </c>
      <c r="R26" s="403">
        <f>IFERROR(VLOOKUP($B$2,SB!$B$14:$BO$63,SB!Q64),"")</f>
        <v>86</v>
      </c>
      <c r="S26" s="404"/>
      <c r="T26" s="888">
        <v>9</v>
      </c>
    </row>
    <row r="27" spans="1:20" ht="24.95" customHeight="1">
      <c r="A27" s="386"/>
      <c r="B27" s="386"/>
      <c r="C27" s="395"/>
      <c r="D27" s="957">
        <v>2</v>
      </c>
      <c r="E27" s="1922" t="str">
        <f>Data2!C11</f>
        <v>Pendidikan Jasmani Olahraga dan Kesehatan</v>
      </c>
      <c r="F27" s="1923"/>
      <c r="G27" s="402">
        <f>IF(Data2!$L$16="KKM TUNGGAL",Data2!$L$3,Data2!G11)</f>
        <v>76</v>
      </c>
      <c r="H27" s="403">
        <f>IFERROR(VLOOKUP($B$2,pjok!$B$14:$BO$63,pjok!F64),"")</f>
        <v>85</v>
      </c>
      <c r="I27" s="403">
        <f>IFERROR(VLOOKUP($B$2,pjok!$B$14:$BO$63,pjok!G64),"")</f>
        <v>86</v>
      </c>
      <c r="J27" s="403">
        <f>IFERROR(VLOOKUP($B$2,pjok!$B$14:$BO$63,pjok!H64),"")</f>
        <v>90</v>
      </c>
      <c r="K27" s="403">
        <f>IFERROR(VLOOKUP($B$2,pjok!$B$14:$BO$63,pjok!I64),"")</f>
        <v>86</v>
      </c>
      <c r="L27" s="403">
        <f>IFERROR(VLOOKUP($B$2,pjok!$B$14:$BO$63,pjok!J64),"")</f>
        <v>78</v>
      </c>
      <c r="M27" s="403">
        <f>IFERROR(VLOOKUP($B$2,pjok!$B$14:$BO$63,pjok!AL64),"")</f>
        <v>92</v>
      </c>
      <c r="N27" s="403">
        <f>IFERROR(VLOOKUP($B$2,pjok!$B$14:$BO$63,pjok!AM64),"")</f>
        <v>89</v>
      </c>
      <c r="O27" s="403">
        <f>IFERROR(VLOOKUP($B$2,pjok!$B$14:$BO$63,pjok!AN64),"")</f>
        <v>90</v>
      </c>
      <c r="P27" s="403">
        <f>IFERROR(VLOOKUP($B$2,pjok!$B$14:$BO$63,pjok!AO64),"")</f>
        <v>88</v>
      </c>
      <c r="Q27" s="403">
        <f>IFERROR(VLOOKUP($B$2,pjok!$B$14:$BO$63,pjok!AP64),"")</f>
        <v>89</v>
      </c>
      <c r="R27" s="403">
        <f>IFERROR(VLOOKUP($B$2,pjok!$B$14:$BO$63,pjok!Q64),"")</f>
        <v>85</v>
      </c>
      <c r="S27" s="404"/>
      <c r="T27" s="888">
        <v>10</v>
      </c>
    </row>
    <row r="28" spans="1:20" ht="24.95" customHeight="1">
      <c r="A28" s="386"/>
      <c r="B28" s="386"/>
      <c r="C28" s="395"/>
      <c r="D28" s="957">
        <v>3</v>
      </c>
      <c r="E28" s="1922" t="str">
        <f>Data2!C12</f>
        <v>Prakarya dan Kewirausahaan</v>
      </c>
      <c r="F28" s="1923"/>
      <c r="G28" s="402">
        <f>IF(Data2!$L$16="KKM TUNGGAL",Data2!$L$3,Data2!G12)</f>
        <v>76</v>
      </c>
      <c r="H28" s="403">
        <f>IFERROR(VLOOKUP($B$2,pkwu!$B$14:$BO$63,pkwu!F64),"")</f>
        <v>90</v>
      </c>
      <c r="I28" s="403">
        <f>IFERROR(VLOOKUP($B$2,pkwu!$B$14:$BO$63,pkwu!G64),"")</f>
        <v>85</v>
      </c>
      <c r="J28" s="403">
        <f>IFERROR(VLOOKUP($B$2,pkwu!$B$14:$BO$63,pkwu!H64),"")</f>
        <v>80</v>
      </c>
      <c r="K28" s="403">
        <f>IFERROR(VLOOKUP($B$2,pkwu!$B$14:$BO$63,pkwu!I64),"")</f>
        <v>100</v>
      </c>
      <c r="L28" s="403">
        <f>IFERROR(VLOOKUP($B$2,pkwu!$B$14:$BO$63,pkwu!J64),"")</f>
        <v>0</v>
      </c>
      <c r="M28" s="403">
        <f>IFERROR(VLOOKUP($B$2,pkwu!$B$14:$BO$63,pkwu!AL64),"")</f>
        <v>80</v>
      </c>
      <c r="N28" s="403">
        <f>IFERROR(VLOOKUP($B$2,pkwu!$B$14:$BO$63,pkwu!AM64),"")</f>
        <v>80</v>
      </c>
      <c r="O28" s="403">
        <f>IFERROR(VLOOKUP($B$2,pkwu!$B$14:$BO$63,pkwu!AN64),"")</f>
        <v>80</v>
      </c>
      <c r="P28" s="403">
        <f>IFERROR(VLOOKUP($B$2,pkwu!$B$14:$BO$63,pkwu!AO64),"")</f>
        <v>0</v>
      </c>
      <c r="Q28" s="403">
        <f>IFERROR(VLOOKUP($B$2,pkwu!$B$14:$BO$63,pkwu!AP64),"")</f>
        <v>0</v>
      </c>
      <c r="R28" s="403">
        <f>IFERROR(VLOOKUP($B$2,pkwu!$B$14:$BO$63,pkwu!Q64),"")</f>
        <v>80</v>
      </c>
      <c r="S28" s="404"/>
      <c r="T28" s="888">
        <v>11</v>
      </c>
    </row>
    <row r="29" spans="1:20" ht="15" customHeight="1">
      <c r="A29" s="386"/>
      <c r="B29" s="386"/>
      <c r="C29" s="395"/>
      <c r="D29" s="957">
        <f>IF(E29="","",4)</f>
        <v>4</v>
      </c>
      <c r="E29" s="1917" t="str">
        <f>IF(Data2!C13=0,"",Data2!C13)</f>
        <v>Muatan Lokal</v>
      </c>
      <c r="F29" s="1918"/>
      <c r="G29" s="402">
        <f>IF(E29="","",IF(Data2!$L$16="KKM TUNGGAL",Data2!$L$3,IF(Data2!G13="","",Data2!G13)))</f>
        <v>76</v>
      </c>
      <c r="H29" s="403">
        <f>IF($D29="","",IFERROR(VLOOKUP($B$2,'Mlk1'!$B$14:$BO$63,'Mlk1'!F64),""))</f>
        <v>0</v>
      </c>
      <c r="I29" s="403">
        <f>IF($D29="","",IFERROR(VLOOKUP($B$2,'Mlk1'!$B$14:$BO$63,'Mlk1'!G64),""))</f>
        <v>0</v>
      </c>
      <c r="J29" s="403">
        <f>IF($D29="","",IFERROR(VLOOKUP($B$2,'Mlk1'!$B$14:$BO$63,'Mlk1'!H64),""))</f>
        <v>0</v>
      </c>
      <c r="K29" s="403">
        <f>IF($D29="","",IFERROR(VLOOKUP($B$2,'Mlk1'!$B$14:$BO$63,'Mlk1'!I64),""))</f>
        <v>0</v>
      </c>
      <c r="L29" s="403">
        <f>IF($D29="","",IFERROR(VLOOKUP($B$2,'Mlk1'!$B$14:$BO$63,'Mlk1'!J64),""))</f>
        <v>0</v>
      </c>
      <c r="M29" s="403">
        <f>IF(D29="","",IFERROR(VLOOKUP($B$2,'Mlk1'!$B$14:$BO$63,'Mlk1'!AL64),""))</f>
        <v>0</v>
      </c>
      <c r="N29" s="403">
        <f>IF($E29="","",IFERROR(VLOOKUP($B$2,'Mlk1'!$B$14:$BO$63,'Mlk1'!AM64),""))</f>
        <v>0</v>
      </c>
      <c r="O29" s="403">
        <f>IF($E29="","",IFERROR(VLOOKUP($B$2,'Mlk1'!$B$14:$BO$63,'Mlk1'!AN64),""))</f>
        <v>0</v>
      </c>
      <c r="P29" s="403">
        <f>IF($E29="","",IFERROR(VLOOKUP($B$2,'Mlk1'!$B$14:$BO$63,'Mlk1'!AO64),""))</f>
        <v>0</v>
      </c>
      <c r="Q29" s="403">
        <f>IF($E29="","",IFERROR(VLOOKUP($B$2,'Mlk1'!$B$14:$BO$63,'Mlk1'!AP64),""))</f>
        <v>0</v>
      </c>
      <c r="R29" s="403">
        <f>IF($D29="","",IFERROR(VLOOKUP($B$2,'Mlk1'!$B$14:$BO$63,'Mlk1'!Q64),""))</f>
        <v>0</v>
      </c>
      <c r="S29" s="404"/>
      <c r="T29" s="888">
        <v>12</v>
      </c>
    </row>
    <row r="30" spans="1:20" s="1103" customFormat="1" ht="15" customHeight="1">
      <c r="A30" s="386"/>
      <c r="B30" s="386"/>
      <c r="C30" s="395"/>
      <c r="D30" s="957" t="str">
        <f>IF(E30="","",5)</f>
        <v/>
      </c>
      <c r="E30" s="1917" t="str">
        <f>IF(Data2!C14=0,"",Data2!C14)</f>
        <v/>
      </c>
      <c r="F30" s="1918"/>
      <c r="G30" s="402" t="str">
        <f>IF(E30="","",IF(Data2!$L$16="KKM TUNGGAL",Data2!$L$3,IF(Data2!G14="","",Data2!G14)))</f>
        <v/>
      </c>
      <c r="H30" s="403" t="str">
        <f>IF($D30="","",IFERROR(VLOOKUP($B$2,'Ml2'!$B$14:$BO$63,'Ml2'!F64),""))</f>
        <v/>
      </c>
      <c r="I30" s="403" t="str">
        <f>IF($D30="","",IFERROR(VLOOKUP($B$2,'Ml2'!$B$14:$BO$63,'Ml2'!G64),""))</f>
        <v/>
      </c>
      <c r="J30" s="403" t="str">
        <f>IF($D30="","",IFERROR(VLOOKUP($B$2,'Ml2'!$B$14:$BO$63,'Ml2'!H64),""))</f>
        <v/>
      </c>
      <c r="K30" s="403" t="str">
        <f>IF($D30="","",IFERROR(VLOOKUP($B$2,'Ml2'!$B$14:$BO$63,'Ml2'!I64),""))</f>
        <v/>
      </c>
      <c r="L30" s="403" t="str">
        <f>IF($D30="","",IFERROR(VLOOKUP($B$2,'Ml2'!$B$14:$BO$63,'Ml2'!J64),""))</f>
        <v/>
      </c>
      <c r="M30" s="403" t="str">
        <f>IF($D30="","",IFERROR(VLOOKUP($B$2,'Ml2'!$B$14:$BO$63,'Ml2'!AL64),""))</f>
        <v/>
      </c>
      <c r="N30" s="403" t="str">
        <f>IF($D30="","",IFERROR(VLOOKUP($B$2,'Ml2'!$B$14:$BO$63,'Ml2'!AM64),""))</f>
        <v/>
      </c>
      <c r="O30" s="403" t="str">
        <f>IF($D30="","",IFERROR(VLOOKUP($B$2,'Ml2'!$B$14:$BO$63,'Ml2'!AN64),""))</f>
        <v/>
      </c>
      <c r="P30" s="403" t="str">
        <f>IF($D30="","",IFERROR(VLOOKUP($B$2,'Ml2'!$B$14:$BO$63,'Ml2'!AO64),""))</f>
        <v/>
      </c>
      <c r="Q30" s="403" t="str">
        <f>IF($D30="","",IFERROR(VLOOKUP($B$2,'Ml2'!$B$14:$BO$63,'Ml2'!AP64),""))</f>
        <v/>
      </c>
      <c r="R30" s="403" t="str">
        <f>IF($D30="","",IFERROR(VLOOKUP($B$2,'Ml2'!$B$14:$BO$63,'Ml2'!Q64),""))</f>
        <v/>
      </c>
      <c r="S30" s="404"/>
      <c r="T30" s="888"/>
    </row>
    <row r="31" spans="1:20" s="966" customFormat="1" ht="15" customHeight="1">
      <c r="A31" s="386"/>
      <c r="B31" s="386"/>
      <c r="C31" s="395"/>
      <c r="D31" s="956" t="s">
        <v>393</v>
      </c>
      <c r="E31" s="1060"/>
      <c r="F31" s="1060"/>
      <c r="G31" s="1061"/>
      <c r="H31" s="1006"/>
      <c r="I31" s="1006"/>
      <c r="J31" s="1006"/>
      <c r="K31" s="1006"/>
      <c r="L31" s="1006"/>
      <c r="M31" s="1006"/>
      <c r="N31" s="1006"/>
      <c r="O31" s="1006"/>
      <c r="P31" s="1006"/>
      <c r="Q31" s="1006"/>
      <c r="R31" s="1006"/>
      <c r="S31" s="404"/>
      <c r="T31" s="888">
        <v>13</v>
      </c>
    </row>
    <row r="32" spans="1:20" s="966" customFormat="1" ht="15" customHeight="1">
      <c r="A32" s="386"/>
      <c r="B32" s="386"/>
      <c r="C32" s="395"/>
      <c r="D32" s="1062" t="str">
        <f>Data2!B17</f>
        <v>I. Peminatan Ilmu-ilmu Sosial</v>
      </c>
      <c r="E32" s="1063"/>
      <c r="F32" s="1063"/>
      <c r="G32" s="1064"/>
      <c r="H32" s="1001"/>
      <c r="I32" s="1001"/>
      <c r="J32" s="1001"/>
      <c r="K32" s="1001"/>
      <c r="L32" s="1001"/>
      <c r="M32" s="1001"/>
      <c r="N32" s="1001"/>
      <c r="O32" s="1001"/>
      <c r="P32" s="1001"/>
      <c r="Q32" s="1001"/>
      <c r="R32" s="1001"/>
      <c r="S32" s="404"/>
      <c r="T32" s="888">
        <v>14</v>
      </c>
    </row>
    <row r="33" spans="1:20" ht="15" customHeight="1">
      <c r="A33" s="386"/>
      <c r="B33" s="386"/>
      <c r="C33" s="395"/>
      <c r="D33" s="958">
        <f>IF(E33="","",1)</f>
        <v>1</v>
      </c>
      <c r="E33" s="1917" t="str">
        <f>IF(Data2!$C$15=0,"",Data2!$C$15)</f>
        <v>Sosiologi</v>
      </c>
      <c r="F33" s="1918"/>
      <c r="G33" s="402">
        <f>IF(Data2!$L$16="KKM TUNGGAL",Data2!$L$3,IF(Data2!G15="","",Data2!G15))</f>
        <v>76</v>
      </c>
      <c r="H33" s="403">
        <f>IF($D33="","",IFERROR(VLOOKUP($B$2,sosio!$B$14:$BO$63,sosio!F64),""))</f>
        <v>90</v>
      </c>
      <c r="I33" s="403">
        <f>IF($D33="","",IFERROR(VLOOKUP($B$2,sosio!$B$14:$BO$63,sosio!G64),""))</f>
        <v>90</v>
      </c>
      <c r="J33" s="403">
        <f>IF($D33="","",IFERROR(VLOOKUP($B$2,sosio!$B$14:$BO$63,sosio!H64),""))</f>
        <v>0</v>
      </c>
      <c r="K33" s="403">
        <f>IF($D33="","",IFERROR(VLOOKUP($B$2,sosio!$B$14:$BO$63,sosio!I64),""))</f>
        <v>0</v>
      </c>
      <c r="L33" s="403">
        <f>IF($D33="","",IFERROR(VLOOKUP($B$2,sosio!$B$14:$BO$63,sosio!J64),""))</f>
        <v>0</v>
      </c>
      <c r="M33" s="403">
        <f>IF(D33="","",IFERROR(VLOOKUP($B$2,sosio!$B$14:$BO$63,sosio!AL64),""))</f>
        <v>85</v>
      </c>
      <c r="N33" s="403">
        <f>IF($E33="","",IFERROR(VLOOKUP($B$2,sosio!$B$14:$BO$63,sosio!AM64),""))</f>
        <v>85</v>
      </c>
      <c r="O33" s="403">
        <f>IF($E33="","",IFERROR(VLOOKUP($B$2,sosio!$B$14:$BO$63,sosio!AN64),""))</f>
        <v>0</v>
      </c>
      <c r="P33" s="403">
        <f>IF($E33="","",IFERROR(VLOOKUP($B$2,sosio!$B$14:$BO$63,sosio!AO64),""))</f>
        <v>0</v>
      </c>
      <c r="Q33" s="403">
        <f>IF($E33="","",IFERROR(VLOOKUP($B$2,sosio!$B$14:$BO$63,sosio!AP64),""))</f>
        <v>0</v>
      </c>
      <c r="R33" s="403">
        <f>IF($D33="","",IFERROR(VLOOKUP($B$2,sosio!$B$14:$BO$63,sosio!Q64),""))</f>
        <v>90</v>
      </c>
      <c r="S33" s="404"/>
      <c r="T33" s="888">
        <v>15</v>
      </c>
    </row>
    <row r="34" spans="1:20" ht="15" customHeight="1">
      <c r="A34" s="386"/>
      <c r="B34" s="386"/>
      <c r="C34" s="395"/>
      <c r="D34" s="958">
        <f>IF(E34="","",2)</f>
        <v>2</v>
      </c>
      <c r="E34" s="1924" t="str">
        <f>IF(Data2!$C$16=0,"",Data2!$C$16)</f>
        <v>Geografi</v>
      </c>
      <c r="F34" s="1925"/>
      <c r="G34" s="433">
        <f>IF($E34="","",IF(Data2!$L$16="KKM TUNGGAL",Data2!$L$3,IF(Data2!G16="","",Data2!G16)))</f>
        <v>76</v>
      </c>
      <c r="H34" s="432">
        <f>IF($E34="","",IFERROR(VLOOKUP($B$2,geog!$B$14:$BO$63,geog!F64),""))</f>
        <v>88</v>
      </c>
      <c r="I34" s="432">
        <f>IF($E34="","",IFERROR(VLOOKUP($B$2,geog!$B$14:$BO$63,geog!G64),""))</f>
        <v>84</v>
      </c>
      <c r="J34" s="432">
        <f>IF($E34="","",IFERROR(VLOOKUP($B$2,geog!$B$14:$BO$63,geog!H64),""))</f>
        <v>86</v>
      </c>
      <c r="K34" s="432">
        <f>IF($E34="","",IFERROR(VLOOKUP($B$2,geog!$B$14:$BO$63,geog!I64),""))</f>
        <v>0</v>
      </c>
      <c r="L34" s="432">
        <f>IF($E34="","",IFERROR(VLOOKUP($B$2,geog!$B$14:$BO$63,geog!J64),""))</f>
        <v>0</v>
      </c>
      <c r="M34" s="403">
        <f>IF($E34="","",IFERROR(VLOOKUP($B$2,geog!$B$14:$BO$63,geog!AL64),""))</f>
        <v>95</v>
      </c>
      <c r="N34" s="403">
        <f>IF($E34="","",IFERROR(VLOOKUP($B$2,geog!$B$14:$BO$63,geog!AM64),""))</f>
        <v>95</v>
      </c>
      <c r="O34" s="403">
        <f>IF($E34="","",IFERROR(VLOOKUP($B$2,geog!$B$14:$BO$63,geog!AN64),""))</f>
        <v>95</v>
      </c>
      <c r="P34" s="403">
        <f>IF($E34="","",IFERROR(VLOOKUP($B$2,geog!$B$14:$BO$63,geog!AO64),""))</f>
        <v>0</v>
      </c>
      <c r="Q34" s="403">
        <f>IF($E34="","",IFERROR(VLOOKUP($B$2,geog!$B$14:$BO$63,geog!AP64),""))</f>
        <v>0</v>
      </c>
      <c r="R34" s="432">
        <f>IF($E34="","",IFERROR(VLOOKUP($B$2,geog!$B$14:$BO$63,geog!Q64),""))</f>
        <v>80</v>
      </c>
      <c r="S34" s="404"/>
      <c r="T34" s="888">
        <v>16</v>
      </c>
    </row>
    <row r="35" spans="1:20" ht="15" customHeight="1">
      <c r="A35" s="386"/>
      <c r="B35" s="386"/>
      <c r="C35" s="395"/>
      <c r="D35" s="958">
        <f>IF(E35="","",3)</f>
        <v>3</v>
      </c>
      <c r="E35" s="1924" t="str">
        <f>IF(Data2!$C$17=0,"",Data2!$C$17)</f>
        <v>Ekonomi</v>
      </c>
      <c r="F35" s="1925"/>
      <c r="G35" s="433">
        <f>IF($E35="","",IF(Data2!$L$16="KKM TUNGGAL",Data2!$L$3,IF(Data2!G17="","",Data2!G17)))</f>
        <v>76</v>
      </c>
      <c r="H35" s="432">
        <f>IF($E35="","",IFERROR(VLOOKUP($B$2,ekonomi!$B$14:$BO$63,ekonomi!F64),""))</f>
        <v>85</v>
      </c>
      <c r="I35" s="432">
        <f>IF($E35="","",IFERROR(VLOOKUP($B$2,ekonomi!$B$14:$BO$63,ekonomi!G64),""))</f>
        <v>86</v>
      </c>
      <c r="J35" s="432">
        <f>IF($E35="","",IFERROR(VLOOKUP($B$2,ekonomi!$B$14:$BO$63,ekonomi!H64),""))</f>
        <v>88</v>
      </c>
      <c r="K35" s="432">
        <f>IF($E35="","",IFERROR(VLOOKUP($B$2,ekonomi!$B$14:$BO$63,ekonomi!I64),""))</f>
        <v>87</v>
      </c>
      <c r="L35" s="432">
        <f>IF($E35="","",IFERROR(VLOOKUP($B$2,ekonomi!$B$14:$BO$63,ekonomi!J64),""))</f>
        <v>0</v>
      </c>
      <c r="M35" s="432">
        <f>IF($E35="","",IFERROR(VLOOKUP($B$2,ekonomi!$B$14:$BO$63,ekonomi!AL64),""))</f>
        <v>88</v>
      </c>
      <c r="N35" s="432">
        <f>IF($E35="","",IFERROR(VLOOKUP($B$2,ekonomi!$B$14:$BO$63,ekonomi!AM64),""))</f>
        <v>88</v>
      </c>
      <c r="O35" s="432">
        <f>IF($E35="","",IFERROR(VLOOKUP($B$2,ekonomi!$B$14:$BO$63,ekonomi!AN64),""))</f>
        <v>88</v>
      </c>
      <c r="P35" s="432">
        <f>IF($E35="","",IFERROR(VLOOKUP($B$2,ekonomi!$B$14:$BO$63,ekonomi!AO64),""))</f>
        <v>88</v>
      </c>
      <c r="Q35" s="432">
        <f>IF($E35="","",IFERROR(VLOOKUP($B$2,ekonomi!$B$14:$BO$63,ekonomi!AP64),""))</f>
        <v>0</v>
      </c>
      <c r="R35" s="432">
        <f>IF($E35="","",IFERROR(VLOOKUP($B$2,ekonomi!$B$14:$BO$63,ekonomi!Q64),""))</f>
        <v>88</v>
      </c>
      <c r="S35" s="404"/>
      <c r="T35" s="888">
        <v>17</v>
      </c>
    </row>
    <row r="36" spans="1:20" ht="15" customHeight="1">
      <c r="A36" s="386"/>
      <c r="B36" s="386"/>
      <c r="C36" s="395"/>
      <c r="D36" s="958">
        <f>IF(E36="","",4)</f>
        <v>4</v>
      </c>
      <c r="E36" s="1924" t="str">
        <f>IF(Data2!$C$18=0,"",Data2!$C$18)</f>
        <v>Sejarah Peminatan</v>
      </c>
      <c r="F36" s="1925"/>
      <c r="G36" s="708">
        <f>IF($E36="","",IF(Data2!$L$16="KKM TUNGGAL",Data2!$L$3,IF(Data2!G18="","",Data2!G18)))</f>
        <v>76</v>
      </c>
      <c r="H36" s="432">
        <f>IF($E36="","",IFERROR(VLOOKUP($B$2,'sejarah peminatan'!$B$14:$BO$63,'sejarah peminatan'!F64),""))</f>
        <v>90</v>
      </c>
      <c r="I36" s="432">
        <f>IF($E36="","",IFERROR(VLOOKUP($B$2,'sejarah peminatan'!$B$14:$BO$63,'sejarah peminatan'!G64),""))</f>
        <v>88</v>
      </c>
      <c r="J36" s="432">
        <f>IF($E36="","",IFERROR(VLOOKUP($B$2,'sejarah peminatan'!$B$14:$BO$63,'sejarah peminatan'!H64),""))</f>
        <v>88</v>
      </c>
      <c r="K36" s="432">
        <f>IF($E36="","",IFERROR(VLOOKUP($B$2,'sejarah peminatan'!$B$14:$BO$63,'sejarah peminatan'!I64),""))</f>
        <v>88</v>
      </c>
      <c r="L36" s="432">
        <f>IF($E36="","",IFERROR(VLOOKUP($B$2,'sejarah peminatan'!$B$14:$BO$63,'sejarah peminatan'!J64),""))</f>
        <v>0</v>
      </c>
      <c r="M36" s="432">
        <f>IF($E36="","",IFERROR(VLOOKUP($B$2,'sejarah peminatan'!$B$14:$BO$63,'sejarah peminatan'!AL64),""))</f>
        <v>90</v>
      </c>
      <c r="N36" s="432">
        <f>IF($E36="","",IFERROR(VLOOKUP($B$2,'sejarah peminatan'!$B$14:$BO$63,'sejarah peminatan'!AM64),""))</f>
        <v>80</v>
      </c>
      <c r="O36" s="432">
        <f>IF($E36="","",IFERROR(VLOOKUP($B$2,'sejarah peminatan'!$B$14:$BO$63,'sejarah peminatan'!AN64),""))</f>
        <v>80</v>
      </c>
      <c r="P36" s="432">
        <f>IF($E36="","",IFERROR(VLOOKUP($B$2,'sejarah peminatan'!$B$14:$BO$63,'sejarah peminatan'!AO64),""))</f>
        <v>90</v>
      </c>
      <c r="Q36" s="432">
        <f>IF($E36="","",IFERROR(VLOOKUP($B$2,'sejarah peminatan'!$B$14:$BO$63,'sejarah peminatan'!AP64),""))</f>
        <v>0</v>
      </c>
      <c r="R36" s="432">
        <f>IF($E36="","",IFERROR(VLOOKUP($B$2,'sejarah peminatan'!$B$14:$BO$63,'sejarah peminatan'!Q64),""))</f>
        <v>88</v>
      </c>
      <c r="S36" s="404"/>
      <c r="T36" s="888">
        <v>18</v>
      </c>
    </row>
    <row r="37" spans="1:20" ht="15" customHeight="1">
      <c r="A37" s="386"/>
      <c r="B37" s="386"/>
      <c r="C37" s="395"/>
      <c r="D37" s="958" t="str">
        <f>IF(E37="","",5)</f>
        <v/>
      </c>
      <c r="E37" s="1924" t="str">
        <f>IF(Data2!$C$19=0,"",Data2!$C$19)</f>
        <v/>
      </c>
      <c r="F37" s="1925"/>
      <c r="G37" s="708" t="str">
        <f>IF($E37="","",IF(Data2!$L$16="KKM TUNGGAL",Data2!$L$3,IF(Data2!G19="","",Data2!G19)))</f>
        <v/>
      </c>
      <c r="H37" s="432" t="str">
        <f>IF($E37="","",IFERROR(VLOOKUP($B$2,'PM5'!$B$14:$BO$63,'PM5'!F64),""))</f>
        <v/>
      </c>
      <c r="I37" s="432" t="str">
        <f>IF($E37="","",IFERROR(VLOOKUP($B$2,'PM5'!$B$14:$BO$63,'PM5'!G64),""))</f>
        <v/>
      </c>
      <c r="J37" s="432" t="str">
        <f>IF($E37="","",IFERROR(VLOOKUP($B$2,'PM5'!$B$14:$BO$63,'PM5'!H64),""))</f>
        <v/>
      </c>
      <c r="K37" s="432" t="str">
        <f>IF($E37="","",IFERROR(VLOOKUP($B$2,'PM5'!$B$14:$BO$63,'PM5'!I64),""))</f>
        <v/>
      </c>
      <c r="L37" s="432" t="str">
        <f>IF($E37="","",IFERROR(VLOOKUP($B$2,'PM5'!$B$14:$BO$63,'PM5'!J64),""))</f>
        <v/>
      </c>
      <c r="M37" s="432" t="str">
        <f>IF($E37="","",IFERROR(VLOOKUP($B$2,'PM5'!$B$14:$BO$63,'PM5'!AL64),""))</f>
        <v/>
      </c>
      <c r="N37" s="432" t="str">
        <f>IF($E37="","",IFERROR(VLOOKUP($B$2,'PM5'!$B$14:$BO$63,'PM5'!AM64),""))</f>
        <v/>
      </c>
      <c r="O37" s="432" t="str">
        <f>IF($E37="","",IFERROR(VLOOKUP($B$2,'PM5'!$B$14:$BO$63,'PM5'!AN64),""))</f>
        <v/>
      </c>
      <c r="P37" s="432" t="str">
        <f>IF($E37="","",IFERROR(VLOOKUP($B$2,'PM5'!$B$14:$BO$63,'PM5'!AO64),""))</f>
        <v/>
      </c>
      <c r="Q37" s="432" t="str">
        <f>IF($E37="","",IFERROR(VLOOKUP($B$2,'PM5'!$B$14:$BO$63,'PM5'!AP64),""))</f>
        <v/>
      </c>
      <c r="R37" s="432" t="str">
        <f>IF($E37="","",IFERROR(VLOOKUP($B$2,'PM5'!$B$14:$BO$63,'PM5'!Q64),""))</f>
        <v/>
      </c>
      <c r="S37" s="404"/>
      <c r="T37" s="888">
        <v>19</v>
      </c>
    </row>
    <row r="38" spans="1:20" ht="15" customHeight="1">
      <c r="A38" s="386"/>
      <c r="B38" s="386"/>
      <c r="C38" s="395"/>
      <c r="D38" s="958" t="str">
        <f>IF(E38="","",6)</f>
        <v/>
      </c>
      <c r="E38" s="1924" t="str">
        <f>IF(Data2!$C$20=0,"",Data2!$C$20)</f>
        <v/>
      </c>
      <c r="F38" s="1925"/>
      <c r="G38" s="708" t="str">
        <f>IF($E38="","",IF(Data2!$L$16="KKM TUNGGAL",Data2!$L$3,IF(Data2!G20="","",Data2!G20)))</f>
        <v/>
      </c>
      <c r="H38" s="432" t="str">
        <f>IF($E38="","",IFERROR(VLOOKUP($B$2,'PM6'!$B$14:$BO$63,'PM6'!F64),""))</f>
        <v/>
      </c>
      <c r="I38" s="432" t="str">
        <f>IF($E38="","",IFERROR(VLOOKUP($B$2,'PM6'!$B$14:$BO$63,'PM6'!G64),""))</f>
        <v/>
      </c>
      <c r="J38" s="432" t="str">
        <f>IF($E38="","",IFERROR(VLOOKUP($B$2,'PM6'!$B$14:$BO$63,'PM6'!H64),""))</f>
        <v/>
      </c>
      <c r="K38" s="432" t="str">
        <f>IF($E38="","",IFERROR(VLOOKUP($B$2,'PM6'!$B$14:$BO$63,'PM6'!I64),""))</f>
        <v/>
      </c>
      <c r="L38" s="432" t="str">
        <f>IF($E38="","",IFERROR(VLOOKUP($B$2,'PM6'!$B$14:$BO$63,'PM6'!J64),""))</f>
        <v/>
      </c>
      <c r="M38" s="432" t="str">
        <f>IF($E38="","",IFERROR(VLOOKUP($B$2,'PM6'!$B$14:$BO$63,'PM6'!AL64),""))</f>
        <v/>
      </c>
      <c r="N38" s="432" t="str">
        <f>IF($E38="","",IFERROR(VLOOKUP($B$2,'PM6'!$B$14:$BO$63,'PM6'!AM64),""))</f>
        <v/>
      </c>
      <c r="O38" s="432" t="str">
        <f>IF($E38="","",IFERROR(VLOOKUP($B$2,'PM6'!$B$14:$BO$63,'PM6'!AN64),""))</f>
        <v/>
      </c>
      <c r="P38" s="432" t="str">
        <f>IF($E38="","",IFERROR(VLOOKUP($B$2,'PM6'!$B$14:$BO$63,'PM6'!AO64),""))</f>
        <v/>
      </c>
      <c r="Q38" s="432" t="str">
        <f>IF($E38="","",IFERROR(VLOOKUP($B$2,'PM6'!$B$14:$BO$63,'PM6'!AP64),""))</f>
        <v/>
      </c>
      <c r="R38" s="432" t="str">
        <f>IF($E38="","",IFERROR(VLOOKUP($B$2,'PM6'!$B$14:$BO$63,'PM6'!Q64),""))</f>
        <v/>
      </c>
      <c r="S38" s="404"/>
      <c r="T38" s="888">
        <v>20</v>
      </c>
    </row>
    <row r="39" spans="1:20" s="966" customFormat="1" ht="17.100000000000001" customHeight="1">
      <c r="A39" s="386"/>
      <c r="B39" s="386"/>
      <c r="C39" s="395"/>
      <c r="D39" s="1065" t="str">
        <f>Data2!B21</f>
        <v>II. Lintas Minat dan/atau Pendalaman Minat</v>
      </c>
      <c r="E39" s="1063"/>
      <c r="F39" s="1063"/>
      <c r="G39" s="1066"/>
      <c r="H39" s="1001"/>
      <c r="I39" s="1001"/>
      <c r="J39" s="1001"/>
      <c r="K39" s="1001"/>
      <c r="L39" s="1001"/>
      <c r="M39" s="1001"/>
      <c r="N39" s="1001"/>
      <c r="O39" s="1001"/>
      <c r="P39" s="1001"/>
      <c r="Q39" s="1001"/>
      <c r="R39" s="1001"/>
      <c r="S39" s="404"/>
      <c r="T39" s="888">
        <v>21</v>
      </c>
    </row>
    <row r="40" spans="1:20" s="966" customFormat="1" ht="15" customHeight="1">
      <c r="A40" s="386"/>
      <c r="B40" s="386"/>
      <c r="C40" s="395"/>
      <c r="D40" s="958">
        <v>1</v>
      </c>
      <c r="E40" s="1917" t="str">
        <f>IF(Data2!$C$21=0,"",Data2!$C$21)</f>
        <v>Biologi</v>
      </c>
      <c r="F40" s="1918"/>
      <c r="G40" s="708">
        <f>IF($E40="","",IF(Data2!$L$16="KKM TUNGGAL",Data2!$L$3,IF(Data2!G21="","",Data2!G21)))</f>
        <v>76</v>
      </c>
      <c r="H40" s="403">
        <f>IF($E40="","",IFERROR(VLOOKUP($B$2,biologi!$B$14:$BO$63,biologi!F64),""))</f>
        <v>81</v>
      </c>
      <c r="I40" s="403">
        <f>IF($E40="","",IFERROR(VLOOKUP($B$2,biologi!$B$14:$BO$63,biologi!G64),""))</f>
        <v>80</v>
      </c>
      <c r="J40" s="403">
        <f>IF($E40="","",IFERROR(VLOOKUP($B$2,biologi!$B$14:$BO$63,biologi!H64),""))</f>
        <v>81</v>
      </c>
      <c r="K40" s="403">
        <f>IF($E40="","",IFERROR(VLOOKUP($B$2,biologi!$B$14:$BO$63,biologi!I64),""))</f>
        <v>80</v>
      </c>
      <c r="L40" s="403">
        <f>IF($E40="","",IFERROR(VLOOKUP($B$2,biologi!$B$14:$BO$63,biologi!J64),""))</f>
        <v>0</v>
      </c>
      <c r="M40" s="403">
        <f>IF($E40="","",IFERROR(VLOOKUP($B$2,biologi!$B$14:$BO$63,biologi!AL64),""))</f>
        <v>81</v>
      </c>
      <c r="N40" s="403">
        <f>IF($E40="","",IFERROR(VLOOKUP($B$2,biologi!$B$14:$BO$63,biologi!AM64),""))</f>
        <v>81</v>
      </c>
      <c r="O40" s="403">
        <f>IF($E40="","",IFERROR(VLOOKUP($B$2,biologi!$B$14:$BO$63,biologi!AN64),""))</f>
        <v>81</v>
      </c>
      <c r="P40" s="403">
        <f>IF($E40="","",IFERROR(VLOOKUP($B$2,biologi!$B$14:$BO$63,biologi!AO64),""))</f>
        <v>80</v>
      </c>
      <c r="Q40" s="403">
        <f>IF($E40="","",IFERROR(VLOOKUP($B$2,biologi!$B$14:$BO$63,biologi!AP64),""))</f>
        <v>0</v>
      </c>
      <c r="R40" s="403">
        <f>IF($E40="","",IFERROR(VLOOKUP($B$2,biologi!$B$14:$BO$63,biologi!Q64),""))</f>
        <v>81</v>
      </c>
      <c r="S40" s="404"/>
      <c r="T40" s="888">
        <v>22</v>
      </c>
    </row>
    <row r="41" spans="1:20" ht="15" customHeight="1" thickBot="1">
      <c r="A41" s="386"/>
      <c r="B41" s="386"/>
      <c r="C41" s="395"/>
      <c r="D41" s="959">
        <v>2</v>
      </c>
      <c r="E41" s="1932" t="str">
        <f>IF(Data2!$C$22=0,"",Data2!$C$22)</f>
        <v>Fisika</v>
      </c>
      <c r="F41" s="1933"/>
      <c r="G41" s="999">
        <f>IF($E41="","",IF(Data2!$L$16="KKM TUNGGAL",Data2!$L$3,IF(Data2!G22="","",Data2!G22)))</f>
        <v>76</v>
      </c>
      <c r="H41" s="1000">
        <f>IF($E41="","",IFERROR(VLOOKUP($B$2,fissika!$B$14:$BO$63,fissika!F64),""))</f>
        <v>0</v>
      </c>
      <c r="I41" s="1000">
        <f>IF($E41="","",IFERROR(VLOOKUP($B$2,fissika!$B$14:$BO$63,fissika!G64),""))</f>
        <v>77</v>
      </c>
      <c r="J41" s="1000">
        <f>IF($E41="","",IFERROR(VLOOKUP($B$2,fissika!$B$14:$BO$63,fissika!H64),""))</f>
        <v>78</v>
      </c>
      <c r="K41" s="1000">
        <f>IF($E41="","",IFERROR(VLOOKUP($B$2,fissika!$B$14:$BO$63,fissika!I64),""))</f>
        <v>79</v>
      </c>
      <c r="L41" s="1000">
        <f>IF($E41="","",IFERROR(VLOOKUP($B$2,fissika!$B$14:$BO$63,fissika!J64),""))</f>
        <v>77</v>
      </c>
      <c r="M41" s="1000">
        <f>IF($E41="","",IFERROR(VLOOKUP($B$2,fissika!$B$14:$BO$63,fissika!AL64),""))</f>
        <v>88</v>
      </c>
      <c r="N41" s="1000">
        <f>IF($E41="","",IFERROR(VLOOKUP($B$2,fissika!$B$14:$BO$63,fissika!AM64),""))</f>
        <v>88</v>
      </c>
      <c r="O41" s="1000">
        <f>IF($E41="","",IFERROR(VLOOKUP($B$2,fissika!$B$14:$BO$63,fissika!AN64),""))</f>
        <v>88</v>
      </c>
      <c r="P41" s="1000">
        <f>IF($E41="","",IFERROR(VLOOKUP($B$2,fissika!$B$14:$BO$63,fissika!AO64),""))</f>
        <v>88</v>
      </c>
      <c r="Q41" s="1000">
        <f>IF($E41="","",IFERROR(VLOOKUP($B$2,fissika!$B$14:$BO$63,fissika!AP64),""))</f>
        <v>0</v>
      </c>
      <c r="R41" s="1000">
        <f>IF($E41="","",IFERROR(VLOOKUP($B$2,fissika!$B$14:$BO$63,fissika!Q64),""))</f>
        <v>87</v>
      </c>
      <c r="S41" s="404"/>
      <c r="T41" s="888">
        <v>23</v>
      </c>
    </row>
    <row r="42" spans="1:20" ht="12.75">
      <c r="A42" s="386"/>
      <c r="B42" s="386"/>
      <c r="C42" s="395"/>
      <c r="D42" s="1141" t="s">
        <v>617</v>
      </c>
      <c r="E42" s="1142"/>
      <c r="F42" s="1142"/>
      <c r="G42" s="1143"/>
      <c r="H42" s="1144"/>
      <c r="I42" s="1145"/>
      <c r="J42" s="1146"/>
      <c r="K42" s="1146"/>
      <c r="L42" s="1146"/>
      <c r="M42" s="1146"/>
      <c r="N42" s="1146"/>
      <c r="O42" s="1146"/>
      <c r="P42" s="1146"/>
      <c r="Q42" s="1146"/>
      <c r="R42" s="1146"/>
      <c r="S42" s="404"/>
      <c r="T42" s="386"/>
    </row>
    <row r="43" spans="1:20" ht="9.75" customHeight="1" thickBot="1">
      <c r="A43" s="386"/>
      <c r="B43" s="386"/>
      <c r="C43" s="395"/>
      <c r="D43" s="428"/>
      <c r="E43" s="514"/>
      <c r="F43" s="514"/>
      <c r="G43" s="515"/>
      <c r="H43" s="410"/>
      <c r="I43" s="401"/>
      <c r="J43" s="411"/>
      <c r="K43" s="411"/>
      <c r="L43" s="411"/>
      <c r="M43" s="411"/>
      <c r="N43" s="411"/>
      <c r="O43" s="411"/>
      <c r="P43" s="411"/>
      <c r="Q43" s="411"/>
      <c r="R43" s="411"/>
      <c r="S43" s="404"/>
      <c r="T43" s="386"/>
    </row>
    <row r="44" spans="1:20" ht="12.95" customHeight="1">
      <c r="A44" s="386"/>
      <c r="B44" s="386"/>
      <c r="C44" s="395"/>
      <c r="D44" s="1928" t="s">
        <v>317</v>
      </c>
      <c r="E44" s="1929"/>
      <c r="F44" s="1975" t="s">
        <v>28</v>
      </c>
      <c r="G44" s="1976"/>
      <c r="H44" s="1976"/>
      <c r="I44" s="1976"/>
      <c r="J44" s="1976"/>
      <c r="K44" s="1976"/>
      <c r="L44" s="1976"/>
      <c r="M44" s="1977"/>
      <c r="N44" s="411"/>
      <c r="O44" s="1928" t="s">
        <v>1020</v>
      </c>
      <c r="P44" s="1929"/>
      <c r="Q44" s="1929"/>
      <c r="R44" s="1978"/>
      <c r="S44" s="404"/>
      <c r="T44" s="386"/>
    </row>
    <row r="45" spans="1:20" ht="12.95" customHeight="1" thickBot="1">
      <c r="A45" s="386"/>
      <c r="B45" s="386"/>
      <c r="C45" s="395"/>
      <c r="D45" s="1930"/>
      <c r="E45" s="1931"/>
      <c r="F45" s="1306" t="s">
        <v>324</v>
      </c>
      <c r="G45" s="1934" t="s">
        <v>325</v>
      </c>
      <c r="H45" s="1940"/>
      <c r="I45" s="1934" t="s">
        <v>326</v>
      </c>
      <c r="J45" s="1940"/>
      <c r="K45" s="1934" t="s">
        <v>327</v>
      </c>
      <c r="L45" s="1935"/>
      <c r="M45" s="1936"/>
      <c r="N45" s="411"/>
      <c r="O45" s="1930"/>
      <c r="P45" s="1931"/>
      <c r="Q45" s="1931"/>
      <c r="R45" s="1979"/>
      <c r="S45" s="404"/>
      <c r="T45" s="386"/>
    </row>
    <row r="46" spans="1:20" ht="12.95" customHeight="1">
      <c r="A46" s="386"/>
      <c r="B46" s="386"/>
      <c r="C46" s="395"/>
      <c r="D46" s="1926">
        <f>Data2!V4</f>
        <v>76</v>
      </c>
      <c r="E46" s="1927"/>
      <c r="F46" s="1303" t="str">
        <f t="shared" ref="F46:F49" si="0">IF(D46="","","&lt; "&amp;D46)</f>
        <v>&lt; 76</v>
      </c>
      <c r="G46" s="1937" t="str">
        <f>IF(D46="","",D46&amp;" - "&amp;ROUNDDOWN(D46+(100-D46)/3,0))</f>
        <v>76 - 84</v>
      </c>
      <c r="H46" s="1937"/>
      <c r="I46" s="1937" t="str">
        <f>IF(D46="","",ROUNDDOWN(D46+(100-D46)/3,0)+1&amp;" - "&amp;(ROUNDDOWN(D46+(100-D46)/3,0)+1)+ROUNDDOWN((100-(ROUNDDOWN(D46+(100-D46)/3,0)+1))/2,0))</f>
        <v>85 - 92</v>
      </c>
      <c r="J46" s="1937"/>
      <c r="K46" s="1937" t="str">
        <f>IF(D46="","",(ROUNDDOWN(D46+(100-D46)/3,0)+1)+ROUNDDOWN((100-(ROUNDDOWN(D46+(100-D46)/3,0)+1))/2,0)+1&amp;" - "&amp;100)</f>
        <v>93 - 100</v>
      </c>
      <c r="L46" s="1937"/>
      <c r="M46" s="1938"/>
      <c r="N46" s="411"/>
      <c r="O46" s="1980" t="s">
        <v>18</v>
      </c>
      <c r="P46" s="1981"/>
      <c r="Q46" s="1341">
        <f>IFERROR(VLOOKUP($B$2,AbEk!$B$9:$H$58,5),"")</f>
        <v>5</v>
      </c>
      <c r="R46" s="1342" t="s">
        <v>21</v>
      </c>
      <c r="S46" s="404"/>
      <c r="T46" s="386"/>
    </row>
    <row r="47" spans="1:20" ht="12.95" customHeight="1">
      <c r="A47" s="386"/>
      <c r="B47" s="386"/>
      <c r="C47" s="395"/>
      <c r="D47" s="1926" t="str">
        <f>Data2!V5</f>
        <v/>
      </c>
      <c r="E47" s="1927"/>
      <c r="F47" s="1303" t="str">
        <f t="shared" si="0"/>
        <v/>
      </c>
      <c r="G47" s="1937" t="str">
        <f>IF(D47="","",D47&amp;" - "&amp;ROUNDDOWN(D47+(100-D47)/3,0))</f>
        <v/>
      </c>
      <c r="H47" s="1937"/>
      <c r="I47" s="1937" t="str">
        <f>IF(D47="","",ROUNDDOWN(D47+(100-D47)/3,0)+1&amp;" - "&amp;(ROUNDDOWN(D47+(100-D47)/3,0)+1)+ROUNDDOWN((100-(ROUNDDOWN(D47+(100-D47)/3,0)+1))/2,0))</f>
        <v/>
      </c>
      <c r="J47" s="1937"/>
      <c r="K47" s="1937" t="str">
        <f>IF(D47="","",(ROUNDDOWN(D47+(100-D47)/3,0)+1)+ROUNDDOWN((100-(ROUNDDOWN(D47+(100-D47)/3,0)+1))/2,0)+1&amp;" - "&amp;100)</f>
        <v/>
      </c>
      <c r="L47" s="1937"/>
      <c r="M47" s="1938"/>
      <c r="N47" s="411"/>
      <c r="O47" s="1964" t="s">
        <v>19</v>
      </c>
      <c r="P47" s="1965"/>
      <c r="Q47" s="1343">
        <f>IFERROR(VLOOKUP($B$2,AbEk!$B$9:$H$58,6),"")</f>
        <v>1</v>
      </c>
      <c r="R47" s="1344" t="s">
        <v>21</v>
      </c>
      <c r="S47" s="404"/>
      <c r="T47" s="386"/>
    </row>
    <row r="48" spans="1:20" ht="12.95" customHeight="1">
      <c r="A48" s="386"/>
      <c r="B48" s="386"/>
      <c r="C48" s="395"/>
      <c r="D48" s="1926" t="str">
        <f>Data2!V6</f>
        <v/>
      </c>
      <c r="E48" s="1927"/>
      <c r="F48" s="1303" t="str">
        <f t="shared" si="0"/>
        <v/>
      </c>
      <c r="G48" s="1937" t="str">
        <f>IF(D48="","",D48&amp;" - "&amp;ROUNDDOWN(D48+(100-D48)/3,0))</f>
        <v/>
      </c>
      <c r="H48" s="1937"/>
      <c r="I48" s="1937" t="str">
        <f>IF(D48="","",ROUNDDOWN(D48+(100-D48)/3,0)+1&amp;" - "&amp;(ROUNDDOWN(D48+(100-D48)/3,0)+1)+ROUNDDOWN((100-(ROUNDDOWN(D48+(100-D48)/3,0)+1))/2,0))</f>
        <v/>
      </c>
      <c r="J48" s="1937"/>
      <c r="K48" s="1937" t="str">
        <f>IF(D48="","",(ROUNDDOWN(D48+(100-D48)/3,0)+1)+ROUNDDOWN((100-(ROUNDDOWN(D48+(100-D48)/3,0)+1))/2,0)+1&amp;" - "&amp;100)</f>
        <v/>
      </c>
      <c r="L48" s="1937"/>
      <c r="M48" s="1938"/>
      <c r="N48" s="411"/>
      <c r="O48" s="1966" t="s">
        <v>1021</v>
      </c>
      <c r="P48" s="1967"/>
      <c r="Q48" s="1982">
        <f>IFERROR(VLOOKUP($B$2,AbEk!$B$9:$H$58,7),"")</f>
        <v>2</v>
      </c>
      <c r="R48" s="1984" t="s">
        <v>21</v>
      </c>
      <c r="S48" s="404"/>
      <c r="T48" s="386"/>
    </row>
    <row r="49" spans="1:20" ht="12.95" customHeight="1" thickBot="1">
      <c r="A49" s="386"/>
      <c r="B49" s="386"/>
      <c r="C49" s="395"/>
      <c r="D49" s="1926" t="str">
        <f>Data2!V7</f>
        <v/>
      </c>
      <c r="E49" s="1927"/>
      <c r="F49" s="1303" t="str">
        <f t="shared" si="0"/>
        <v/>
      </c>
      <c r="G49" s="1937" t="str">
        <f>IF(D49="","",D49&amp;" - "&amp;ROUNDDOWN(D49+(100-D49)/3,0))</f>
        <v/>
      </c>
      <c r="H49" s="1937"/>
      <c r="I49" s="1937" t="str">
        <f>IF(D49="","",ROUNDDOWN(D49+(100-D49)/3,0)+1&amp;" - "&amp;(ROUNDDOWN(D49+(100-D49)/3,0)+1)+ROUNDDOWN((100-(ROUNDDOWN(D49+(100-D49)/3,0)+1))/2,0))</f>
        <v/>
      </c>
      <c r="J49" s="1937"/>
      <c r="K49" s="1937" t="str">
        <f>IF(D49="","",(ROUNDDOWN(D49+(100-D49)/3,0)+1)+ROUNDDOWN((100-(ROUNDDOWN(D49+(100-D49)/3,0)+1))/2,0)+1&amp;" - "&amp;100)</f>
        <v/>
      </c>
      <c r="L49" s="1937"/>
      <c r="M49" s="1938"/>
      <c r="N49" s="411"/>
      <c r="O49" s="1960" t="s">
        <v>17</v>
      </c>
      <c r="P49" s="1961"/>
      <c r="Q49" s="1983"/>
      <c r="R49" s="1985"/>
      <c r="S49" s="404"/>
      <c r="T49" s="386"/>
    </row>
    <row r="50" spans="1:20" ht="12.95" customHeight="1" thickBot="1">
      <c r="A50" s="386"/>
      <c r="B50" s="386"/>
      <c r="C50" s="395"/>
      <c r="D50" s="1941" t="str">
        <f>Data2!V8</f>
        <v/>
      </c>
      <c r="E50" s="1942"/>
      <c r="F50" s="1304" t="str">
        <f>IF(D50="","","&lt; "&amp;D50)</f>
        <v/>
      </c>
      <c r="G50" s="1939" t="str">
        <f>IF(D50="","",D50&amp;" - "&amp;ROUNDDOWN(D50+(100-D50)/3,0))</f>
        <v/>
      </c>
      <c r="H50" s="1939"/>
      <c r="I50" s="1939" t="str">
        <f>IF(D50="","",ROUNDDOWN(D50+(100-D50)/3,0)+1&amp;" - "&amp;(ROUNDDOWN(D50+(100-D50)/3,0)+1)+ROUNDDOWN((100-(ROUNDDOWN(D50+(100-D50)/3,0)+1))/2,0))</f>
        <v/>
      </c>
      <c r="J50" s="1939"/>
      <c r="K50" s="1939" t="str">
        <f>IF(D50="","",(ROUNDDOWN(D50+(100-D50)/3,0)+1)+ROUNDDOWN((100-(ROUNDDOWN(D50+(100-D50)/3,0)+1))/2,0)+1&amp;" - "&amp;100)</f>
        <v/>
      </c>
      <c r="L50" s="1939"/>
      <c r="M50" s="1974"/>
      <c r="N50" s="411"/>
      <c r="O50" s="411"/>
      <c r="P50" s="411"/>
      <c r="Q50" s="411"/>
      <c r="R50" s="411"/>
      <c r="S50" s="404"/>
      <c r="T50" s="386"/>
    </row>
    <row r="51" spans="1:20" ht="8.1" customHeight="1">
      <c r="A51" s="386"/>
      <c r="B51" s="386"/>
      <c r="C51" s="395"/>
      <c r="D51" s="1340"/>
      <c r="E51" s="1340"/>
      <c r="F51" s="401"/>
      <c r="G51" s="401"/>
      <c r="H51" s="401"/>
      <c r="I51" s="401"/>
      <c r="J51" s="401"/>
      <c r="K51" s="401"/>
      <c r="L51" s="401"/>
      <c r="M51" s="401"/>
      <c r="N51" s="411"/>
      <c r="O51" s="411"/>
      <c r="P51" s="411"/>
      <c r="Q51" s="411"/>
      <c r="R51" s="411"/>
      <c r="S51" s="404"/>
      <c r="T51" s="386"/>
    </row>
    <row r="52" spans="1:20" s="421" customFormat="1" ht="15" customHeight="1">
      <c r="A52" s="419"/>
      <c r="B52" s="419"/>
      <c r="C52" s="420"/>
      <c r="D52" s="874" t="s">
        <v>615</v>
      </c>
      <c r="E52" s="876"/>
      <c r="F52" s="423"/>
      <c r="G52" s="423"/>
      <c r="H52" s="423"/>
      <c r="J52" s="425"/>
      <c r="K52" s="425"/>
      <c r="L52" s="1962" t="str">
        <f ca="1">Data!C14&amp;", "&amp;TEXT(J2,"d mmmm yyy")</f>
        <v>Kupang, 15 June 2023</v>
      </c>
      <c r="M52" s="1962"/>
      <c r="N52" s="1962"/>
      <c r="O52" s="1962"/>
      <c r="P52" s="1962"/>
      <c r="Q52" s="1962"/>
      <c r="R52" s="1962"/>
      <c r="T52" s="419"/>
    </row>
    <row r="53" spans="1:20" ht="15" customHeight="1">
      <c r="A53" s="386"/>
      <c r="B53" s="386"/>
      <c r="C53" s="395"/>
      <c r="D53" s="873" t="s">
        <v>366</v>
      </c>
      <c r="E53" s="873"/>
      <c r="H53" s="966"/>
      <c r="I53" s="966"/>
      <c r="J53" s="966"/>
      <c r="K53" s="966"/>
      <c r="L53" s="1968" t="str">
        <f>P2</f>
        <v>Kepala Sekolah</v>
      </c>
      <c r="M53" s="1968"/>
      <c r="N53" s="1968"/>
      <c r="O53" s="1968"/>
      <c r="P53" s="1968"/>
      <c r="Q53" s="1968"/>
      <c r="R53" s="1968"/>
      <c r="T53" s="386"/>
    </row>
    <row r="54" spans="1:20" ht="12.75">
      <c r="A54" s="386"/>
      <c r="B54" s="386"/>
      <c r="C54" s="395"/>
      <c r="H54" s="966"/>
      <c r="I54" s="966"/>
      <c r="J54" s="966"/>
      <c r="K54" s="966"/>
      <c r="L54" s="1969"/>
      <c r="M54" s="1969"/>
      <c r="N54" s="1969"/>
      <c r="O54" s="1969"/>
      <c r="P54" s="1969"/>
      <c r="Q54" s="1969"/>
      <c r="R54" s="1969"/>
      <c r="T54" s="386"/>
    </row>
    <row r="55" spans="1:20" s="873" customFormat="1" ht="12.75">
      <c r="A55" s="391"/>
      <c r="B55" s="391"/>
      <c r="C55" s="70"/>
      <c r="D55" s="876"/>
      <c r="E55" s="876"/>
      <c r="F55" s="423"/>
      <c r="G55" s="423"/>
      <c r="H55" s="982"/>
      <c r="I55" s="982"/>
      <c r="J55" s="982"/>
      <c r="K55" s="982"/>
      <c r="L55" s="1968"/>
      <c r="M55" s="1968"/>
      <c r="N55" s="1968"/>
      <c r="O55" s="1968"/>
      <c r="P55" s="1968"/>
      <c r="Q55" s="1968"/>
      <c r="R55" s="1968"/>
      <c r="S55" s="423"/>
      <c r="T55" s="391"/>
    </row>
    <row r="56" spans="1:20" ht="12.75">
      <c r="A56" s="386"/>
      <c r="B56" s="386"/>
      <c r="C56" s="395"/>
      <c r="F56" s="428"/>
      <c r="G56" s="428"/>
      <c r="H56" s="981"/>
      <c r="I56" s="981"/>
      <c r="J56" s="981"/>
      <c r="K56" s="981"/>
      <c r="L56" s="1962"/>
      <c r="M56" s="1962"/>
      <c r="N56" s="1962"/>
      <c r="O56" s="1962"/>
      <c r="P56" s="1962"/>
      <c r="Q56" s="1962"/>
      <c r="R56" s="1962"/>
      <c r="S56" s="428"/>
      <c r="T56" s="386"/>
    </row>
    <row r="57" spans="1:20" ht="15" customHeight="1">
      <c r="A57" s="386"/>
      <c r="B57" s="386"/>
      <c r="C57" s="395"/>
      <c r="D57" s="874" t="s">
        <v>616</v>
      </c>
      <c r="E57" s="874"/>
      <c r="H57" s="983"/>
      <c r="I57" s="983"/>
      <c r="J57" s="983"/>
      <c r="K57" s="983"/>
      <c r="L57" s="1963" t="str">
        <f>IF(P2="Wali Kelas",Data!C12,Data!C7)</f>
        <v>Nelson Nome, S.Pd</v>
      </c>
      <c r="M57" s="1963"/>
      <c r="N57" s="1963"/>
      <c r="O57" s="1963"/>
      <c r="P57" s="1963"/>
      <c r="Q57" s="1963"/>
      <c r="R57" s="1963"/>
      <c r="S57" s="576"/>
      <c r="T57" s="386"/>
    </row>
    <row r="58" spans="1:20" ht="15" customHeight="1">
      <c r="A58" s="386"/>
      <c r="B58" s="386"/>
      <c r="C58" s="395"/>
      <c r="H58" s="981"/>
      <c r="I58" s="981"/>
      <c r="J58" s="981"/>
      <c r="K58" s="981"/>
      <c r="L58" s="1962" t="str">
        <f>IF(P2="Wali Kelas",Data!B13&amp;". "&amp;Data!C13,Data!B8&amp;". "&amp;Data!C8)</f>
        <v>NIP. 19781107201001 1 022</v>
      </c>
      <c r="M58" s="1962"/>
      <c r="N58" s="1962"/>
      <c r="O58" s="1962"/>
      <c r="P58" s="1962"/>
      <c r="Q58" s="1962"/>
      <c r="R58" s="1962"/>
      <c r="T58" s="386"/>
    </row>
    <row r="59" spans="1:20" ht="12.75">
      <c r="A59" s="386"/>
      <c r="B59" s="386"/>
      <c r="H59" s="966"/>
      <c r="I59" s="966"/>
      <c r="J59" s="981"/>
      <c r="K59" s="981"/>
      <c r="L59" s="981"/>
      <c r="M59" s="981"/>
      <c r="N59" s="966"/>
      <c r="T59" s="386"/>
    </row>
    <row r="60" spans="1:20" ht="12.75">
      <c r="A60" s="386"/>
      <c r="B60" s="386"/>
      <c r="C60" s="386"/>
      <c r="D60" s="386"/>
      <c r="E60" s="386"/>
      <c r="F60" s="386"/>
      <c r="G60" s="386"/>
      <c r="H60" s="386"/>
      <c r="I60" s="386"/>
      <c r="J60" s="386"/>
      <c r="K60" s="386"/>
      <c r="L60" s="386"/>
      <c r="M60" s="386"/>
      <c r="N60" s="386"/>
      <c r="O60" s="386"/>
      <c r="P60" s="386"/>
      <c r="Q60" s="386"/>
      <c r="R60" s="386"/>
      <c r="S60" s="386"/>
      <c r="T60" s="386"/>
    </row>
    <row r="61" spans="1:20" ht="12.75">
      <c r="A61" s="386"/>
      <c r="B61" s="386"/>
      <c r="C61" s="386"/>
      <c r="D61" s="386"/>
      <c r="E61" s="386"/>
      <c r="F61" s="386"/>
      <c r="G61" s="386"/>
      <c r="H61" s="386"/>
      <c r="I61" s="386"/>
      <c r="J61" s="386"/>
      <c r="K61" s="386"/>
      <c r="L61" s="386"/>
      <c r="M61" s="386"/>
      <c r="N61" s="386"/>
      <c r="O61" s="386"/>
      <c r="P61" s="386"/>
      <c r="Q61" s="386"/>
      <c r="R61" s="386"/>
      <c r="S61" s="386"/>
      <c r="T61" s="386"/>
    </row>
    <row r="62" spans="1:20" ht="12.75" hidden="1"/>
    <row r="63" spans="1:20" ht="12.75" hidden="1"/>
    <row r="64" spans="1:20" ht="12.75" hidden="1"/>
    <row r="65" ht="12.75" hidden="1"/>
    <row r="66" ht="12.75" hidden="1"/>
    <row r="67" ht="12.75" hidden="1"/>
    <row r="68" ht="12.75" hidden="1"/>
    <row r="69" ht="12.75" hidden="1"/>
    <row r="70" ht="12.75" hidden="1"/>
    <row r="71" ht="12.75" hidden="1"/>
    <row r="72" ht="12.75" hidden="1"/>
    <row r="73" ht="12.75" hidden="1"/>
    <row r="74" ht="12.75" hidden="1"/>
    <row r="75" ht="12.75" hidden="1"/>
    <row r="76" ht="12.75" hidden="1"/>
    <row r="77" ht="12.75" hidden="1"/>
    <row r="78" ht="12.75" hidden="1"/>
    <row r="79" ht="12.75" hidden="1"/>
    <row r="80" ht="12.75" hidden="1"/>
    <row r="81" ht="12.75" hidden="1"/>
    <row r="82" ht="12.75" hidden="1"/>
    <row r="83" ht="12.75" hidden="1"/>
    <row r="84" ht="12.75" hidden="1"/>
    <row r="85" ht="12.75" hidden="1"/>
    <row r="86" ht="12.75" hidden="1"/>
    <row r="87" ht="12.75" hidden="1"/>
    <row r="88" ht="12.75" hidden="1"/>
    <row r="89" ht="12.75" hidden="1" customHeight="1"/>
    <row r="90" ht="12.75" hidden="1" customHeight="1"/>
    <row r="91" ht="12.75" hidden="1" customHeight="1"/>
    <row r="92" ht="12.75" hidden="1" customHeight="1"/>
    <row r="93" ht="12.75" hidden="1" customHeight="1"/>
    <row r="94" ht="12.75" hidden="1" customHeight="1"/>
    <row r="95" ht="12.75" hidden="1" customHeight="1"/>
    <row r="96" ht="12.75" hidden="1" customHeight="1"/>
    <row r="97" ht="12.75" hidden="1" customHeight="1"/>
    <row r="98" ht="12.75" hidden="1" customHeight="1"/>
    <row r="99" ht="12.75" hidden="1" customHeight="1"/>
    <row r="100" ht="12.75" hidden="1" customHeight="1"/>
    <row r="101" ht="12.75" hidden="1" customHeight="1"/>
    <row r="102" ht="12.75" hidden="1" customHeight="1"/>
    <row r="103" ht="12.75" hidden="1" customHeight="1"/>
    <row r="104" ht="12.75" hidden="1" customHeight="1"/>
    <row r="105" ht="12.75" hidden="1" customHeight="1"/>
    <row r="106" ht="12.75" hidden="1" customHeight="1"/>
    <row r="107" ht="12.75" hidden="1" customHeight="1"/>
    <row r="108" ht="12.75" hidden="1" customHeight="1"/>
    <row r="109" ht="12.75" hidden="1" customHeight="1"/>
    <row r="110" ht="12.75" hidden="1" customHeight="1"/>
    <row r="111" ht="12.75" hidden="1" customHeight="1"/>
    <row r="112" ht="12.75" hidden="1" customHeight="1"/>
    <row r="113" ht="12.75" hidden="1" customHeight="1"/>
    <row r="114" ht="12.75" hidden="1" customHeight="1"/>
    <row r="115" ht="12.75" hidden="1" customHeight="1"/>
    <row r="116" ht="12.75" hidden="1" customHeight="1"/>
    <row r="117" ht="12.75" hidden="1" customHeight="1"/>
    <row r="118" ht="12.75" hidden="1" customHeight="1"/>
    <row r="119" ht="12.75" hidden="1" customHeight="1"/>
    <row r="120" ht="12.75" hidden="1" customHeight="1"/>
    <row r="121" ht="12.75" hidden="1" customHeight="1"/>
    <row r="122" ht="12.75" hidden="1" customHeight="1"/>
    <row r="123" ht="12.75" hidden="1" customHeight="1"/>
    <row r="124" ht="12.75" hidden="1" customHeight="1"/>
    <row r="125" ht="12.75" hidden="1" customHeight="1"/>
    <row r="126" ht="12.75" hidden="1" customHeight="1"/>
    <row r="127" ht="12.75" hidden="1" customHeight="1"/>
    <row r="128" ht="12.75" hidden="1" customHeight="1"/>
    <row r="129" ht="12.75" hidden="1" customHeight="1"/>
    <row r="130" ht="12.75" hidden="1" customHeight="1"/>
    <row r="131" ht="12.75" hidden="1" customHeight="1"/>
    <row r="132" ht="12.75" hidden="1" customHeight="1"/>
    <row r="133" ht="12.75" hidden="1" customHeight="1"/>
    <row r="134" ht="12.75" hidden="1" customHeight="1"/>
    <row r="135" ht="12.75" hidden="1" customHeight="1"/>
    <row r="136" ht="12.75" hidden="1" customHeight="1"/>
    <row r="137" ht="12.75" hidden="1" customHeight="1"/>
    <row r="138" ht="12.75" hidden="1" customHeight="1"/>
    <row r="139" ht="12.75" hidden="1" customHeight="1"/>
    <row r="140" ht="12.75" hidden="1" customHeight="1"/>
    <row r="141" ht="12.75" hidden="1" customHeight="1"/>
    <row r="142" ht="12.75" hidden="1" customHeight="1"/>
    <row r="143" ht="12.75" hidden="1" customHeight="1"/>
    <row r="144" ht="12.75" hidden="1" customHeight="1"/>
    <row r="145" ht="12.75" hidden="1" customHeight="1"/>
    <row r="146" ht="12.75" hidden="1" customHeight="1"/>
    <row r="147" ht="12.75" hidden="1" customHeight="1"/>
    <row r="148" ht="12.75" hidden="1" customHeight="1"/>
    <row r="149" ht="12.75" hidden="1" customHeight="1"/>
    <row r="150" ht="12.75" hidden="1" customHeight="1"/>
    <row r="151" ht="12.75" hidden="1" customHeight="1"/>
    <row r="152" ht="12.75" hidden="1" customHeight="1"/>
    <row r="153" ht="12.75" hidden="1" customHeight="1"/>
    <row r="154" ht="12.75" hidden="1" customHeight="1"/>
    <row r="155" ht="12.75" hidden="1" customHeight="1"/>
    <row r="156" ht="12.75" hidden="1" customHeight="1"/>
    <row r="157" ht="12.75" hidden="1" customHeight="1"/>
    <row r="158" ht="12.75" hidden="1" customHeight="1"/>
    <row r="159" ht="12.75" hidden="1" customHeight="1"/>
    <row r="160" ht="12.75" hidden="1" customHeight="1"/>
    <row r="161" ht="12.75" hidden="1" customHeight="1"/>
    <row r="162" ht="12.75" hidden="1" customHeight="1"/>
    <row r="163" ht="12.75" hidden="1" customHeight="1"/>
    <row r="164" ht="12.75" hidden="1" customHeight="1"/>
    <row r="165" ht="12.75" hidden="1" customHeight="1"/>
    <row r="166" ht="12.75" hidden="1" customHeight="1"/>
    <row r="167" ht="12.75" hidden="1" customHeight="1"/>
    <row r="168" ht="12.75" hidden="1" customHeight="1"/>
    <row r="169" ht="12.75" hidden="1" customHeight="1"/>
    <row r="170" ht="12.75" hidden="1" customHeight="1"/>
    <row r="171" ht="12.75" hidden="1" customHeight="1"/>
    <row r="172" ht="12.75" hidden="1" customHeight="1"/>
    <row r="173" ht="12.75" hidden="1" customHeight="1"/>
    <row r="174" ht="12.75" hidden="1" customHeight="1"/>
    <row r="175" ht="12.75" hidden="1" customHeight="1"/>
    <row r="176" ht="12.75" hidden="1" customHeight="1"/>
  </sheetData>
  <sheetProtection formatRows="0" selectLockedCells="1"/>
  <mergeCells count="83">
    <mergeCell ref="L58:R58"/>
    <mergeCell ref="J2:M2"/>
    <mergeCell ref="P2:R2"/>
    <mergeCell ref="Q10:R10"/>
    <mergeCell ref="Q11:R11"/>
    <mergeCell ref="Q12:R12"/>
    <mergeCell ref="F10:M10"/>
    <mergeCell ref="F11:M11"/>
    <mergeCell ref="F12:M12"/>
    <mergeCell ref="F13:M13"/>
    <mergeCell ref="K50:M50"/>
    <mergeCell ref="F44:M44"/>
    <mergeCell ref="O44:R45"/>
    <mergeCell ref="O46:P46"/>
    <mergeCell ref="Q48:Q49"/>
    <mergeCell ref="R48:R49"/>
    <mergeCell ref="O49:P49"/>
    <mergeCell ref="L56:R56"/>
    <mergeCell ref="L57:R57"/>
    <mergeCell ref="K47:M47"/>
    <mergeCell ref="K48:M48"/>
    <mergeCell ref="K49:M49"/>
    <mergeCell ref="O47:P47"/>
    <mergeCell ref="O48:P48"/>
    <mergeCell ref="L52:R52"/>
    <mergeCell ref="L53:R53"/>
    <mergeCell ref="L54:R54"/>
    <mergeCell ref="L55:R55"/>
    <mergeCell ref="T4:T6"/>
    <mergeCell ref="T7:T8"/>
    <mergeCell ref="T14:T17"/>
    <mergeCell ref="R15:R17"/>
    <mergeCell ref="H16:L16"/>
    <mergeCell ref="D7:R8"/>
    <mergeCell ref="D50:E50"/>
    <mergeCell ref="D49:E49"/>
    <mergeCell ref="M16:Q16"/>
    <mergeCell ref="D15:D17"/>
    <mergeCell ref="E15:F17"/>
    <mergeCell ref="G15:G17"/>
    <mergeCell ref="H15:Q15"/>
    <mergeCell ref="E40:F40"/>
    <mergeCell ref="E23:F23"/>
    <mergeCell ref="E24:F24"/>
    <mergeCell ref="E35:F35"/>
    <mergeCell ref="E28:F28"/>
    <mergeCell ref="E29:F29"/>
    <mergeCell ref="E33:F33"/>
    <mergeCell ref="I46:J46"/>
    <mergeCell ref="I47:J47"/>
    <mergeCell ref="G50:H50"/>
    <mergeCell ref="I45:J45"/>
    <mergeCell ref="I48:J48"/>
    <mergeCell ref="I49:J49"/>
    <mergeCell ref="I50:J50"/>
    <mergeCell ref="G45:H45"/>
    <mergeCell ref="G46:H46"/>
    <mergeCell ref="G47:H47"/>
    <mergeCell ref="G48:H48"/>
    <mergeCell ref="G49:H49"/>
    <mergeCell ref="K45:M45"/>
    <mergeCell ref="K46:M46"/>
    <mergeCell ref="D48:E48"/>
    <mergeCell ref="E37:F37"/>
    <mergeCell ref="E38:F38"/>
    <mergeCell ref="E34:F34"/>
    <mergeCell ref="D46:E46"/>
    <mergeCell ref="D47:E47"/>
    <mergeCell ref="D44:E45"/>
    <mergeCell ref="E41:F41"/>
    <mergeCell ref="E36:F36"/>
    <mergeCell ref="E30:F30"/>
    <mergeCell ref="B2:B3"/>
    <mergeCell ref="D10:E10"/>
    <mergeCell ref="D11:E11"/>
    <mergeCell ref="E20:F20"/>
    <mergeCell ref="E21:F21"/>
    <mergeCell ref="E19:F19"/>
    <mergeCell ref="D12:E12"/>
    <mergeCell ref="D13:E13"/>
    <mergeCell ref="E26:F26"/>
    <mergeCell ref="E27:F27"/>
    <mergeCell ref="E22:F22"/>
  </mergeCells>
  <conditionalFormatting sqref="D19:R29 D31:R41">
    <cfRule type="cellIs" dxfId="218" priority="8" operator="equal">
      <formula>0</formula>
    </cfRule>
  </conditionalFormatting>
  <conditionalFormatting sqref="D47:M50">
    <cfRule type="expression" dxfId="217" priority="6">
      <formula>$D47=""</formula>
    </cfRule>
    <cfRule type="expression" dxfId="216" priority="7">
      <formula>AND($D47&gt;0,$D48="")</formula>
    </cfRule>
  </conditionalFormatting>
  <conditionalFormatting sqref="D30 H30:R30">
    <cfRule type="cellIs" dxfId="215" priority="5" operator="equal">
      <formula>0</formula>
    </cfRule>
  </conditionalFormatting>
  <conditionalFormatting sqref="E30:F30">
    <cfRule type="cellIs" dxfId="214" priority="4" operator="equal">
      <formula>0</formula>
    </cfRule>
  </conditionalFormatting>
  <conditionalFormatting sqref="G30">
    <cfRule type="cellIs" dxfId="213" priority="3" operator="equal">
      <formula>0</formula>
    </cfRule>
  </conditionalFormatting>
  <conditionalFormatting sqref="D46:M46">
    <cfRule type="expression" dxfId="212" priority="1">
      <formula>$D46=""</formula>
    </cfRule>
    <cfRule type="expression" dxfId="211" priority="2">
      <formula>AND($D46&gt;0,$D47="")</formula>
    </cfRule>
  </conditionalFormatting>
  <dataValidations count="2">
    <dataValidation type="list" allowBlank="1" showInputMessage="1" showErrorMessage="1" sqref="T10">
      <formula1>"Romawi,Arabic"</formula1>
    </dataValidation>
    <dataValidation type="list" allowBlank="1" showInputMessage="1" showErrorMessage="1" sqref="P2">
      <formula1>"Wali Kelas,Kepala Sekolah"</formula1>
    </dataValidation>
  </dataValidations>
  <printOptions horizontalCentered="1"/>
  <pageMargins left="0.26" right="0.19685039370078741" top="0.3" bottom="0.43" header="0.23" footer="0.31496062992125984"/>
  <pageSetup paperSize="9" orientation="portrait" horizontalDpi="4294967292"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71681" r:id="rId4" name="Spinner 1">
              <controlPr defaultSize="0" autoPict="0">
                <anchor moveWithCells="1" sizeWithCells="1">
                  <from>
                    <xdr:col>3</xdr:col>
                    <xdr:colOff>0</xdr:colOff>
                    <xdr:row>1</xdr:row>
                    <xdr:rowOff>19050</xdr:rowOff>
                  </from>
                  <to>
                    <xdr:col>3</xdr:col>
                    <xdr:colOff>200025</xdr:colOff>
                    <xdr:row>2</xdr:row>
                    <xdr:rowOff>142875</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tabColor rgb="FFC00000"/>
  </sheetPr>
  <dimension ref="A1:Q315"/>
  <sheetViews>
    <sheetView showGridLines="0" showRowColHeaders="0" workbookViewId="0">
      <pane ySplit="3" topLeftCell="A4" activePane="bottomLeft" state="frozen"/>
      <selection pane="bottomLeft" activeCell="D11" sqref="D11"/>
    </sheetView>
  </sheetViews>
  <sheetFormatPr defaultColWidth="0" defaultRowHeight="12.75" customHeight="1" zeroHeight="1"/>
  <cols>
    <col min="1" max="1" width="1.28515625" style="383" customWidth="1"/>
    <col min="2" max="2" width="5.85546875" style="383" customWidth="1"/>
    <col min="3" max="3" width="1" style="383" customWidth="1"/>
    <col min="4" max="4" width="3.5703125" style="383" customWidth="1"/>
    <col min="5" max="5" width="10.42578125" style="383" customWidth="1"/>
    <col min="6" max="6" width="7.7109375" style="383" customWidth="1"/>
    <col min="7" max="7" width="4.7109375" style="383" customWidth="1"/>
    <col min="8" max="8" width="6.7109375" style="383" customWidth="1"/>
    <col min="9" max="9" width="18.28515625" style="383" customWidth="1"/>
    <col min="10" max="12" width="5.140625" style="383" customWidth="1"/>
    <col min="13" max="13" width="17.7109375" style="383" customWidth="1"/>
    <col min="14" max="14" width="1.140625" style="383" customWidth="1"/>
    <col min="15" max="15" width="14.7109375" style="383" customWidth="1"/>
    <col min="16" max="16" width="30.7109375" style="383" customWidth="1"/>
    <col min="17" max="16384" width="9.140625" style="383" hidden="1"/>
  </cols>
  <sheetData>
    <row r="1" spans="1:16">
      <c r="A1" s="382"/>
      <c r="B1" s="382"/>
      <c r="C1" s="382"/>
      <c r="D1" s="382"/>
      <c r="E1" s="382"/>
      <c r="F1" s="382"/>
      <c r="G1" s="382"/>
      <c r="H1" s="382"/>
      <c r="I1" s="382"/>
      <c r="J1" s="382"/>
      <c r="K1" s="659">
        <f>VALUE(LEFT(Data!$C$9,2))</f>
        <v>10</v>
      </c>
      <c r="L1" s="660">
        <f>VALUE(Data!$C$10)</f>
        <v>1</v>
      </c>
      <c r="M1" s="382"/>
      <c r="N1" s="382"/>
      <c r="O1" s="382"/>
      <c r="P1" s="382"/>
    </row>
    <row r="2" spans="1:16" ht="15">
      <c r="A2" s="382"/>
      <c r="B2" s="2041">
        <v>1</v>
      </c>
      <c r="C2" s="382"/>
      <c r="D2" s="382">
        <f>IDLOK</f>
        <v>0</v>
      </c>
      <c r="E2" s="382"/>
      <c r="F2" s="382"/>
      <c r="G2" s="382"/>
      <c r="H2" s="384"/>
      <c r="I2" s="384" t="s">
        <v>463</v>
      </c>
      <c r="J2" s="656">
        <f>IF(AND(K1=10,L1=1),1,IF(AND(K1=10,L1=2),5,IF(AND(K1=11,L1=1),9,IF(AND(K1=11,L1=2),13,IF(AND(K1=12,L1=1),17,21)))))</f>
        <v>1</v>
      </c>
      <c r="K2" s="891" t="s">
        <v>621</v>
      </c>
      <c r="L2" s="382"/>
      <c r="M2" s="382"/>
      <c r="N2" s="382"/>
      <c r="O2" s="657"/>
      <c r="P2" s="382"/>
    </row>
    <row r="3" spans="1:16">
      <c r="A3" s="386"/>
      <c r="B3" s="2042"/>
      <c r="C3" s="386"/>
      <c r="D3" s="386"/>
      <c r="E3" s="386"/>
      <c r="F3" s="386"/>
      <c r="G3" s="386"/>
      <c r="H3" s="386"/>
      <c r="I3" s="386"/>
      <c r="J3" s="387" t="s">
        <v>279</v>
      </c>
      <c r="K3" s="386"/>
      <c r="L3" s="386"/>
      <c r="M3" s="386"/>
      <c r="N3" s="386"/>
      <c r="O3" s="386"/>
      <c r="P3" s="382"/>
    </row>
    <row r="4" spans="1:16" ht="21" customHeight="1">
      <c r="A4" s="386"/>
      <c r="B4" s="889"/>
      <c r="C4" s="388"/>
      <c r="D4" s="2043" t="s">
        <v>309</v>
      </c>
      <c r="E4" s="2043"/>
      <c r="F4" s="2043"/>
      <c r="G4" s="2043"/>
      <c r="H4" s="2043"/>
      <c r="I4" s="2043"/>
      <c r="J4" s="2043"/>
      <c r="K4" s="2043"/>
      <c r="L4" s="2043"/>
      <c r="M4" s="2043"/>
      <c r="N4" s="389"/>
      <c r="O4" s="1394" t="s">
        <v>1376</v>
      </c>
      <c r="P4" s="2044" t="s">
        <v>1378</v>
      </c>
    </row>
    <row r="5" spans="1:16" ht="28.5" customHeight="1">
      <c r="A5" s="386"/>
      <c r="B5" s="386"/>
      <c r="C5" s="388"/>
      <c r="D5" s="390"/>
      <c r="E5" s="390"/>
      <c r="F5" s="390"/>
      <c r="G5" s="390"/>
      <c r="H5" s="390"/>
      <c r="I5" s="390"/>
      <c r="J5" s="390"/>
      <c r="K5" s="390"/>
      <c r="L5" s="390"/>
      <c r="M5" s="390"/>
      <c r="O5" s="1382" t="s">
        <v>404</v>
      </c>
      <c r="P5" s="2044"/>
    </row>
    <row r="6" spans="1:16" s="390" customFormat="1" ht="21" customHeight="1">
      <c r="A6" s="391"/>
      <c r="B6" s="391"/>
      <c r="D6" s="1921" t="s">
        <v>22</v>
      </c>
      <c r="E6" s="1921"/>
      <c r="F6" s="1973" t="str">
        <f>": "&amp;Data!C4</f>
        <v>: SMA Negeri 1 Amabi Efeto</v>
      </c>
      <c r="G6" s="1973"/>
      <c r="H6" s="1973"/>
      <c r="I6" s="1973"/>
      <c r="J6" s="1148" t="s">
        <v>23</v>
      </c>
      <c r="M6" s="1119" t="str">
        <f>": "&amp;IF($O$6="romawi",ROMAN(VALUE(LEFT(Data!$C$9,2)))&amp;MID(Data!$C$9,3,15),Data!$C$9)</f>
        <v>: X IIS 2</v>
      </c>
      <c r="N6" s="393"/>
      <c r="O6" s="1394" t="s">
        <v>397</v>
      </c>
      <c r="P6" s="2044"/>
    </row>
    <row r="7" spans="1:16" s="390" customFormat="1" ht="21" customHeight="1">
      <c r="A7" s="391"/>
      <c r="B7" s="391"/>
      <c r="D7" s="1921" t="s">
        <v>9</v>
      </c>
      <c r="E7" s="1921"/>
      <c r="F7" s="1972" t="str">
        <f>": "&amp;Data!C5</f>
        <v>: Jl. Dusun V Hunaek Desa Fatukanutu</v>
      </c>
      <c r="G7" s="1972"/>
      <c r="H7" s="1972"/>
      <c r="I7" s="1972"/>
      <c r="J7" s="1148" t="s">
        <v>24</v>
      </c>
      <c r="M7" s="1119" t="str">
        <f>IF(Data!C10=1,": 1 (Satu)",IF(Data!C10=2,": 2 (Dua)",": "&amp;Data!C10))</f>
        <v>: 1 (Satu)</v>
      </c>
      <c r="N7" s="393"/>
      <c r="O7" s="2021" t="s">
        <v>604</v>
      </c>
      <c r="P7" s="2044"/>
    </row>
    <row r="8" spans="1:16" s="390" customFormat="1" ht="21" customHeight="1">
      <c r="A8" s="391"/>
      <c r="B8" s="391"/>
      <c r="D8" s="1921" t="s">
        <v>71</v>
      </c>
      <c r="E8" s="1921"/>
      <c r="F8" s="1973" t="str">
        <f>": "&amp;VLOOKUP($B$2,Data!E5:I54,4)</f>
        <v>: Aldo Alfinus Pakae</v>
      </c>
      <c r="G8" s="1973"/>
      <c r="H8" s="1973"/>
      <c r="I8" s="1973"/>
      <c r="J8" s="1148" t="s">
        <v>25</v>
      </c>
      <c r="M8" s="1119" t="str">
        <f>": "&amp;Data!C11</f>
        <v>: 2022-2023</v>
      </c>
      <c r="N8" s="393"/>
      <c r="O8" s="2022"/>
      <c r="P8" s="2044"/>
    </row>
    <row r="9" spans="1:16" s="390" customFormat="1" ht="21" customHeight="1">
      <c r="A9" s="391"/>
      <c r="B9" s="391"/>
      <c r="D9" s="1921" t="str">
        <f>IF(VLOOKUP($B$2,Data!$E$5:$AC$54,Data!G55)="","Nomor Induk","NIS / NISN")</f>
        <v>NIS / NISN</v>
      </c>
      <c r="E9" s="1921"/>
      <c r="F9" s="1972" t="str">
        <f>": "&amp;TEXT(VLOOKUP($B$2,Data!E5:I54,2),Data!C18)&amp;IF(VLOOKUP($B$2,Data!$E$5:$AC$54,Data!G55)="",""," / "&amp;TEXT(VLOOKUP($B$2,Data!$E$5:$AC$54,Data!G55),Data!C20))</f>
        <v>: 00000 / 0066338468</v>
      </c>
      <c r="G9" s="1972"/>
      <c r="H9" s="1972"/>
      <c r="I9" s="1972"/>
      <c r="N9" s="394"/>
      <c r="O9" s="2021"/>
      <c r="P9" s="2044"/>
    </row>
    <row r="10" spans="1:16" ht="21" customHeight="1">
      <c r="A10" s="386"/>
      <c r="B10" s="386"/>
      <c r="C10" s="395"/>
      <c r="D10" s="1401"/>
      <c r="E10" s="1401"/>
      <c r="F10" s="1401"/>
      <c r="G10" s="1401"/>
      <c r="H10" s="2023" t="str">
        <f>IF(D2=0,"DAPATKAN INFORMASI PENGGUNAAN PENUH DI HALAMAN PETUNJUK",IF(Data2!L16="MULTI KKM","INI BUKAN RAPORT YANG DIINGINKAN, ANDA MEMILIH MULTI KKM PADA Data2",""))</f>
        <v>DAPATKAN INFORMASI PENGGUNAAN PENUH DI HALAMAN PETUNJUK</v>
      </c>
      <c r="I10" s="2023"/>
      <c r="J10" s="2023"/>
      <c r="K10" s="2023"/>
      <c r="L10" s="2023"/>
      <c r="M10" s="2023"/>
      <c r="N10" s="395"/>
      <c r="O10" s="1394" t="s">
        <v>605</v>
      </c>
      <c r="P10" s="2044"/>
    </row>
    <row r="11" spans="1:16" ht="26.25" customHeight="1">
      <c r="A11" s="386"/>
      <c r="B11" s="396"/>
      <c r="C11" s="397"/>
      <c r="D11" s="1402" t="s">
        <v>357</v>
      </c>
      <c r="E11" s="1402" t="s">
        <v>356</v>
      </c>
      <c r="F11" s="1401"/>
      <c r="G11" s="1401"/>
      <c r="H11" s="2023"/>
      <c r="I11" s="2023"/>
      <c r="J11" s="2023"/>
      <c r="K11" s="2023"/>
      <c r="L11" s="2023"/>
      <c r="M11" s="2023"/>
      <c r="N11" s="395"/>
      <c r="O11" s="2045" t="s">
        <v>620</v>
      </c>
      <c r="P11" s="2044"/>
    </row>
    <row r="12" spans="1:16" ht="30" customHeight="1">
      <c r="A12" s="386"/>
      <c r="B12" s="398"/>
      <c r="C12" s="395"/>
      <c r="D12" s="1403" t="s">
        <v>125</v>
      </c>
      <c r="E12" s="1403" t="s">
        <v>269</v>
      </c>
      <c r="F12" s="1401"/>
      <c r="G12" s="1401"/>
      <c r="H12" s="2024"/>
      <c r="I12" s="2024"/>
      <c r="J12" s="2024"/>
      <c r="K12" s="2024"/>
      <c r="L12" s="2024"/>
      <c r="M12" s="2024"/>
      <c r="N12" s="395"/>
      <c r="O12" s="2045"/>
      <c r="P12" s="2044"/>
    </row>
    <row r="13" spans="1:16" ht="21" customHeight="1">
      <c r="A13" s="386"/>
      <c r="B13" s="398"/>
      <c r="C13" s="395"/>
      <c r="D13" s="2030" t="s">
        <v>28</v>
      </c>
      <c r="E13" s="2030"/>
      <c r="F13" s="2030" t="s">
        <v>14</v>
      </c>
      <c r="G13" s="2030"/>
      <c r="H13" s="2030"/>
      <c r="I13" s="2030"/>
      <c r="J13" s="2030"/>
      <c r="K13" s="2030"/>
      <c r="L13" s="2030"/>
      <c r="M13" s="2030"/>
      <c r="N13" s="395"/>
      <c r="O13" s="1394">
        <v>10</v>
      </c>
      <c r="P13" s="2044"/>
    </row>
    <row r="14" spans="1:16" ht="170.1" customHeight="1">
      <c r="A14" s="386"/>
      <c r="B14" s="399" t="str">
        <f>IFERROR(VLOOKUP($B$2,Sikap!$B$15:$U$64,Sikap!F65),"")</f>
        <v>SB</v>
      </c>
      <c r="C14" s="395"/>
      <c r="D14" s="2040" t="str">
        <f>IF(B14="SB","Sangat Baik",IF(B14="B","Baik",IF(B14="C","Cukup","Kurang")))</f>
        <v>Sangat Baik</v>
      </c>
      <c r="E14" s="2040"/>
      <c r="F14" s="2037" t="str">
        <f>"Memiliki sikap spiritual "&amp;D14&amp;" antara lain;"&amp;IFERROR(VLOOKUP($B$2,Sikap!$B$15:$Z$64,Sikap!L65),"")</f>
        <v>Memiliki sikap spiritual Sangat Baik antara lain;Selalu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G14" s="2037"/>
      <c r="H14" s="2037"/>
      <c r="I14" s="2037"/>
      <c r="J14" s="2037"/>
      <c r="K14" s="2037"/>
      <c r="L14" s="2037"/>
      <c r="M14" s="2037"/>
      <c r="N14" s="395"/>
      <c r="O14" s="1383" t="str">
        <f>"Peringkat 1 s.d. "&amp;O13&amp;" ditampilkan pada Catatan Wali Kelas"</f>
        <v>Peringkat 1 s.d. 10 ditampilkan pada Catatan Wali Kelas</v>
      </c>
      <c r="P14" s="2044"/>
    </row>
    <row r="15" spans="1:16" ht="30" customHeight="1">
      <c r="A15" s="386"/>
      <c r="B15" s="396"/>
      <c r="C15" s="395"/>
      <c r="D15" s="1402" t="s">
        <v>126</v>
      </c>
      <c r="E15" s="1402" t="s">
        <v>270</v>
      </c>
      <c r="F15" s="1401"/>
      <c r="G15" s="1401"/>
      <c r="H15" s="1401"/>
      <c r="I15" s="1401"/>
      <c r="J15" s="1401"/>
      <c r="K15" s="1401"/>
      <c r="L15" s="1401"/>
      <c r="M15" s="1401"/>
      <c r="N15" s="395"/>
      <c r="O15" s="382"/>
      <c r="P15" s="382"/>
    </row>
    <row r="16" spans="1:16" ht="21" customHeight="1">
      <c r="A16" s="386"/>
      <c r="B16" s="398"/>
      <c r="C16" s="395"/>
      <c r="D16" s="2030" t="s">
        <v>28</v>
      </c>
      <c r="E16" s="2030"/>
      <c r="F16" s="2030" t="s">
        <v>14</v>
      </c>
      <c r="G16" s="2030"/>
      <c r="H16" s="2030"/>
      <c r="I16" s="2030"/>
      <c r="J16" s="2030"/>
      <c r="K16" s="2030"/>
      <c r="L16" s="2030"/>
      <c r="M16" s="2030"/>
      <c r="N16" s="395"/>
      <c r="O16" s="382"/>
      <c r="P16" s="382"/>
    </row>
    <row r="17" spans="1:16" ht="170.1" customHeight="1">
      <c r="A17" s="386"/>
      <c r="B17" s="399" t="str">
        <f>IFERROR(VLOOKUP($B$2,Sikap!$B$15:$Z$64,Sikap!M65),"")</f>
        <v>SB</v>
      </c>
      <c r="C17" s="395"/>
      <c r="D17" s="2040" t="str">
        <f>IF(B17="SB","Sangat Baik",IF(B17="B","Baik",IF(B17="C","Cukup","Kurang")))</f>
        <v>Sangat Baik</v>
      </c>
      <c r="E17" s="2040"/>
      <c r="F17" s="2037" t="str">
        <f>"Memiliki sikap sosial "&amp;D17&amp;" antara lain;"&amp;IFERROR(VLOOKUP($B$2,Sikap!$B$15:$Z$64,Sikap!Y65),"")</f>
        <v>Memiliki sikap sosial Sangat Baik antara lain;Selalu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G17" s="2037"/>
      <c r="H17" s="2037"/>
      <c r="I17" s="2037"/>
      <c r="J17" s="2037"/>
      <c r="K17" s="2037"/>
      <c r="L17" s="2037"/>
      <c r="M17" s="2037"/>
      <c r="N17" s="395"/>
      <c r="O17" s="1390"/>
      <c r="P17" s="382"/>
    </row>
    <row r="18" spans="1:16" s="1398" customFormat="1" ht="50.1" customHeight="1">
      <c r="A18" s="386"/>
      <c r="B18" s="399"/>
      <c r="C18" s="395"/>
      <c r="D18" s="1404"/>
      <c r="E18" s="1404"/>
      <c r="F18" s="1405"/>
      <c r="G18" s="1405"/>
      <c r="H18" s="1405"/>
      <c r="I18" s="1405"/>
      <c r="J18" s="1405"/>
      <c r="K18" s="1405"/>
      <c r="L18" s="1405"/>
      <c r="M18" s="1405"/>
      <c r="N18" s="395"/>
      <c r="O18" s="1390">
        <v>1</v>
      </c>
      <c r="P18" s="382"/>
    </row>
    <row r="19" spans="1:16" s="550" customFormat="1" ht="50.1" customHeight="1">
      <c r="A19" s="386"/>
      <c r="B19" s="399"/>
      <c r="C19" s="395"/>
      <c r="D19" s="1404"/>
      <c r="E19" s="1404"/>
      <c r="F19" s="1405"/>
      <c r="G19" s="1405"/>
      <c r="H19" s="1405"/>
      <c r="I19" s="1405"/>
      <c r="J19" s="1405"/>
      <c r="K19" s="1405"/>
      <c r="L19" s="1405"/>
      <c r="M19" s="1405"/>
      <c r="N19" s="395"/>
      <c r="O19" s="1391">
        <v>2</v>
      </c>
      <c r="P19" s="382"/>
    </row>
    <row r="20" spans="1:16" ht="12" customHeight="1">
      <c r="A20" s="386"/>
      <c r="B20" s="399"/>
      <c r="C20" s="395"/>
      <c r="D20" s="1406"/>
      <c r="E20" s="1407" t="str">
        <f>"Raport "&amp;Data!$C$4</f>
        <v>Raport SMA Negeri 1 Amabi Efeto</v>
      </c>
      <c r="F20" s="1408"/>
      <c r="G20" s="1408"/>
      <c r="H20" s="1408"/>
      <c r="I20" s="1408"/>
      <c r="J20" s="1408"/>
      <c r="K20" s="1408"/>
      <c r="L20" s="1408"/>
      <c r="M20" s="1409">
        <f>IF(O2&gt;0,O2,J2)</f>
        <v>1</v>
      </c>
      <c r="N20" s="1399"/>
      <c r="O20" s="1391">
        <v>3</v>
      </c>
      <c r="P20" s="382"/>
    </row>
    <row r="21" spans="1:16" s="546" customFormat="1" ht="12" customHeight="1">
      <c r="A21" s="391"/>
      <c r="B21" s="399"/>
      <c r="C21" s="70"/>
      <c r="D21" s="1410"/>
      <c r="E21" s="1411" t="str">
        <f>VLOOKUP($B$2,Data!E5:I54,4)&amp;" | "&amp;VLOOKUP($B$2,Data!E5:I54,2)&amp;" | Kelas: "&amp;IF($O$6="romawi",ROMAN(VALUE(LEFT(Data!$C$9,2)))&amp;MID(Data!$C$9,3,15),Data!$C$9)&amp;" | Semester:"&amp;Data!C10&amp;" | "&amp;Data!C11</f>
        <v>Aldo Alfinus Pakae | 0 | Kelas: X IIS 2 | Semester:1 | 2022-2023</v>
      </c>
      <c r="F21" s="1412"/>
      <c r="G21" s="1412"/>
      <c r="H21" s="1413"/>
      <c r="I21" s="1414"/>
      <c r="J21" s="1415"/>
      <c r="K21" s="1413"/>
      <c r="L21" s="1416"/>
      <c r="M21" s="1410"/>
      <c r="N21" s="70"/>
      <c r="O21" s="1391">
        <v>4</v>
      </c>
      <c r="P21" s="382"/>
    </row>
    <row r="22" spans="1:16" s="546" customFormat="1" ht="12.95" customHeight="1">
      <c r="A22" s="391"/>
      <c r="B22" s="396"/>
      <c r="C22" s="154"/>
      <c r="D22" s="1403" t="s">
        <v>358</v>
      </c>
      <c r="E22" s="1403" t="s">
        <v>399</v>
      </c>
      <c r="F22" s="1401"/>
      <c r="G22" s="1401"/>
      <c r="H22" s="1401"/>
      <c r="I22" s="1401"/>
      <c r="J22" s="1401"/>
      <c r="K22" s="1401"/>
      <c r="L22" s="1401"/>
      <c r="M22" s="1401"/>
      <c r="N22" s="70"/>
      <c r="O22" s="1392">
        <v>5</v>
      </c>
      <c r="P22" s="382"/>
    </row>
    <row r="23" spans="1:16" s="546" customFormat="1" ht="12.95" customHeight="1">
      <c r="A23" s="391"/>
      <c r="B23" s="396"/>
      <c r="C23" s="70"/>
      <c r="D23" s="1403" t="s">
        <v>275</v>
      </c>
      <c r="E23" s="1403"/>
      <c r="F23" s="1403"/>
      <c r="G23" s="1403"/>
      <c r="H23" s="1417">
        <f>Data2!$L$3</f>
        <v>76</v>
      </c>
      <c r="I23" s="1401"/>
      <c r="J23" s="1401"/>
      <c r="K23" s="1401"/>
      <c r="L23" s="1401"/>
      <c r="M23" s="1401"/>
      <c r="N23" s="70"/>
      <c r="O23" s="1392">
        <v>6</v>
      </c>
      <c r="P23" s="891"/>
    </row>
    <row r="24" spans="1:16" ht="17.100000000000001" customHeight="1">
      <c r="A24" s="386"/>
      <c r="B24" s="386"/>
      <c r="C24" s="395"/>
      <c r="D24" s="1418" t="s">
        <v>55</v>
      </c>
      <c r="E24" s="2030" t="s">
        <v>39</v>
      </c>
      <c r="F24" s="2030"/>
      <c r="G24" s="1419" t="s">
        <v>16</v>
      </c>
      <c r="H24" s="1420" t="s">
        <v>28</v>
      </c>
      <c r="I24" s="2026" t="s">
        <v>14</v>
      </c>
      <c r="J24" s="2026"/>
      <c r="K24" s="2026"/>
      <c r="L24" s="2026"/>
      <c r="M24" s="2026"/>
      <c r="N24" s="1400"/>
      <c r="O24" s="1392">
        <v>7</v>
      </c>
      <c r="P24" s="382"/>
    </row>
    <row r="25" spans="1:16" ht="12.95" customHeight="1">
      <c r="A25" s="386"/>
      <c r="B25" s="386"/>
      <c r="C25" s="395"/>
      <c r="D25" s="1421" t="s">
        <v>391</v>
      </c>
      <c r="E25" s="1422"/>
      <c r="F25" s="1422"/>
      <c r="G25" s="1423"/>
      <c r="H25" s="1423"/>
      <c r="I25" s="2038"/>
      <c r="J25" s="2038"/>
      <c r="K25" s="2038"/>
      <c r="L25" s="2038"/>
      <c r="M25" s="2039"/>
      <c r="N25" s="388"/>
      <c r="O25" s="1392">
        <v>8</v>
      </c>
      <c r="P25" s="382"/>
    </row>
    <row r="26" spans="1:16" ht="33.950000000000003" customHeight="1">
      <c r="A26" s="386"/>
      <c r="B26" s="386"/>
      <c r="C26" s="395"/>
      <c r="D26" s="1424">
        <v>1</v>
      </c>
      <c r="E26" s="2019" t="str">
        <f>"Pendidikan Agama "&amp;VLOOKUP(B2,'KD-PA'!B9:G58,'KD-PA'!G59)&amp;" dan Budi Pekerti"</f>
        <v>Pendidikan Agama Kristen dan Budi Pekerti</v>
      </c>
      <c r="F26" s="2020"/>
      <c r="G26" s="1425">
        <f>IFERROR(VLOOKUP($B$2,PA!$B$14:$BN$63,PA!S64),"")</f>
        <v>95</v>
      </c>
      <c r="H26" s="1424" t="str">
        <f>IFERROR(VLOOKUP($B$2,PA!$B$14:$BN$63,PA!T64),"")</f>
        <v>A</v>
      </c>
      <c r="I26" s="2025" t="str">
        <f>IFERROR(VLOOKUP($B$2,PA!$B$14:$BN$63,PA!AK64),"")</f>
        <v>Memiliki kemampuan sangat baik dalam Memahami keberadaan Allah sebagai pembaharu kehidupan  dan Menjelaskan makna kebersamaan dengan orang lain</v>
      </c>
      <c r="J26" s="2025"/>
      <c r="K26" s="2025"/>
      <c r="L26" s="2025"/>
      <c r="M26" s="2025"/>
      <c r="N26" s="1399"/>
      <c r="O26" s="1392">
        <v>9</v>
      </c>
      <c r="P26" s="382"/>
    </row>
    <row r="27" spans="1:16" ht="33.950000000000003" customHeight="1">
      <c r="A27" s="386"/>
      <c r="B27" s="386"/>
      <c r="C27" s="395"/>
      <c r="D27" s="1424">
        <v>2</v>
      </c>
      <c r="E27" s="2019" t="str">
        <f>Data2!C5</f>
        <v>Pendidikan Pancasila dan Kewarganegaraan</v>
      </c>
      <c r="F27" s="2020"/>
      <c r="G27" s="1425">
        <f>IFERROR(VLOOKUP($B$2,PKn!$B$14:$BO$63,PKn!S64),"")</f>
        <v>87</v>
      </c>
      <c r="H27" s="1424" t="str">
        <f>IFERROR(VLOOKUP($B$2,PKn!$B$14:$BO$63,PKn!T64),"")</f>
        <v>B</v>
      </c>
      <c r="I27" s="2025" t="str">
        <f>IFERROR(VLOOKUP($B$2,PKn!$B$14:$BO$63,PKn!AK64),"")</f>
        <v>Memiliki kemampuan baik dalam Menganalisis dinamika hidrosfer dan dampaknya terhadap kehidupani, cukup kemampuan dalam Menganalisis dinamika atmosfer dan dampaknya terhadap kehidupan</v>
      </c>
      <c r="J27" s="2025"/>
      <c r="K27" s="2025"/>
      <c r="L27" s="2025"/>
      <c r="M27" s="2025"/>
      <c r="N27" s="1426"/>
      <c r="O27" s="1392">
        <v>10</v>
      </c>
      <c r="P27" s="382"/>
    </row>
    <row r="28" spans="1:16" ht="33.950000000000003" customHeight="1">
      <c r="A28" s="386"/>
      <c r="B28" s="386"/>
      <c r="C28" s="395"/>
      <c r="D28" s="1424">
        <v>3</v>
      </c>
      <c r="E28" s="2019" t="str">
        <f>Data2!C6</f>
        <v>Bahasa Indonesia</v>
      </c>
      <c r="F28" s="2020"/>
      <c r="G28" s="1425">
        <f>IFERROR(VLOOKUP($B$2,BInd!$B$14:$BO$63,BInd!S64),"")</f>
        <v>79</v>
      </c>
      <c r="H28" s="1424" t="str">
        <f>IFERROR(VLOOKUP($B$2,BInd!$B$14:$BO$63,BInd!T64),"")</f>
        <v>C</v>
      </c>
      <c r="I28" s="2025" t="str">
        <f>IFERROR(VLOOKUP($B$2,BInd!$B$14:$BO$63,BInd!AK64),"")</f>
        <v>Memiliki kemampuan baik dalam Menganalisis  unsur pembangun puisi. dan Menganalisis  isi, struktur dan kebahasaan teks  negosiasi.</v>
      </c>
      <c r="J28" s="2025"/>
      <c r="K28" s="2025"/>
      <c r="L28" s="2025"/>
      <c r="M28" s="2025"/>
      <c r="N28" s="1426"/>
      <c r="O28" s="1392">
        <v>11</v>
      </c>
      <c r="P28" s="382"/>
    </row>
    <row r="29" spans="1:16" ht="33.950000000000003" customHeight="1">
      <c r="A29" s="386"/>
      <c r="B29" s="386"/>
      <c r="C29" s="395"/>
      <c r="D29" s="1424">
        <v>4</v>
      </c>
      <c r="E29" s="2019" t="str">
        <f>Data2!C7</f>
        <v>Matematika</v>
      </c>
      <c r="F29" s="2020"/>
      <c r="G29" s="1425">
        <f>IFERROR(VLOOKUP($B$2,Mat!$B$14:$BO$63,Mat!S64),"")</f>
        <v>83</v>
      </c>
      <c r="H29" s="1424" t="str">
        <f>IFERROR(VLOOKUP($B$2,Mat!$B$14:$BO$63,Mat!T64),"")</f>
        <v>C</v>
      </c>
      <c r="I29" s="2025" t="str">
        <f>IFERROR(VLOOKUP($B$2,Mat!$B$14:$BO$63,Mat!AK64),"")</f>
        <v>Memiliki kemampuan baik dalam Menjelaskan aturan sinus dan cosinus, perlu dimaksimalkan kemampuan dalam Menjelaskan rasio trigonometri (sinus, cosinus, tangen, cosecan, secan, dan cotangen) pada segitiga siku-siku</v>
      </c>
      <c r="J29" s="2025"/>
      <c r="K29" s="2025"/>
      <c r="L29" s="2025"/>
      <c r="M29" s="2025"/>
      <c r="N29" s="1426"/>
      <c r="O29" s="1392">
        <v>12</v>
      </c>
      <c r="P29" s="382"/>
    </row>
    <row r="30" spans="1:16" ht="33.950000000000003" customHeight="1">
      <c r="A30" s="386"/>
      <c r="B30" s="386"/>
      <c r="C30" s="395"/>
      <c r="D30" s="1424">
        <v>5</v>
      </c>
      <c r="E30" s="2019" t="str">
        <f>Data2!C8</f>
        <v>Sejarah Indonesia</v>
      </c>
      <c r="F30" s="2020"/>
      <c r="G30" s="1425" t="str">
        <f>IFERROR(VLOOKUP($B$2,SEJ!$B$14:$BO$63,SEJ!S64),"")</f>
        <v/>
      </c>
      <c r="H30" s="1424" t="str">
        <f>IFERROR(VLOOKUP($B$2,SEJ!$B$14:$BO$63,SEJ!T64),"")</f>
        <v/>
      </c>
      <c r="I30" s="2025" t="str">
        <f>IFERROR(VLOOKUP($B$2,SEJ!$B$14:$BO$63,SEJ!AK64),"")</f>
        <v/>
      </c>
      <c r="J30" s="2025"/>
      <c r="K30" s="2025"/>
      <c r="L30" s="2025"/>
      <c r="M30" s="2025"/>
      <c r="N30" s="1426"/>
      <c r="O30" s="1392">
        <v>13</v>
      </c>
      <c r="P30" s="382"/>
    </row>
    <row r="31" spans="1:16" ht="33.950000000000003" customHeight="1">
      <c r="A31" s="386"/>
      <c r="B31" s="386"/>
      <c r="C31" s="395"/>
      <c r="D31" s="1424">
        <v>6</v>
      </c>
      <c r="E31" s="2019" t="str">
        <f>Data2!C9</f>
        <v>Bahasa Inggris</v>
      </c>
      <c r="F31" s="2020"/>
      <c r="G31" s="1425">
        <f>IFERROR(VLOOKUP($B$2,BIng!$B$14:$BO$63,BIng!S64),"")</f>
        <v>84</v>
      </c>
      <c r="H31" s="1424" t="str">
        <f>IFERROR(VLOOKUP($B$2,BIng!$B$14:$BO$63,BIng!T64),"")</f>
        <v>C</v>
      </c>
      <c r="I31" s="2025" t="str">
        <f>IFERROR(VLOOKUP($B$2,BIng!$B$14:$BO$63,BIng!AK64),"")</f>
        <v>Memiliki kemampuan baik dalam Menafsirkan unsur dan fungsi dari sebuah lirik lagu , cukup kemampuan dalam Memahami teks memberi dan meminta informasi di masa lalu</v>
      </c>
      <c r="J31" s="2025"/>
      <c r="K31" s="2025"/>
      <c r="L31" s="2025"/>
      <c r="M31" s="2025"/>
      <c r="N31" s="1426"/>
      <c r="O31" s="1392">
        <v>14</v>
      </c>
      <c r="P31" s="382"/>
    </row>
    <row r="32" spans="1:16" ht="12.95" customHeight="1">
      <c r="A32" s="386"/>
      <c r="B32" s="386"/>
      <c r="C32" s="395"/>
      <c r="D32" s="1421" t="s">
        <v>392</v>
      </c>
      <c r="E32" s="1422"/>
      <c r="F32" s="1427"/>
      <c r="G32" s="1425"/>
      <c r="H32" s="1424"/>
      <c r="I32" s="2036"/>
      <c r="J32" s="2036"/>
      <c r="K32" s="2036"/>
      <c r="L32" s="2036"/>
      <c r="M32" s="2036"/>
      <c r="N32" s="1426"/>
      <c r="O32" s="1392">
        <v>15</v>
      </c>
      <c r="P32" s="382"/>
    </row>
    <row r="33" spans="1:16" ht="33.950000000000003" customHeight="1">
      <c r="A33" s="386"/>
      <c r="B33" s="386"/>
      <c r="C33" s="395"/>
      <c r="D33" s="1424">
        <v>1</v>
      </c>
      <c r="E33" s="2019" t="str">
        <f>Data2!C10</f>
        <v>Seni Budaya</v>
      </c>
      <c r="F33" s="2020"/>
      <c r="G33" s="1425">
        <f>IFERROR(VLOOKUP($B$2,SB!$B$14:$BO$63,SB!S64),"")</f>
        <v>87</v>
      </c>
      <c r="H33" s="1424" t="str">
        <f>IFERROR(VLOOKUP($B$2,SB!$B$14:$BO$63,SB!T64),"")</f>
        <v>B</v>
      </c>
      <c r="I33" s="2025" t="str">
        <f>IFERROR(VLOOKUP($B$2,SB!$B$14:$BO$63,SB!AK64),"")</f>
        <v>Memiliki kemampuan baik dalam memahami karya seni rupa dua dimensi dan tiga dimensi dan Memahami jenis dan fungsi alat musik tradisional</v>
      </c>
      <c r="J33" s="2025"/>
      <c r="K33" s="2025"/>
      <c r="L33" s="2025"/>
      <c r="M33" s="2025"/>
      <c r="N33" s="1426"/>
      <c r="O33" s="1392">
        <v>16</v>
      </c>
      <c r="P33" s="382"/>
    </row>
    <row r="34" spans="1:16" ht="33.950000000000003" customHeight="1">
      <c r="A34" s="386"/>
      <c r="B34" s="386"/>
      <c r="C34" s="395"/>
      <c r="D34" s="1424">
        <v>2</v>
      </c>
      <c r="E34" s="2019" t="str">
        <f>Data2!C11</f>
        <v>Pendidikan Jasmani Olahraga dan Kesehatan</v>
      </c>
      <c r="F34" s="2020"/>
      <c r="G34" s="1425">
        <f>IFERROR(VLOOKUP($B$2,pjok!$B$14:$BO$63,pjok!S64),"")</f>
        <v>86</v>
      </c>
      <c r="H34" s="1424" t="str">
        <f>IFERROR(VLOOKUP($B$2,pjok!$B$14:$BO$63,pjok!T64),"")</f>
        <v>B</v>
      </c>
      <c r="I34" s="2025" t="str">
        <f>IFERROR(VLOOKUP($B$2,pjok!$B$14:$BO$63,pjok!AK64),"")</f>
        <v>Memiliki kemampuan baik dalam Menganalisis aktifitas renang gaya bebas, cukup kemampuan dalam Menganalisis bahaya penyala gunaan narkoba</v>
      </c>
      <c r="J34" s="2025"/>
      <c r="K34" s="2025"/>
      <c r="L34" s="2025"/>
      <c r="M34" s="2025"/>
      <c r="N34" s="1426"/>
      <c r="O34" s="1392">
        <v>17</v>
      </c>
      <c r="P34" s="382"/>
    </row>
    <row r="35" spans="1:16" ht="33.950000000000003" customHeight="1">
      <c r="A35" s="386"/>
      <c r="B35" s="386"/>
      <c r="C35" s="395"/>
      <c r="D35" s="1424">
        <v>3</v>
      </c>
      <c r="E35" s="2019" t="str">
        <f>Data2!C12</f>
        <v>Prakarya dan Kewirausahaan</v>
      </c>
      <c r="F35" s="2020"/>
      <c r="G35" s="1425">
        <f>IFERROR(VLOOKUP($B$2,pkwu!$B$14:$BO$63,pkwu!S64),"")</f>
        <v>87</v>
      </c>
      <c r="H35" s="1424" t="str">
        <f>IFERROR(VLOOKUP($B$2,pkwu!$B$14:$BO$63,pkwu!T64),"")</f>
        <v>B</v>
      </c>
      <c r="I35" s="2025" t="str">
        <f>IFERROR(VLOOKUP($B$2,pkwu!$B$14:$BO$63,pkwu!AK64),"")</f>
        <v>Memiliki kemampuan sangat baik dalam memahami strategi pemasaran produk kerajina dengan inspirasi, cukup kemampuan dalam memahami perhitungan biaya produksi berdasarkan daya dukung</v>
      </c>
      <c r="J35" s="2025"/>
      <c r="K35" s="2025"/>
      <c r="L35" s="2025"/>
      <c r="M35" s="2025"/>
      <c r="N35" s="1426"/>
      <c r="O35" s="1392">
        <v>18</v>
      </c>
      <c r="P35" s="382"/>
    </row>
    <row r="36" spans="1:16" ht="33.950000000000003" customHeight="1">
      <c r="A36" s="386"/>
      <c r="B36" s="386"/>
      <c r="C36" s="395"/>
      <c r="D36" s="1424">
        <f>IF(E36="","",D35+1)</f>
        <v>4</v>
      </c>
      <c r="E36" s="2019" t="str">
        <f>IF(Data2!C13="","",Data2!C13)</f>
        <v>Muatan Lokal</v>
      </c>
      <c r="F36" s="2020"/>
      <c r="G36" s="1425" t="str">
        <f>IFERROR(VLOOKUP($B$2,'Mlk1'!$B$14:$BO$63,'Mlk1'!$S$64),"")</f>
        <v/>
      </c>
      <c r="H36" s="1424" t="str">
        <f>IF(E36="","",IFERROR(VLOOKUP($B$2,'Mlk1'!$B$14:$BO$63,'Mlk1'!$T$64),""))</f>
        <v/>
      </c>
      <c r="I36" s="2025" t="str">
        <f>IF(E36="","",IFERROR(VLOOKUP($B$2,'Mlk1'!$B$14:$BO$63,'Mlk1'!$AK$64),""))</f>
        <v/>
      </c>
      <c r="J36" s="2025"/>
      <c r="K36" s="2025"/>
      <c r="L36" s="2025"/>
      <c r="M36" s="2025"/>
      <c r="N36" s="1426"/>
      <c r="O36" s="1392">
        <v>19</v>
      </c>
      <c r="P36" s="382"/>
    </row>
    <row r="37" spans="1:16" s="1103" customFormat="1" ht="33.950000000000003" customHeight="1">
      <c r="A37" s="386"/>
      <c r="B37" s="386"/>
      <c r="C37" s="395"/>
      <c r="D37" s="1424" t="str">
        <f>IF(E37="","",D36+1)</f>
        <v/>
      </c>
      <c r="E37" s="2019" t="str">
        <f>IF(Data2!C14="","",Data2!C14)</f>
        <v/>
      </c>
      <c r="F37" s="2020"/>
      <c r="G37" s="1425" t="str">
        <f>IFERROR(VLOOKUP($B$2,'Ml2'!$B$14:$BO$63,'Ml2'!$S$64),"")</f>
        <v/>
      </c>
      <c r="H37" s="1424" t="str">
        <f>IF(E37="","",IFERROR(VLOOKUP($B$2,'Ml2'!$B$14:$BO$63,'Ml2'!$T$64),""))</f>
        <v/>
      </c>
      <c r="I37" s="2025" t="str">
        <f>IF(E37="","",IFERROR(VLOOKUP($B$2,'Ml2'!$B$14:$BO$63,'Ml2'!$AK$64),""))</f>
        <v/>
      </c>
      <c r="J37" s="2025"/>
      <c r="K37" s="2025"/>
      <c r="L37" s="2025"/>
      <c r="M37" s="2025"/>
      <c r="N37" s="1426"/>
      <c r="O37" s="1392">
        <v>20</v>
      </c>
      <c r="P37" s="382"/>
    </row>
    <row r="38" spans="1:16" s="513" customFormat="1" ht="12.95" customHeight="1">
      <c r="A38" s="386"/>
      <c r="B38" s="386"/>
      <c r="C38" s="395"/>
      <c r="D38" s="1421" t="s">
        <v>393</v>
      </c>
      <c r="E38" s="1422"/>
      <c r="F38" s="1427"/>
      <c r="G38" s="1425"/>
      <c r="H38" s="1424"/>
      <c r="I38" s="2036"/>
      <c r="J38" s="2036"/>
      <c r="K38" s="2036"/>
      <c r="L38" s="2036"/>
      <c r="M38" s="2036"/>
      <c r="N38" s="1426"/>
      <c r="O38" s="1392">
        <v>21</v>
      </c>
      <c r="P38" s="382"/>
    </row>
    <row r="39" spans="1:16" s="966" customFormat="1" ht="12.95" customHeight="1">
      <c r="A39" s="386"/>
      <c r="B39" s="386"/>
      <c r="C39" s="395"/>
      <c r="D39" s="1428" t="str">
        <f>Data2!B17</f>
        <v>I. Peminatan Ilmu-ilmu Sosial</v>
      </c>
      <c r="E39" s="1422"/>
      <c r="F39" s="1422"/>
      <c r="G39" s="1429"/>
      <c r="H39" s="1430"/>
      <c r="I39" s="1431"/>
      <c r="J39" s="1431"/>
      <c r="K39" s="1431"/>
      <c r="L39" s="1431"/>
      <c r="M39" s="1432"/>
      <c r="N39" s="1426"/>
      <c r="O39" s="1392">
        <v>22</v>
      </c>
      <c r="P39" s="382"/>
    </row>
    <row r="40" spans="1:16" s="771" customFormat="1" ht="33.950000000000003" customHeight="1">
      <c r="A40" s="386"/>
      <c r="B40" s="386"/>
      <c r="C40" s="395"/>
      <c r="D40" s="1433">
        <v>1</v>
      </c>
      <c r="E40" s="2031" t="str">
        <f>IF(Data2!$C$15=0,"",Data2!$C$15)</f>
        <v>Sosiologi</v>
      </c>
      <c r="F40" s="2032"/>
      <c r="G40" s="1425">
        <f>IFERROR(VLOOKUP($B$2,sosio!$B$14:$BO$63,sosio!S64),"")</f>
        <v>90</v>
      </c>
      <c r="H40" s="1424" t="str">
        <f>IF(E40="","",IFERROR(VLOOKUP($B$2,sosio!$B$14:$BO$63,sosio!T64),""))</f>
        <v>B</v>
      </c>
      <c r="I40" s="2025" t="str">
        <f>IF(E40="","",IFERROR(VLOOKUP($B$2,sosio!$B$14:$BO$63,sosio!AK64),""))</f>
        <v xml:space="preserve">Memiliki kemampuan baik dalam memahami berbagai metode penelitian di masyarakat dan menganalisis permasalahan sosial di masyarakat </v>
      </c>
      <c r="J40" s="2025"/>
      <c r="K40" s="2025"/>
      <c r="L40" s="2025"/>
      <c r="M40" s="2025"/>
      <c r="N40" s="1426"/>
      <c r="O40" s="1392">
        <v>23</v>
      </c>
      <c r="P40" s="382"/>
    </row>
    <row r="41" spans="1:16" ht="33.950000000000003" customHeight="1">
      <c r="A41" s="386"/>
      <c r="B41" s="386"/>
      <c r="C41" s="395"/>
      <c r="D41" s="1433">
        <f>IF(E41="","",2)</f>
        <v>2</v>
      </c>
      <c r="E41" s="2031" t="str">
        <f>IF(Data2!$C$16=0,"",Data2!$C$16)</f>
        <v>Geografi</v>
      </c>
      <c r="F41" s="2032"/>
      <c r="G41" s="1434">
        <f>IF(E41="","",IFERROR(VLOOKUP($B$2,geog!$B$14:$BO$63,geog!$S$64),""))</f>
        <v>85</v>
      </c>
      <c r="H41" s="1433" t="str">
        <f>IF(E41="","",IFERROR(VLOOKUP($B$2,geog!$B$14:$BO$63,geog!$T$64),""))</f>
        <v>B</v>
      </c>
      <c r="I41" s="2027" t="str">
        <f>IF(E41="","",IFERROR(VLOOKUP($B$2,geog!$B$14:$BO$63,geog!$AK$64),""))</f>
        <v>Memiliki kemampuan baik dalam Menganalisis dinamika litosfer dan dampaknya terhadap kehidupan, cukup kemampuan dalam Menganalisis dinamika atmosfer dan dampaknya terhadap kehidupan</v>
      </c>
      <c r="J41" s="2027"/>
      <c r="K41" s="2027"/>
      <c r="L41" s="2027"/>
      <c r="M41" s="2027"/>
      <c r="N41" s="1426"/>
      <c r="O41" s="1392">
        <v>24</v>
      </c>
      <c r="P41" s="382"/>
    </row>
    <row r="42" spans="1:16" s="513" customFormat="1" ht="33.950000000000003" customHeight="1">
      <c r="A42" s="386"/>
      <c r="B42" s="386"/>
      <c r="C42" s="395"/>
      <c r="D42" s="1433">
        <f>IF(E42="","",3)</f>
        <v>3</v>
      </c>
      <c r="E42" s="2031" t="str">
        <f>IF(Data2!$C$17=0,"",Data2!$C$17)</f>
        <v>Ekonomi</v>
      </c>
      <c r="F42" s="2032"/>
      <c r="G42" s="1434">
        <f>IF(E42="","",IFERROR(VLOOKUP($B$2,ekonomi!$B$14:$BO$63,ekonomi!$S$64),""))</f>
        <v>88</v>
      </c>
      <c r="H42" s="1433" t="str">
        <f>IF(E42="","",IFERROR(VLOOKUP($B$2,ekonomi!$B$14:$BO$63,ekonomi!$T$64),""))</f>
        <v>B</v>
      </c>
      <c r="I42" s="2027" t="str">
        <f>IF(E42="","",IFERROR(VLOOKUP($B$2,ekonomi!$B$14:$BO$63,ekonomi!$AK$64),""))</f>
        <v>Memiliki kemampuan baik dalam Memahami konsumsi dan investasi dan Memahami kebijakan pemerintah dalam bidang ekonomi</v>
      </c>
      <c r="J42" s="2027"/>
      <c r="K42" s="2027"/>
      <c r="L42" s="2027"/>
      <c r="M42" s="2027"/>
      <c r="N42" s="1426"/>
      <c r="O42" s="1392">
        <v>25</v>
      </c>
      <c r="P42" s="382"/>
    </row>
    <row r="43" spans="1:16" s="513" customFormat="1" ht="33.950000000000003" customHeight="1">
      <c r="A43" s="386"/>
      <c r="B43" s="386"/>
      <c r="C43" s="395"/>
      <c r="D43" s="1433">
        <f>IF(E43="","",4)</f>
        <v>4</v>
      </c>
      <c r="E43" s="2031" t="str">
        <f>IF(Data2!$C$18=0,"",Data2!$C$18)</f>
        <v>Sejarah Peminatan</v>
      </c>
      <c r="F43" s="2032"/>
      <c r="G43" s="1434">
        <f>IF(E43="","",IFERROR(VLOOKUP($B$2,'sejarah peminatan'!$B$14:$BO$63,'sejarah peminatan'!$S$64),""))</f>
        <v>86</v>
      </c>
      <c r="H43" s="1433" t="str">
        <f>IF(E43="","",IFERROR(VLOOKUP($B$2,'sejarah peminatan'!$B$14:$BO$63,'sejarah peminatan'!$T$64),""))</f>
        <v>B</v>
      </c>
      <c r="I43" s="2027" t="str">
        <f>IF(E43="","",IFERROR(VLOOKUP($B$2,'sejarah peminatan'!$B$14:$BO$63,'sejarah peminatan'!$AK$64),""))</f>
        <v>Memiliki kemampuan baik dalam Menganalisis berbagai bentuk/jenis sumber Sejarah dan Menganalisis langkah-langkah penelitian Sejarah terhadap berbagai peristiwa Sejarah</v>
      </c>
      <c r="J43" s="2027"/>
      <c r="K43" s="2027"/>
      <c r="L43" s="2027"/>
      <c r="M43" s="2027"/>
      <c r="N43" s="1426"/>
      <c r="O43" s="1392">
        <v>26</v>
      </c>
      <c r="P43" s="382"/>
    </row>
    <row r="44" spans="1:16" s="513" customFormat="1" ht="33.950000000000003" customHeight="1">
      <c r="A44" s="386"/>
      <c r="B44" s="386"/>
      <c r="C44" s="395"/>
      <c r="D44" s="1433" t="str">
        <f>IF(E44="","",5)</f>
        <v/>
      </c>
      <c r="E44" s="2031" t="str">
        <f>IF(Data2!$C$19=0,"",Data2!$C$19)</f>
        <v/>
      </c>
      <c r="F44" s="2032"/>
      <c r="G44" s="1434" t="str">
        <f>IF(E44="","",IFERROR(VLOOKUP($B$2,'PM5'!$B$14:$BO$63,'PM5'!$S$64),""))</f>
        <v/>
      </c>
      <c r="H44" s="1433" t="str">
        <f>IF(E44="","",IFERROR(VLOOKUP($B$2,'PM5'!$B$14:$BO$63,'PM5'!$T$64),""))</f>
        <v/>
      </c>
      <c r="I44" s="2027" t="str">
        <f>IF(E44="","",IFERROR(VLOOKUP($B$2,'PM5'!$B$14:$BO$63,'PM5'!$AK$64),""))</f>
        <v/>
      </c>
      <c r="J44" s="2027"/>
      <c r="K44" s="2027"/>
      <c r="L44" s="2027"/>
      <c r="M44" s="2027"/>
      <c r="N44" s="1426"/>
      <c r="O44" s="1392">
        <v>27</v>
      </c>
      <c r="P44" s="382"/>
    </row>
    <row r="45" spans="1:16" s="513" customFormat="1" ht="33.950000000000003" customHeight="1">
      <c r="A45" s="386"/>
      <c r="B45" s="386"/>
      <c r="C45" s="395"/>
      <c r="D45" s="1433" t="str">
        <f>IF(E45="","",6)</f>
        <v/>
      </c>
      <c r="E45" s="2031" t="str">
        <f>IF(Data2!$C$20=0,"",Data2!$C$20)</f>
        <v/>
      </c>
      <c r="F45" s="2032"/>
      <c r="G45" s="1434" t="str">
        <f>IF(E45="","",IFERROR(VLOOKUP($B$2,'PM6'!$B$14:$BO$63,'PM6'!$S$64),""))</f>
        <v/>
      </c>
      <c r="H45" s="1433" t="str">
        <f>IF(E45="","",IFERROR(VLOOKUP($B$2,'PM6'!$B$14:$BO$63,'PM6'!$T$64),""))</f>
        <v/>
      </c>
      <c r="I45" s="2027" t="str">
        <f>IF(E45="","",IFERROR(VLOOKUP($B$2,'PM6'!$B$14:$BO$63,'PM6'!$AK$64),""))</f>
        <v/>
      </c>
      <c r="J45" s="2027"/>
      <c r="K45" s="2027"/>
      <c r="L45" s="2027"/>
      <c r="M45" s="2027"/>
      <c r="N45" s="1426"/>
      <c r="O45" s="1392">
        <v>28</v>
      </c>
      <c r="P45" s="382"/>
    </row>
    <row r="46" spans="1:16" s="966" customFormat="1" ht="12.95" customHeight="1">
      <c r="A46" s="386"/>
      <c r="B46" s="386"/>
      <c r="C46" s="395"/>
      <c r="D46" s="1428" t="str">
        <f>Data2!B21</f>
        <v>II. Lintas Minat dan/atau Pendalaman Minat</v>
      </c>
      <c r="E46" s="1422"/>
      <c r="F46" s="1422"/>
      <c r="G46" s="1429"/>
      <c r="H46" s="1430"/>
      <c r="I46" s="1431"/>
      <c r="J46" s="1431"/>
      <c r="K46" s="1431"/>
      <c r="L46" s="1431"/>
      <c r="M46" s="1432"/>
      <c r="N46" s="1426"/>
      <c r="O46" s="1392">
        <v>29</v>
      </c>
      <c r="P46" s="382"/>
    </row>
    <row r="47" spans="1:16" s="966" customFormat="1" ht="33.950000000000003" customHeight="1">
      <c r="A47" s="386"/>
      <c r="B47" s="386"/>
      <c r="C47" s="395"/>
      <c r="D47" s="1424">
        <f>IF(E47="","",1)</f>
        <v>1</v>
      </c>
      <c r="E47" s="2019" t="str">
        <f>IF(Data2!$C$21=0,"",Data2!$C$21)</f>
        <v>Biologi</v>
      </c>
      <c r="F47" s="2020"/>
      <c r="G47" s="1425">
        <f>IF(E47="","",IFERROR(VLOOKUP($B$2,biologi!$B$14:$BO$63,biologi!$S$64),""))</f>
        <v>81</v>
      </c>
      <c r="H47" s="1424" t="str">
        <f>IF(E47="","",IFERROR(VLOOKUP($B$2,biologi!$B$14:$BO$63,biologi!$T$64),""))</f>
        <v>C</v>
      </c>
      <c r="I47" s="2028" t="str">
        <f>IF(E47="","",IFERROR(VLOOKUP($B$2,biologi!$B$14:$BO$63,biologi!$AK$64),""))</f>
        <v>Memiliki kemampuan cukup dalam mengenal berbagai jenis hewan berdasarkan filum dan mengelompokkan tumbuhan dalam divisio berdasarkan ciri dan peranan</v>
      </c>
      <c r="J47" s="2028"/>
      <c r="K47" s="2028"/>
      <c r="L47" s="2028"/>
      <c r="M47" s="2028"/>
      <c r="N47" s="1426"/>
      <c r="O47" s="1392">
        <v>30</v>
      </c>
      <c r="P47" s="382"/>
    </row>
    <row r="48" spans="1:16" s="513" customFormat="1" ht="33.950000000000003" customHeight="1">
      <c r="A48" s="386"/>
      <c r="B48" s="386"/>
      <c r="C48" s="395"/>
      <c r="D48" s="1424">
        <f>IF(E48="","",2)</f>
        <v>2</v>
      </c>
      <c r="E48" s="2019" t="str">
        <f>IF(Data2!$C$22=0,"",Data2!$C$22)</f>
        <v>Fisika</v>
      </c>
      <c r="F48" s="2020"/>
      <c r="G48" s="1425">
        <f>IF(E48="","",IFERROR(VLOOKUP($B$2,fissika!$B$14:$BO$63,fissika!$S$64),""))</f>
        <v>82</v>
      </c>
      <c r="H48" s="1424" t="str">
        <f>IF(E48="","",IFERROR(VLOOKUP($B$2,fissika!$B$14:$BO$63,fissika!$T$64),""))</f>
        <v>C</v>
      </c>
      <c r="I48" s="2028" t="str">
        <f>IF(E48="","",IFERROR(VLOOKUP($B$2,fissika!$B$14:$BO$63,fissika!$AK$64),""))</f>
        <v>Memiliki kemampuan cukup dalam Menganalisis konsep energi, usaha dan perubahan energi dan Menganalisis interaksi hubungan antar gaya</v>
      </c>
      <c r="J48" s="2028"/>
      <c r="K48" s="2028"/>
      <c r="L48" s="2028"/>
      <c r="M48" s="2028"/>
      <c r="N48" s="1426"/>
      <c r="O48" s="1392">
        <v>31</v>
      </c>
      <c r="P48" s="382"/>
    </row>
    <row r="49" spans="1:16" s="513" customFormat="1" ht="12.95" customHeight="1">
      <c r="A49" s="386"/>
      <c r="B49" s="386"/>
      <c r="C49" s="395"/>
      <c r="D49" s="1435"/>
      <c r="E49" s="1436"/>
      <c r="F49" s="1436"/>
      <c r="G49" s="1437"/>
      <c r="H49" s="1438"/>
      <c r="I49" s="1439"/>
      <c r="J49" s="1437"/>
      <c r="K49" s="1440"/>
      <c r="L49" s="1441"/>
      <c r="M49" s="1442"/>
      <c r="N49" s="1426"/>
      <c r="O49" s="1392">
        <v>32</v>
      </c>
      <c r="P49" s="382"/>
    </row>
    <row r="50" spans="1:16" s="550" customFormat="1" ht="12" customHeight="1">
      <c r="A50" s="386"/>
      <c r="B50" s="386"/>
      <c r="C50" s="395"/>
      <c r="D50" s="1406"/>
      <c r="E50" s="1407" t="str">
        <f>"Raport "&amp;Data!$C$4</f>
        <v>Raport SMA Negeri 1 Amabi Efeto</v>
      </c>
      <c r="F50" s="1443"/>
      <c r="G50" s="1444"/>
      <c r="H50" s="1445"/>
      <c r="I50" s="1446"/>
      <c r="J50" s="1447"/>
      <c r="K50" s="1447"/>
      <c r="L50" s="1447"/>
      <c r="M50" s="1409">
        <f>M20+1</f>
        <v>2</v>
      </c>
      <c r="N50" s="1448"/>
      <c r="O50" s="1392">
        <v>33</v>
      </c>
      <c r="P50" s="382"/>
    </row>
    <row r="51" spans="1:16" s="546" customFormat="1" ht="12" customHeight="1">
      <c r="A51" s="391"/>
      <c r="B51" s="391"/>
      <c r="C51" s="70"/>
      <c r="D51" s="1410"/>
      <c r="E51" s="1449" t="str">
        <f>E21</f>
        <v>Aldo Alfinus Pakae | 0 | Kelas: X IIS 2 | Semester:1 | 2022-2023</v>
      </c>
      <c r="F51" s="1412"/>
      <c r="G51" s="1412"/>
      <c r="H51" s="1413"/>
      <c r="I51" s="1414"/>
      <c r="J51" s="1415"/>
      <c r="K51" s="1413"/>
      <c r="L51" s="1416"/>
      <c r="M51" s="1450"/>
      <c r="N51" s="1401"/>
      <c r="O51" s="1392">
        <v>34</v>
      </c>
      <c r="P51" s="891"/>
    </row>
    <row r="52" spans="1:16" s="423" customFormat="1" ht="12.95" customHeight="1">
      <c r="A52" s="592"/>
      <c r="B52" s="592"/>
      <c r="C52" s="69"/>
      <c r="D52" s="1451" t="s">
        <v>359</v>
      </c>
      <c r="E52" s="1451" t="s">
        <v>400</v>
      </c>
      <c r="F52" s="1452"/>
      <c r="G52" s="1452"/>
      <c r="H52" s="1410"/>
      <c r="I52" s="1415"/>
      <c r="J52" s="1413"/>
      <c r="K52" s="1416"/>
      <c r="L52" s="1450"/>
      <c r="M52" s="1453"/>
      <c r="N52" s="1454"/>
      <c r="O52" s="1392">
        <v>35</v>
      </c>
      <c r="P52" s="1395"/>
    </row>
    <row r="53" spans="1:16" s="70" customFormat="1" ht="12.95" customHeight="1">
      <c r="A53" s="592"/>
      <c r="B53" s="592"/>
      <c r="D53" s="1403" t="s">
        <v>275</v>
      </c>
      <c r="E53" s="1401"/>
      <c r="F53" s="1455"/>
      <c r="G53" s="1401"/>
      <c r="H53" s="1456">
        <f>Data2!$L$3</f>
        <v>76</v>
      </c>
      <c r="I53" s="1457"/>
      <c r="J53" s="1457"/>
      <c r="K53" s="1457"/>
      <c r="L53" s="1457"/>
      <c r="M53" s="1457"/>
      <c r="N53" s="1454"/>
      <c r="O53" s="1392">
        <v>36</v>
      </c>
      <c r="P53" s="891"/>
    </row>
    <row r="54" spans="1:16" ht="17.100000000000001" customHeight="1">
      <c r="A54" s="386"/>
      <c r="B54" s="386"/>
      <c r="C54" s="395"/>
      <c r="D54" s="1418" t="s">
        <v>55</v>
      </c>
      <c r="E54" s="2030" t="s">
        <v>39</v>
      </c>
      <c r="F54" s="2030"/>
      <c r="G54" s="1419" t="s">
        <v>16</v>
      </c>
      <c r="H54" s="1420" t="s">
        <v>28</v>
      </c>
      <c r="I54" s="2026" t="s">
        <v>14</v>
      </c>
      <c r="J54" s="2026"/>
      <c r="K54" s="2026"/>
      <c r="L54" s="2026"/>
      <c r="M54" s="2026"/>
      <c r="N54" s="1426"/>
      <c r="O54" s="1392">
        <v>37</v>
      </c>
      <c r="P54" s="382"/>
    </row>
    <row r="55" spans="1:16" ht="12.95" customHeight="1">
      <c r="A55" s="386"/>
      <c r="B55" s="386"/>
      <c r="C55" s="395"/>
      <c r="D55" s="1421" t="s">
        <v>391</v>
      </c>
      <c r="E55" s="1422"/>
      <c r="F55" s="1422"/>
      <c r="G55" s="1423"/>
      <c r="H55" s="1423"/>
      <c r="I55" s="2033"/>
      <c r="J55" s="2033"/>
      <c r="K55" s="2033"/>
      <c r="L55" s="2033"/>
      <c r="M55" s="2034"/>
      <c r="N55" s="1426"/>
      <c r="O55" s="1392">
        <v>38</v>
      </c>
      <c r="P55" s="382"/>
    </row>
    <row r="56" spans="1:16" ht="33.950000000000003" customHeight="1">
      <c r="A56" s="386"/>
      <c r="B56" s="386"/>
      <c r="C56" s="395"/>
      <c r="D56" s="1424">
        <v>1</v>
      </c>
      <c r="E56" s="2019" t="str">
        <f t="shared" ref="E56:E58" si="0">E26</f>
        <v>Pendidikan Agama Kristen dan Budi Pekerti</v>
      </c>
      <c r="F56" s="2020"/>
      <c r="G56" s="1425">
        <f>IFERROR(VLOOKUP($B$2,PA!$B$14:$BN$63,PA!AV64),"")</f>
        <v>95</v>
      </c>
      <c r="H56" s="1424" t="str">
        <f>IFERROR(VLOOKUP($B$2,PA!$B$14:$BN$63,PA!AW64),"")</f>
        <v>A</v>
      </c>
      <c r="I56" s="2025" t="str">
        <f>IFERROR(VLOOKUP($B$2,PA!$B$14:$BN$63,PA!BN64),"")</f>
        <v xml:space="preserve">Memiliki keterampilan sangat baik dalam Melaksanakan buah-buah Roh dalam surat Paulus di jemaat Galatia dan Menunjukkan hal-hal yang positif dan negatif manusia </v>
      </c>
      <c r="J56" s="2025"/>
      <c r="K56" s="2025"/>
      <c r="L56" s="2025"/>
      <c r="M56" s="2025"/>
      <c r="N56" s="1426"/>
      <c r="O56" s="1392">
        <v>39</v>
      </c>
      <c r="P56" s="382"/>
    </row>
    <row r="57" spans="1:16" ht="33.950000000000003" customHeight="1">
      <c r="A57" s="386"/>
      <c r="B57" s="386"/>
      <c r="C57" s="395"/>
      <c r="D57" s="1424">
        <v>2</v>
      </c>
      <c r="E57" s="2019" t="str">
        <f t="shared" si="0"/>
        <v>Pendidikan Pancasila dan Kewarganegaraan</v>
      </c>
      <c r="F57" s="2020"/>
      <c r="G57" s="1425">
        <f>IFERROR(VLOOKUP($B$2,PKn!$B$14:$BO$63,PKn!AV64),"")</f>
        <v>95</v>
      </c>
      <c r="H57" s="1424" t="str">
        <f>IFERROR(VLOOKUP($B$2,PKn!$B$14:$BO$63,PKn!AW64),"")</f>
        <v>A</v>
      </c>
      <c r="I57" s="2025" t="str">
        <f>IFERROR(VLOOKUP($B$2,PKn!$B$14:$BO$63,PKn!BN64),"")</f>
        <v>Memiliki keterampilan sangat baik dalam Menyajikan proses dinamika hidrosfer menggunakan peta dan Menyajikan proses dinamika litosfer dengan menggunakan peta</v>
      </c>
      <c r="J57" s="2025"/>
      <c r="K57" s="2025"/>
      <c r="L57" s="2025"/>
      <c r="M57" s="2025"/>
      <c r="N57" s="1426"/>
      <c r="O57" s="1392">
        <v>40</v>
      </c>
      <c r="P57" s="382"/>
    </row>
    <row r="58" spans="1:16" ht="33.950000000000003" customHeight="1">
      <c r="A58" s="386"/>
      <c r="B58" s="386"/>
      <c r="C58" s="395"/>
      <c r="D58" s="1424">
        <v>3</v>
      </c>
      <c r="E58" s="2019" t="str">
        <f t="shared" si="0"/>
        <v>Bahasa Indonesia</v>
      </c>
      <c r="F58" s="2020"/>
      <c r="G58" s="1425">
        <f>IFERROR(VLOOKUP($B$2,BInd!$B$14:$BO$63,BInd!AV64),"")</f>
        <v>88</v>
      </c>
      <c r="H58" s="1424" t="str">
        <f>IFERROR(VLOOKUP($B$2,BInd!$B$14:$BO$63,BInd!AW64),"")</f>
        <v>B</v>
      </c>
      <c r="I58" s="2025" t="str">
        <f>IFERROR(VLOOKUP($B$2,BInd!$B$14:$BO$63,BInd!BN64),"")</f>
        <v>Memiliki keterampilan baik dalam mengembangkan permasalahan isu dan berbagai sudut pandang dan Menyampaikan penawaran dalam teks negosiasi secara lisan.</v>
      </c>
      <c r="J58" s="2025"/>
      <c r="K58" s="2025"/>
      <c r="L58" s="2025"/>
      <c r="M58" s="2025"/>
      <c r="N58" s="1426"/>
      <c r="O58" s="1392">
        <v>41</v>
      </c>
      <c r="P58" s="382"/>
    </row>
    <row r="59" spans="1:16" ht="33.950000000000003" customHeight="1">
      <c r="A59" s="386"/>
      <c r="B59" s="386"/>
      <c r="C59" s="395"/>
      <c r="D59" s="1424">
        <v>4</v>
      </c>
      <c r="E59" s="2019" t="str">
        <f>E29</f>
        <v>Matematika</v>
      </c>
      <c r="F59" s="2020"/>
      <c r="G59" s="1425">
        <f>IFERROR(VLOOKUP($B$2,Mat!$B$14:$BO$63,Mat!AV64),"")</f>
        <v>86</v>
      </c>
      <c r="H59" s="1424" t="str">
        <f>IFERROR(VLOOKUP($B$2,Mat!$B$14:$BO$63,Mat!AW64),"")</f>
        <v>B</v>
      </c>
      <c r="I59" s="2025" t="str">
        <f>IFERROR(VLOOKUP($B$2,Mat!$B$14:$BO$63,Mat!BN64),"")</f>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J59" s="2025"/>
      <c r="K59" s="2025"/>
      <c r="L59" s="2025"/>
      <c r="M59" s="2025"/>
      <c r="N59" s="1426"/>
      <c r="O59" s="1392">
        <v>42</v>
      </c>
      <c r="P59" s="382"/>
    </row>
    <row r="60" spans="1:16" ht="33.950000000000003" customHeight="1">
      <c r="A60" s="386"/>
      <c r="B60" s="386"/>
      <c r="C60" s="395"/>
      <c r="D60" s="1424">
        <v>5</v>
      </c>
      <c r="E60" s="2019" t="str">
        <f>E30</f>
        <v>Sejarah Indonesia</v>
      </c>
      <c r="F60" s="2020"/>
      <c r="G60" s="1425" t="str">
        <f>IFERROR(VLOOKUP($B$2,SEJ!$B$14:$BO$63,SEJ!AV64),"")</f>
        <v/>
      </c>
      <c r="H60" s="1424" t="str">
        <f>IFERROR(VLOOKUP($B$2,SEJ!$B$14:$BO$63,SEJ!AW64),"")</f>
        <v/>
      </c>
      <c r="I60" s="2025" t="str">
        <f>IFERROR(VLOOKUP($B$2,SEJ!$B$14:$BO$63,SEJ!BN64),"")</f>
        <v/>
      </c>
      <c r="J60" s="2025"/>
      <c r="K60" s="2025"/>
      <c r="L60" s="2025"/>
      <c r="M60" s="2025"/>
      <c r="N60" s="1426"/>
      <c r="O60" s="1392">
        <v>43</v>
      </c>
      <c r="P60" s="382"/>
    </row>
    <row r="61" spans="1:16" ht="33.950000000000003" customHeight="1">
      <c r="A61" s="386"/>
      <c r="B61" s="386"/>
      <c r="C61" s="395"/>
      <c r="D61" s="1424">
        <v>6</v>
      </c>
      <c r="E61" s="2019" t="str">
        <f>E31</f>
        <v>Bahasa Inggris</v>
      </c>
      <c r="F61" s="2020"/>
      <c r="G61" s="1425">
        <f>IFERROR(VLOOKUP($B$2,BIng!$B$14:$BO$63,BIng!AV64),"")</f>
        <v>86</v>
      </c>
      <c r="H61" s="1424" t="str">
        <f>IFERROR(VLOOKUP($B$2,BIng!$B$14:$BO$63,BIng!AW64),"")</f>
        <v>B</v>
      </c>
      <c r="I61" s="2025" t="str">
        <f>IFERROR(VLOOKUP($B$2,BIng!$B$14:$BO$63,BIng!BN64),"")</f>
        <v>Memiliki keterampilan baik dalam Menyayikan sebuah lagu bahasa inggris sederhana dan Menyusun teks tentang Past Event</v>
      </c>
      <c r="J61" s="2025"/>
      <c r="K61" s="2025"/>
      <c r="L61" s="2025"/>
      <c r="M61" s="2025"/>
      <c r="N61" s="1426"/>
      <c r="O61" s="1392">
        <v>44</v>
      </c>
      <c r="P61" s="382"/>
    </row>
    <row r="62" spans="1:16" ht="12.95" customHeight="1">
      <c r="A62" s="386"/>
      <c r="B62" s="386"/>
      <c r="C62" s="395"/>
      <c r="D62" s="1421" t="s">
        <v>392</v>
      </c>
      <c r="E62" s="1422"/>
      <c r="F62" s="1427"/>
      <c r="G62" s="1425"/>
      <c r="H62" s="1424"/>
      <c r="I62" s="2029"/>
      <c r="J62" s="2029"/>
      <c r="K62" s="2029"/>
      <c r="L62" s="2029"/>
      <c r="M62" s="2029"/>
      <c r="N62" s="1426"/>
      <c r="O62" s="1392">
        <v>45</v>
      </c>
      <c r="P62" s="382"/>
    </row>
    <row r="63" spans="1:16" ht="33.950000000000003" customHeight="1">
      <c r="A63" s="386"/>
      <c r="B63" s="386"/>
      <c r="C63" s="395"/>
      <c r="D63" s="1424">
        <v>1</v>
      </c>
      <c r="E63" s="2019" t="str">
        <f>E33</f>
        <v>Seni Budaya</v>
      </c>
      <c r="F63" s="2020"/>
      <c r="G63" s="1425">
        <f>IFERROR(VLOOKUP($B$2,SB!$B$14:$BO$63,SB!AV64),"")</f>
        <v>90</v>
      </c>
      <c r="H63" s="1424" t="str">
        <f>IFERROR(VLOOKUP($B$2,SB!$B$14:$BO$63,SB!AW64),"")</f>
        <v>B</v>
      </c>
      <c r="I63" s="2025" t="str">
        <f>IFERROR(VLOOKUP($B$2,SB!$B$14:$BO$63,SB!BN64),"")</f>
        <v>Memiliki keterampilan baik dalam memeragakan seni teater tradisional dan Membuat karya seni rupa dua dimensi menggunakan berbagai media</v>
      </c>
      <c r="J63" s="2025"/>
      <c r="K63" s="2025"/>
      <c r="L63" s="2025"/>
      <c r="M63" s="2025"/>
      <c r="N63" s="1426"/>
      <c r="O63" s="1392">
        <v>46</v>
      </c>
      <c r="P63" s="382"/>
    </row>
    <row r="64" spans="1:16" ht="33.950000000000003" customHeight="1">
      <c r="A64" s="386"/>
      <c r="B64" s="386"/>
      <c r="C64" s="395"/>
      <c r="D64" s="1424">
        <v>2</v>
      </c>
      <c r="E64" s="2019" t="str">
        <f>E34</f>
        <v>Pendidikan Jasmani Olahraga dan Kesehatan</v>
      </c>
      <c r="F64" s="2020"/>
      <c r="G64" s="1425">
        <f>IFERROR(VLOOKUP($B$2,pjok!$B$14:$BO$63,pjok!AV64),"")</f>
        <v>90</v>
      </c>
      <c r="H64" s="1424" t="str">
        <f>IFERROR(VLOOKUP($B$2,pjok!$B$14:$BO$63,pjok!AW64),"")</f>
        <v>B</v>
      </c>
      <c r="I64" s="2025" t="str">
        <f>IFERROR(VLOOKUP($B$2,pjok!$B$14:$BO$63,pjok!BN64),"")</f>
        <v>Memiliki keterampilan baik dalam Mempraktikan gerak senam lantai dan Menyajikan cara remaja bergaul sehat</v>
      </c>
      <c r="J64" s="2025"/>
      <c r="K64" s="2025"/>
      <c r="L64" s="2025"/>
      <c r="M64" s="2025"/>
      <c r="N64" s="1426"/>
      <c r="O64" s="1392">
        <v>47</v>
      </c>
      <c r="P64" s="382"/>
    </row>
    <row r="65" spans="1:16" ht="33.950000000000003" customHeight="1">
      <c r="A65" s="386"/>
      <c r="B65" s="386"/>
      <c r="C65" s="395"/>
      <c r="D65" s="1424">
        <v>3</v>
      </c>
      <c r="E65" s="2019" t="str">
        <f>E35</f>
        <v>Prakarya dan Kewirausahaan</v>
      </c>
      <c r="F65" s="2020"/>
      <c r="G65" s="1425">
        <f>IFERROR(VLOOKUP($B$2,pkwu!$B$14:$BO$63,pkwu!AV64),"")</f>
        <v>80</v>
      </c>
      <c r="H65" s="1424" t="str">
        <f>IFERROR(VLOOKUP($B$2,pkwu!$B$14:$BO$63,pkwu!AW64),"")</f>
        <v>C</v>
      </c>
      <c r="I65" s="2025" t="str">
        <f>IFERROR(VLOOKUP($B$2,pkwu!$B$14:$BO$63,pkwu!BN64),"")</f>
        <v>Memiliki keterampilan cukup dalam menghitung biaya produksi (harga pokok produksi )kerajinan dan menyusun perencanaan usaha kerajinan dengan inspirasi artefak</v>
      </c>
      <c r="J65" s="2025"/>
      <c r="K65" s="2025"/>
      <c r="L65" s="2025"/>
      <c r="M65" s="2025"/>
      <c r="N65" s="1426"/>
      <c r="O65" s="1392">
        <v>48</v>
      </c>
      <c r="P65" s="382"/>
    </row>
    <row r="66" spans="1:16" ht="33.950000000000003" customHeight="1">
      <c r="A66" s="386"/>
      <c r="B66" s="386"/>
      <c r="C66" s="395"/>
      <c r="D66" s="1424">
        <f>IF(E66="","",D65+1)</f>
        <v>4</v>
      </c>
      <c r="E66" s="2019" t="str">
        <f>IF(Data2!C13="","",Data2!C13)</f>
        <v>Muatan Lokal</v>
      </c>
      <c r="F66" s="2020"/>
      <c r="G66" s="1425" t="str">
        <f>IF(E36="","",IFERROR(VLOOKUP($B$2,'Mlk1'!$B$14:$BO$63,'Mlk1'!$AV$64),""))</f>
        <v/>
      </c>
      <c r="H66" s="1424" t="str">
        <f>IF(E36="","",IFERROR(VLOOKUP($B$2,'Mlk1'!$B$14:$BO$63,'Mlk1'!$AW$64),""))</f>
        <v/>
      </c>
      <c r="I66" s="2025" t="str">
        <f>IF(E36="","",IFERROR(VLOOKUP($B$2,'Mlk1'!$B$14:$BO$63,'Mlk1'!$BN$64),""))</f>
        <v/>
      </c>
      <c r="J66" s="2025"/>
      <c r="K66" s="2025"/>
      <c r="L66" s="2025"/>
      <c r="M66" s="2025"/>
      <c r="N66" s="1426"/>
      <c r="O66" s="1392">
        <v>49</v>
      </c>
      <c r="P66" s="382"/>
    </row>
    <row r="67" spans="1:16" s="1103" customFormat="1" ht="33.950000000000003" customHeight="1">
      <c r="A67" s="386"/>
      <c r="B67" s="386"/>
      <c r="C67" s="395"/>
      <c r="D67" s="1424" t="str">
        <f>IF(E67="","",D66+1)</f>
        <v/>
      </c>
      <c r="E67" s="2019" t="str">
        <f>IF(Data2!C14="","",Data2!C14)</f>
        <v/>
      </c>
      <c r="F67" s="2020"/>
      <c r="G67" s="1425" t="str">
        <f>IF(E37="","",IFERROR(VLOOKUP($B$2,'Ml2'!$B$14:$BO$63,'Ml2'!$AV$64),""))</f>
        <v/>
      </c>
      <c r="H67" s="1424" t="str">
        <f>IF(E37="","",IFERROR(VLOOKUP($B$2,'Ml2'!$B$14:$BO$63,'Ml2'!$AW$64),""))</f>
        <v/>
      </c>
      <c r="I67" s="2025" t="str">
        <f>IF(E37="","",IFERROR(VLOOKUP($B$2,'Ml2'!$B$14:$BO$63,'Ml2'!$BN$64),""))</f>
        <v/>
      </c>
      <c r="J67" s="2025"/>
      <c r="K67" s="2025"/>
      <c r="L67" s="2025"/>
      <c r="M67" s="2025"/>
      <c r="N67" s="1426"/>
      <c r="O67" s="1392">
        <v>50</v>
      </c>
      <c r="P67" s="382"/>
    </row>
    <row r="68" spans="1:16" s="513" customFormat="1" ht="12.95" customHeight="1">
      <c r="A68" s="386"/>
      <c r="B68" s="386"/>
      <c r="C68" s="395"/>
      <c r="D68" s="1421" t="s">
        <v>393</v>
      </c>
      <c r="E68" s="1422"/>
      <c r="F68" s="1427"/>
      <c r="G68" s="1425"/>
      <c r="H68" s="1424"/>
      <c r="I68" s="2029"/>
      <c r="J68" s="2029"/>
      <c r="K68" s="2029"/>
      <c r="L68" s="2029"/>
      <c r="M68" s="2029"/>
      <c r="N68" s="1426"/>
      <c r="O68" s="1392">
        <v>51</v>
      </c>
      <c r="P68" s="382"/>
    </row>
    <row r="69" spans="1:16" ht="12.95" customHeight="1">
      <c r="A69" s="386"/>
      <c r="B69" s="386"/>
      <c r="D69" s="1458" t="str">
        <f>Data2!B17</f>
        <v>I. Peminatan Ilmu-ilmu Sosial</v>
      </c>
      <c r="E69" s="1459"/>
      <c r="F69" s="1459"/>
      <c r="G69" s="1459"/>
      <c r="H69" s="1459"/>
      <c r="I69" s="1459"/>
      <c r="J69" s="1459"/>
      <c r="K69" s="1459"/>
      <c r="L69" s="1459"/>
      <c r="M69" s="1460"/>
      <c r="N69" s="1448"/>
      <c r="O69" s="1392">
        <v>52</v>
      </c>
      <c r="P69" s="382"/>
    </row>
    <row r="70" spans="1:16" s="771" customFormat="1" ht="33.950000000000003" customHeight="1">
      <c r="A70" s="386"/>
      <c r="B70" s="386"/>
      <c r="C70" s="395"/>
      <c r="D70" s="1433">
        <v>1</v>
      </c>
      <c r="E70" s="2019" t="str">
        <f>IF(Data2!$C$15="","",Data2!$C$15)</f>
        <v>Sosiologi</v>
      </c>
      <c r="F70" s="2020"/>
      <c r="G70" s="1425">
        <f>IF(E40="","",IFERROR(VLOOKUP($B$2,sosio!$B$14:$BO$63,sosio!AV64),""))</f>
        <v>85</v>
      </c>
      <c r="H70" s="1424" t="str">
        <f>IF(E40="","",IFERROR(VLOOKUP($B$2,sosio!$B$14:$BO$63,sosio!AW64),""))</f>
        <v>B</v>
      </c>
      <c r="I70" s="2025" t="str">
        <f>IF(E40="","",IFERROR(VLOOKUP($B$2,sosio!$B$14:$BO$63,sosio!BN64),""))</f>
        <v>Memiliki keterampilan baik dalam melakukan penelitian sederhana yang terjadi di masyarakat dan memberiakan respon dalam mengatasi permasalahan sosial</v>
      </c>
      <c r="J70" s="2025"/>
      <c r="K70" s="2025"/>
      <c r="L70" s="2025"/>
      <c r="M70" s="2025"/>
      <c r="N70" s="1426"/>
      <c r="O70" s="1392">
        <v>53</v>
      </c>
      <c r="P70" s="382"/>
    </row>
    <row r="71" spans="1:16" ht="33.950000000000003" customHeight="1">
      <c r="A71" s="386"/>
      <c r="B71" s="386"/>
      <c r="C71" s="395"/>
      <c r="D71" s="1433">
        <f>IF(E71="","",2)</f>
        <v>2</v>
      </c>
      <c r="E71" s="2031" t="str">
        <f>IF(Data2!$C$16=0,"",Data2!$C$16)</f>
        <v>Geografi</v>
      </c>
      <c r="F71" s="2032"/>
      <c r="G71" s="1425">
        <f>IF(E41="","",IFERROR(VLOOKUP($B$2,geog!$B$14:$BO$63,geog!$AV$64),""))</f>
        <v>95</v>
      </c>
      <c r="H71" s="1424" t="str">
        <f>IF(E41="","",IFERROR(VLOOKUP($B$2,geog!$B$14:$BO$63,geog!$AW$64),""))</f>
        <v>A</v>
      </c>
      <c r="I71" s="2025" t="str">
        <f>IF(E41="","",IFERROR(VLOOKUP($B$2,geog!$B$14:$BO$63,geog!$BN$64),""))</f>
        <v>Memiliki keterampilan sangat baik dalam Menyajikan proses dinamika hidrosfer menggunakan peta dan Menyajikan proses dinamika litosfer dengan menggunakan peta</v>
      </c>
      <c r="J71" s="2025"/>
      <c r="K71" s="2025"/>
      <c r="L71" s="2025"/>
      <c r="M71" s="2025"/>
      <c r="N71" s="1426"/>
      <c r="O71" s="1392">
        <v>54</v>
      </c>
      <c r="P71" s="382"/>
    </row>
    <row r="72" spans="1:16" s="513" customFormat="1" ht="33.950000000000003" customHeight="1">
      <c r="A72" s="386"/>
      <c r="B72" s="386"/>
      <c r="C72" s="395"/>
      <c r="D72" s="1433">
        <f>IF(E72="","",3)</f>
        <v>3</v>
      </c>
      <c r="E72" s="2031" t="str">
        <f>IF(Data2!$C$17=0,"",Data2!$C$17)</f>
        <v>Ekonomi</v>
      </c>
      <c r="F72" s="2032"/>
      <c r="G72" s="1434">
        <f>IF(E42="","",IFERROR(VLOOKUP($B$2,ekonomi!$B$14:$BO$63,ekonomi!$AV$64),""))</f>
        <v>88</v>
      </c>
      <c r="H72" s="1433" t="str">
        <f>IF(E42="","",IFERROR(VLOOKUP($B$2,ekonomi!$B$14:$BO$63,ekonomi!$AW$64),""))</f>
        <v>B</v>
      </c>
      <c r="I72" s="2027" t="str">
        <f>IF(E42="","",IFERROR(VLOOKUP($B$2,ekonomi!$B$14:$BO$63,ekonomi!$BN$64),""))</f>
        <v xml:space="preserve">Memiliki keterampilan baik dalam Menbedakan peran bank Umum dan Mendeskripsikan masalah masalah yang di hadapi pemerintah </v>
      </c>
      <c r="J72" s="2027"/>
      <c r="K72" s="2027"/>
      <c r="L72" s="2027"/>
      <c r="M72" s="2027"/>
      <c r="N72" s="1426"/>
      <c r="O72" s="1392">
        <v>55</v>
      </c>
      <c r="P72" s="382"/>
    </row>
    <row r="73" spans="1:16" s="513" customFormat="1" ht="33.950000000000003" customHeight="1">
      <c r="A73" s="386"/>
      <c r="B73" s="386"/>
      <c r="C73" s="395"/>
      <c r="D73" s="1433">
        <f>IF(E73="","",4)</f>
        <v>4</v>
      </c>
      <c r="E73" s="2031" t="str">
        <f>IF(Data2!$C$18=0,"",Data2!$C$18)</f>
        <v>Sejarah Peminatan</v>
      </c>
      <c r="F73" s="2032"/>
      <c r="G73" s="1434">
        <f>IF(E43="","",IFERROR(VLOOKUP($B$2,'sejarah peminatan'!$B$14:$BO$63,'sejarah peminatan'!$AV$64),""))</f>
        <v>85</v>
      </c>
      <c r="H73" s="1433" t="str">
        <f>IF(E43="","",IFERROR(VLOOKUP($B$2,'sejarah peminatan'!$B$14:$BO$63,'sejarah peminatan'!$AW$64),""))</f>
        <v>B</v>
      </c>
      <c r="I73" s="2027" t="str">
        <f>IF(E43="","",IFERROR(VLOOKUP($B$2,'sejarah peminatan'!$B$14:$BO$63,'sejarah peminatan'!$BN$64),""))</f>
        <v xml:space="preserve">Memiliki keterampilan baik dalam Menyajikan hasil analisis mengenai keterkaitan antara Manusia Purba Indonesia dan Dunia dengan manusia modern secara fisik dan budaya, dalam berbagai bentuk presentasi., cukup keterampilan dalam Melakukan  penelitian sejarah secara sederhana dan menyajikanya dalam bentuk laporan penelitian.
</v>
      </c>
      <c r="J73" s="2027"/>
      <c r="K73" s="2027"/>
      <c r="L73" s="2027"/>
      <c r="M73" s="2027"/>
      <c r="N73" s="1426"/>
      <c r="O73" s="1392">
        <v>56</v>
      </c>
      <c r="P73" s="382"/>
    </row>
    <row r="74" spans="1:16" s="513" customFormat="1" ht="33.950000000000003" customHeight="1">
      <c r="A74" s="386"/>
      <c r="B74" s="386"/>
      <c r="C74" s="395"/>
      <c r="D74" s="1433" t="str">
        <f>IF(E74="","",5)</f>
        <v/>
      </c>
      <c r="E74" s="2031" t="str">
        <f>IF(Data2!$C$19=0,"",Data2!$C$19)</f>
        <v/>
      </c>
      <c r="F74" s="2032"/>
      <c r="G74" s="1434" t="str">
        <f>IF(E44="","",IFERROR(VLOOKUP($B$2,'PM5'!$B$14:$BO$63,'PM5'!$AV$64),""))</f>
        <v/>
      </c>
      <c r="H74" s="1433" t="str">
        <f>IF(E44="","",IFERROR(VLOOKUP($B$2,'PM5'!$B$14:$BO$63,'PM5'!$AW$64),""))</f>
        <v/>
      </c>
      <c r="I74" s="2027" t="str">
        <f>IF(E44="","",IFERROR(VLOOKUP($B$2,'PM5'!$B$14:$BO$63,'PM5'!$BN$64),""))</f>
        <v/>
      </c>
      <c r="J74" s="2027"/>
      <c r="K74" s="2027"/>
      <c r="L74" s="2027"/>
      <c r="M74" s="2027"/>
      <c r="N74" s="1426"/>
      <c r="O74" s="1392">
        <v>57</v>
      </c>
      <c r="P74" s="382"/>
    </row>
    <row r="75" spans="1:16" s="513" customFormat="1" ht="33.950000000000003" customHeight="1">
      <c r="A75" s="386"/>
      <c r="B75" s="386"/>
      <c r="C75" s="395"/>
      <c r="D75" s="1424" t="str">
        <f>IF(E75="","",6)</f>
        <v/>
      </c>
      <c r="E75" s="2019" t="str">
        <f>IF(Data2!$C$20=0,"",Data2!$C$20)</f>
        <v/>
      </c>
      <c r="F75" s="2020"/>
      <c r="G75" s="1425" t="str">
        <f>IF(E45="","",IFERROR(VLOOKUP($B$2,'PM6'!$B$14:$BO$63,'PM6'!$AV$64),""))</f>
        <v/>
      </c>
      <c r="H75" s="1424" t="str">
        <f>IF(E45="","",IFERROR(VLOOKUP($B$2,'PM6'!$B$14:$BO$63,'PM6'!$AW$64),""))</f>
        <v/>
      </c>
      <c r="I75" s="2028" t="str">
        <f>IF(E45="","",IFERROR(VLOOKUP($B$2,'PM6'!$B$14:$BO$63,'PM6'!$BN$64),""))</f>
        <v/>
      </c>
      <c r="J75" s="2028"/>
      <c r="K75" s="2028"/>
      <c r="L75" s="2028"/>
      <c r="M75" s="2028"/>
      <c r="N75" s="1426"/>
      <c r="O75" s="1392">
        <v>58</v>
      </c>
      <c r="P75" s="382"/>
    </row>
    <row r="76" spans="1:16" s="966" customFormat="1" ht="12.95" customHeight="1">
      <c r="A76" s="386"/>
      <c r="B76" s="386"/>
      <c r="C76" s="395"/>
      <c r="D76" s="1458" t="str">
        <f>Data2!B21</f>
        <v>II. Lintas Minat dan/atau Pendalaman Minat</v>
      </c>
      <c r="E76" s="1459"/>
      <c r="F76" s="1459"/>
      <c r="G76" s="1459"/>
      <c r="H76" s="1459"/>
      <c r="I76" s="1459"/>
      <c r="J76" s="1459"/>
      <c r="K76" s="1459"/>
      <c r="L76" s="1459"/>
      <c r="M76" s="1460"/>
      <c r="N76" s="1426"/>
      <c r="O76" s="1392">
        <v>59</v>
      </c>
      <c r="P76" s="382"/>
    </row>
    <row r="77" spans="1:16" s="966" customFormat="1" ht="33.950000000000003" customHeight="1">
      <c r="A77" s="386"/>
      <c r="B77" s="386"/>
      <c r="C77" s="395"/>
      <c r="D77" s="1424">
        <f>IF(E77="","",1)</f>
        <v>1</v>
      </c>
      <c r="E77" s="2019" t="str">
        <f>IF(Data2!$C$21=0,"",Data2!$C$21)</f>
        <v>Biologi</v>
      </c>
      <c r="F77" s="2020"/>
      <c r="G77" s="1425">
        <f>IF(E47="","",IFERROR(VLOOKUP($B$2,biologi!$B$14:$BO$63,biologi!$AV$64),""))</f>
        <v>81</v>
      </c>
      <c r="H77" s="1424" t="str">
        <f>IF(E47="","",IFERROR(VLOOKUP($B$2,biologi!$B$14:$BO$63,biologi!$AW$64),""))</f>
        <v>C</v>
      </c>
      <c r="I77" s="2028" t="str">
        <f>IF(E47="","",IFERROR(VLOOKUP($B$2,biologi!$B$14:$BO$63,biologi!$BN$64),""))</f>
        <v>Memiliki keterampilan cukup dalam menjelaskan kelompok hewan berdasarkan ciri, reproduksi dan peran dan menyajikan hasil pengamatan jenis hewan di lingkunagn sekitar</v>
      </c>
      <c r="J77" s="2028"/>
      <c r="K77" s="2028"/>
      <c r="L77" s="2028"/>
      <c r="M77" s="2028"/>
      <c r="N77" s="1426"/>
      <c r="O77" s="1392">
        <v>60</v>
      </c>
      <c r="P77" s="382"/>
    </row>
    <row r="78" spans="1:16" s="513" customFormat="1" ht="33.950000000000003" customHeight="1">
      <c r="A78" s="386"/>
      <c r="B78" s="386"/>
      <c r="C78" s="395"/>
      <c r="D78" s="1424">
        <f>IF(E78="","",2)</f>
        <v>2</v>
      </c>
      <c r="E78" s="2019" t="str">
        <f>IF(Data2!$C$22=0,"",Data2!$C$22)</f>
        <v>Fisika</v>
      </c>
      <c r="F78" s="2020"/>
      <c r="G78" s="1425">
        <f>IF(E48="","",IFERROR(VLOOKUP($B$2,fissika!$B$14:$BO$63,fissika!$AV$64),""))</f>
        <v>88</v>
      </c>
      <c r="H78" s="1424" t="str">
        <f>IF(E48="","",IFERROR(VLOOKUP($B$2,fissika!$B$14:$BO$63,fissika!$AW$64),""))</f>
        <v>B</v>
      </c>
      <c r="I78" s="2028" t="str">
        <f>IF(E48="","",IFERROR(VLOOKUP($B$2,fissika!$B$14:$BO$63,fissika!$BN$64),""))</f>
        <v>Memiliki keterampilan baik dalam KD keterampilan 4 Ekonomi dan Melakukan percobaan getaran harmonis pada ayunan sederhana</v>
      </c>
      <c r="J78" s="2028"/>
      <c r="K78" s="2028"/>
      <c r="L78" s="2028"/>
      <c r="M78" s="2028"/>
      <c r="N78" s="1426"/>
      <c r="O78" s="1392">
        <v>61</v>
      </c>
      <c r="P78" s="382"/>
    </row>
    <row r="79" spans="1:16" s="966" customFormat="1" ht="12.95" customHeight="1">
      <c r="A79" s="386"/>
      <c r="B79" s="386"/>
      <c r="C79" s="395"/>
      <c r="D79" s="1461"/>
      <c r="E79" s="1462"/>
      <c r="F79" s="1462"/>
      <c r="G79" s="1463"/>
      <c r="H79" s="1461"/>
      <c r="I79" s="1464"/>
      <c r="J79" s="1464"/>
      <c r="K79" s="1464"/>
      <c r="L79" s="1464"/>
      <c r="M79" s="1464"/>
      <c r="N79" s="1426"/>
      <c r="O79" s="1392">
        <v>62</v>
      </c>
      <c r="P79" s="382"/>
    </row>
    <row r="80" spans="1:16" s="550" customFormat="1" ht="12" customHeight="1">
      <c r="A80" s="386"/>
      <c r="B80" s="386"/>
      <c r="C80" s="395"/>
      <c r="D80" s="1406"/>
      <c r="E80" s="1407" t="str">
        <f>"Raport "&amp;Data!$C$4</f>
        <v>Raport SMA Negeri 1 Amabi Efeto</v>
      </c>
      <c r="F80" s="1443"/>
      <c r="G80" s="1444"/>
      <c r="H80" s="1445"/>
      <c r="I80" s="1446"/>
      <c r="J80" s="1447"/>
      <c r="K80" s="1447"/>
      <c r="L80" s="1447"/>
      <c r="M80" s="1409">
        <f>M50+1</f>
        <v>3</v>
      </c>
      <c r="N80" s="1448"/>
      <c r="O80" s="1392">
        <v>63</v>
      </c>
      <c r="P80" s="382"/>
    </row>
    <row r="81" spans="1:17" s="546" customFormat="1" ht="12" customHeight="1">
      <c r="A81" s="391"/>
      <c r="B81" s="391"/>
      <c r="C81" s="70"/>
      <c r="D81" s="1410"/>
      <c r="E81" s="1449" t="str">
        <f>E51</f>
        <v>Aldo Alfinus Pakae | 0 | Kelas: X IIS 2 | Semester:1 | 2022-2023</v>
      </c>
      <c r="F81" s="1412"/>
      <c r="G81" s="1412"/>
      <c r="H81" s="1413"/>
      <c r="I81" s="1414"/>
      <c r="J81" s="1415"/>
      <c r="K81" s="1413"/>
      <c r="L81" s="1416"/>
      <c r="M81" s="1450"/>
      <c r="N81" s="1401"/>
      <c r="O81" s="1392">
        <v>64</v>
      </c>
      <c r="P81" s="891"/>
    </row>
    <row r="82" spans="1:17" s="513" customFormat="1" ht="14.25" customHeight="1">
      <c r="A82" s="386"/>
      <c r="B82" s="386"/>
      <c r="C82" s="395"/>
      <c r="D82" s="1465" t="s">
        <v>714</v>
      </c>
      <c r="E82" s="1412"/>
      <c r="F82" s="1412"/>
      <c r="G82" s="1413"/>
      <c r="H82" s="1414"/>
      <c r="I82" s="1450"/>
      <c r="J82" s="1450"/>
      <c r="K82" s="1450"/>
      <c r="L82" s="1450"/>
      <c r="M82" s="1450"/>
      <c r="N82" s="1426"/>
      <c r="O82" s="382"/>
      <c r="P82" s="382"/>
    </row>
    <row r="83" spans="1:17" s="513" customFormat="1" ht="14.1" customHeight="1">
      <c r="A83" s="386"/>
      <c r="B83" s="386"/>
      <c r="C83" s="395"/>
      <c r="D83" s="2054" t="s">
        <v>317</v>
      </c>
      <c r="E83" s="2054"/>
      <c r="F83" s="2051" t="s">
        <v>28</v>
      </c>
      <c r="G83" s="2052"/>
      <c r="H83" s="2052"/>
      <c r="I83" s="2052"/>
      <c r="J83" s="2052"/>
      <c r="K83" s="2052"/>
      <c r="L83" s="2052"/>
      <c r="M83" s="2053"/>
      <c r="N83" s="1426"/>
      <c r="O83" s="382"/>
      <c r="P83" s="382"/>
    </row>
    <row r="84" spans="1:17" s="513" customFormat="1" ht="14.1" customHeight="1">
      <c r="A84" s="386"/>
      <c r="B84" s="386"/>
      <c r="C84" s="395"/>
      <c r="D84" s="2054"/>
      <c r="E84" s="2054"/>
      <c r="F84" s="2050" t="s">
        <v>324</v>
      </c>
      <c r="G84" s="2050"/>
      <c r="H84" s="2050"/>
      <c r="I84" s="1466" t="s">
        <v>325</v>
      </c>
      <c r="J84" s="2050" t="s">
        <v>326</v>
      </c>
      <c r="K84" s="2050"/>
      <c r="L84" s="2050"/>
      <c r="M84" s="1467" t="s">
        <v>327</v>
      </c>
      <c r="N84" s="1426"/>
      <c r="O84" s="382"/>
      <c r="P84" s="382"/>
    </row>
    <row r="85" spans="1:17" s="513" customFormat="1" ht="18" customHeight="1">
      <c r="A85" s="386"/>
      <c r="B85" s="386"/>
      <c r="C85" s="395"/>
      <c r="D85" s="2046">
        <f>H23</f>
        <v>76</v>
      </c>
      <c r="E85" s="2046"/>
      <c r="F85" s="2047" t="str">
        <f>"&lt; "&amp;D85</f>
        <v>&lt; 76</v>
      </c>
      <c r="G85" s="2048"/>
      <c r="H85" s="2049"/>
      <c r="I85" s="1468" t="str">
        <f>D85&amp;" - "&amp;ROUNDDOWN(D85+(100-D85)/3,0)</f>
        <v>76 - 84</v>
      </c>
      <c r="J85" s="2047" t="str">
        <f>ROUNDDOWN(D85+(100-D85)/3,0)+1&amp;" - "&amp;(ROUNDDOWN(D85+(100-D85)/3,0)+1)+ROUNDDOWN((100-(ROUNDDOWN(D85+(100-D85)/3,0)+1))/2,0)</f>
        <v>85 - 92</v>
      </c>
      <c r="K85" s="2048"/>
      <c r="L85" s="2049"/>
      <c r="M85" s="1468" t="str">
        <f>(ROUNDDOWN(D85+(100-D85)/3,0)+1)+ROUNDDOWN((100-(ROUNDDOWN(D85+(100-D85)/3,0)+1))/2,0)+1&amp;" - "&amp;100</f>
        <v>93 - 100</v>
      </c>
      <c r="N85" s="1426"/>
      <c r="O85" s="382"/>
      <c r="P85" s="382"/>
    </row>
    <row r="86" spans="1:17" ht="20.100000000000001" customHeight="1">
      <c r="A86" s="386"/>
      <c r="B86" s="386"/>
      <c r="C86" s="395"/>
      <c r="D86" s="1402" t="s">
        <v>361</v>
      </c>
      <c r="E86" s="1402" t="s">
        <v>360</v>
      </c>
      <c r="F86" s="1401"/>
      <c r="G86" s="1401"/>
      <c r="H86" s="1401"/>
      <c r="I86" s="1401"/>
      <c r="J86" s="1401"/>
      <c r="K86" s="1401"/>
      <c r="L86" s="1401"/>
      <c r="M86" s="1401"/>
      <c r="N86" s="1426"/>
      <c r="O86" s="382"/>
      <c r="P86" s="382"/>
    </row>
    <row r="87" spans="1:17" ht="14.1" customHeight="1">
      <c r="A87" s="386"/>
      <c r="B87" s="386"/>
      <c r="C87" s="412"/>
      <c r="D87" s="1469" t="s">
        <v>55</v>
      </c>
      <c r="E87" s="2016" t="s">
        <v>15</v>
      </c>
      <c r="F87" s="2017"/>
      <c r="G87" s="2018"/>
      <c r="H87" s="1418" t="s">
        <v>16</v>
      </c>
      <c r="I87" s="2016" t="s">
        <v>17</v>
      </c>
      <c r="J87" s="2017"/>
      <c r="K87" s="2017"/>
      <c r="L87" s="2017"/>
      <c r="M87" s="2018"/>
      <c r="N87" s="1401"/>
      <c r="O87" s="382"/>
      <c r="P87" s="382"/>
    </row>
    <row r="88" spans="1:17" ht="14.1" customHeight="1">
      <c r="A88" s="386"/>
      <c r="B88" s="386"/>
      <c r="C88" s="395"/>
      <c r="D88" s="1470">
        <v>1</v>
      </c>
      <c r="E88" s="1987" t="str">
        <f>VLOOKUP($B$2,AbEk!$B$9:$U$58,AbEk!I60)</f>
        <v>Pendidikan Kepramukaan</v>
      </c>
      <c r="F88" s="1988"/>
      <c r="G88" s="1989"/>
      <c r="H88" s="1470" t="str">
        <f>IF(VLOOKUP($B$2,AbEk!$B$9:$U$58,AbEk!J60)=0,"",VLOOKUP($B$2,AbEk!$B$9:$U$58,AbEk!J60))</f>
        <v>SB</v>
      </c>
      <c r="I88" s="1990" t="str">
        <f>IF(H88="","",IF(VLOOKUP($B$2,AbEk!$B$9:$U$58,AbEk!K60)="","",VLOOKUP($B$2,AbEk!$B$9:$U$58,AbEk!K60)))</f>
        <v>Juara 1 LT tk. Kabupaten</v>
      </c>
      <c r="J88" s="1990"/>
      <c r="K88" s="1990"/>
      <c r="L88" s="1990"/>
      <c r="M88" s="1990"/>
      <c r="N88" s="1414"/>
      <c r="O88" s="382"/>
      <c r="P88" s="382"/>
    </row>
    <row r="89" spans="1:17" ht="14.1" customHeight="1">
      <c r="A89" s="386"/>
      <c r="B89" s="386"/>
      <c r="C89" s="395"/>
      <c r="D89" s="416">
        <v>2</v>
      </c>
      <c r="E89" s="2008" t="str">
        <f>IF(VLOOKUP($B$2,AbEk!$B$9:$U$58,AbEk!L60)=0,"",VLOOKUP($B$2,AbEk!$B$9:$U$58,AbEk!L60))</f>
        <v>Drumband</v>
      </c>
      <c r="F89" s="2009"/>
      <c r="G89" s="2010"/>
      <c r="H89" s="416" t="str">
        <f>IF(VLOOKUP($B$2,AbEk!$B$9:$U$58,AbEk!M60)=0,"",VLOOKUP($B$2,AbEk!$B$9:$U$58,AbEk!M60))</f>
        <v>SB</v>
      </c>
      <c r="I89" s="2011" t="str">
        <f>IF(H89="","",IF(VLOOKUP($B$2,AbEk!$B$9:$U$58,AbEk!N60)="","",VLOOKUP($B$2,AbEk!$B$9:$U$58,AbEk!N60)))</f>
        <v/>
      </c>
      <c r="J89" s="2011"/>
      <c r="K89" s="2011"/>
      <c r="L89" s="2011"/>
      <c r="M89" s="2011"/>
      <c r="N89" s="415"/>
      <c r="O89" s="382"/>
      <c r="P89" s="1389" t="s">
        <v>62</v>
      </c>
      <c r="Q89" s="383" t="s">
        <v>156</v>
      </c>
    </row>
    <row r="90" spans="1:17" ht="14.1" customHeight="1">
      <c r="A90" s="386"/>
      <c r="B90" s="386"/>
      <c r="C90" s="395"/>
      <c r="D90" s="416">
        <v>3</v>
      </c>
      <c r="E90" s="2008" t="str">
        <f>IF(VLOOKUP($B$2,AbEk!$B$9:$U$58,AbEk!O60)=0,"",VLOOKUP($B$2,AbEk!$B$9:$U$58,AbEk!O60))</f>
        <v>Palang Merah Remaja</v>
      </c>
      <c r="F90" s="2009"/>
      <c r="G90" s="2010"/>
      <c r="H90" s="416" t="str">
        <f>IF(VLOOKUP($B$2,AbEk!$B$9:$U$58,AbEk!P60)=0,"",VLOOKUP($B$2,AbEk!$B$9:$U$58,AbEk!P60))</f>
        <v>B</v>
      </c>
      <c r="I90" s="2011" t="str">
        <f>IF(H90="","",IF(VLOOKUP($B$2,AbEk!$B$9:$U$58,AbEk!Q60)="","",VLOOKUP($B$2,AbEk!$B$9:$U$58,AbEk!Q60)))</f>
        <v>Mampu menolong temannya yang sakit</v>
      </c>
      <c r="J90" s="2011"/>
      <c r="K90" s="2011"/>
      <c r="L90" s="2011"/>
      <c r="M90" s="2011"/>
      <c r="N90" s="415"/>
      <c r="O90" s="382"/>
      <c r="P90" s="1389" t="s">
        <v>59</v>
      </c>
      <c r="Q90" s="383" t="s">
        <v>157</v>
      </c>
    </row>
    <row r="91" spans="1:17" ht="14.1" customHeight="1">
      <c r="A91" s="386"/>
      <c r="B91" s="386"/>
      <c r="C91" s="395"/>
      <c r="D91" s="416">
        <v>4</v>
      </c>
      <c r="E91" s="2008" t="str">
        <f>IF(VLOOKUP($B$2,AbEk!$B$9:$U$58,AbEk!R60)=0,"",VLOOKUP($B$2,AbEk!$B$9:$U$58,AbEk!R60))</f>
        <v/>
      </c>
      <c r="F91" s="2009"/>
      <c r="G91" s="2010"/>
      <c r="H91" s="416" t="str">
        <f>IF(VLOOKUP($B$2,AbEk!$B$9:$U$58,AbEk!S60)=0,"",VLOOKUP($B$2,AbEk!$B$9:$U$58,AbEk!S60))</f>
        <v/>
      </c>
      <c r="I91" s="2011" t="str">
        <f>IF(H91="","",IF(VLOOKUP($B$2,AbEk!$B$9:$U$58,AbEk!T60)="","",VLOOKUP($B$2,AbEk!$B$9:$U$58,AbEk!T60)))</f>
        <v/>
      </c>
      <c r="J91" s="2011"/>
      <c r="K91" s="2011"/>
      <c r="L91" s="2011"/>
      <c r="M91" s="2011"/>
      <c r="N91" s="415"/>
      <c r="O91" s="382"/>
      <c r="P91" s="1389" t="s">
        <v>60</v>
      </c>
      <c r="Q91" s="383" t="s">
        <v>158</v>
      </c>
    </row>
    <row r="92" spans="1:17" s="400" customFormat="1" ht="20.100000000000001" customHeight="1">
      <c r="A92" s="572"/>
      <c r="B92" s="572"/>
      <c r="C92" s="397"/>
      <c r="D92" s="1045" t="s">
        <v>402</v>
      </c>
      <c r="E92" s="1045" t="s">
        <v>401</v>
      </c>
      <c r="F92" s="392"/>
      <c r="G92" s="392"/>
      <c r="H92" s="392"/>
      <c r="I92" s="392"/>
      <c r="J92" s="392"/>
      <c r="K92" s="392"/>
      <c r="L92" s="392"/>
      <c r="M92" s="392"/>
      <c r="N92" s="392"/>
      <c r="O92" s="382"/>
      <c r="P92" s="1396"/>
    </row>
    <row r="93" spans="1:17" s="550" customFormat="1" ht="14.1" customHeight="1">
      <c r="A93" s="386"/>
      <c r="B93" s="386"/>
      <c r="C93" s="395"/>
      <c r="D93" s="547" t="s">
        <v>323</v>
      </c>
      <c r="E93" s="2002" t="s">
        <v>328</v>
      </c>
      <c r="F93" s="2003"/>
      <c r="G93" s="2003"/>
      <c r="H93" s="2004"/>
      <c r="I93" s="2002" t="s">
        <v>17</v>
      </c>
      <c r="J93" s="2003"/>
      <c r="K93" s="2003"/>
      <c r="L93" s="2003"/>
      <c r="M93" s="2004"/>
      <c r="N93" s="392"/>
      <c r="O93" s="382"/>
      <c r="P93" s="382"/>
    </row>
    <row r="94" spans="1:17" s="550" customFormat="1" ht="14.1" customHeight="1">
      <c r="A94" s="386"/>
      <c r="B94" s="386"/>
      <c r="C94" s="395"/>
      <c r="D94" s="552" t="s">
        <v>125</v>
      </c>
      <c r="E94" s="2005" t="str">
        <f>IF(VLOOKUP(B2,Casi!$B$11:$R$60,Casi!M61)="","",VLOOKUP(B2,Casi!$B$11:$R$60,Casi!M61))</f>
        <v>Kesenian</v>
      </c>
      <c r="F94" s="2006"/>
      <c r="G94" s="2006"/>
      <c r="H94" s="2007"/>
      <c r="I94" s="2005" t="str">
        <f>IF(VLOOKUP(B2,Casi!$B$11:$R$60,Casi!N61)="","",VLOOKUP(B2,Casi!$B$11:$R$60,Casi!N61))</f>
        <v>Juara I Lomba Menyanyi antar kelas</v>
      </c>
      <c r="J94" s="2006"/>
      <c r="K94" s="2006"/>
      <c r="L94" s="2006"/>
      <c r="M94" s="2007"/>
      <c r="N94" s="392"/>
      <c r="O94" s="382"/>
      <c r="P94" s="382"/>
    </row>
    <row r="95" spans="1:17" s="550" customFormat="1" ht="14.1" customHeight="1">
      <c r="A95" s="386"/>
      <c r="B95" s="386"/>
      <c r="C95" s="395"/>
      <c r="D95" s="552" t="s">
        <v>126</v>
      </c>
      <c r="E95" s="2005" t="str">
        <f>IF(VLOOKUP(B2,Casi!$B$11:$R$60,Casi!O61)="","",VLOOKUP(B2,Casi!$B$11:$R$60,Casi!O61))</f>
        <v>Keagamaan</v>
      </c>
      <c r="F95" s="2006"/>
      <c r="G95" s="2006"/>
      <c r="H95" s="2007"/>
      <c r="I95" s="2005" t="str">
        <f>IF(VLOOKUP(B2,Casi!$B$11:$R$60,Casi!P61)="","",VLOOKUP(B2,Casi!$B$11:$R$60,Casi!P61))</f>
        <v>Juara I Adzan tingkat Kabupaten</v>
      </c>
      <c r="J95" s="2006"/>
      <c r="K95" s="2006"/>
      <c r="L95" s="2006"/>
      <c r="M95" s="2007"/>
      <c r="N95" s="392"/>
      <c r="O95" s="382"/>
      <c r="P95" s="382"/>
    </row>
    <row r="96" spans="1:17" s="550" customFormat="1" ht="14.1" customHeight="1">
      <c r="A96" s="386"/>
      <c r="B96" s="386"/>
      <c r="C96" s="395"/>
      <c r="D96" s="552" t="s">
        <v>127</v>
      </c>
      <c r="E96" s="2005" t="str">
        <f>IF(VLOOKUP(B2,Casi!$B$11:$R$60,Casi!Q61)="","",VLOOKUP(B2,Casi!$B$11:$R$60,Casi!Q61))</f>
        <v/>
      </c>
      <c r="F96" s="2006"/>
      <c r="G96" s="2006"/>
      <c r="H96" s="2007"/>
      <c r="I96" s="2005" t="str">
        <f>IF(VLOOKUP(B2,Casi!$B$11:$R$60,Casi!R61)="","",VLOOKUP(B2,Casi!$B$11:$R$60,Casi!R61))</f>
        <v/>
      </c>
      <c r="J96" s="2006"/>
      <c r="K96" s="2006"/>
      <c r="L96" s="2006"/>
      <c r="M96" s="2007"/>
      <c r="N96" s="392"/>
      <c r="O96" s="382"/>
      <c r="P96" s="382"/>
    </row>
    <row r="97" spans="1:16" ht="20.100000000000001" customHeight="1">
      <c r="A97" s="386"/>
      <c r="B97" s="386"/>
      <c r="C97" s="395"/>
      <c r="D97" s="1046" t="s">
        <v>330</v>
      </c>
      <c r="E97" s="1046" t="s">
        <v>362</v>
      </c>
      <c r="F97" s="417"/>
      <c r="G97" s="417"/>
      <c r="H97" s="417"/>
      <c r="N97" s="390"/>
      <c r="O97" s="382"/>
      <c r="P97" s="382"/>
    </row>
    <row r="98" spans="1:16" ht="14.1" customHeight="1">
      <c r="A98" s="386"/>
      <c r="B98" s="386"/>
      <c r="C98" s="397"/>
      <c r="D98" s="1991" t="s">
        <v>18</v>
      </c>
      <c r="E98" s="1991"/>
      <c r="F98" s="1991"/>
      <c r="G98" s="1991"/>
      <c r="H98" s="545">
        <f>VLOOKUP($B$2,AbEk!$B$9:$U$58,5)</f>
        <v>5</v>
      </c>
      <c r="I98" s="591" t="s">
        <v>21</v>
      </c>
      <c r="N98" s="390"/>
      <c r="O98" s="382"/>
      <c r="P98" s="382"/>
    </row>
    <row r="99" spans="1:16" ht="14.1" customHeight="1">
      <c r="A99" s="386"/>
      <c r="B99" s="386"/>
      <c r="C99" s="395"/>
      <c r="D99" s="1991" t="s">
        <v>19</v>
      </c>
      <c r="E99" s="1991"/>
      <c r="F99" s="1991"/>
      <c r="G99" s="1991"/>
      <c r="H99" s="545">
        <f>VLOOKUP($B$2,AbEk!$B$9:$U$58,6)</f>
        <v>1</v>
      </c>
      <c r="I99" s="591" t="s">
        <v>21</v>
      </c>
      <c r="N99" s="390"/>
      <c r="O99" s="382"/>
      <c r="P99" s="382"/>
    </row>
    <row r="100" spans="1:16" ht="14.1" customHeight="1">
      <c r="A100" s="386"/>
      <c r="B100" s="386"/>
      <c r="C100" s="395"/>
      <c r="D100" s="1992" t="s">
        <v>20</v>
      </c>
      <c r="E100" s="1992"/>
      <c r="F100" s="1992"/>
      <c r="G100" s="1992"/>
      <c r="H100" s="545">
        <f>VLOOKUP($B$2,AbEk!$B$9:$U$58,7)</f>
        <v>2</v>
      </c>
      <c r="I100" s="591" t="s">
        <v>21</v>
      </c>
      <c r="N100" s="390"/>
      <c r="O100" s="382"/>
      <c r="P100" s="382"/>
    </row>
    <row r="101" spans="1:16" s="400" customFormat="1" ht="20.100000000000001" customHeight="1">
      <c r="A101" s="572"/>
      <c r="B101" s="572"/>
      <c r="C101" s="397"/>
      <c r="D101" s="393" t="s">
        <v>332</v>
      </c>
      <c r="E101" s="393" t="s">
        <v>329</v>
      </c>
      <c r="F101" s="392"/>
      <c r="G101" s="574"/>
      <c r="H101" s="574"/>
      <c r="I101" s="417"/>
      <c r="J101" s="417"/>
      <c r="N101" s="546"/>
      <c r="O101" s="382"/>
      <c r="P101" s="1384"/>
    </row>
    <row r="102" spans="1:16" s="550" customFormat="1" ht="14.1" customHeight="1">
      <c r="A102" s="386"/>
      <c r="B102" s="890">
        <f>IF(VLOOKUP(B2,DKN!B11:AW60,DKN!AW68)&gt;O13,"-",VLOOKUP(B2,DKN!B11:AW60,DKN!AW68))</f>
        <v>5</v>
      </c>
      <c r="C102" s="395"/>
      <c r="D102" s="1993" t="str">
        <f>IF(O10="Ya","Peringkat Nilai : "&amp;B102&amp;" dari "&amp;MAX(DKN!B11:B60)&amp;" siswa. ","")&amp;VLOOKUP(B2,Casi!B11:R60,Casi!$L61)</f>
        <v>Peringkat Nilai : 5 dari 37 siswa. Prestasi baik, perlu dipertahankan dan dtingkatkanSelalu berusaha untuk mematuhi tata tertib sekolah dan patuh terhadap Guru. Mempunyai kemampuan dan motivasi yang tinggi untuk menggunakan waktu secara efisien. Masih perlu memperbanyak teman bergaul dan teman diskusi, kurangi aktifitas menyendiri.</v>
      </c>
      <c r="E102" s="1994"/>
      <c r="F102" s="1994"/>
      <c r="G102" s="1994"/>
      <c r="H102" s="1994"/>
      <c r="I102" s="1994"/>
      <c r="J102" s="1994"/>
      <c r="K102" s="1994"/>
      <c r="L102" s="1994"/>
      <c r="M102" s="1995"/>
      <c r="N102" s="546"/>
      <c r="O102" s="382"/>
      <c r="P102" s="382"/>
    </row>
    <row r="103" spans="1:16" s="550" customFormat="1" ht="14.1" customHeight="1">
      <c r="A103" s="386"/>
      <c r="B103" s="386"/>
      <c r="C103" s="395"/>
      <c r="D103" s="1996"/>
      <c r="E103" s="1997"/>
      <c r="F103" s="1997"/>
      <c r="G103" s="1997"/>
      <c r="H103" s="1997"/>
      <c r="I103" s="1997"/>
      <c r="J103" s="1997"/>
      <c r="K103" s="1997"/>
      <c r="L103" s="1997"/>
      <c r="M103" s="1998"/>
      <c r="N103" s="546"/>
      <c r="O103" s="382"/>
      <c r="P103" s="382"/>
    </row>
    <row r="104" spans="1:16" s="550" customFormat="1" ht="14.1" customHeight="1">
      <c r="A104" s="386"/>
      <c r="B104" s="386"/>
      <c r="C104" s="395"/>
      <c r="D104" s="1996"/>
      <c r="E104" s="1997"/>
      <c r="F104" s="1997"/>
      <c r="G104" s="1997"/>
      <c r="H104" s="1997"/>
      <c r="I104" s="1997"/>
      <c r="J104" s="1997"/>
      <c r="K104" s="1997"/>
      <c r="L104" s="1997"/>
      <c r="M104" s="1998"/>
      <c r="N104" s="546"/>
      <c r="O104" s="382"/>
      <c r="P104" s="382"/>
    </row>
    <row r="105" spans="1:16" s="550" customFormat="1" ht="14.1" customHeight="1">
      <c r="A105" s="386"/>
      <c r="B105" s="386"/>
      <c r="C105" s="395"/>
      <c r="D105" s="1996"/>
      <c r="E105" s="1997"/>
      <c r="F105" s="1997"/>
      <c r="G105" s="1997"/>
      <c r="H105" s="1997"/>
      <c r="I105" s="1997"/>
      <c r="J105" s="1997"/>
      <c r="K105" s="1997"/>
      <c r="L105" s="1997"/>
      <c r="M105" s="1998"/>
      <c r="N105" s="546"/>
      <c r="O105" s="382"/>
      <c r="P105" s="382"/>
    </row>
    <row r="106" spans="1:16" s="550" customFormat="1" ht="14.1" customHeight="1">
      <c r="A106" s="386"/>
      <c r="B106" s="386"/>
      <c r="C106" s="395"/>
      <c r="D106" s="1999"/>
      <c r="E106" s="2000"/>
      <c r="F106" s="2000"/>
      <c r="G106" s="2000"/>
      <c r="H106" s="2000"/>
      <c r="I106" s="2000"/>
      <c r="J106" s="2000"/>
      <c r="K106" s="2000"/>
      <c r="L106" s="2000"/>
      <c r="M106" s="2001"/>
      <c r="N106" s="546"/>
      <c r="O106" s="382"/>
      <c r="P106" s="382"/>
    </row>
    <row r="107" spans="1:16" s="400" customFormat="1" ht="20.100000000000001" customHeight="1">
      <c r="A107" s="572"/>
      <c r="B107" s="572"/>
      <c r="C107" s="397"/>
      <c r="D107" s="1046" t="s">
        <v>420</v>
      </c>
      <c r="E107" s="1046" t="s">
        <v>331</v>
      </c>
      <c r="F107" s="573"/>
      <c r="G107" s="574"/>
      <c r="H107" s="574"/>
      <c r="I107" s="417"/>
      <c r="J107" s="417"/>
      <c r="N107" s="546"/>
      <c r="O107" s="382"/>
      <c r="P107" s="1384"/>
    </row>
    <row r="108" spans="1:16" s="550" customFormat="1" ht="15.95" customHeight="1">
      <c r="A108" s="386"/>
      <c r="B108" s="386"/>
      <c r="C108" s="395"/>
      <c r="D108" s="558"/>
      <c r="E108" s="559"/>
      <c r="F108" s="559"/>
      <c r="G108" s="559"/>
      <c r="H108" s="559"/>
      <c r="I108" s="540"/>
      <c r="J108" s="540"/>
      <c r="K108" s="560"/>
      <c r="L108" s="560"/>
      <c r="M108" s="561"/>
      <c r="N108" s="546"/>
      <c r="O108" s="382"/>
      <c r="P108" s="382"/>
    </row>
    <row r="109" spans="1:16" s="550" customFormat="1" ht="15.95" customHeight="1">
      <c r="A109" s="386"/>
      <c r="B109" s="386"/>
      <c r="C109" s="395"/>
      <c r="D109" s="562"/>
      <c r="E109" s="557"/>
      <c r="F109" s="557"/>
      <c r="G109" s="557"/>
      <c r="H109" s="557"/>
      <c r="I109" s="423"/>
      <c r="J109" s="423"/>
      <c r="K109" s="428"/>
      <c r="L109" s="428"/>
      <c r="M109" s="563"/>
      <c r="N109" s="546"/>
      <c r="O109" s="382"/>
      <c r="P109" s="382"/>
    </row>
    <row r="110" spans="1:16" s="550" customFormat="1" ht="15.95" customHeight="1">
      <c r="A110" s="386"/>
      <c r="B110" s="386"/>
      <c r="C110" s="395"/>
      <c r="D110" s="562"/>
      <c r="E110" s="557"/>
      <c r="F110" s="557"/>
      <c r="G110" s="557"/>
      <c r="H110" s="557"/>
      <c r="I110" s="423"/>
      <c r="J110" s="423"/>
      <c r="K110" s="428"/>
      <c r="L110" s="428"/>
      <c r="M110" s="563"/>
      <c r="N110" s="546"/>
      <c r="O110" s="382"/>
      <c r="P110" s="382"/>
    </row>
    <row r="111" spans="1:16" s="550" customFormat="1" ht="15.95" customHeight="1">
      <c r="A111" s="386"/>
      <c r="B111" s="386"/>
      <c r="C111" s="395"/>
      <c r="D111" s="551"/>
      <c r="E111" s="564"/>
      <c r="F111" s="565"/>
      <c r="G111" s="565"/>
      <c r="H111" s="565"/>
      <c r="I111" s="541"/>
      <c r="J111" s="541"/>
      <c r="K111" s="565"/>
      <c r="L111" s="565"/>
      <c r="M111" s="566"/>
      <c r="N111" s="546"/>
      <c r="O111" s="382"/>
      <c r="P111" s="382"/>
    </row>
    <row r="112" spans="1:16" s="966" customFormat="1" ht="12.75" customHeight="1">
      <c r="A112" s="386"/>
      <c r="B112" s="386"/>
      <c r="C112" s="395"/>
      <c r="D112" s="424"/>
      <c r="E112" s="424"/>
      <c r="F112" s="428"/>
      <c r="G112" s="428"/>
      <c r="H112" s="428"/>
      <c r="I112" s="423"/>
      <c r="J112" s="423"/>
      <c r="K112" s="428"/>
      <c r="L112" s="428"/>
      <c r="M112" s="428"/>
      <c r="N112" s="979"/>
      <c r="O112" s="382"/>
      <c r="P112" s="382"/>
    </row>
    <row r="113" spans="1:16" s="966" customFormat="1" ht="14.1" customHeight="1">
      <c r="A113" s="386"/>
      <c r="B113" s="1376" t="str">
        <f>IF(VALUE(LEFT(Data!$C$9,2))=12,"LULUS","NAIK KE KELAS")</f>
        <v>NAIK KE KELAS</v>
      </c>
      <c r="C113" s="420"/>
      <c r="D113" s="2035" t="str">
        <f>IF(Data!$C$10=1,"","Keputusan:")</f>
        <v/>
      </c>
      <c r="E113" s="2035"/>
      <c r="F113" s="2035"/>
      <c r="G113" s="2035"/>
      <c r="H113" s="2035"/>
      <c r="I113" s="2035"/>
      <c r="J113" s="2035"/>
      <c r="K113" s="428"/>
      <c r="L113" s="428"/>
      <c r="M113" s="428"/>
      <c r="N113" s="1048"/>
      <c r="O113" s="382"/>
      <c r="P113" s="382"/>
    </row>
    <row r="114" spans="1:16" s="966" customFormat="1" ht="14.1" customHeight="1">
      <c r="A114" s="386"/>
      <c r="B114" s="1376" t="str">
        <f>IF(VALUE(LEFT(Data!$C$9,2))=12,"TIDAK LULUS","TINGGAL DI KELAS")</f>
        <v>TINGGAL DI KELAS</v>
      </c>
      <c r="C114" s="420"/>
      <c r="D114" s="1373" t="str">
        <f>IF(VALUE(LEFT(Data!$C$9,1))=9,"Berdasarkan kriteria kelulusan pada kurikulum sekolah tahun pelajaran "&amp;Data!$C$11&amp;" siswa ditetapkan",IF(MOD(Data!$C$10,2)=1,"","Berdasarkan hasil yang dicapai pada semester 1 dan 2, Peserta Didik ditetapkan"))</f>
        <v/>
      </c>
      <c r="E114" s="1373"/>
      <c r="F114" s="1373"/>
      <c r="G114" s="1373"/>
      <c r="H114" s="1373"/>
      <c r="I114" s="1373"/>
      <c r="J114" s="1377"/>
      <c r="K114" s="428"/>
      <c r="L114" s="428"/>
      <c r="M114" s="428"/>
      <c r="N114" s="428"/>
      <c r="O114" s="382"/>
      <c r="P114" s="382"/>
    </row>
    <row r="115" spans="1:16" ht="14.1" customHeight="1">
      <c r="A115" s="386"/>
      <c r="B115" s="1378">
        <f>MOD(Data!$C$10,2)</f>
        <v>1</v>
      </c>
      <c r="C115" s="420"/>
      <c r="D115" s="1379" t="str">
        <f>IF(B115=1,"",IF($O$4="Naik/Lulus",B113,B114))</f>
        <v/>
      </c>
      <c r="E115" s="423"/>
      <c r="F115" s="423"/>
      <c r="H115" s="1380" t="str">
        <f>IF(B113="LULUS","",IF(B115=1,"",":"))</f>
        <v/>
      </c>
      <c r="I115" s="1381" t="str">
        <f>IFERROR(IF(B115=1,"",IF(D115="NAIK KE KELAS",ROMAN(VALUE(LEFT(Data!$C$9,2)+1))&amp;CHOOSE(VALUE(LEFT(Data!$C$9,2)-9),"  ( SEBELAS )","  ( DUABELAS )"),ROMAN(VALUE(LEFT(Data!$C$9,2)))&amp;CHOOSE(VALUE(LEFT(Data!$C$9,2)-9),"  ( SEPULUH )","  ( SEBELAS )"))),"")</f>
        <v/>
      </c>
      <c r="J115" s="1377"/>
      <c r="O115" s="382"/>
      <c r="P115" s="382"/>
    </row>
    <row r="116" spans="1:16" s="550" customFormat="1" ht="12.95" customHeight="1">
      <c r="A116" s="386"/>
      <c r="B116" s="386"/>
      <c r="C116" s="395"/>
      <c r="D116" s="425"/>
      <c r="E116" s="425"/>
      <c r="F116" s="425"/>
      <c r="G116" s="425"/>
      <c r="H116" s="425"/>
      <c r="I116" s="425"/>
      <c r="J116" s="426"/>
      <c r="K116" s="864"/>
      <c r="L116" s="427"/>
      <c r="M116" s="427"/>
      <c r="O116" s="1397"/>
      <c r="P116" s="382"/>
    </row>
    <row r="117" spans="1:16" s="966" customFormat="1" ht="12.95" customHeight="1">
      <c r="A117" s="386"/>
      <c r="B117" s="386"/>
      <c r="C117" s="395"/>
      <c r="D117" s="965" t="s">
        <v>677</v>
      </c>
      <c r="E117" s="423"/>
      <c r="F117" s="423"/>
      <c r="G117" s="423"/>
      <c r="H117" s="423"/>
      <c r="I117" s="421"/>
      <c r="J117" s="2012" t="str">
        <f>Data!$C$14&amp;", "&amp;TEXT(Data!$C$15,"d mmmm yyy")</f>
        <v>Kupang, 22 December 2022</v>
      </c>
      <c r="K117" s="2012"/>
      <c r="L117" s="2012"/>
      <c r="M117" s="2012"/>
      <c r="O117" s="1397"/>
      <c r="P117" s="382"/>
    </row>
    <row r="118" spans="1:16" s="966" customFormat="1" ht="12.95" customHeight="1">
      <c r="A118" s="386"/>
      <c r="B118" s="386"/>
      <c r="C118" s="395"/>
      <c r="D118" s="960" t="s">
        <v>366</v>
      </c>
      <c r="J118" s="2013" t="s">
        <v>614</v>
      </c>
      <c r="K118" s="2013"/>
      <c r="L118" s="2013"/>
      <c r="M118" s="2013"/>
      <c r="O118" s="1397"/>
      <c r="P118" s="382"/>
    </row>
    <row r="119" spans="1:16" s="966" customFormat="1" ht="12.95" customHeight="1">
      <c r="A119" s="386"/>
      <c r="B119" s="386"/>
      <c r="C119" s="395"/>
      <c r="D119" s="960"/>
      <c r="J119" s="2013"/>
      <c r="K119" s="2013"/>
      <c r="L119" s="2013"/>
      <c r="M119" s="2013"/>
      <c r="O119" s="1397"/>
      <c r="P119" s="382"/>
    </row>
    <row r="120" spans="1:16" s="1108" customFormat="1" ht="12.95" customHeight="1">
      <c r="A120" s="386"/>
      <c r="B120" s="386"/>
      <c r="C120" s="395"/>
      <c r="D120" s="1106"/>
      <c r="J120" s="1109"/>
      <c r="K120" s="1109"/>
      <c r="L120" s="1109"/>
      <c r="M120" s="1109"/>
      <c r="O120" s="1397"/>
      <c r="P120" s="382"/>
    </row>
    <row r="121" spans="1:16" s="966" customFormat="1" ht="12.95" customHeight="1">
      <c r="A121" s="386"/>
      <c r="B121" s="386"/>
      <c r="C121" s="395"/>
      <c r="J121" s="2012"/>
      <c r="K121" s="2012"/>
      <c r="L121" s="2012"/>
      <c r="M121" s="2012"/>
      <c r="O121" s="1397"/>
      <c r="P121" s="382"/>
    </row>
    <row r="122" spans="1:16" s="966" customFormat="1" ht="12.95" customHeight="1">
      <c r="A122" s="386"/>
      <c r="B122" s="386"/>
      <c r="C122" s="395"/>
      <c r="E122" s="960"/>
      <c r="F122" s="423"/>
      <c r="G122" s="423"/>
      <c r="I122" s="962"/>
      <c r="J122" s="2014"/>
      <c r="K122" s="2014"/>
      <c r="L122" s="2014"/>
      <c r="M122" s="2014"/>
      <c r="O122" s="1397"/>
      <c r="P122" s="382"/>
    </row>
    <row r="123" spans="1:16" s="966" customFormat="1" ht="12.95" customHeight="1">
      <c r="A123" s="386"/>
      <c r="B123" s="386"/>
      <c r="C123" s="395"/>
      <c r="D123" s="965" t="s">
        <v>616</v>
      </c>
      <c r="F123" s="428"/>
      <c r="G123" s="428"/>
      <c r="I123" s="961"/>
      <c r="J123" s="2015" t="str">
        <f>Data!$C$12</f>
        <v>Sendi Laura Kee, S.Pd</v>
      </c>
      <c r="K123" s="2015"/>
      <c r="L123" s="2015"/>
      <c r="M123" s="2015"/>
      <c r="O123" s="1397"/>
      <c r="P123" s="382"/>
    </row>
    <row r="124" spans="1:16" s="966" customFormat="1" ht="12.95" customHeight="1">
      <c r="A124" s="386"/>
      <c r="B124" s="386"/>
      <c r="C124" s="395"/>
      <c r="J124" s="1986" t="str">
        <f>Data!$B$13&amp;". "&amp;Data!$C$13</f>
        <v>NIP. 198410062022212020</v>
      </c>
      <c r="K124" s="1986"/>
      <c r="L124" s="1986"/>
      <c r="M124" s="1986"/>
      <c r="O124" s="1397"/>
      <c r="P124" s="382"/>
    </row>
    <row r="125" spans="1:16" s="421" customFormat="1" ht="12.95" customHeight="1">
      <c r="A125" s="419"/>
      <c r="B125" s="419"/>
      <c r="C125" s="420"/>
      <c r="D125" s="965"/>
      <c r="E125" s="966"/>
      <c r="F125" s="966"/>
      <c r="G125" s="966"/>
      <c r="H125" s="1104" t="s">
        <v>490</v>
      </c>
      <c r="J125" s="961"/>
      <c r="K125" s="963"/>
      <c r="L125" s="966"/>
      <c r="M125" s="961"/>
      <c r="O125" s="1387"/>
      <c r="P125" s="1387"/>
    </row>
    <row r="126" spans="1:16" ht="12.95" customHeight="1">
      <c r="A126" s="386"/>
      <c r="B126" s="386"/>
      <c r="C126" s="395"/>
      <c r="D126" s="965"/>
      <c r="E126" s="966"/>
      <c r="F126" s="966"/>
      <c r="G126" s="966"/>
      <c r="H126" s="1101" t="s">
        <v>142</v>
      </c>
      <c r="J126" s="966"/>
      <c r="K126" s="961"/>
      <c r="L126" s="966"/>
      <c r="M126" s="966"/>
      <c r="O126" s="382"/>
      <c r="P126" s="382"/>
    </row>
    <row r="127" spans="1:16" ht="12.95" customHeight="1">
      <c r="A127" s="386"/>
      <c r="B127" s="386"/>
      <c r="C127" s="395"/>
      <c r="D127" s="966"/>
      <c r="E127" s="965"/>
      <c r="F127" s="965"/>
      <c r="G127" s="965"/>
      <c r="H127" s="1104"/>
      <c r="J127" s="960"/>
      <c r="K127" s="963"/>
      <c r="L127" s="966"/>
      <c r="M127" s="965"/>
      <c r="O127" s="382"/>
      <c r="P127" s="382"/>
    </row>
    <row r="128" spans="1:16" s="390" customFormat="1" ht="12.95" customHeight="1">
      <c r="A128" s="391"/>
      <c r="B128" s="391"/>
      <c r="C128" s="70"/>
      <c r="D128" s="966"/>
      <c r="E128" s="965"/>
      <c r="F128" s="965"/>
      <c r="G128" s="965"/>
      <c r="H128" s="1101"/>
      <c r="J128" s="966"/>
      <c r="K128" s="963"/>
      <c r="L128" s="966"/>
      <c r="M128" s="965"/>
      <c r="N128" s="423"/>
      <c r="O128" s="891"/>
      <c r="P128" s="891"/>
    </row>
    <row r="129" spans="1:16" ht="12.95" customHeight="1">
      <c r="A129" s="386"/>
      <c r="B129" s="386"/>
      <c r="C129" s="395"/>
      <c r="D129" s="966"/>
      <c r="E129" s="965"/>
      <c r="F129" s="965"/>
      <c r="G129" s="965"/>
      <c r="H129" s="1101"/>
      <c r="J129" s="966"/>
      <c r="K129" s="963"/>
      <c r="L129" s="966"/>
      <c r="M129" s="965"/>
      <c r="N129" s="428"/>
      <c r="O129" s="382"/>
      <c r="P129" s="382"/>
    </row>
    <row r="130" spans="1:16" ht="12.95" customHeight="1">
      <c r="A130" s="386"/>
      <c r="B130" s="386"/>
      <c r="C130" s="395"/>
      <c r="D130" s="966"/>
      <c r="E130" s="966"/>
      <c r="F130" s="966"/>
      <c r="G130" s="966"/>
      <c r="H130" s="1104"/>
      <c r="J130" s="966"/>
      <c r="K130" s="961"/>
      <c r="L130" s="966"/>
      <c r="M130" s="966"/>
      <c r="N130" s="429"/>
      <c r="O130" s="382"/>
      <c r="P130" s="382"/>
    </row>
    <row r="131" spans="1:16" ht="12.95" customHeight="1">
      <c r="A131" s="386"/>
      <c r="B131" s="386"/>
      <c r="C131" s="395"/>
      <c r="D131" s="966"/>
      <c r="E131" s="966"/>
      <c r="F131" s="966"/>
      <c r="G131" s="966"/>
      <c r="H131" s="1105" t="str">
        <f>Data!$C$7</f>
        <v>Nelson Nome, S.Pd</v>
      </c>
      <c r="J131" s="965"/>
      <c r="K131" s="961"/>
      <c r="L131" s="966"/>
      <c r="M131" s="966"/>
      <c r="O131" s="382"/>
      <c r="P131" s="382"/>
    </row>
    <row r="132" spans="1:16" s="394" customFormat="1" ht="12.95" customHeight="1">
      <c r="A132" s="408"/>
      <c r="B132" s="408"/>
      <c r="C132" s="409"/>
      <c r="D132" s="966"/>
      <c r="E132" s="966"/>
      <c r="F132" s="966"/>
      <c r="G132" s="966"/>
      <c r="H132" s="1104" t="str">
        <f>Data!$B$8&amp;". "&amp;Data!$C$8</f>
        <v>NIP. 19781107201001 1 022</v>
      </c>
      <c r="J132" s="966"/>
      <c r="K132" s="966"/>
      <c r="L132" s="966"/>
      <c r="M132" s="966"/>
      <c r="O132" s="1388"/>
      <c r="P132" s="1388"/>
    </row>
    <row r="133" spans="1:16" ht="18" customHeight="1">
      <c r="A133" s="386"/>
      <c r="B133" s="386"/>
      <c r="I133" s="430"/>
      <c r="O133" s="382"/>
      <c r="P133" s="382"/>
    </row>
    <row r="134" spans="1:16" s="550" customFormat="1" ht="12" customHeight="1">
      <c r="A134" s="386"/>
      <c r="B134" s="386"/>
      <c r="C134" s="395"/>
      <c r="D134" s="586"/>
      <c r="E134" s="589" t="str">
        <f>"Raport "&amp;Data!$C$4</f>
        <v>Raport SMA Negeri 1 Amabi Efeto</v>
      </c>
      <c r="F134" s="584"/>
      <c r="G134" s="585"/>
      <c r="H134" s="577"/>
      <c r="I134" s="578"/>
      <c r="J134" s="579"/>
      <c r="K134" s="579"/>
      <c r="L134" s="579"/>
      <c r="M134" s="581">
        <f>M80+1</f>
        <v>4</v>
      </c>
      <c r="O134" s="382"/>
      <c r="P134" s="382"/>
    </row>
    <row r="135" spans="1:16" s="546" customFormat="1" ht="12" customHeight="1">
      <c r="A135" s="391"/>
      <c r="B135" s="391"/>
      <c r="C135" s="70"/>
      <c r="D135" s="587"/>
      <c r="E135" s="590" t="str">
        <f>E81</f>
        <v>Aldo Alfinus Pakae | 0 | Kelas: X IIS 2 | Semester:1 | 2022-2023</v>
      </c>
      <c r="F135" s="583"/>
      <c r="G135" s="583"/>
      <c r="H135" s="410"/>
      <c r="I135" s="401"/>
      <c r="J135" s="555"/>
      <c r="K135" s="410"/>
      <c r="L135" s="415"/>
      <c r="M135" s="411"/>
      <c r="O135" s="382"/>
      <c r="P135" s="891"/>
    </row>
    <row r="136" spans="1:16" ht="13.5" customHeight="1">
      <c r="A136" s="386"/>
      <c r="B136" s="386"/>
      <c r="C136" s="386"/>
      <c r="D136" s="386"/>
      <c r="E136" s="386"/>
      <c r="F136" s="386"/>
      <c r="G136" s="386"/>
      <c r="H136" s="386"/>
      <c r="I136" s="386"/>
      <c r="J136" s="386"/>
      <c r="K136" s="386"/>
      <c r="L136" s="386"/>
      <c r="M136" s="386"/>
      <c r="N136" s="386"/>
      <c r="O136" s="382"/>
      <c r="P136" s="382"/>
    </row>
    <row r="137" spans="1:16">
      <c r="A137" s="386"/>
      <c r="B137" s="386"/>
      <c r="C137" s="386"/>
      <c r="D137" s="386"/>
      <c r="E137" s="386"/>
      <c r="F137" s="386"/>
      <c r="G137" s="386"/>
      <c r="H137" s="386"/>
      <c r="I137" s="386"/>
      <c r="J137" s="386"/>
      <c r="K137" s="386"/>
      <c r="L137" s="386"/>
      <c r="M137" s="386"/>
      <c r="N137" s="386"/>
      <c r="O137" s="382"/>
      <c r="P137" s="382"/>
    </row>
    <row r="138" spans="1:16" hidden="1"/>
    <row r="139" spans="1:16" hidden="1"/>
    <row r="140" spans="1:16" hidden="1"/>
    <row r="141" spans="1:16" hidden="1"/>
    <row r="142" spans="1:16" hidden="1"/>
    <row r="143" spans="1:16" hidden="1"/>
    <row r="144" spans="1:16"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t="12.75" hidden="1" customHeight="1"/>
    <row r="211" ht="12.75" hidden="1" customHeight="1"/>
    <row r="212" ht="12.75" hidden="1" customHeight="1"/>
    <row r="213" ht="12.75" hidden="1" customHeight="1"/>
    <row r="214" ht="12.75" hidden="1" customHeight="1"/>
    <row r="215" ht="12.75" hidden="1" customHeight="1"/>
    <row r="216" ht="12.75" hidden="1" customHeight="1"/>
    <row r="217" ht="12.75" hidden="1" customHeight="1"/>
    <row r="218" ht="12.75" hidden="1" customHeight="1"/>
    <row r="219" ht="12.75" hidden="1" customHeight="1"/>
    <row r="220" ht="12.75" hidden="1" customHeight="1"/>
    <row r="221" ht="12.75" hidden="1" customHeight="1"/>
    <row r="222" ht="12.75" hidden="1" customHeight="1"/>
    <row r="223" ht="12.75" hidden="1" customHeight="1"/>
    <row r="224" ht="12.75" hidden="1" customHeight="1"/>
    <row r="225" ht="12.75" hidden="1" customHeight="1"/>
    <row r="226" ht="12.75" hidden="1" customHeight="1"/>
    <row r="227" ht="12.75" hidden="1" customHeight="1"/>
    <row r="228" ht="12.75" hidden="1" customHeight="1"/>
    <row r="229" ht="12.75" hidden="1" customHeight="1"/>
    <row r="230" ht="12.75" hidden="1" customHeight="1"/>
    <row r="231" ht="12.75" hidden="1" customHeight="1"/>
    <row r="232" ht="12.75" hidden="1" customHeight="1"/>
    <row r="233" ht="12.75" hidden="1" customHeight="1"/>
    <row r="234" ht="12.75" hidden="1" customHeight="1"/>
    <row r="235" ht="12.75" hidden="1" customHeight="1"/>
    <row r="236" ht="12.75" hidden="1" customHeight="1"/>
    <row r="237" ht="12.75" hidden="1" customHeight="1"/>
    <row r="238" ht="12.75" hidden="1" customHeight="1"/>
    <row r="239" ht="12.75" hidden="1" customHeight="1"/>
    <row r="240" ht="12.75" hidden="1" customHeight="1"/>
    <row r="241" ht="12.75" hidden="1" customHeight="1"/>
    <row r="242" ht="12.75" hidden="1" customHeight="1"/>
    <row r="243" ht="12.75" hidden="1" customHeight="1"/>
    <row r="244" ht="12.75" hidden="1" customHeight="1"/>
    <row r="245" ht="12.75" hidden="1" customHeight="1"/>
    <row r="246" ht="12.75" hidden="1" customHeight="1"/>
    <row r="247" ht="12.75" hidden="1" customHeight="1"/>
    <row r="248" ht="12.75" hidden="1" customHeight="1"/>
    <row r="249" ht="12.75" hidden="1" customHeight="1"/>
    <row r="250" ht="12.75" hidden="1" customHeight="1"/>
    <row r="251" ht="12.75" hidden="1" customHeight="1"/>
    <row r="252" ht="12.75" hidden="1" customHeight="1"/>
    <row r="253" ht="12.75" hidden="1" customHeight="1"/>
    <row r="254" ht="12.75" hidden="1" customHeight="1"/>
    <row r="255" ht="12.75" hidden="1" customHeight="1"/>
    <row r="256" ht="12.75" hidden="1" customHeight="1"/>
    <row r="257" ht="12.75" hidden="1" customHeight="1"/>
    <row r="258" ht="12.75" hidden="1" customHeight="1"/>
    <row r="259" ht="12.75" hidden="1" customHeight="1"/>
    <row r="260" ht="12.75" hidden="1" customHeight="1"/>
    <row r="261" ht="12.75" hidden="1" customHeight="1"/>
    <row r="262" ht="12.75" hidden="1" customHeight="1"/>
    <row r="263" ht="12.75" hidden="1" customHeight="1"/>
    <row r="264" ht="12.75" hidden="1" customHeight="1"/>
    <row r="265" ht="12.75" hidden="1" customHeight="1"/>
    <row r="266" ht="12.75" hidden="1" customHeight="1"/>
    <row r="267" ht="12.75" hidden="1" customHeight="1"/>
    <row r="268" ht="12.75" hidden="1" customHeight="1"/>
    <row r="269" ht="12.75" hidden="1" customHeight="1"/>
    <row r="270" ht="12.75" hidden="1" customHeight="1"/>
    <row r="271" ht="12.75" hidden="1" customHeight="1"/>
    <row r="272" ht="12.75" hidden="1" customHeight="1"/>
    <row r="273" ht="12.75" hidden="1" customHeight="1"/>
    <row r="274" ht="12.75" hidden="1" customHeight="1"/>
    <row r="275" ht="12.75" hidden="1" customHeight="1"/>
    <row r="276" ht="12.75" hidden="1" customHeight="1"/>
    <row r="277" ht="12.75" hidden="1" customHeight="1"/>
    <row r="278" ht="12.75" hidden="1" customHeight="1"/>
    <row r="279" ht="12.75" hidden="1" customHeight="1"/>
    <row r="280" ht="12.75" hidden="1" customHeight="1"/>
    <row r="281" ht="12.75" hidden="1" customHeight="1"/>
    <row r="282" ht="12.75" hidden="1" customHeight="1"/>
    <row r="283" ht="12.75" hidden="1" customHeight="1"/>
    <row r="284" ht="12.75" hidden="1" customHeight="1"/>
    <row r="285" ht="12.75" hidden="1" customHeight="1"/>
    <row r="286" ht="12.75" hidden="1" customHeight="1"/>
    <row r="287" ht="12.75" hidden="1" customHeight="1"/>
    <row r="288" ht="12.75" hidden="1" customHeight="1"/>
    <row r="289" ht="12.75" hidden="1" customHeight="1"/>
    <row r="290" ht="12.75" hidden="1" customHeight="1"/>
    <row r="291" ht="12.75" hidden="1" customHeight="1"/>
    <row r="292" ht="12.75" hidden="1" customHeight="1"/>
    <row r="293" ht="12.75" hidden="1" customHeight="1"/>
    <row r="294" ht="12.75" hidden="1" customHeight="1"/>
    <row r="295" ht="12.75" hidden="1" customHeight="1"/>
    <row r="296" ht="12.75" hidden="1" customHeight="1"/>
    <row r="297" ht="12.75" hidden="1" customHeight="1"/>
    <row r="298" ht="12.75" hidden="1" customHeight="1"/>
    <row r="299" ht="12.75" hidden="1" customHeight="1"/>
    <row r="300" ht="12.75" hidden="1" customHeight="1"/>
    <row r="301" ht="12.75" hidden="1" customHeight="1"/>
    <row r="302" ht="12.75" hidden="1" customHeight="1"/>
    <row r="303" ht="12.75" hidden="1" customHeight="1"/>
    <row r="304" ht="12.75" hidden="1" customHeight="1"/>
    <row r="305" ht="12.75" hidden="1" customHeight="1"/>
    <row r="306" ht="12.75" hidden="1" customHeight="1"/>
    <row r="307" ht="12.75" hidden="1" customHeight="1"/>
    <row r="308" ht="12.75" hidden="1" customHeight="1"/>
    <row r="309" ht="12.75" hidden="1" customHeight="1"/>
    <row r="310" ht="12.75" hidden="1" customHeight="1"/>
    <row r="311" ht="12.75" hidden="1" customHeight="1"/>
    <row r="312" ht="12.75" hidden="1" customHeight="1"/>
    <row r="313" ht="12.75" hidden="1" customHeight="1"/>
    <row r="314" ht="12.75" hidden="1" customHeight="1"/>
    <row r="315" ht="12.75" hidden="1" customHeight="1"/>
  </sheetData>
  <sheetProtection formatRows="0" selectLockedCells="1"/>
  <mergeCells count="145">
    <mergeCell ref="D13:E13"/>
    <mergeCell ref="P4:P14"/>
    <mergeCell ref="E67:F67"/>
    <mergeCell ref="I67:M67"/>
    <mergeCell ref="O11:O12"/>
    <mergeCell ref="D85:E85"/>
    <mergeCell ref="J85:L85"/>
    <mergeCell ref="F85:H85"/>
    <mergeCell ref="J84:L84"/>
    <mergeCell ref="F83:M83"/>
    <mergeCell ref="E74:F74"/>
    <mergeCell ref="I74:M74"/>
    <mergeCell ref="E75:F75"/>
    <mergeCell ref="I75:M75"/>
    <mergeCell ref="E78:F78"/>
    <mergeCell ref="I78:M78"/>
    <mergeCell ref="D83:E84"/>
    <mergeCell ref="F84:H84"/>
    <mergeCell ref="E73:F73"/>
    <mergeCell ref="I73:M73"/>
    <mergeCell ref="E42:F42"/>
    <mergeCell ref="E27:F27"/>
    <mergeCell ref="D14:E14"/>
    <mergeCell ref="F14:M14"/>
    <mergeCell ref="B2:B3"/>
    <mergeCell ref="D4:M4"/>
    <mergeCell ref="F6:I6"/>
    <mergeCell ref="F7:I7"/>
    <mergeCell ref="F8:I8"/>
    <mergeCell ref="F9:I9"/>
    <mergeCell ref="D9:E9"/>
    <mergeCell ref="D6:E6"/>
    <mergeCell ref="D7:E7"/>
    <mergeCell ref="D8:E8"/>
    <mergeCell ref="F17:M17"/>
    <mergeCell ref="I45:M45"/>
    <mergeCell ref="I48:M48"/>
    <mergeCell ref="E54:F54"/>
    <mergeCell ref="I25:M25"/>
    <mergeCell ref="E34:F34"/>
    <mergeCell ref="E35:F35"/>
    <mergeCell ref="E36:F36"/>
    <mergeCell ref="I35:M35"/>
    <mergeCell ref="E33:F33"/>
    <mergeCell ref="E24:F24"/>
    <mergeCell ref="E28:F28"/>
    <mergeCell ref="E29:F29"/>
    <mergeCell ref="E41:F41"/>
    <mergeCell ref="E30:F30"/>
    <mergeCell ref="E26:F26"/>
    <mergeCell ref="E37:F37"/>
    <mergeCell ref="I37:M37"/>
    <mergeCell ref="D17:E17"/>
    <mergeCell ref="D113:J113"/>
    <mergeCell ref="I96:M96"/>
    <mergeCell ref="E56:F56"/>
    <mergeCell ref="I26:M26"/>
    <mergeCell ref="I27:M27"/>
    <mergeCell ref="I28:M28"/>
    <mergeCell ref="I29:M29"/>
    <mergeCell ref="I30:M30"/>
    <mergeCell ref="I31:M31"/>
    <mergeCell ref="I32:M32"/>
    <mergeCell ref="I38:M38"/>
    <mergeCell ref="I43:M43"/>
    <mergeCell ref="E44:F44"/>
    <mergeCell ref="I44:M44"/>
    <mergeCell ref="E45:F45"/>
    <mergeCell ref="E40:F40"/>
    <mergeCell ref="E48:F48"/>
    <mergeCell ref="I36:M36"/>
    <mergeCell ref="E47:F47"/>
    <mergeCell ref="I47:M47"/>
    <mergeCell ref="I41:M41"/>
    <mergeCell ref="I54:M54"/>
    <mergeCell ref="E31:F31"/>
    <mergeCell ref="I42:M42"/>
    <mergeCell ref="E63:F63"/>
    <mergeCell ref="E64:F64"/>
    <mergeCell ref="E65:F65"/>
    <mergeCell ref="E66:F66"/>
    <mergeCell ref="E72:F72"/>
    <mergeCell ref="E77:F77"/>
    <mergeCell ref="E70:F70"/>
    <mergeCell ref="E71:F71"/>
    <mergeCell ref="I34:M34"/>
    <mergeCell ref="I71:M71"/>
    <mergeCell ref="I65:M65"/>
    <mergeCell ref="I61:M61"/>
    <mergeCell ref="I58:M58"/>
    <mergeCell ref="E43:F43"/>
    <mergeCell ref="E57:F57"/>
    <mergeCell ref="I59:M59"/>
    <mergeCell ref="I60:M60"/>
    <mergeCell ref="I57:M57"/>
    <mergeCell ref="I56:M56"/>
    <mergeCell ref="I55:M55"/>
    <mergeCell ref="E87:G87"/>
    <mergeCell ref="E59:F59"/>
    <mergeCell ref="E60:F60"/>
    <mergeCell ref="E61:F61"/>
    <mergeCell ref="O7:O9"/>
    <mergeCell ref="H10:M12"/>
    <mergeCell ref="I33:M33"/>
    <mergeCell ref="I94:M94"/>
    <mergeCell ref="I95:M95"/>
    <mergeCell ref="I24:M24"/>
    <mergeCell ref="I63:M63"/>
    <mergeCell ref="I64:M64"/>
    <mergeCell ref="I40:M40"/>
    <mergeCell ref="I66:M66"/>
    <mergeCell ref="I72:M72"/>
    <mergeCell ref="I77:M77"/>
    <mergeCell ref="I87:M87"/>
    <mergeCell ref="I70:M70"/>
    <mergeCell ref="I62:M62"/>
    <mergeCell ref="F13:M13"/>
    <mergeCell ref="E58:F58"/>
    <mergeCell ref="I68:M68"/>
    <mergeCell ref="D16:E16"/>
    <mergeCell ref="F16:M16"/>
    <mergeCell ref="J124:M124"/>
    <mergeCell ref="E88:G88"/>
    <mergeCell ref="I88:M88"/>
    <mergeCell ref="D98:G98"/>
    <mergeCell ref="D99:G99"/>
    <mergeCell ref="D100:G100"/>
    <mergeCell ref="D102:M106"/>
    <mergeCell ref="E93:H93"/>
    <mergeCell ref="E94:H94"/>
    <mergeCell ref="E95:H95"/>
    <mergeCell ref="E96:H96"/>
    <mergeCell ref="I93:M93"/>
    <mergeCell ref="E90:G90"/>
    <mergeCell ref="I90:M90"/>
    <mergeCell ref="E91:G91"/>
    <mergeCell ref="I91:M91"/>
    <mergeCell ref="E89:G89"/>
    <mergeCell ref="I89:M89"/>
    <mergeCell ref="J117:M117"/>
    <mergeCell ref="J118:M118"/>
    <mergeCell ref="J119:M119"/>
    <mergeCell ref="J121:M121"/>
    <mergeCell ref="J122:M122"/>
    <mergeCell ref="J123:M123"/>
  </mergeCells>
  <conditionalFormatting sqref="J116 D116 L116:M116">
    <cfRule type="expression" dxfId="210" priority="69">
      <formula>OR(#REF!=1,#REF!="Gasal")</formula>
    </cfRule>
  </conditionalFormatting>
  <conditionalFormatting sqref="C20:N88">
    <cfRule type="expression" dxfId="209" priority="21">
      <formula>$D$2=0</formula>
    </cfRule>
  </conditionalFormatting>
  <conditionalFormatting sqref="O11:O14">
    <cfRule type="expression" dxfId="208" priority="20">
      <formula>$O$10="Tidak"</formula>
    </cfRule>
  </conditionalFormatting>
  <conditionalFormatting sqref="N113">
    <cfRule type="expression" dxfId="207" priority="7">
      <formula>$D$110=""</formula>
    </cfRule>
  </conditionalFormatting>
  <conditionalFormatting sqref="K113:M114">
    <cfRule type="expression" dxfId="206" priority="6">
      <formula>$D$113=""</formula>
    </cfRule>
  </conditionalFormatting>
  <conditionalFormatting sqref="C11:N19">
    <cfRule type="expression" dxfId="205" priority="5">
      <formula>$D$2=0</formula>
    </cfRule>
  </conditionalFormatting>
  <conditionalFormatting sqref="D114:I114 D115:F115 H115">
    <cfRule type="expression" dxfId="204" priority="4">
      <formula>#REF!=""</formula>
    </cfRule>
  </conditionalFormatting>
  <conditionalFormatting sqref="D114:D115 I115">
    <cfRule type="expression" dxfId="203" priority="2832">
      <formula>OR(#REF!=1,#REF!="Gasal")</formula>
    </cfRule>
  </conditionalFormatting>
  <conditionalFormatting sqref="D113">
    <cfRule type="expression" dxfId="202" priority="2834">
      <formula>OR(#REF!=1,#REF!="Gasal")</formula>
    </cfRule>
  </conditionalFormatting>
  <conditionalFormatting sqref="D113:J113 J114:J115">
    <cfRule type="expression" dxfId="201" priority="2835">
      <formula>#REF!=""</formula>
    </cfRule>
  </conditionalFormatting>
  <dataValidations count="5">
    <dataValidation type="list" allowBlank="1" showInputMessage="1" showErrorMessage="1" sqref="O6">
      <formula1>"Romawi,Arabic"</formula1>
    </dataValidation>
    <dataValidation allowBlank="1" showInputMessage="1" showErrorMessage="1" prompt="jika mengikuti halaman otomatis, maka cells ini dikosongkan" sqref="O2"/>
    <dataValidation type="list" allowBlank="1" showInputMessage="1" showErrorMessage="1" sqref="O10">
      <formula1>"Ya,Tidak"</formula1>
    </dataValidation>
    <dataValidation type="list" allowBlank="1" showInputMessage="1" showErrorMessage="1" sqref="O13">
      <formula1>"3,5,10,15,20,25,30,40,50"</formula1>
    </dataValidation>
    <dataValidation type="list" allowBlank="1" showInputMessage="1" showErrorMessage="1" prompt="Karena banyaknya faktor yang menjadi  kriterian kenaikan/kelulusan maka Naik-Lulus/Tidak Naik-Lulus ditentukan sendiri dengan klik disini." sqref="O4">
      <formula1>"Naik/Lulus,Tidak Naik/Lulus"</formula1>
    </dataValidation>
  </dataValidations>
  <printOptions horizontalCentered="1"/>
  <pageMargins left="0.27559055118110237" right="0.15748031496062992" top="0.55118110236220474" bottom="0.53" header="0.31496062992125984" footer="0.31496062992125984"/>
  <pageSetup paperSize="9" orientation="portrait" horizontalDpi="4294967293" r:id="rId1"/>
  <rowBreaks count="3" manualBreakCount="3">
    <brk id="21" max="16383" man="1"/>
    <brk id="51" max="16383" man="1"/>
    <brk id="81"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49153" r:id="rId4" name="Spinner 1">
              <controlPr defaultSize="0" autoPict="0">
                <anchor moveWithCells="1" sizeWithCells="1">
                  <from>
                    <xdr:col>2</xdr:col>
                    <xdr:colOff>57150</xdr:colOff>
                    <xdr:row>1</xdr:row>
                    <xdr:rowOff>9525</xdr:rowOff>
                  </from>
                  <to>
                    <xdr:col>3</xdr:col>
                    <xdr:colOff>219075</xdr:colOff>
                    <xdr:row>2</xdr:row>
                    <xdr:rowOff>123825</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tabColor rgb="FFC00000"/>
  </sheetPr>
  <dimension ref="A1:R213"/>
  <sheetViews>
    <sheetView showGridLines="0" showRowColHeaders="0" workbookViewId="0">
      <pane ySplit="3" topLeftCell="A28" activePane="bottomLeft" state="frozen"/>
      <selection activeCell="M19" sqref="M19"/>
      <selection pane="bottomLeft" activeCell="J26" sqref="J26:N26"/>
    </sheetView>
  </sheetViews>
  <sheetFormatPr defaultColWidth="0" defaultRowHeight="12.75" customHeight="1" zeroHeight="1"/>
  <cols>
    <col min="1" max="1" width="1.28515625" style="534" customWidth="1"/>
    <col min="2" max="2" width="5" style="534" customWidth="1"/>
    <col min="3" max="3" width="1" style="534" customWidth="1"/>
    <col min="4" max="4" width="3.28515625" style="534" customWidth="1"/>
    <col min="5" max="5" width="10.42578125" style="534" customWidth="1"/>
    <col min="6" max="6" width="8" style="534" customWidth="1"/>
    <col min="7" max="7" width="4.42578125" style="534" customWidth="1"/>
    <col min="8" max="8" width="4.28515625" style="534" customWidth="1"/>
    <col min="9" max="9" width="5.7109375" style="534" customWidth="1"/>
    <col min="10" max="10" width="14.5703125" style="534" customWidth="1"/>
    <col min="11" max="13" width="5.5703125" style="534" customWidth="1"/>
    <col min="14" max="14" width="18.28515625" style="534" customWidth="1"/>
    <col min="15" max="15" width="1.140625" style="534" customWidth="1"/>
    <col min="16" max="16" width="15.7109375" style="534" customWidth="1"/>
    <col min="17" max="17" width="28.140625" style="534" customWidth="1"/>
    <col min="18" max="16384" width="9.140625" style="534" hidden="1"/>
  </cols>
  <sheetData>
    <row r="1" spans="1:17">
      <c r="A1" s="382"/>
      <c r="B1" s="382"/>
      <c r="C1" s="382"/>
      <c r="D1" s="382"/>
      <c r="E1" s="382"/>
      <c r="F1" s="382"/>
      <c r="G1" s="382"/>
      <c r="H1" s="382"/>
      <c r="I1" s="382"/>
      <c r="J1" s="382"/>
      <c r="K1" s="382"/>
      <c r="L1" s="1049">
        <f>VALUE(LEFT(Data!$C$9,2))</f>
        <v>10</v>
      </c>
      <c r="M1" s="1050">
        <f>VALUE(Data!$C$10)</f>
        <v>1</v>
      </c>
      <c r="N1" s="382"/>
      <c r="O1" s="382"/>
      <c r="P1" s="382"/>
      <c r="Q1" s="382"/>
    </row>
    <row r="2" spans="1:17" ht="15.75" customHeight="1">
      <c r="A2" s="382"/>
      <c r="B2" s="1919">
        <v>4</v>
      </c>
      <c r="C2" s="382"/>
      <c r="D2" s="382">
        <f>IDLOK</f>
        <v>0</v>
      </c>
      <c r="E2" s="382"/>
      <c r="F2" s="382"/>
      <c r="G2" s="382"/>
      <c r="H2" s="382"/>
      <c r="I2" s="384"/>
      <c r="J2" s="384" t="s">
        <v>463</v>
      </c>
      <c r="K2" s="656">
        <f>IF(AND(L1=10,M1=1),1,IF(AND(L1=10,M1=2),5,IF(AND(L1=11,M1=1),9,IF(AND(L1=11,M1=2),13,IF(AND(L1=12,M1=1),17,21)))))</f>
        <v>1</v>
      </c>
      <c r="L2" s="385" t="s">
        <v>464</v>
      </c>
      <c r="M2" s="382"/>
      <c r="N2" s="382"/>
      <c r="O2" s="382"/>
      <c r="P2" s="657"/>
      <c r="Q2" s="382"/>
    </row>
    <row r="3" spans="1:17" ht="15.75" customHeight="1">
      <c r="A3" s="386"/>
      <c r="B3" s="1920"/>
      <c r="C3" s="386"/>
      <c r="D3" s="386"/>
      <c r="E3" s="386"/>
      <c r="F3" s="386"/>
      <c r="G3" s="386"/>
      <c r="H3" s="386"/>
      <c r="I3" s="386"/>
      <c r="J3" s="386"/>
      <c r="K3" s="387" t="s">
        <v>279</v>
      </c>
      <c r="L3" s="386"/>
      <c r="M3" s="386"/>
      <c r="N3" s="386"/>
      <c r="O3" s="386"/>
      <c r="P3" s="386"/>
      <c r="Q3" s="382"/>
    </row>
    <row r="4" spans="1:17" ht="21" customHeight="1">
      <c r="A4" s="386"/>
      <c r="B4" s="889"/>
      <c r="C4" s="388"/>
      <c r="D4" s="2043" t="s">
        <v>309</v>
      </c>
      <c r="E4" s="2043"/>
      <c r="F4" s="2043"/>
      <c r="G4" s="2043"/>
      <c r="H4" s="2043"/>
      <c r="I4" s="2043"/>
      <c r="J4" s="2043"/>
      <c r="K4" s="2043"/>
      <c r="L4" s="2043"/>
      <c r="M4" s="2043"/>
      <c r="N4" s="2043"/>
      <c r="O4" s="389"/>
      <c r="P4" s="1375" t="s">
        <v>1377</v>
      </c>
      <c r="Q4" s="2044" t="s">
        <v>1378</v>
      </c>
    </row>
    <row r="5" spans="1:17" ht="39.75" customHeight="1">
      <c r="A5" s="386"/>
      <c r="B5" s="386"/>
      <c r="C5" s="388"/>
      <c r="D5" s="536"/>
      <c r="E5" s="536"/>
      <c r="F5" s="536"/>
      <c r="G5" s="536"/>
      <c r="H5" s="536"/>
      <c r="I5" s="536"/>
      <c r="J5" s="536"/>
      <c r="K5" s="536"/>
      <c r="L5" s="536"/>
      <c r="M5" s="536"/>
      <c r="N5" s="536"/>
      <c r="P5" s="1382" t="s">
        <v>404</v>
      </c>
      <c r="Q5" s="2044"/>
    </row>
    <row r="6" spans="1:17" s="536" customFormat="1" ht="21" customHeight="1">
      <c r="A6" s="391"/>
      <c r="B6" s="386"/>
      <c r="D6" s="1921" t="s">
        <v>22</v>
      </c>
      <c r="E6" s="1921"/>
      <c r="F6" s="1973" t="str">
        <f>": "&amp;Data!C4</f>
        <v>: SMA Negeri 1 Amabi Efeto</v>
      </c>
      <c r="G6" s="1973"/>
      <c r="H6" s="1973"/>
      <c r="I6" s="1973"/>
      <c r="J6" s="1973"/>
      <c r="K6" s="1149" t="s">
        <v>23</v>
      </c>
      <c r="N6" s="1119" t="str">
        <f>": "&amp;IF($P$6="romawi",ROMAN(VALUE(LEFT(Data!$C$9,2)))&amp;MID(Data!$C$9,3,15),Data!$C$9)</f>
        <v>: X IIS 2</v>
      </c>
      <c r="O6" s="393"/>
      <c r="P6" s="553" t="s">
        <v>397</v>
      </c>
      <c r="Q6" s="2044"/>
    </row>
    <row r="7" spans="1:17" s="536" customFormat="1" ht="21" customHeight="1">
      <c r="A7" s="391"/>
      <c r="B7" s="386"/>
      <c r="D7" s="1921" t="s">
        <v>9</v>
      </c>
      <c r="E7" s="1921"/>
      <c r="F7" s="1972" t="str">
        <f>": "&amp;Data!C5</f>
        <v>: Jl. Dusun V Hunaek Desa Fatukanutu</v>
      </c>
      <c r="G7" s="1972"/>
      <c r="H7" s="1972"/>
      <c r="I7" s="1972"/>
      <c r="J7" s="1972"/>
      <c r="K7" s="1149" t="s">
        <v>24</v>
      </c>
      <c r="N7" s="1119" t="str">
        <f>IF(Data!C10=1,": 1 (Satu)",IF(Data!C10=2,": 2 (Dua)",": "&amp;Data!C10))</f>
        <v>: 1 (Satu)</v>
      </c>
      <c r="O7" s="393"/>
      <c r="P7" s="2061" t="s">
        <v>604</v>
      </c>
      <c r="Q7" s="2044"/>
    </row>
    <row r="8" spans="1:17" s="536" customFormat="1" ht="21" customHeight="1">
      <c r="A8" s="391"/>
      <c r="B8" s="386"/>
      <c r="D8" s="1921" t="s">
        <v>71</v>
      </c>
      <c r="E8" s="1921"/>
      <c r="F8" s="1973" t="str">
        <f>": "&amp;VLOOKUP($B$2,Data!E5:I54,4)</f>
        <v>: Asti Welmince Welkis</v>
      </c>
      <c r="G8" s="1973"/>
      <c r="H8" s="1973"/>
      <c r="I8" s="1973"/>
      <c r="J8" s="1973"/>
      <c r="K8" s="1149" t="s">
        <v>25</v>
      </c>
      <c r="N8" s="1119" t="str">
        <f>": "&amp;Data!C11</f>
        <v>: 2022-2023</v>
      </c>
      <c r="O8" s="393"/>
      <c r="P8" s="2022"/>
      <c r="Q8" s="2044"/>
    </row>
    <row r="9" spans="1:17" s="536" customFormat="1" ht="21" customHeight="1">
      <c r="A9" s="391"/>
      <c r="B9" s="386"/>
      <c r="D9" s="1921" t="str">
        <f>IF(VLOOKUP($B$2,Data!$E$5:$AC$54,Data!G55)="","Nomor Induk","No. Induk/NISN")</f>
        <v>No. Induk/NISN</v>
      </c>
      <c r="E9" s="1921"/>
      <c r="F9" s="1972" t="str">
        <f>": "&amp;TEXT(VLOOKUP($B$2,Data!E5:I54,2),Data!C18)&amp;IF(VLOOKUP($B$2,Data!$E$5:$AC$54,Data!G55)="",""," / "&amp;TEXT(VLOOKUP($B$2,Data!$E$5:$AC$54,Data!G55),Data!C20))</f>
        <v>: 00000 / 0073463161</v>
      </c>
      <c r="G9" s="1972"/>
      <c r="H9" s="1972"/>
      <c r="I9" s="1972"/>
      <c r="J9" s="1972"/>
      <c r="O9" s="533"/>
      <c r="P9" s="2062"/>
      <c r="Q9" s="2044"/>
    </row>
    <row r="10" spans="1:17" ht="19.5" customHeight="1">
      <c r="A10" s="386"/>
      <c r="B10" s="386"/>
      <c r="C10" s="395"/>
      <c r="D10" s="536"/>
      <c r="E10" s="536"/>
      <c r="F10" s="536"/>
      <c r="G10" s="536"/>
      <c r="H10" s="2082" t="str">
        <f>IF(D2=0,"DAPATKAN INFORMASI PENGGUNAAN PENUH DI HALAMAN PETUNJUK",IF(Data2!L16="KKM TUNGGAL","INI BUKAN RAPORT YANG DIINGINKAN, ANDA MEMILIH KKM TUNGGAL PADA Data2",""))</f>
        <v>DAPATKAN INFORMASI PENGGUNAAN PENUH DI HALAMAN PETUNJUK</v>
      </c>
      <c r="I10" s="2082"/>
      <c r="J10" s="2082"/>
      <c r="K10" s="2082"/>
      <c r="L10" s="2082"/>
      <c r="M10" s="2082"/>
      <c r="N10" s="2082"/>
      <c r="P10" s="869" t="s">
        <v>605</v>
      </c>
      <c r="Q10" s="2044"/>
    </row>
    <row r="11" spans="1:17" ht="35.1" customHeight="1">
      <c r="A11" s="386"/>
      <c r="B11" s="396"/>
      <c r="C11" s="397"/>
      <c r="D11" s="393" t="s">
        <v>308</v>
      </c>
      <c r="E11" s="965"/>
      <c r="F11" s="536"/>
      <c r="G11" s="536"/>
      <c r="H11" s="2082"/>
      <c r="I11" s="2082"/>
      <c r="J11" s="2082"/>
      <c r="K11" s="2082"/>
      <c r="L11" s="2082"/>
      <c r="M11" s="2082"/>
      <c r="N11" s="2082"/>
      <c r="P11" s="2064" t="s">
        <v>620</v>
      </c>
      <c r="Q11" s="2044"/>
    </row>
    <row r="12" spans="1:17" ht="28.5" customHeight="1">
      <c r="A12" s="386"/>
      <c r="B12" s="398"/>
      <c r="C12" s="395"/>
      <c r="D12" s="392" t="s">
        <v>125</v>
      </c>
      <c r="E12" s="392" t="s">
        <v>269</v>
      </c>
      <c r="F12" s="536"/>
      <c r="G12" s="536"/>
      <c r="H12" s="2083"/>
      <c r="I12" s="2083"/>
      <c r="J12" s="2083"/>
      <c r="K12" s="2083"/>
      <c r="L12" s="2083"/>
      <c r="M12" s="2083"/>
      <c r="N12" s="2083"/>
      <c r="P12" s="2065"/>
      <c r="Q12" s="2044"/>
    </row>
    <row r="13" spans="1:17" ht="21" customHeight="1">
      <c r="A13" s="386"/>
      <c r="B13" s="398"/>
      <c r="C13" s="395"/>
      <c r="D13" s="2089" t="s">
        <v>28</v>
      </c>
      <c r="E13" s="2089"/>
      <c r="F13" s="2089" t="s">
        <v>14</v>
      </c>
      <c r="G13" s="2089"/>
      <c r="H13" s="2089"/>
      <c r="I13" s="2089"/>
      <c r="J13" s="2089"/>
      <c r="K13" s="2089"/>
      <c r="L13" s="2089"/>
      <c r="M13" s="2089"/>
      <c r="N13" s="2089"/>
      <c r="P13" s="869">
        <v>10</v>
      </c>
      <c r="Q13" s="2044"/>
    </row>
    <row r="14" spans="1:17" ht="170.1" customHeight="1">
      <c r="A14" s="386"/>
      <c r="B14" s="399" t="str">
        <f>IFERROR(VLOOKUP($B$2,Sikap!$B$15:$U$64,Sikap!F65),"")</f>
        <v>SB</v>
      </c>
      <c r="C14" s="395"/>
      <c r="D14" s="2087" t="str">
        <f>IF(B14="SB","Sangat Baik",IF(B14="B","Baik",IF(B14="C","Cukup","Kurang")))</f>
        <v>Sangat Baik</v>
      </c>
      <c r="E14" s="2087"/>
      <c r="F14" s="2088" t="str">
        <f>"Memiliki sikap spiritual "&amp;D14&amp;" antara lain;"&amp;IFERROR(VLOOKUP($B$2,Sikap!$B$15:$Z$64,Sikap!L65),"")</f>
        <v>Memiliki sikap spiritual Sangat Baik antara lain;Selalu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G14" s="2088"/>
      <c r="H14" s="2088"/>
      <c r="I14" s="2088"/>
      <c r="J14" s="2088"/>
      <c r="K14" s="2088"/>
      <c r="L14" s="2088"/>
      <c r="M14" s="2088"/>
      <c r="N14" s="2088"/>
      <c r="P14" s="1383" t="str">
        <f>"Peringkat 1 s.d. "&amp;P13&amp;" ditampilkan pada Catatan Wali Kelas"</f>
        <v>Peringkat 1 s.d. 10 ditampilkan pada Catatan Wali Kelas</v>
      </c>
      <c r="Q14" s="2044"/>
    </row>
    <row r="15" spans="1:17" ht="32.25" customHeight="1">
      <c r="A15" s="386"/>
      <c r="B15" s="396"/>
      <c r="C15" s="395"/>
      <c r="D15" s="393" t="s">
        <v>126</v>
      </c>
      <c r="E15" s="393" t="s">
        <v>270</v>
      </c>
      <c r="F15" s="536"/>
      <c r="G15" s="536"/>
      <c r="H15" s="536"/>
      <c r="I15" s="536"/>
      <c r="J15" s="536"/>
      <c r="K15" s="536"/>
      <c r="L15" s="536"/>
      <c r="M15" s="536"/>
      <c r="N15" s="536"/>
      <c r="P15" s="386"/>
      <c r="Q15" s="382"/>
    </row>
    <row r="16" spans="1:17" ht="21" customHeight="1">
      <c r="A16" s="386"/>
      <c r="B16" s="398"/>
      <c r="C16" s="395"/>
      <c r="D16" s="2089" t="s">
        <v>28</v>
      </c>
      <c r="E16" s="2089"/>
      <c r="F16" s="2089" t="s">
        <v>14</v>
      </c>
      <c r="G16" s="2089"/>
      <c r="H16" s="2089"/>
      <c r="I16" s="2089"/>
      <c r="J16" s="2089"/>
      <c r="K16" s="2089"/>
      <c r="L16" s="2089"/>
      <c r="M16" s="2089"/>
      <c r="N16" s="2089"/>
      <c r="P16" s="386"/>
      <c r="Q16" s="382"/>
    </row>
    <row r="17" spans="1:17" ht="170.1" customHeight="1">
      <c r="A17" s="386"/>
      <c r="B17" s="399" t="str">
        <f>IFERROR(VLOOKUP($B$2,Sikap!$B$15:$Z$64,Sikap!M65),"")</f>
        <v>SB</v>
      </c>
      <c r="C17" s="395"/>
      <c r="D17" s="2087" t="str">
        <f>IF(B17="SB","Sangat Baik",IF(B17="B","Baik",IF(B17="C","Cukup","Kurang")))</f>
        <v>Sangat Baik</v>
      </c>
      <c r="E17" s="2087"/>
      <c r="F17" s="2090" t="str">
        <f>"Memiliki sikap sosial "&amp;D17&amp;" antara lain;"&amp;IFERROR(VLOOKUP($B$2,Sikap!$B$15:$Z$64,Sikap!Y65),"")</f>
        <v>Memiliki sikap sosial Sangat Baik antara lain;Selalu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G17" s="2090"/>
      <c r="H17" s="2090"/>
      <c r="I17" s="2090"/>
      <c r="J17" s="2090"/>
      <c r="K17" s="2090"/>
      <c r="L17" s="2090"/>
      <c r="M17" s="2090"/>
      <c r="N17" s="2090"/>
      <c r="P17" s="1390"/>
      <c r="Q17" s="382"/>
    </row>
    <row r="18" spans="1:17" s="1398" customFormat="1" ht="50.1" customHeight="1">
      <c r="A18" s="386"/>
      <c r="B18" s="399"/>
      <c r="C18" s="395"/>
      <c r="D18" s="516"/>
      <c r="E18" s="516"/>
      <c r="F18" s="517"/>
      <c r="G18" s="517"/>
      <c r="H18" s="517"/>
      <c r="I18" s="517"/>
      <c r="J18" s="517"/>
      <c r="K18" s="517"/>
      <c r="L18" s="517"/>
      <c r="M18" s="517"/>
      <c r="N18" s="517"/>
      <c r="P18" s="1390">
        <v>1</v>
      </c>
      <c r="Q18" s="382"/>
    </row>
    <row r="19" spans="1:17" s="1370" customFormat="1" ht="50.1" customHeight="1">
      <c r="A19" s="386"/>
      <c r="B19" s="399"/>
      <c r="C19" s="395"/>
      <c r="D19" s="516"/>
      <c r="E19" s="516"/>
      <c r="F19" s="517"/>
      <c r="G19" s="517"/>
      <c r="H19" s="517"/>
      <c r="I19" s="517"/>
      <c r="J19" s="517"/>
      <c r="K19" s="517"/>
      <c r="L19" s="517"/>
      <c r="M19" s="517"/>
      <c r="N19" s="517"/>
      <c r="P19" s="1391">
        <v>2</v>
      </c>
      <c r="Q19" s="382"/>
    </row>
    <row r="20" spans="1:17" ht="12" customHeight="1">
      <c r="A20" s="386"/>
      <c r="B20" s="399"/>
      <c r="C20" s="395"/>
      <c r="D20" s="586"/>
      <c r="E20" s="589" t="str">
        <f>"Raport "&amp;Data!$C$4</f>
        <v>Raport SMA Negeri 1 Amabi Efeto</v>
      </c>
      <c r="F20" s="661"/>
      <c r="G20" s="661"/>
      <c r="H20" s="661"/>
      <c r="I20" s="661"/>
      <c r="J20" s="661"/>
      <c r="K20" s="661"/>
      <c r="L20" s="661"/>
      <c r="M20" s="661"/>
      <c r="N20" s="581">
        <f>IF(P2&gt;0,P2,IF(AND(L1=10,M1=1),1,IF(AND(L1=10,M1=2),5,IF(AND(L1=11,M1=1),9,IF(AND(L1=11,M1=2),13,IF(AND(L1=12,M1=1),17,21))))))</f>
        <v>1</v>
      </c>
      <c r="P20" s="1391">
        <v>3</v>
      </c>
      <c r="Q20" s="382"/>
    </row>
    <row r="21" spans="1:17" s="546" customFormat="1" ht="12" customHeight="1">
      <c r="A21" s="391"/>
      <c r="B21" s="399"/>
      <c r="C21" s="70"/>
      <c r="D21" s="587"/>
      <c r="E21" s="658" t="str">
        <f>VLOOKUP($B$2,Data!E5:I54,4)&amp;" | "&amp;VLOOKUP($B$2,Data!E5:I54,2)&amp;" | Kelas: "&amp;IF($P$6="romawi",ROMAN(VALUE(LEFT(Data!$C$9,2)))&amp;MID(Data!$C$9,3,15),Data!$C$9)&amp;" | Semester:"&amp;Data!C10&amp;" | "&amp;Data!C11</f>
        <v>Asti Welmince Welkis | 0 | Kelas: X IIS 2 | Semester:1 | 2022-2023</v>
      </c>
      <c r="F21" s="583"/>
      <c r="G21" s="583"/>
      <c r="H21" s="410"/>
      <c r="I21" s="401"/>
      <c r="J21" s="555"/>
      <c r="K21" s="410"/>
      <c r="L21" s="415"/>
      <c r="M21" s="411"/>
      <c r="N21" s="423"/>
      <c r="P21" s="1391">
        <v>4</v>
      </c>
      <c r="Q21" s="891"/>
    </row>
    <row r="22" spans="1:17" s="400" customFormat="1" ht="15.75" customHeight="1">
      <c r="A22" s="572"/>
      <c r="B22" s="399"/>
      <c r="C22" s="154"/>
      <c r="D22" s="392" t="s">
        <v>398</v>
      </c>
      <c r="E22" s="392" t="s">
        <v>399</v>
      </c>
      <c r="F22" s="392"/>
      <c r="G22" s="392"/>
      <c r="H22" s="392"/>
      <c r="I22" s="392"/>
      <c r="J22" s="392"/>
      <c r="K22" s="392"/>
      <c r="L22" s="392"/>
      <c r="M22" s="392"/>
      <c r="N22" s="392"/>
      <c r="P22" s="1392">
        <v>5</v>
      </c>
      <c r="Q22" s="1384"/>
    </row>
    <row r="23" spans="1:17" s="548" customFormat="1" ht="21" customHeight="1">
      <c r="A23" s="567"/>
      <c r="B23" s="567"/>
      <c r="C23" s="568"/>
      <c r="D23" s="569" t="s">
        <v>55</v>
      </c>
      <c r="E23" s="2080" t="s">
        <v>39</v>
      </c>
      <c r="F23" s="2080"/>
      <c r="G23" s="569" t="s">
        <v>317</v>
      </c>
      <c r="H23" s="554" t="s">
        <v>16</v>
      </c>
      <c r="I23" s="1118" t="s">
        <v>727</v>
      </c>
      <c r="J23" s="2081" t="s">
        <v>14</v>
      </c>
      <c r="K23" s="2081"/>
      <c r="L23" s="2081"/>
      <c r="M23" s="2081"/>
      <c r="N23" s="2081"/>
      <c r="O23" s="570"/>
      <c r="P23" s="1392">
        <v>6</v>
      </c>
      <c r="Q23" s="1385"/>
    </row>
    <row r="24" spans="1:17" ht="15" customHeight="1">
      <c r="A24" s="386"/>
      <c r="B24" s="386"/>
      <c r="C24" s="395"/>
      <c r="D24" s="2084" t="s">
        <v>394</v>
      </c>
      <c r="E24" s="2085"/>
      <c r="F24" s="2085"/>
      <c r="G24" s="543"/>
      <c r="H24" s="543"/>
      <c r="I24" s="543"/>
      <c r="J24" s="2085"/>
      <c r="K24" s="2085"/>
      <c r="L24" s="2085"/>
      <c r="M24" s="2085"/>
      <c r="N24" s="2086"/>
      <c r="O24" s="401"/>
      <c r="P24" s="1392">
        <v>7</v>
      </c>
      <c r="Q24" s="382"/>
    </row>
    <row r="25" spans="1:17" ht="33.950000000000003" customHeight="1">
      <c r="A25" s="386"/>
      <c r="B25" s="386"/>
      <c r="C25" s="395"/>
      <c r="D25" s="544">
        <v>1</v>
      </c>
      <c r="E25" s="1922" t="str">
        <f>"Pendidikan Agama "&amp;VLOOKUP(B2,'KD-PA'!B9:G58,'KD-PA'!G59)&amp;" dan Budi Pekerti"</f>
        <v>Pendidikan Agama Kristen dan Budi Pekerti</v>
      </c>
      <c r="F25" s="1923"/>
      <c r="G25" s="402">
        <f>IF(Data2!$L$16="KKM TUNGGAL",Data2!$L$3,Data2!G4)</f>
        <v>76</v>
      </c>
      <c r="H25" s="403">
        <f>IFERROR(VLOOKUP($B$2,PA!$B$14:$BN$63,PA!S64),"")</f>
        <v>90</v>
      </c>
      <c r="I25" s="544" t="str">
        <f>IFERROR(VLOOKUP($B$2,PA!$B$14:$BN$63,PA!T64),"")</f>
        <v>B</v>
      </c>
      <c r="J25" s="2056" t="str">
        <f>IFERROR(VLOOKUP($B$2,PA!$B$14:$BN$63,PA!AK64),"")</f>
        <v>Memiliki kemampuan baik dalam Memahami keberadaan Allah sebagai pembaharu kehidupan  dan Menjelaskan makna kebersamaan dengan orang lain</v>
      </c>
      <c r="K25" s="2056"/>
      <c r="L25" s="2056"/>
      <c r="M25" s="2056"/>
      <c r="N25" s="2056"/>
      <c r="O25" s="404"/>
      <c r="P25" s="1392">
        <v>8</v>
      </c>
      <c r="Q25" s="382"/>
    </row>
    <row r="26" spans="1:17" ht="33.950000000000003" customHeight="1">
      <c r="A26" s="386"/>
      <c r="B26" s="386"/>
      <c r="C26" s="395"/>
      <c r="D26" s="544">
        <v>2</v>
      </c>
      <c r="E26" s="1922" t="str">
        <f>Data2!C5</f>
        <v>Pendidikan Pancasila dan Kewarganegaraan</v>
      </c>
      <c r="F26" s="1923"/>
      <c r="G26" s="402">
        <f>IF(Data2!$L$16="KKM TUNGGAL",Data2!$L$3,Data2!G5)</f>
        <v>76</v>
      </c>
      <c r="H26" s="403">
        <f>IFERROR(VLOOKUP($B$2,PKn!$B$14:$BO$63,PKn!S64),"")</f>
        <v>85</v>
      </c>
      <c r="I26" s="544" t="str">
        <f>IFERROR(VLOOKUP($B$2,PKn!$B$14:$BO$63,PKn!T64),"")</f>
        <v>B</v>
      </c>
      <c r="J26" s="2056" t="str">
        <f>IFERROR(VLOOKUP($B$2,PKn!$B$14:$BO$63,PKn!AK64),"")</f>
        <v>Memiliki kemampuan baik dalam Menganalisis dinamika litosfer dan dampaknya terhadap kehidupan dan Menganalisis dinamika hidrosfer dan dampaknya terhadap kehidupani</v>
      </c>
      <c r="K26" s="2056"/>
      <c r="L26" s="2056"/>
      <c r="M26" s="2056"/>
      <c r="N26" s="2056"/>
      <c r="O26" s="404"/>
      <c r="P26" s="1392">
        <v>9</v>
      </c>
      <c r="Q26" s="382"/>
    </row>
    <row r="27" spans="1:17" ht="33.950000000000003" customHeight="1">
      <c r="A27" s="386"/>
      <c r="B27" s="386"/>
      <c r="C27" s="395"/>
      <c r="D27" s="544">
        <v>3</v>
      </c>
      <c r="E27" s="1922" t="str">
        <f>Data2!C6</f>
        <v>Bahasa Indonesia</v>
      </c>
      <c r="F27" s="1923"/>
      <c r="G27" s="402">
        <f>IF(Data2!$L$16="KKM TUNGGAL",Data2!$L$3,Data2!G6)</f>
        <v>76</v>
      </c>
      <c r="H27" s="403">
        <f>IFERROR(VLOOKUP($B$2,BInd!$B$14:$BO$63,BInd!S64),"")</f>
        <v>79</v>
      </c>
      <c r="I27" s="544" t="str">
        <f>IFERROR(VLOOKUP($B$2,BInd!$B$14:$BO$63,BInd!T64),"")</f>
        <v>C</v>
      </c>
      <c r="J27" s="2056" t="str">
        <f>IFERROR(VLOOKUP($B$2,BInd!$B$14:$BO$63,BInd!AK64),"")</f>
        <v>Memiliki kemampuan baik dalam Menganalisis  unsur pembangun puisi. dan Menganalisis  isi, struktur dan kebahasaan teks  negosiasi.</v>
      </c>
      <c r="K27" s="2056"/>
      <c r="L27" s="2056"/>
      <c r="M27" s="2056"/>
      <c r="N27" s="2056"/>
      <c r="O27" s="404"/>
      <c r="P27" s="1392">
        <v>10</v>
      </c>
      <c r="Q27" s="382"/>
    </row>
    <row r="28" spans="1:17" ht="33.950000000000003" customHeight="1">
      <c r="A28" s="386"/>
      <c r="B28" s="386"/>
      <c r="C28" s="395"/>
      <c r="D28" s="544">
        <v>4</v>
      </c>
      <c r="E28" s="1922" t="str">
        <f>Data2!C7</f>
        <v>Matematika</v>
      </c>
      <c r="F28" s="1923"/>
      <c r="G28" s="402">
        <f>IF(Data2!$L$16="KKM TUNGGAL",Data2!$L$3,Data2!G7)</f>
        <v>76</v>
      </c>
      <c r="H28" s="403">
        <f>IFERROR(VLOOKUP($B$2,Mat!$B$14:$BO$63,Mat!S64),"")</f>
        <v>85</v>
      </c>
      <c r="I28" s="544" t="str">
        <f>IFERROR(VLOOKUP($B$2,Mat!$B$14:$BO$63,Mat!T64),"")</f>
        <v>B</v>
      </c>
      <c r="J28" s="2056" t="str">
        <f>IFERROR(VLOOKUP($B$2,Mat!$B$14:$BO$63,Mat!AK64),"")</f>
        <v>Memiliki kemampuan baik dalam Menjelaskan aturan sinus dan cosinus dan Menjelaskan dan menentukan fungsi (terutama fungsi linear, fungsi kuadrat, dan fungsi rasional) secara formal yang meliputi notasi, daerah asal, daerah hasil, dan ekspresi simbolik, serta sketsa grafiknya</v>
      </c>
      <c r="K28" s="2056"/>
      <c r="L28" s="2056"/>
      <c r="M28" s="2056"/>
      <c r="N28" s="2056"/>
      <c r="O28" s="404"/>
      <c r="P28" s="1392">
        <v>11</v>
      </c>
      <c r="Q28" s="382"/>
    </row>
    <row r="29" spans="1:17" ht="33.950000000000003" customHeight="1">
      <c r="A29" s="386"/>
      <c r="B29" s="386"/>
      <c r="C29" s="395"/>
      <c r="D29" s="544">
        <v>5</v>
      </c>
      <c r="E29" s="1922" t="str">
        <f>Data2!C8</f>
        <v>Sejarah Indonesia</v>
      </c>
      <c r="F29" s="1923"/>
      <c r="G29" s="402">
        <f>IF(Data2!$L$16="KKM TUNGGAL",Data2!$L$3,Data2!G8)</f>
        <v>76</v>
      </c>
      <c r="H29" s="403" t="str">
        <f>IFERROR(VLOOKUP($B$2,SEJ!$B$14:$BO$63,SEJ!S64),"")</f>
        <v/>
      </c>
      <c r="I29" s="544" t="str">
        <f>IFERROR(VLOOKUP($B$2,SEJ!$B$14:$BO$63,SEJ!T64),"")</f>
        <v/>
      </c>
      <c r="J29" s="2056" t="str">
        <f>IFERROR(VLOOKUP($B$2,SEJ!$B$14:$BO$63,SEJ!AK64),"")</f>
        <v/>
      </c>
      <c r="K29" s="2056"/>
      <c r="L29" s="2056"/>
      <c r="M29" s="2056"/>
      <c r="N29" s="2056"/>
      <c r="O29" s="404"/>
      <c r="P29" s="1392">
        <v>12</v>
      </c>
      <c r="Q29" s="382"/>
    </row>
    <row r="30" spans="1:17" ht="33.950000000000003" customHeight="1">
      <c r="A30" s="386"/>
      <c r="B30" s="386"/>
      <c r="C30" s="395"/>
      <c r="D30" s="544">
        <v>6</v>
      </c>
      <c r="E30" s="1922" t="str">
        <f>Data2!C9</f>
        <v>Bahasa Inggris</v>
      </c>
      <c r="F30" s="1923"/>
      <c r="G30" s="402">
        <f>IF(Data2!$L$16="KKM TUNGGAL",Data2!$L$3,Data2!G9)</f>
        <v>76</v>
      </c>
      <c r="H30" s="403">
        <f>IFERROR(VLOOKUP($B$2,BIng!$B$14:$BO$63,BIng!S64),"")</f>
        <v>84</v>
      </c>
      <c r="I30" s="544" t="str">
        <f>IFERROR(VLOOKUP($B$2,BIng!$B$14:$BO$63,BIng!T64),"")</f>
        <v>C</v>
      </c>
      <c r="J30" s="2056" t="str">
        <f>IFERROR(VLOOKUP($B$2,BIng!$B$14:$BO$63,BIng!AK64),"")</f>
        <v>Memiliki kemampuan baik dalam Menafsirkan unsur dan fungsi dari sebuah lirik lagu , cukup kemampuan dalam Memahami teks memberi dan meminta informasi di masa lalu</v>
      </c>
      <c r="K30" s="2056"/>
      <c r="L30" s="2056"/>
      <c r="M30" s="2056"/>
      <c r="N30" s="2056"/>
      <c r="O30" s="404"/>
      <c r="P30" s="1392">
        <v>13</v>
      </c>
      <c r="Q30" s="382"/>
    </row>
    <row r="31" spans="1:17" s="1108" customFormat="1" ht="15" customHeight="1">
      <c r="A31" s="386"/>
      <c r="B31" s="386"/>
      <c r="C31" s="395"/>
      <c r="D31" s="2077" t="s">
        <v>392</v>
      </c>
      <c r="E31" s="2078"/>
      <c r="F31" s="2078"/>
      <c r="G31" s="1110"/>
      <c r="H31" s="1006"/>
      <c r="I31" s="1112"/>
      <c r="J31" s="2091"/>
      <c r="K31" s="2091"/>
      <c r="L31" s="2091"/>
      <c r="M31" s="2091"/>
      <c r="N31" s="2092"/>
      <c r="O31" s="404"/>
      <c r="P31" s="1392">
        <v>14</v>
      </c>
      <c r="Q31" s="382"/>
    </row>
    <row r="32" spans="1:17" ht="33.950000000000003" customHeight="1">
      <c r="A32" s="386"/>
      <c r="B32" s="386"/>
      <c r="C32" s="395"/>
      <c r="D32" s="544">
        <v>1</v>
      </c>
      <c r="E32" s="1922" t="str">
        <f>Data2!C10</f>
        <v>Seni Budaya</v>
      </c>
      <c r="F32" s="1923"/>
      <c r="G32" s="402">
        <f>IF(Data2!$L$16="KKM TUNGGAL",Data2!$L$3,Data2!G10)</f>
        <v>76</v>
      </c>
      <c r="H32" s="403">
        <f>IFERROR(VLOOKUP($B$2,SB!$B$14:$BO$63,SB!S64),"")</f>
        <v>86</v>
      </c>
      <c r="I32" s="544" t="str">
        <f>IFERROR(VLOOKUP($B$2,SB!$B$14:$BO$63,SB!T64),"")</f>
        <v>B</v>
      </c>
      <c r="J32" s="2056" t="str">
        <f>IFERROR(VLOOKUP($B$2,SB!$B$14:$BO$63,SB!AK64),"")</f>
        <v>Memiliki kemampuan baik dalam Memahami dan merancang naskah dan peran dalam teater dan memahami karya seni rupa dua dimensi dan tiga dimensi</v>
      </c>
      <c r="K32" s="2056"/>
      <c r="L32" s="2056"/>
      <c r="M32" s="2056"/>
      <c r="N32" s="2056"/>
      <c r="O32" s="404"/>
      <c r="P32" s="1392">
        <v>15</v>
      </c>
      <c r="Q32" s="382"/>
    </row>
    <row r="33" spans="1:17" ht="33.950000000000003" customHeight="1">
      <c r="A33" s="386"/>
      <c r="B33" s="386"/>
      <c r="C33" s="395"/>
      <c r="D33" s="544">
        <v>2</v>
      </c>
      <c r="E33" s="1922" t="str">
        <f>Data2!C11</f>
        <v>Pendidikan Jasmani Olahraga dan Kesehatan</v>
      </c>
      <c r="F33" s="1923"/>
      <c r="G33" s="402">
        <f>IF(Data2!$L$16="KKM TUNGGAL",Data2!$L$3,Data2!G11)</f>
        <v>76</v>
      </c>
      <c r="H33" s="403">
        <f>IFERROR(VLOOKUP($B$2,pjok!$B$14:$BO$63,pjok!S64),"")</f>
        <v>87</v>
      </c>
      <c r="I33" s="544" t="str">
        <f>IFERROR(VLOOKUP($B$2,pjok!$B$14:$BO$63,pjok!T64),"")</f>
        <v>B</v>
      </c>
      <c r="J33" s="2056" t="str">
        <f>IFERROR(VLOOKUP($B$2,pjok!$B$14:$BO$63,pjok!AK64),"")</f>
        <v>Memiliki kemampuan baik dalam Menganalisis bahaya penyala gunaan narkoba, cukup kemampuan dalam Mengidentifikasi variasi gerak ritmik</v>
      </c>
      <c r="K33" s="2056"/>
      <c r="L33" s="2056"/>
      <c r="M33" s="2056"/>
      <c r="N33" s="2056"/>
      <c r="O33" s="404"/>
      <c r="P33" s="1392">
        <v>16</v>
      </c>
      <c r="Q33" s="382"/>
    </row>
    <row r="34" spans="1:17" ht="33.950000000000003" customHeight="1">
      <c r="A34" s="386"/>
      <c r="B34" s="386"/>
      <c r="C34" s="395"/>
      <c r="D34" s="544">
        <v>3</v>
      </c>
      <c r="E34" s="1922" t="str">
        <f>Data2!C12</f>
        <v>Prakarya dan Kewirausahaan</v>
      </c>
      <c r="F34" s="1923"/>
      <c r="G34" s="402">
        <f>IF(Data2!$L$16="KKM TUNGGAL",Data2!$L$3,Data2!G12)</f>
        <v>76</v>
      </c>
      <c r="H34" s="403">
        <f>IFERROR(VLOOKUP($B$2,pkwu!$B$14:$BO$63,pkwu!S64),"")</f>
        <v>88</v>
      </c>
      <c r="I34" s="544" t="str">
        <f>IFERROR(VLOOKUP($B$2,pkwu!$B$14:$BO$63,pkwu!T64),"")</f>
        <v>B</v>
      </c>
      <c r="J34" s="2056" t="str">
        <f>IFERROR(VLOOKUP($B$2,pkwu!$B$14:$BO$63,pkwu!AK64),"")</f>
        <v>Memiliki kemampuan sangat baik dalam memahami strategi pemasaran produk kerajina dengan inspirasi, cukup kemampuan dalam memahami perhitungan biaya produksi berdasarkan daya dukung</v>
      </c>
      <c r="K34" s="2056"/>
      <c r="L34" s="2056"/>
      <c r="M34" s="2056"/>
      <c r="N34" s="2056"/>
      <c r="O34" s="404"/>
      <c r="P34" s="1392">
        <v>17</v>
      </c>
      <c r="Q34" s="382"/>
    </row>
    <row r="35" spans="1:17" ht="33.950000000000003" customHeight="1">
      <c r="A35" s="386"/>
      <c r="B35" s="386"/>
      <c r="C35" s="395"/>
      <c r="D35" s="544">
        <f>IF(E35="","",4)</f>
        <v>4</v>
      </c>
      <c r="E35" s="1917" t="str">
        <f>IF(Data2!C13=0,"",Data2!C13)</f>
        <v>Muatan Lokal</v>
      </c>
      <c r="F35" s="1918"/>
      <c r="G35" s="402">
        <f>IF(Data2!$L$16="KKM TUNGGAL",Data2!$L$3,IF(Data2!G13="","",Data2!G13))</f>
        <v>76</v>
      </c>
      <c r="H35" s="403" t="str">
        <f>IF(D35="","",IFERROR(VLOOKUP($B$2,'Mlk1'!$B$14:$BO$63,'Mlk1'!$S$64),""))</f>
        <v/>
      </c>
      <c r="I35" s="544" t="str">
        <f>IF(E35="","",IFERROR(VLOOKUP($B$2,'Mlk1'!$B$14:$BO$63,'Mlk1'!$T$64),""))</f>
        <v/>
      </c>
      <c r="J35" s="2056" t="str">
        <f>IF(E35="","",IFERROR(VLOOKUP($B$2,'Mlk1'!$B$14:$BO$63,'Mlk1'!$AK$64),""))</f>
        <v/>
      </c>
      <c r="K35" s="2056"/>
      <c r="L35" s="2056"/>
      <c r="M35" s="2056"/>
      <c r="N35" s="2056"/>
      <c r="O35" s="404"/>
      <c r="P35" s="1392">
        <v>18</v>
      </c>
      <c r="Q35" s="382"/>
    </row>
    <row r="36" spans="1:17" s="1108" customFormat="1" ht="33.950000000000003" customHeight="1">
      <c r="A36" s="386"/>
      <c r="B36" s="386"/>
      <c r="C36" s="395"/>
      <c r="D36" s="1107" t="str">
        <f>IF(E36="","",5)</f>
        <v/>
      </c>
      <c r="E36" s="1917" t="str">
        <f>IF(Data2!C14=0,"",Data2!C14)</f>
        <v/>
      </c>
      <c r="F36" s="1918"/>
      <c r="G36" s="402" t="str">
        <f>IF(Data2!$L$16="KKM TUNGGAL",Data2!$L$3,IF(Data2!G14="","",Data2!G14))</f>
        <v/>
      </c>
      <c r="H36" s="403" t="str">
        <f>IF(D36="","",IFERROR(VLOOKUP($B$2,'Ml2'!$B$14:$BO$63,'Ml2'!$S$64),""))</f>
        <v/>
      </c>
      <c r="I36" s="1107" t="str">
        <f>IF(E36="","",IFERROR(VLOOKUP($B$2,'Ml2'!$B$14:$BO$63,'Ml2'!$T$64),""))</f>
        <v/>
      </c>
      <c r="J36" s="2056" t="str">
        <f>IF(E36="","",IFERROR(VLOOKUP($B$2,'Ml2'!$B$14:$BO$63,'Ml2'!$AK$64),""))</f>
        <v/>
      </c>
      <c r="K36" s="2056"/>
      <c r="L36" s="2056"/>
      <c r="M36" s="2056"/>
      <c r="N36" s="2056"/>
      <c r="O36" s="404"/>
      <c r="P36" s="1392">
        <v>19</v>
      </c>
      <c r="Q36" s="382"/>
    </row>
    <row r="37" spans="1:17" ht="15" customHeight="1">
      <c r="A37" s="386"/>
      <c r="B37" s="386"/>
      <c r="C37" s="395"/>
      <c r="D37" s="2077" t="s">
        <v>393</v>
      </c>
      <c r="E37" s="2078"/>
      <c r="F37" s="2093"/>
      <c r="G37" s="542"/>
      <c r="H37" s="405"/>
      <c r="I37" s="406"/>
      <c r="J37" s="2094"/>
      <c r="K37" s="2094"/>
      <c r="L37" s="2094"/>
      <c r="M37" s="2094"/>
      <c r="N37" s="2094"/>
      <c r="O37" s="404"/>
      <c r="P37" s="1392">
        <v>20</v>
      </c>
      <c r="Q37" s="382"/>
    </row>
    <row r="38" spans="1:17" ht="15.95" customHeight="1">
      <c r="A38" s="386"/>
      <c r="B38" s="386"/>
      <c r="C38" s="563"/>
      <c r="D38" s="534" t="str">
        <f>Data2!B17</f>
        <v>I. Peminatan Ilmu-ilmu Sosial</v>
      </c>
      <c r="O38" s="1007"/>
      <c r="P38" s="1392">
        <v>21</v>
      </c>
      <c r="Q38" s="382"/>
    </row>
    <row r="39" spans="1:17" s="771" customFormat="1" ht="33.950000000000003" customHeight="1">
      <c r="A39" s="386"/>
      <c r="B39" s="386"/>
      <c r="C39" s="395"/>
      <c r="D39" s="974">
        <f>IF(E39="","",1)</f>
        <v>1</v>
      </c>
      <c r="E39" s="1917" t="str">
        <f>IF(Data2!$C$15=0,"",Data2!$C$15)</f>
        <v>Sosiologi</v>
      </c>
      <c r="F39" s="1918"/>
      <c r="G39" s="402">
        <f>IF(Data2!$L$16="KKM TUNGGAL",Data2!$L$3,IF(Data2!G15="","",Data2!G15))</f>
        <v>76</v>
      </c>
      <c r="H39" s="403">
        <f>IF(D39="","",IFERROR(VLOOKUP($B$2,sosio!$B$14:$BO$63,sosio!S64),""))</f>
        <v>88</v>
      </c>
      <c r="I39" s="772" t="str">
        <f>IF(E39="","",IFERROR(VLOOKUP($B$2,sosio!$B$14:$BO$63,sosio!T64),""))</f>
        <v>B</v>
      </c>
      <c r="J39" s="2056" t="str">
        <f>IF(E39="","",IFERROR(VLOOKUP($B$2,sosio!$B$14:$BO$63,sosio!AK64),""))</f>
        <v>Memiliki kemampuan baik dalam menganalisis permasalahan sosial di masyarakat  dan memahami berbagai metode penelitian di masyarakat</v>
      </c>
      <c r="K39" s="2056"/>
      <c r="L39" s="2056"/>
      <c r="M39" s="2056"/>
      <c r="N39" s="2056"/>
      <c r="O39" s="404"/>
      <c r="P39" s="1392">
        <v>22</v>
      </c>
      <c r="Q39" s="382"/>
    </row>
    <row r="40" spans="1:17" ht="33.950000000000003" customHeight="1">
      <c r="A40" s="386"/>
      <c r="B40" s="386"/>
      <c r="C40" s="395"/>
      <c r="D40" s="974">
        <f>IF(E40="","",2)</f>
        <v>2</v>
      </c>
      <c r="E40" s="1924" t="str">
        <f>IF(Data2!$C$16=0,"",Data2!$C$16)</f>
        <v>Geografi</v>
      </c>
      <c r="F40" s="1925"/>
      <c r="G40" s="433">
        <f>IF(E40="","",IF(Data2!$L$16="KKM TUNGGAL",Data2!$L$3,IF(Data2!G16="","",Data2!G16)))</f>
        <v>76</v>
      </c>
      <c r="H40" s="432">
        <f>IF(E40="","",IFERROR(VLOOKUP($B$2,geog!$B$14:$BO$63,geog!$S$64),""))</f>
        <v>87</v>
      </c>
      <c r="I40" s="431" t="str">
        <f>IF(E40="","",IFERROR(VLOOKUP($B$2,geog!$B$14:$BO$63,geog!$T$64),""))</f>
        <v>B</v>
      </c>
      <c r="J40" s="2055" t="str">
        <f>IF(E40="","",IFERROR(VLOOKUP($B$2,geog!$B$14:$BO$63,geog!$AK$64),""))</f>
        <v>Memiliki kemampuan baik dalam Menganalisis dinamika hidrosfer dan dampaknya terhadap kehidupani dan Menganalisis dinamika litosfer dan dampaknya terhadap kehidupan</v>
      </c>
      <c r="K40" s="2055"/>
      <c r="L40" s="2055"/>
      <c r="M40" s="2055"/>
      <c r="N40" s="2055"/>
      <c r="O40" s="404"/>
      <c r="P40" s="1392">
        <v>23</v>
      </c>
      <c r="Q40" s="382"/>
    </row>
    <row r="41" spans="1:17" ht="33.950000000000003" customHeight="1">
      <c r="A41" s="386"/>
      <c r="B41" s="386"/>
      <c r="C41" s="395"/>
      <c r="D41" s="974">
        <f>IF(E41="","",3)</f>
        <v>3</v>
      </c>
      <c r="E41" s="1924" t="str">
        <f>IF(Data2!$C$17=0,"",Data2!$C$17)</f>
        <v>Ekonomi</v>
      </c>
      <c r="F41" s="1925"/>
      <c r="G41" s="433">
        <f>IF(E41="","",IF(Data2!$L$16="KKM TUNGGAL",Data2!$L$3,IF(Data2!G17="","",Data2!G17)))</f>
        <v>76</v>
      </c>
      <c r="H41" s="432">
        <f>IF(E41="","",IFERROR(VLOOKUP($B$2,ekonomi!$B$14:$BO$63,ekonomi!$S$64),""))</f>
        <v>86</v>
      </c>
      <c r="I41" s="431" t="str">
        <f>IF(E41="","",IFERROR(VLOOKUP($B$2,ekonomi!$B$14:$BO$63,ekonomi!$T$64),""))</f>
        <v>B</v>
      </c>
      <c r="J41" s="2055" t="str">
        <f>IF(E41="","",IFERROR(VLOOKUP($B$2,ekonomi!$B$14:$BO$63,ekonomi!$AK$64),""))</f>
        <v>Memiliki kemampuan baik dalam Memahami konsumsi dan investasi, cukup kemampuan dalam Memahami kebijakan pemerintah dalam bidang ekonomi</v>
      </c>
      <c r="K41" s="2055"/>
      <c r="L41" s="2055"/>
      <c r="M41" s="2055"/>
      <c r="N41" s="2055"/>
      <c r="O41" s="404"/>
      <c r="P41" s="1392">
        <v>24</v>
      </c>
      <c r="Q41" s="382"/>
    </row>
    <row r="42" spans="1:17" ht="33.950000000000003" customHeight="1">
      <c r="A42" s="386"/>
      <c r="B42" s="386"/>
      <c r="C42" s="395"/>
      <c r="D42" s="974">
        <f>IF(E42="","",4)</f>
        <v>4</v>
      </c>
      <c r="E42" s="1924" t="str">
        <f>IF(Data2!$C$18=0,"",Data2!$C$18)</f>
        <v>Sejarah Peminatan</v>
      </c>
      <c r="F42" s="1925"/>
      <c r="G42" s="708">
        <f>IF(E42="","",IF(Data2!$L$16="KKM TUNGGAL",Data2!$L$3,IF(Data2!G18="","",Data2!G18)))</f>
        <v>76</v>
      </c>
      <c r="H42" s="432">
        <f>IF(E42="","",IFERROR(VLOOKUP($B$2,'sejarah peminatan'!$B$14:$BO$63,'sejarah peminatan'!$S$64),""))</f>
        <v>86</v>
      </c>
      <c r="I42" s="431" t="str">
        <f>IF(E42="","",IFERROR(VLOOKUP($B$2,'sejarah peminatan'!$B$14:$BO$63,'sejarah peminatan'!$T$64),""))</f>
        <v>B</v>
      </c>
      <c r="J42" s="2055" t="str">
        <f>IF(E42="","",IFERROR(VLOOKUP($B$2,'sejarah peminatan'!$B$14:$BO$63,'sejarah peminatan'!$AK$64),""))</f>
        <v>Memiliki kemampuan baik dalam Menganalisis berbagai bentuk/jenis sumber Sejarah dan Menganalisis langkah-langkah penelitian Sejarah terhadap berbagai peristiwa Sejarah</v>
      </c>
      <c r="K42" s="2055"/>
      <c r="L42" s="2055"/>
      <c r="M42" s="2055"/>
      <c r="N42" s="2055"/>
      <c r="O42" s="404"/>
      <c r="P42" s="1392">
        <v>25</v>
      </c>
      <c r="Q42" s="382"/>
    </row>
    <row r="43" spans="1:17" ht="33.950000000000003" customHeight="1">
      <c r="A43" s="386"/>
      <c r="B43" s="386"/>
      <c r="C43" s="395"/>
      <c r="D43" s="974" t="str">
        <f>IF(E43="","",5)</f>
        <v/>
      </c>
      <c r="E43" s="1924" t="str">
        <f>IF(Data2!$C$19=0,"",Data2!$C$19)</f>
        <v/>
      </c>
      <c r="F43" s="1925"/>
      <c r="G43" s="708" t="str">
        <f>IF(E43="","",IF(Data2!$L$16="KKM TUNGGAL",Data2!$L$3,IF(Data2!G19="","",Data2!G19)))</f>
        <v/>
      </c>
      <c r="H43" s="432" t="str">
        <f>IF(E43="","",IFERROR(VLOOKUP($B$2,'PM5'!$B$14:$BO$63,'PM5'!$S$64),""))</f>
        <v/>
      </c>
      <c r="I43" s="431" t="str">
        <f>IF(E43="","",IFERROR(VLOOKUP($B$2,'PM5'!$B$14:$BO$63,'PM5'!$T$64),""))</f>
        <v/>
      </c>
      <c r="J43" s="2055" t="str">
        <f>IF(E43="","",IFERROR(VLOOKUP($B$2,'PM5'!$B$14:$BO$63,'PM5'!$AK$64),""))</f>
        <v/>
      </c>
      <c r="K43" s="2055"/>
      <c r="L43" s="2055"/>
      <c r="M43" s="2055"/>
      <c r="N43" s="2055"/>
      <c r="O43" s="404"/>
      <c r="P43" s="1392">
        <v>26</v>
      </c>
      <c r="Q43" s="382"/>
    </row>
    <row r="44" spans="1:17" ht="33.950000000000003" customHeight="1">
      <c r="A44" s="386"/>
      <c r="B44" s="386"/>
      <c r="C44" s="395"/>
      <c r="D44" s="973" t="str">
        <f>IF(E44="","",6)</f>
        <v/>
      </c>
      <c r="E44" s="2079" t="str">
        <f>IF(Data2!$C$20=0,"",Data2!$C$20)</f>
        <v/>
      </c>
      <c r="F44" s="2079"/>
      <c r="G44" s="708" t="str">
        <f>IF(E44="","",IF(Data2!$L$16="KKM TUNGGAL",Data2!$L$3,IF(Data2!G20="","",Data2!G20)))</f>
        <v/>
      </c>
      <c r="H44" s="403" t="str">
        <f>IF(E44="","",IFERROR(VLOOKUP($B$2,'PM6'!$B$14:$BO$63,'PM6'!$S$64),""))</f>
        <v/>
      </c>
      <c r="I44" s="973" t="str">
        <f>IF(E44="","",IFERROR(VLOOKUP($B$2,'PM5'!$B$14:$BO$63,'PM5'!$T$64),""))</f>
        <v/>
      </c>
      <c r="J44" s="2056" t="str">
        <f>IF(E44="","",IFERROR(VLOOKUP($B$2,'PM6'!$B$14:$BO$63,'PM6'!$AK$64),""))</f>
        <v/>
      </c>
      <c r="K44" s="2056"/>
      <c r="L44" s="2056"/>
      <c r="M44" s="2056"/>
      <c r="N44" s="2056"/>
      <c r="O44" s="404"/>
      <c r="P44" s="1392">
        <v>27</v>
      </c>
      <c r="Q44" s="382"/>
    </row>
    <row r="45" spans="1:17" s="966" customFormat="1" ht="15" customHeight="1">
      <c r="A45" s="386"/>
      <c r="B45" s="386"/>
      <c r="C45" s="395"/>
      <c r="D45" s="1003" t="str">
        <f>Data2!B21</f>
        <v>II. Lintas Minat dan/atau Pendalaman Minat</v>
      </c>
      <c r="E45" s="1004"/>
      <c r="F45" s="1004"/>
      <c r="G45" s="1004"/>
      <c r="H45" s="1004"/>
      <c r="I45" s="1004"/>
      <c r="J45" s="1004"/>
      <c r="K45" s="1004"/>
      <c r="L45" s="1004"/>
      <c r="M45" s="1004"/>
      <c r="N45" s="1005"/>
      <c r="O45" s="404"/>
      <c r="P45" s="1392">
        <v>28</v>
      </c>
      <c r="Q45" s="382"/>
    </row>
    <row r="46" spans="1:17" s="966" customFormat="1" ht="33.950000000000003" customHeight="1">
      <c r="A46" s="386"/>
      <c r="B46" s="386"/>
      <c r="C46" s="395"/>
      <c r="D46" s="973">
        <f>IF(E46="","",1)</f>
        <v>1</v>
      </c>
      <c r="E46" s="2079" t="str">
        <f>IF(Data2!$C$21=0,"",Data2!$C$21)</f>
        <v>Biologi</v>
      </c>
      <c r="F46" s="2079"/>
      <c r="G46" s="708">
        <f>IF(E46="","",IF(Data2!$L$16="KKM TUNGGAL",Data2!$L$3,IF(Data2!G21="","",Data2!G21)))</f>
        <v>76</v>
      </c>
      <c r="H46" s="403">
        <f>IF(E46="","",IFERROR(VLOOKUP($B$2,biologi!$B$14:$BO$63,biologi!$S$64),""))</f>
        <v>80</v>
      </c>
      <c r="I46" s="973" t="str">
        <f>IF(E46="","",IFERROR(VLOOKUP($B$2,biologi!$B$14:$BO$63,biologi!$T$64),""))</f>
        <v>C</v>
      </c>
      <c r="J46" s="2056" t="str">
        <f>IF(E46="","",IFERROR(VLOOKUP($B$2,biologi!$B$14:$BO$63,biologi!$AK$64),""))</f>
        <v>Memiliki kemampuan cukup dalam mengelompokkan jamur berdasarkan ciri, reproduksi dan peranannya dan mengelompokkan tumbuhan dalam divisio berdasarkan ciri dan peranan</v>
      </c>
      <c r="K46" s="2056"/>
      <c r="L46" s="2056"/>
      <c r="M46" s="2056"/>
      <c r="N46" s="2056"/>
      <c r="O46" s="404"/>
      <c r="P46" s="1392">
        <v>29</v>
      </c>
      <c r="Q46" s="382"/>
    </row>
    <row r="47" spans="1:17" ht="33.950000000000003" customHeight="1">
      <c r="A47" s="386"/>
      <c r="B47" s="386"/>
      <c r="C47" s="395"/>
      <c r="D47" s="544">
        <f>IF(E47="","",2)</f>
        <v>2</v>
      </c>
      <c r="E47" s="1917" t="str">
        <f>IF(Data2!$C$22=0,"",Data2!$C$22)</f>
        <v>Fisika</v>
      </c>
      <c r="F47" s="1918"/>
      <c r="G47" s="708">
        <f>IF(E47="","",IF(Data2!$L$16="KKM TUNGGAL",Data2!$L$3,IF(Data2!G22="","",Data2!G22)))</f>
        <v>76</v>
      </c>
      <c r="H47" s="403">
        <f>IF(E47="","",IFERROR(VLOOKUP($B$2,fissika!$B$14:$BO$63,fissika!$S$64),""))</f>
        <v>82</v>
      </c>
      <c r="I47" s="544" t="str">
        <f>IF(E47="","",IFERROR(VLOOKUP($B$2,fissika!$B$14:$BO$63,fissika!$T$64),""))</f>
        <v>C</v>
      </c>
      <c r="J47" s="2056" t="str">
        <f>IF(E47="","",IFERROR(VLOOKUP($B$2,fissika!$B$14:$BO$63,fissika!$AK$64),""))</f>
        <v>Memiliki kemampuan cukup dalam Menganalisis konsep energi, usaha dan perubahan energi dan Menganalisis interaksi hubungan antar gaya</v>
      </c>
      <c r="K47" s="2056"/>
      <c r="L47" s="2056"/>
      <c r="M47" s="2056"/>
      <c r="N47" s="2056"/>
      <c r="O47" s="404"/>
      <c r="P47" s="1392">
        <v>30</v>
      </c>
      <c r="Q47" s="382"/>
    </row>
    <row r="48" spans="1:17" s="1370" customFormat="1" ht="8.1" customHeight="1">
      <c r="A48" s="386"/>
      <c r="B48" s="386"/>
      <c r="C48" s="395"/>
      <c r="D48" s="401"/>
      <c r="E48" s="514"/>
      <c r="F48" s="514"/>
      <c r="G48" s="515"/>
      <c r="H48" s="410"/>
      <c r="I48" s="401"/>
      <c r="J48" s="555"/>
      <c r="K48" s="555"/>
      <c r="L48" s="555"/>
      <c r="M48" s="555"/>
      <c r="N48" s="555"/>
      <c r="O48" s="404"/>
      <c r="P48" s="1392">
        <v>31</v>
      </c>
      <c r="Q48" s="382"/>
    </row>
    <row r="49" spans="1:17" s="550" customFormat="1" ht="12" customHeight="1">
      <c r="A49" s="386"/>
      <c r="B49" s="386"/>
      <c r="C49" s="395"/>
      <c r="D49" s="586"/>
      <c r="E49" s="589" t="str">
        <f>"Raport "&amp;Data!$C$4</f>
        <v>Raport SMA Negeri 1 Amabi Efeto</v>
      </c>
      <c r="F49" s="584"/>
      <c r="G49" s="585"/>
      <c r="H49" s="577"/>
      <c r="I49" s="578"/>
      <c r="J49" s="579"/>
      <c r="K49" s="579"/>
      <c r="L49" s="579"/>
      <c r="M49" s="579"/>
      <c r="N49" s="581">
        <f>N20+1</f>
        <v>2</v>
      </c>
      <c r="O49" s="404"/>
      <c r="P49" s="1392">
        <v>32</v>
      </c>
      <c r="Q49" s="382"/>
    </row>
    <row r="50" spans="1:17" s="546" customFormat="1" ht="12" customHeight="1">
      <c r="A50" s="391"/>
      <c r="B50" s="391"/>
      <c r="C50" s="70"/>
      <c r="D50" s="587"/>
      <c r="E50" s="590" t="str">
        <f>E21</f>
        <v>Asti Welmince Welkis | 0 | Kelas: X IIS 2 | Semester:1 | 2022-2023</v>
      </c>
      <c r="F50" s="583"/>
      <c r="G50" s="583"/>
      <c r="H50" s="410"/>
      <c r="I50" s="401"/>
      <c r="J50" s="555"/>
      <c r="K50" s="410"/>
      <c r="L50" s="415"/>
      <c r="M50" s="411"/>
      <c r="O50" s="580"/>
      <c r="P50" s="1392">
        <v>33</v>
      </c>
      <c r="Q50" s="891"/>
    </row>
    <row r="51" spans="1:17" s="400" customFormat="1" ht="15.75" customHeight="1">
      <c r="A51" s="572"/>
      <c r="B51" s="572"/>
      <c r="D51" s="393" t="s">
        <v>359</v>
      </c>
      <c r="E51" s="393" t="s">
        <v>400</v>
      </c>
      <c r="P51" s="1392">
        <v>34</v>
      </c>
      <c r="Q51" s="1384"/>
    </row>
    <row r="52" spans="1:17" s="875" customFormat="1" ht="21" customHeight="1">
      <c r="A52" s="567"/>
      <c r="B52" s="567"/>
      <c r="C52" s="568"/>
      <c r="D52" s="1371" t="s">
        <v>55</v>
      </c>
      <c r="E52" s="2080" t="s">
        <v>39</v>
      </c>
      <c r="F52" s="2080"/>
      <c r="G52" s="1371" t="s">
        <v>317</v>
      </c>
      <c r="H52" s="554" t="s">
        <v>16</v>
      </c>
      <c r="I52" s="1118" t="s">
        <v>727</v>
      </c>
      <c r="J52" s="2081" t="s">
        <v>14</v>
      </c>
      <c r="K52" s="2081"/>
      <c r="L52" s="2081"/>
      <c r="M52" s="2081"/>
      <c r="N52" s="2081"/>
      <c r="O52" s="570"/>
      <c r="P52" s="1392">
        <v>35</v>
      </c>
      <c r="Q52" s="1385"/>
    </row>
    <row r="53" spans="1:17" ht="15" customHeight="1">
      <c r="A53" s="386"/>
      <c r="B53" s="386"/>
      <c r="C53" s="395"/>
      <c r="D53" s="2084" t="s">
        <v>391</v>
      </c>
      <c r="E53" s="2085"/>
      <c r="F53" s="2085"/>
      <c r="G53" s="543"/>
      <c r="H53" s="543"/>
      <c r="I53" s="543"/>
      <c r="J53" s="2085"/>
      <c r="K53" s="2085"/>
      <c r="L53" s="2085"/>
      <c r="M53" s="2085"/>
      <c r="N53" s="2086"/>
      <c r="O53" s="404"/>
      <c r="P53" s="1392">
        <v>36</v>
      </c>
      <c r="Q53" s="382"/>
    </row>
    <row r="54" spans="1:17" ht="33.950000000000003" customHeight="1">
      <c r="A54" s="386"/>
      <c r="B54" s="386"/>
      <c r="C54" s="395"/>
      <c r="D54" s="544">
        <v>1</v>
      </c>
      <c r="E54" s="1922" t="str">
        <f t="shared" ref="E54:E59" si="0">E25</f>
        <v>Pendidikan Agama Kristen dan Budi Pekerti</v>
      </c>
      <c r="F54" s="1923"/>
      <c r="G54" s="402">
        <f t="shared" ref="G54:G59" si="1">G25</f>
        <v>76</v>
      </c>
      <c r="H54" s="403">
        <f>IFERROR(VLOOKUP($B$2,PA!$B$14:$BN$63,PA!AV64),"")</f>
        <v>90</v>
      </c>
      <c r="I54" s="544" t="str">
        <f>IFERROR(VLOOKUP($B$2,PA!$B$14:$BN$63,PA!AW64),"")</f>
        <v>B</v>
      </c>
      <c r="J54" s="2063" t="str">
        <f>IFERROR(VLOOKUP($B$2,PA!$B$14:$BN$63,PA!BN64),"")</f>
        <v xml:space="preserve">Memiliki keterampilan baik dalam Melaksanakan buah-buah Roh dalam surat Paulus di jemaat Galatia dan Menunjukkan hal-hal yang positif dan negatif manusia </v>
      </c>
      <c r="K54" s="2063"/>
      <c r="L54" s="2063"/>
      <c r="M54" s="2063"/>
      <c r="N54" s="2063"/>
      <c r="O54" s="404"/>
      <c r="P54" s="1392">
        <v>37</v>
      </c>
      <c r="Q54" s="382"/>
    </row>
    <row r="55" spans="1:17" ht="33.950000000000003" customHeight="1">
      <c r="A55" s="386"/>
      <c r="B55" s="386"/>
      <c r="C55" s="395"/>
      <c r="D55" s="544">
        <v>2</v>
      </c>
      <c r="E55" s="1922" t="str">
        <f t="shared" si="0"/>
        <v>Pendidikan Pancasila dan Kewarganegaraan</v>
      </c>
      <c r="F55" s="1923"/>
      <c r="G55" s="402">
        <f t="shared" si="1"/>
        <v>76</v>
      </c>
      <c r="H55" s="403">
        <f>IFERROR(VLOOKUP($B$2,PKn!$B$14:$BO$63,PKn!AV64),"")</f>
        <v>95</v>
      </c>
      <c r="I55" s="544" t="str">
        <f>IFERROR(VLOOKUP($B$2,PKn!$B$14:$BO$63,PKn!AW64),"")</f>
        <v>A</v>
      </c>
      <c r="J55" s="2063" t="str">
        <f>IFERROR(VLOOKUP($B$2,PKn!$B$14:$BO$63,PKn!BN64),"")</f>
        <v>Memiliki keterampilan sangat baik dalam Menyajikan proses dinamika hidrosfer menggunakan peta dan Menyajikan proses dinamika litosfer dengan menggunakan peta</v>
      </c>
      <c r="K55" s="2063"/>
      <c r="L55" s="2063"/>
      <c r="M55" s="2063"/>
      <c r="N55" s="2063"/>
      <c r="O55" s="404"/>
      <c r="P55" s="1392">
        <v>38</v>
      </c>
      <c r="Q55" s="382"/>
    </row>
    <row r="56" spans="1:17" ht="33.950000000000003" customHeight="1">
      <c r="A56" s="386"/>
      <c r="B56" s="386"/>
      <c r="C56" s="395"/>
      <c r="D56" s="544">
        <v>3</v>
      </c>
      <c r="E56" s="1922" t="str">
        <f t="shared" si="0"/>
        <v>Bahasa Indonesia</v>
      </c>
      <c r="F56" s="1923"/>
      <c r="G56" s="402">
        <f t="shared" si="1"/>
        <v>76</v>
      </c>
      <c r="H56" s="403">
        <f>IFERROR(VLOOKUP($B$2,BInd!$B$14:$BO$63,BInd!AV64),"")</f>
        <v>88</v>
      </c>
      <c r="I56" s="544" t="str">
        <f>IFERROR(VLOOKUP($B$2,BInd!$B$14:$BO$63,BInd!AW64),"")</f>
        <v>B</v>
      </c>
      <c r="J56" s="2063" t="str">
        <f>IFERROR(VLOOKUP($B$2,BInd!$B$14:$BO$63,BInd!BN64),"")</f>
        <v>Memiliki keterampilan baik dalam mengembangkan permasalahan isu dan berbagai sudut pandang dan Menyampaikan penawaran dalam teks negosiasi secara lisan.</v>
      </c>
      <c r="K56" s="2063"/>
      <c r="L56" s="2063"/>
      <c r="M56" s="2063"/>
      <c r="N56" s="2063"/>
      <c r="O56" s="404"/>
      <c r="P56" s="1392">
        <v>39</v>
      </c>
      <c r="Q56" s="382"/>
    </row>
    <row r="57" spans="1:17" ht="33.950000000000003" customHeight="1">
      <c r="A57" s="386"/>
      <c r="B57" s="386"/>
      <c r="C57" s="395"/>
      <c r="D57" s="544">
        <v>4</v>
      </c>
      <c r="E57" s="1922" t="str">
        <f t="shared" si="0"/>
        <v>Matematika</v>
      </c>
      <c r="F57" s="1923"/>
      <c r="G57" s="402">
        <f t="shared" si="1"/>
        <v>76</v>
      </c>
      <c r="H57" s="403">
        <f>IFERROR(VLOOKUP($B$2,Mat!$B$14:$BO$63,Mat!AV64),"")</f>
        <v>90</v>
      </c>
      <c r="I57" s="544" t="str">
        <f>IFERROR(VLOOKUP($B$2,Mat!$B$14:$BO$63,Mat!AW64),"")</f>
        <v>B</v>
      </c>
      <c r="J57" s="2063" t="str">
        <f>IFERROR(VLOOKUP($B$2,Mat!$B$14:$BO$63,Mat!BN64),"")</f>
        <v>Memiliki keterampilan baik dalam Menganalisa perubahan grafik fungsi trigonometri akibat perubahan pada konstanta pada fungsi y = a sin b(x + c) + d. dan Menganalisa karakteristik masing – masing grafik (titik potong dengan sumbu, titik puncak, asimtot) dan perubahan grafik fungsinya akibat transformasi f2(x), 1/f(x), |f(x)| dsb</v>
      </c>
      <c r="K57" s="2063"/>
      <c r="L57" s="2063"/>
      <c r="M57" s="2063"/>
      <c r="N57" s="2063"/>
      <c r="O57" s="404"/>
      <c r="P57" s="1392">
        <v>40</v>
      </c>
      <c r="Q57" s="382"/>
    </row>
    <row r="58" spans="1:17" ht="33.950000000000003" customHeight="1">
      <c r="A58" s="386"/>
      <c r="B58" s="386"/>
      <c r="C58" s="395"/>
      <c r="D58" s="544">
        <v>5</v>
      </c>
      <c r="E58" s="1922" t="str">
        <f t="shared" si="0"/>
        <v>Sejarah Indonesia</v>
      </c>
      <c r="F58" s="1923"/>
      <c r="G58" s="402">
        <f t="shared" si="1"/>
        <v>76</v>
      </c>
      <c r="H58" s="403" t="str">
        <f>IFERROR(VLOOKUP($B$2,SEJ!$B$14:$BO$63,SEJ!AV64),"")</f>
        <v/>
      </c>
      <c r="I58" s="544" t="str">
        <f>IFERROR(VLOOKUP($B$2,SEJ!$B$14:$BO$63,SEJ!AW64),"")</f>
        <v/>
      </c>
      <c r="J58" s="2063" t="str">
        <f>IFERROR(VLOOKUP($B$2,SEJ!$B$14:$BO$63,SEJ!BN64),"")</f>
        <v/>
      </c>
      <c r="K58" s="2063"/>
      <c r="L58" s="2063"/>
      <c r="M58" s="2063"/>
      <c r="N58" s="2063"/>
      <c r="O58" s="404"/>
      <c r="P58" s="1392">
        <v>41</v>
      </c>
      <c r="Q58" s="382"/>
    </row>
    <row r="59" spans="1:17" ht="33.950000000000003" customHeight="1">
      <c r="A59" s="386"/>
      <c r="B59" s="386"/>
      <c r="C59" s="395"/>
      <c r="D59" s="544">
        <v>6</v>
      </c>
      <c r="E59" s="1922" t="str">
        <f t="shared" si="0"/>
        <v>Bahasa Inggris</v>
      </c>
      <c r="F59" s="1923"/>
      <c r="G59" s="402">
        <f t="shared" si="1"/>
        <v>76</v>
      </c>
      <c r="H59" s="403">
        <f>IFERROR(VLOOKUP($B$2,BIng!$B$14:$BO$63,BIng!AV64),"")</f>
        <v>86</v>
      </c>
      <c r="I59" s="544" t="str">
        <f>IFERROR(VLOOKUP($B$2,BIng!$B$14:$BO$63,BIng!AW64),"")</f>
        <v>B</v>
      </c>
      <c r="J59" s="2063" t="str">
        <f>IFERROR(VLOOKUP($B$2,BIng!$B$14:$BO$63,BIng!BN64),"")</f>
        <v>Memiliki keterampilan baik dalam Menyayikan sebuah lagu bahasa inggris sederhana dan Menyusun teks tentang Past Event</v>
      </c>
      <c r="K59" s="2063"/>
      <c r="L59" s="2063"/>
      <c r="M59" s="2063"/>
      <c r="N59" s="2063"/>
      <c r="O59" s="404"/>
      <c r="P59" s="1392">
        <v>42</v>
      </c>
      <c r="Q59" s="382"/>
    </row>
    <row r="60" spans="1:17" ht="15" customHeight="1">
      <c r="A60" s="386"/>
      <c r="B60" s="386"/>
      <c r="C60" s="395"/>
      <c r="D60" s="2077" t="s">
        <v>392</v>
      </c>
      <c r="E60" s="2078"/>
      <c r="F60" s="2078"/>
      <c r="G60" s="681"/>
      <c r="H60" s="1006"/>
      <c r="I60" s="975"/>
      <c r="J60" s="2066"/>
      <c r="K60" s="2066"/>
      <c r="L60" s="2066"/>
      <c r="M60" s="2066"/>
      <c r="N60" s="2067"/>
      <c r="O60" s="404"/>
      <c r="P60" s="1392">
        <v>43</v>
      </c>
      <c r="Q60" s="382"/>
    </row>
    <row r="61" spans="1:17" ht="33.950000000000003" customHeight="1">
      <c r="A61" s="386"/>
      <c r="B61" s="386"/>
      <c r="C61" s="395"/>
      <c r="D61" s="544">
        <v>1</v>
      </c>
      <c r="E61" s="1922" t="str">
        <f>E32</f>
        <v>Seni Budaya</v>
      </c>
      <c r="F61" s="1923"/>
      <c r="G61" s="402">
        <f>G32</f>
        <v>76</v>
      </c>
      <c r="H61" s="403">
        <f>IFERROR(VLOOKUP($B$2,SB!$B$14:$BO$63,SB!AV64),"")</f>
        <v>90</v>
      </c>
      <c r="I61" s="544" t="str">
        <f>IFERROR(VLOOKUP($B$2,SB!$B$14:$BO$63,SB!AW64),"")</f>
        <v>B</v>
      </c>
      <c r="J61" s="2063" t="str">
        <f>IFERROR(VLOOKUP($B$2,SB!$B$14:$BO$63,SB!BN64),"")</f>
        <v>Memiliki keterampilan baik dalam memeragakan seni teater tradisional dan Membuat karya seni rupa dua dimensi menggunakan berbagai media</v>
      </c>
      <c r="K61" s="2063"/>
      <c r="L61" s="2063"/>
      <c r="M61" s="2063"/>
      <c r="N61" s="2063"/>
      <c r="O61" s="404"/>
      <c r="P61" s="1392">
        <v>44</v>
      </c>
      <c r="Q61" s="382"/>
    </row>
    <row r="62" spans="1:17" ht="33.950000000000003" customHeight="1">
      <c r="A62" s="386"/>
      <c r="B62" s="386"/>
      <c r="C62" s="395"/>
      <c r="D62" s="544">
        <v>2</v>
      </c>
      <c r="E62" s="1922" t="str">
        <f>E33</f>
        <v>Pendidikan Jasmani Olahraga dan Kesehatan</v>
      </c>
      <c r="F62" s="1923"/>
      <c r="G62" s="402">
        <f>G33</f>
        <v>76</v>
      </c>
      <c r="H62" s="403">
        <f>IFERROR(VLOOKUP($B$2,pjok!$B$14:$BO$63,pjok!AV64),"")</f>
        <v>89</v>
      </c>
      <c r="I62" s="544" t="str">
        <f>IFERROR(VLOOKUP($B$2,pjok!$B$14:$BO$63,pjok!AW64),"")</f>
        <v>B</v>
      </c>
      <c r="J62" s="2063" t="str">
        <f>IFERROR(VLOOKUP($B$2,pjok!$B$14:$BO$63,pjok!BN64),"")</f>
        <v>Memiliki keterampilan baik dalam Menyajikan bahaya penyala gunaan narkoba dan Menyajikan cara remaja bergaul sehat</v>
      </c>
      <c r="K62" s="2063"/>
      <c r="L62" s="2063"/>
      <c r="M62" s="2063"/>
      <c r="N62" s="2063"/>
      <c r="O62" s="404"/>
      <c r="P62" s="1392">
        <v>45</v>
      </c>
      <c r="Q62" s="382"/>
    </row>
    <row r="63" spans="1:17" ht="33.950000000000003" customHeight="1">
      <c r="A63" s="386"/>
      <c r="B63" s="386"/>
      <c r="C63" s="395"/>
      <c r="D63" s="544">
        <v>3</v>
      </c>
      <c r="E63" s="1922" t="str">
        <f>E34</f>
        <v>Prakarya dan Kewirausahaan</v>
      </c>
      <c r="F63" s="1923"/>
      <c r="G63" s="402">
        <f>G34</f>
        <v>76</v>
      </c>
      <c r="H63" s="403">
        <f>IFERROR(VLOOKUP($B$2,pkwu!$B$14:$BO$63,pkwu!AV64),"")</f>
        <v>90</v>
      </c>
      <c r="I63" s="544" t="str">
        <f>IFERROR(VLOOKUP($B$2,pkwu!$B$14:$BO$63,pkwu!AW64),"")</f>
        <v>B</v>
      </c>
      <c r="J63" s="2063" t="str">
        <f>IFERROR(VLOOKUP($B$2,pkwu!$B$14:$BO$63,pkwu!BN64),"")</f>
        <v>Memiliki keterampilan baik dalam menghitung biaya produksi (harga pokok produksi )kerajinan dan menyusun perencanaan usaha kerajinan dengan inspirasi artefak</v>
      </c>
      <c r="K63" s="2063"/>
      <c r="L63" s="2063"/>
      <c r="M63" s="2063"/>
      <c r="N63" s="2063"/>
      <c r="O63" s="404"/>
      <c r="P63" s="1392">
        <v>46</v>
      </c>
      <c r="Q63" s="382"/>
    </row>
    <row r="64" spans="1:17" ht="33.950000000000003" customHeight="1">
      <c r="A64" s="386"/>
      <c r="B64" s="386"/>
      <c r="C64" s="395"/>
      <c r="D64" s="626">
        <f>IF(E64="","",4)</f>
        <v>4</v>
      </c>
      <c r="E64" s="1917" t="str">
        <f>IF(Data2!C13=0,"",Data2!C13)</f>
        <v>Muatan Lokal</v>
      </c>
      <c r="F64" s="1918"/>
      <c r="G64" s="402">
        <f>G35</f>
        <v>76</v>
      </c>
      <c r="H64" s="403" t="str">
        <f>IF(D35="","",IFERROR(VLOOKUP($B$2,'Mlk1'!$B$14:$BO$63,'Mlk1'!$AV$64),""))</f>
        <v/>
      </c>
      <c r="I64" s="544" t="str">
        <f>IF(E35="","",IFERROR(VLOOKUP($B$2,'Mlk1'!$B$14:$BO$63,'Mlk1'!$AW$64),""))</f>
        <v/>
      </c>
      <c r="J64" s="2063" t="str">
        <f>IF(E35="","",IFERROR(VLOOKUP($B$2,'Mlk1'!$B$14:$BO$63,'Mlk1'!$BN$64),""))</f>
        <v/>
      </c>
      <c r="K64" s="2063"/>
      <c r="L64" s="2063"/>
      <c r="M64" s="2063"/>
      <c r="N64" s="2063"/>
      <c r="O64" s="404"/>
      <c r="P64" s="1392">
        <v>47</v>
      </c>
      <c r="Q64" s="382"/>
    </row>
    <row r="65" spans="1:17" s="1108" customFormat="1" ht="33.950000000000003" customHeight="1">
      <c r="A65" s="386"/>
      <c r="B65" s="386"/>
      <c r="C65" s="395"/>
      <c r="D65" s="1107" t="str">
        <f>IF(E65="","",5)</f>
        <v/>
      </c>
      <c r="E65" s="1917" t="str">
        <f>IF(Data2!C14=0,"",Data2!C14)</f>
        <v/>
      </c>
      <c r="F65" s="1918"/>
      <c r="G65" s="402" t="str">
        <f>G36</f>
        <v/>
      </c>
      <c r="H65" s="403" t="str">
        <f>IF(D36="","",IFERROR(VLOOKUP($B$2,'Ml2'!$B$14:$BO$63,'Ml2'!$AV$64),""))</f>
        <v/>
      </c>
      <c r="I65" s="1107" t="str">
        <f>IF(E36="","",IFERROR(VLOOKUP($B$2,'Ml2'!$B$14:$BO$63,'Ml2'!$AW$64),""))</f>
        <v/>
      </c>
      <c r="J65" s="2063" t="str">
        <f>IF(E36="","",IFERROR(VLOOKUP($B$2,'Ml2'!$B$14:$BO$63,'Ml2'!$BN$64),""))</f>
        <v/>
      </c>
      <c r="K65" s="2063"/>
      <c r="L65" s="2063"/>
      <c r="M65" s="2063"/>
      <c r="N65" s="2063"/>
      <c r="O65" s="404"/>
      <c r="P65" s="1392">
        <v>48</v>
      </c>
      <c r="Q65" s="382"/>
    </row>
    <row r="66" spans="1:17" ht="15" customHeight="1">
      <c r="A66" s="386"/>
      <c r="B66" s="386"/>
      <c r="C66" s="395"/>
      <c r="D66" s="2077" t="s">
        <v>393</v>
      </c>
      <c r="E66" s="2078"/>
      <c r="F66" s="2078"/>
      <c r="G66" s="681"/>
      <c r="H66" s="1006"/>
      <c r="I66" s="975"/>
      <c r="J66" s="2066"/>
      <c r="K66" s="2066"/>
      <c r="L66" s="2066"/>
      <c r="M66" s="2066"/>
      <c r="N66" s="2067"/>
      <c r="O66" s="404"/>
      <c r="P66" s="1392">
        <v>49</v>
      </c>
      <c r="Q66" s="382"/>
    </row>
    <row r="67" spans="1:17" ht="15.95" customHeight="1">
      <c r="A67" s="386"/>
      <c r="B67" s="386"/>
      <c r="C67" s="563"/>
      <c r="D67" s="534" t="str">
        <f>Data2!B17</f>
        <v>I. Peminatan Ilmu-ilmu Sosial</v>
      </c>
      <c r="O67" s="1007"/>
      <c r="P67" s="1392">
        <v>50</v>
      </c>
      <c r="Q67" s="382"/>
    </row>
    <row r="68" spans="1:17" s="773" customFormat="1" ht="33.950000000000003" customHeight="1">
      <c r="A68" s="386"/>
      <c r="B68" s="386"/>
      <c r="C68" s="395"/>
      <c r="D68" s="973">
        <f>IF(E68="","",1)</f>
        <v>1</v>
      </c>
      <c r="E68" s="1917" t="str">
        <f>IF(Data2!$C$15=0,"",Data2!$C$15)</f>
        <v>Sosiologi</v>
      </c>
      <c r="F68" s="1918"/>
      <c r="G68" s="402">
        <f t="shared" ref="G68:G73" si="2">G39</f>
        <v>76</v>
      </c>
      <c r="H68" s="403">
        <f>IF(D39="","",IFERROR(VLOOKUP($B$2,sosio!$B$14:$BO$63,sosio!AV64),""))</f>
        <v>85</v>
      </c>
      <c r="I68" s="774" t="str">
        <f>IF(E39="","",IFERROR(VLOOKUP($B$2,sosio!$B$14:$BO$63,sosio!AW64),""))</f>
        <v>B</v>
      </c>
      <c r="J68" s="2063" t="str">
        <f>IF(E39="","",IFERROR(VLOOKUP($B$2,sosio!$B$14:$BO$63,sosio!BN64),""))</f>
        <v>Memiliki keterampilan baik dalam melakukan penelitian sederhana yang terjadi di masyarakat dan memberiakan respon dalam mengatasi permasalahan sosial</v>
      </c>
      <c r="K68" s="2063"/>
      <c r="L68" s="2063"/>
      <c r="M68" s="2063"/>
      <c r="N68" s="2063"/>
      <c r="O68" s="404"/>
      <c r="P68" s="1392">
        <v>51</v>
      </c>
      <c r="Q68" s="382"/>
    </row>
    <row r="69" spans="1:17" ht="33.950000000000003" customHeight="1">
      <c r="A69" s="386"/>
      <c r="B69" s="386"/>
      <c r="C69" s="395"/>
      <c r="D69" s="974">
        <f>IF(E69="","",2)</f>
        <v>2</v>
      </c>
      <c r="E69" s="1917" t="str">
        <f>IF(Data2!$C$16=0,"",Data2!$C$16)</f>
        <v>Geografi</v>
      </c>
      <c r="F69" s="1918"/>
      <c r="G69" s="407">
        <f t="shared" si="2"/>
        <v>76</v>
      </c>
      <c r="H69" s="403">
        <f>IF(E69="","",IFERROR(VLOOKUP($B$2,geog!$B$14:$BO$63,geog!AV64),""))</f>
        <v>95</v>
      </c>
      <c r="I69" s="544" t="str">
        <f>IF(E69="","",IFERROR(VLOOKUP($B$2,geog!$B$14:$BO$63,geog!AW64),""))</f>
        <v>A</v>
      </c>
      <c r="J69" s="2063" t="str">
        <f>IF(E69="","",IFERROR(VLOOKUP($B$2,geog!$B$14:$BO$63,geog!BN64),""))</f>
        <v>Memiliki keterampilan sangat baik dalam Menyajikan proses dinamika hidrosfer menggunakan peta dan Menyajikan proses dinamika litosfer dengan menggunakan peta</v>
      </c>
      <c r="K69" s="2063"/>
      <c r="L69" s="2063"/>
      <c r="M69" s="2063"/>
      <c r="N69" s="2063"/>
      <c r="O69" s="404"/>
      <c r="P69" s="1392">
        <v>52</v>
      </c>
      <c r="Q69" s="382"/>
    </row>
    <row r="70" spans="1:17" ht="33.950000000000003" customHeight="1">
      <c r="A70" s="386"/>
      <c r="B70" s="386"/>
      <c r="C70" s="395"/>
      <c r="D70" s="974">
        <f>IF(E70="","",3)</f>
        <v>3</v>
      </c>
      <c r="E70" s="1924" t="str">
        <f>IF(Data2!$C$17=0,"",Data2!$C$17)</f>
        <v>Ekonomi</v>
      </c>
      <c r="F70" s="1925"/>
      <c r="G70" s="433">
        <f t="shared" si="2"/>
        <v>76</v>
      </c>
      <c r="H70" s="432">
        <f>IF(E70="","",IFERROR(VLOOKUP($B$2,ekonomi!$B$14:$BO$63,ekonomi!$AV$64),""))</f>
        <v>88</v>
      </c>
      <c r="I70" s="431" t="str">
        <f>IF(E70="","",IFERROR(VLOOKUP($B$2,ekonomi!$B$14:$BO$63,ekonomi!$AW$64),""))</f>
        <v>B</v>
      </c>
      <c r="J70" s="2055" t="str">
        <f>IF(E70="","",IFERROR(VLOOKUP($B$2,ekonomi!$B$14:$BO$63,ekonomi!$BN$64),""))</f>
        <v xml:space="preserve">Memiliki keterampilan baik dalam Menbedakan peran bank Umum dan Mendeskripsikan masalah masalah yang di hadapi pemerintah </v>
      </c>
      <c r="K70" s="2055"/>
      <c r="L70" s="2055"/>
      <c r="M70" s="2055"/>
      <c r="N70" s="2055"/>
      <c r="O70" s="404"/>
      <c r="P70" s="1392">
        <v>53</v>
      </c>
      <c r="Q70" s="382"/>
    </row>
    <row r="71" spans="1:17" ht="33.950000000000003" customHeight="1">
      <c r="A71" s="386"/>
      <c r="B71" s="386"/>
      <c r="C71" s="395"/>
      <c r="D71" s="974">
        <f>IF(E71="","",4)</f>
        <v>4</v>
      </c>
      <c r="E71" s="1924" t="str">
        <f>IF(Data2!$C$18=0,"",Data2!$C$18)</f>
        <v>Sejarah Peminatan</v>
      </c>
      <c r="F71" s="1925"/>
      <c r="G71" s="433">
        <f t="shared" si="2"/>
        <v>76</v>
      </c>
      <c r="H71" s="432">
        <f>IF(E71="","",IFERROR(VLOOKUP($B$2,'sejarah peminatan'!$B$14:$BO$63,'sejarah peminatan'!$AV$64),""))</f>
        <v>83</v>
      </c>
      <c r="I71" s="431" t="str">
        <f>IF(E71="","",IFERROR(VLOOKUP($B$2,'sejarah peminatan'!$B$14:$BO$63,'sejarah peminatan'!$AW$64),""))</f>
        <v>C</v>
      </c>
      <c r="J71" s="2055" t="str">
        <f>IF(E71="","",IFERROR(VLOOKUP($B$2,'sejarah peminatan'!$B$14:$BO$63,'sejarah peminatan'!$BN$64),""))</f>
        <v xml:space="preserve">Memiliki keterampilan baik dalam Menyajikan hasil analisis jenis sumber, peran sumber dan keterkaitannya dengan kejadian sejarah, dalam berbagai bentuk presentasi., cukup keterampilan dalam Melakukan  penelitian sejarah secara sederhana dan menyajikanya dalam bentuk laporan penelitian.
</v>
      </c>
      <c r="K71" s="2055"/>
      <c r="L71" s="2055"/>
      <c r="M71" s="2055"/>
      <c r="N71" s="2055"/>
      <c r="O71" s="404"/>
      <c r="P71" s="1392">
        <v>54</v>
      </c>
      <c r="Q71" s="382"/>
    </row>
    <row r="72" spans="1:17" ht="33.950000000000003" customHeight="1">
      <c r="A72" s="386"/>
      <c r="B72" s="386"/>
      <c r="C72" s="395"/>
      <c r="D72" s="974" t="str">
        <f>IF(E72="","",5)</f>
        <v/>
      </c>
      <c r="E72" s="1924" t="str">
        <f>IF(Data2!$C$19=0,"",Data2!$C$19)</f>
        <v/>
      </c>
      <c r="F72" s="1925"/>
      <c r="G72" s="433" t="str">
        <f t="shared" si="2"/>
        <v/>
      </c>
      <c r="H72" s="432" t="str">
        <f>IF(E72="","",IFERROR(VLOOKUP($B$2,'PM5'!$B$14:$BO$63,'PM5'!$AV$64),""))</f>
        <v/>
      </c>
      <c r="I72" s="431" t="str">
        <f>IF(E72="","",IFERROR(VLOOKUP($B$2,'PM5'!$B$14:$BO$63,'PM5'!$AW$64),""))</f>
        <v/>
      </c>
      <c r="J72" s="2055" t="str">
        <f>IF(E72="","",IFERROR(VLOOKUP($B$2,'PM5'!$B$14:$BO$63,'PM5'!$BN$64),""))</f>
        <v/>
      </c>
      <c r="K72" s="2055"/>
      <c r="L72" s="2055"/>
      <c r="M72" s="2055"/>
      <c r="N72" s="2055"/>
      <c r="O72" s="404"/>
      <c r="P72" s="1392">
        <v>55</v>
      </c>
      <c r="Q72" s="382"/>
    </row>
    <row r="73" spans="1:17" ht="33.950000000000003" customHeight="1">
      <c r="A73" s="386"/>
      <c r="B73" s="386"/>
      <c r="C73" s="395"/>
      <c r="D73" s="974" t="str">
        <f>IF(E73="","",6)</f>
        <v/>
      </c>
      <c r="E73" s="1924" t="str">
        <f>IF(Data2!$C$20=0,"",Data2!$C$20)</f>
        <v/>
      </c>
      <c r="F73" s="1925"/>
      <c r="G73" s="433" t="str">
        <f t="shared" si="2"/>
        <v/>
      </c>
      <c r="H73" s="432" t="str">
        <f>IF(E73="","",IFERROR(VLOOKUP($B$2,'PM6'!$B$14:$BO$63,'PM6'!$AV$64),""))</f>
        <v/>
      </c>
      <c r="I73" s="431" t="str">
        <f>IF(E73="","",IFERROR(VLOOKUP($B$2,'PM6'!$B$14:$BO$63,'PM6'!$AW$64),""))</f>
        <v/>
      </c>
      <c r="J73" s="2055" t="str">
        <f>IF(E73="","",IFERROR(VLOOKUP($B$2,'PM6'!$B$14:$BO$63,'PM6'!$BN$64),""))</f>
        <v/>
      </c>
      <c r="K73" s="2055"/>
      <c r="L73" s="2055"/>
      <c r="M73" s="2055"/>
      <c r="N73" s="2055"/>
      <c r="O73" s="404"/>
      <c r="P73" s="1392">
        <v>56</v>
      </c>
      <c r="Q73" s="382"/>
    </row>
    <row r="74" spans="1:17" s="966" customFormat="1" ht="15" customHeight="1">
      <c r="A74" s="386"/>
      <c r="B74" s="386"/>
      <c r="C74" s="395"/>
      <c r="D74" s="1002" t="str">
        <f>Data2!B21</f>
        <v>II. Lintas Minat dan/atau Pendalaman Minat</v>
      </c>
      <c r="E74" s="1003"/>
      <c r="F74" s="1004"/>
      <c r="G74" s="1004"/>
      <c r="H74" s="1004"/>
      <c r="I74" s="1004"/>
      <c r="J74" s="1004"/>
      <c r="K74" s="1004"/>
      <c r="L74" s="1004"/>
      <c r="M74" s="1004"/>
      <c r="N74" s="1005"/>
      <c r="O74" s="404"/>
      <c r="P74" s="1392">
        <v>57</v>
      </c>
      <c r="Q74" s="382"/>
    </row>
    <row r="75" spans="1:17" s="966" customFormat="1" ht="33.950000000000003" customHeight="1">
      <c r="A75" s="386"/>
      <c r="B75" s="386"/>
      <c r="C75" s="395"/>
      <c r="D75" s="973">
        <f>IF(E75="","",1)</f>
        <v>1</v>
      </c>
      <c r="E75" s="1917" t="str">
        <f>IF(Data2!$C$21=0,"",Data2!$C$21)</f>
        <v>Biologi</v>
      </c>
      <c r="F75" s="1918"/>
      <c r="G75" s="407">
        <f>G46</f>
        <v>76</v>
      </c>
      <c r="H75" s="403">
        <f>IF(E75="","",IFERROR(VLOOKUP($B$2,biologi!$B$14:$BO$63,biologi!$AV$64),""))</f>
        <v>79</v>
      </c>
      <c r="I75" s="973" t="str">
        <f>IF(E75="","",IFERROR(VLOOKUP($B$2,biologi!$B$14:$BO$63,biologi!$AW$64),""))</f>
        <v>C</v>
      </c>
      <c r="J75" s="2056" t="str">
        <f>IF(E75="","",IFERROR(VLOOKUP($B$2,biologi!$B$14:$BO$63,biologi!$BN$64),""))</f>
        <v>Memiliki keterampilan cukup dalam menyajikan hasil pengamatan jenis hewan di lingkunagn sekitar dan menjelaskan kelompok hewan berdasarkan ciri, reproduksi dan peran</v>
      </c>
      <c r="K75" s="2056"/>
      <c r="L75" s="2056"/>
      <c r="M75" s="2056"/>
      <c r="N75" s="2056"/>
      <c r="O75" s="404"/>
      <c r="P75" s="1392">
        <v>58</v>
      </c>
      <c r="Q75" s="382"/>
    </row>
    <row r="76" spans="1:17" ht="33.950000000000003" customHeight="1">
      <c r="A76" s="386"/>
      <c r="B76" s="386"/>
      <c r="C76" s="395"/>
      <c r="D76" s="619">
        <f>IF(E76="","",2)</f>
        <v>2</v>
      </c>
      <c r="E76" s="1917" t="str">
        <f>IF(Data2!$C$22=0,"",Data2!$C$22)</f>
        <v>Fisika</v>
      </c>
      <c r="F76" s="1918"/>
      <c r="G76" s="407">
        <f>G47</f>
        <v>76</v>
      </c>
      <c r="H76" s="403">
        <f>IF(E76="","",IFERROR(VLOOKUP($B$2,fissika!$B$14:$BO$63,fissika!$AV$64),""))</f>
        <v>88</v>
      </c>
      <c r="I76" s="619" t="str">
        <f>IF(E76="","",IFERROR(VLOOKUP($B$2,fissika!$B$14:$BO$63,fissika!$AW$64),""))</f>
        <v>B</v>
      </c>
      <c r="J76" s="2056" t="str">
        <f>IF(E76="","",IFERROR(VLOOKUP($B$2,fissika!$B$14:$BO$63,fissika!$BN$64),""))</f>
        <v>Memiliki keterampilan baik dalam KD keterampilan 4 Ekonomi dan Melakukan percobaan getaran harmonis pada ayunan sederhana</v>
      </c>
      <c r="K76" s="2056"/>
      <c r="L76" s="2056"/>
      <c r="M76" s="2056"/>
      <c r="N76" s="2056"/>
      <c r="O76" s="404"/>
      <c r="P76" s="1392">
        <v>59</v>
      </c>
      <c r="Q76" s="382"/>
    </row>
    <row r="77" spans="1:17" s="1370" customFormat="1" ht="8.1" customHeight="1">
      <c r="A77" s="386"/>
      <c r="B77" s="386"/>
      <c r="C77" s="395"/>
      <c r="D77" s="401"/>
      <c r="E77" s="514"/>
      <c r="F77" s="514"/>
      <c r="G77" s="515"/>
      <c r="H77" s="410"/>
      <c r="I77" s="401"/>
      <c r="J77" s="555"/>
      <c r="K77" s="555"/>
      <c r="L77" s="555"/>
      <c r="M77" s="555"/>
      <c r="N77" s="555"/>
      <c r="O77" s="404"/>
      <c r="P77" s="1392">
        <v>60</v>
      </c>
      <c r="Q77" s="382"/>
    </row>
    <row r="78" spans="1:17" s="550" customFormat="1" ht="12" customHeight="1">
      <c r="A78" s="386"/>
      <c r="B78" s="386"/>
      <c r="C78" s="395"/>
      <c r="D78" s="586"/>
      <c r="E78" s="589" t="str">
        <f>E49</f>
        <v>Raport SMA Negeri 1 Amabi Efeto</v>
      </c>
      <c r="F78" s="584"/>
      <c r="G78" s="585"/>
      <c r="H78" s="577"/>
      <c r="I78" s="578"/>
      <c r="J78" s="579"/>
      <c r="K78" s="579"/>
      <c r="L78" s="579"/>
      <c r="M78" s="579"/>
      <c r="N78" s="588">
        <f>N49+1</f>
        <v>3</v>
      </c>
      <c r="O78" s="404"/>
      <c r="P78" s="1392">
        <v>61</v>
      </c>
      <c r="Q78" s="382"/>
    </row>
    <row r="79" spans="1:17" s="546" customFormat="1" ht="12" customHeight="1">
      <c r="A79" s="391"/>
      <c r="B79" s="391"/>
      <c r="C79" s="70"/>
      <c r="D79" s="587"/>
      <c r="E79" s="590" t="str">
        <f>E50</f>
        <v>Asti Welmince Welkis | 0 | Kelas: X IIS 2 | Semester:1 | 2022-2023</v>
      </c>
      <c r="F79" s="583"/>
      <c r="G79" s="583"/>
      <c r="H79" s="410"/>
      <c r="I79" s="401"/>
      <c r="J79" s="555"/>
      <c r="K79" s="410"/>
      <c r="L79" s="415"/>
      <c r="M79" s="411"/>
      <c r="N79" s="423"/>
      <c r="O79" s="580"/>
      <c r="P79" s="1392">
        <v>62</v>
      </c>
      <c r="Q79" s="891"/>
    </row>
    <row r="80" spans="1:17" s="979" customFormat="1" ht="15" customHeight="1">
      <c r="A80" s="391"/>
      <c r="B80" s="391"/>
      <c r="C80" s="70"/>
      <c r="D80" s="1047" t="s">
        <v>714</v>
      </c>
      <c r="E80" s="590"/>
      <c r="F80" s="583"/>
      <c r="G80" s="583"/>
      <c r="H80" s="410"/>
      <c r="I80" s="401"/>
      <c r="J80" s="555"/>
      <c r="K80" s="410"/>
      <c r="L80" s="415"/>
      <c r="M80" s="411"/>
      <c r="O80" s="580"/>
      <c r="P80" s="891"/>
      <c r="Q80" s="891"/>
    </row>
    <row r="81" spans="1:18" ht="12" customHeight="1">
      <c r="A81" s="386"/>
      <c r="B81" s="386"/>
      <c r="C81" s="395"/>
      <c r="D81" s="2057" t="s">
        <v>317</v>
      </c>
      <c r="E81" s="2057"/>
      <c r="F81" s="2068" t="s">
        <v>28</v>
      </c>
      <c r="G81" s="2069"/>
      <c r="H81" s="2069"/>
      <c r="I81" s="2069"/>
      <c r="J81" s="2069"/>
      <c r="K81" s="2069"/>
      <c r="L81" s="2069"/>
      <c r="M81" s="2069"/>
      <c r="N81" s="2070"/>
      <c r="O81" s="404"/>
      <c r="P81" s="891"/>
      <c r="Q81" s="382"/>
    </row>
    <row r="82" spans="1:18" ht="12" customHeight="1">
      <c r="A82" s="386"/>
      <c r="B82" s="386"/>
      <c r="C82" s="395"/>
      <c r="D82" s="2057"/>
      <c r="E82" s="2057"/>
      <c r="F82" s="2059" t="s">
        <v>324</v>
      </c>
      <c r="G82" s="2059"/>
      <c r="H82" s="2059"/>
      <c r="I82" s="2059" t="s">
        <v>325</v>
      </c>
      <c r="J82" s="2059"/>
      <c r="K82" s="2059" t="s">
        <v>326</v>
      </c>
      <c r="L82" s="2059"/>
      <c r="M82" s="2059"/>
      <c r="N82" s="1372" t="s">
        <v>327</v>
      </c>
      <c r="O82" s="404"/>
      <c r="P82" s="891"/>
      <c r="Q82" s="382"/>
    </row>
    <row r="83" spans="1:18" ht="12" customHeight="1">
      <c r="A83" s="386"/>
      <c r="B83" s="386"/>
      <c r="C83" s="395"/>
      <c r="D83" s="2060">
        <f>Data2!V4</f>
        <v>76</v>
      </c>
      <c r="E83" s="2060"/>
      <c r="F83" s="2058" t="str">
        <f t="shared" ref="F83:F86" si="3">IF(D83="","","&lt; "&amp;D83)</f>
        <v>&lt; 76</v>
      </c>
      <c r="G83" s="2058"/>
      <c r="H83" s="2058"/>
      <c r="I83" s="2058" t="str">
        <f t="shared" ref="I83:I86" si="4">IF(D83="","",D83&amp;" - "&amp;ROUNDDOWN(D83+(100-D83)/3,0))</f>
        <v>76 - 84</v>
      </c>
      <c r="J83" s="2058"/>
      <c r="K83" s="2058" t="str">
        <f t="shared" ref="K83:K86" si="5">IF(D83="","",ROUNDDOWN(D83+(100-D83)/3,0)+1&amp;" - "&amp;(ROUNDDOWN(D83+(100-D83)/3,0)+1)+ROUNDDOWN((100-(ROUNDDOWN(D83+(100-D83)/3,0)+1))/2,0))</f>
        <v>85 - 92</v>
      </c>
      <c r="L83" s="2058"/>
      <c r="M83" s="2058"/>
      <c r="N83" s="1374" t="str">
        <f t="shared" ref="N83:N86" si="6">IF(D83="","",(ROUNDDOWN(D83+(100-D83)/3,0)+1)+ROUNDDOWN((100-(ROUNDDOWN(D83+(100-D83)/3,0)+1))/2,0)+1&amp;" - "&amp;100)</f>
        <v>93 - 100</v>
      </c>
      <c r="O83" s="404"/>
      <c r="P83" s="891"/>
      <c r="Q83" s="382"/>
    </row>
    <row r="84" spans="1:18" ht="12" customHeight="1">
      <c r="A84" s="386"/>
      <c r="B84" s="386"/>
      <c r="C84" s="395"/>
      <c r="D84" s="2060" t="str">
        <f>Data2!V5</f>
        <v/>
      </c>
      <c r="E84" s="2060"/>
      <c r="F84" s="2058" t="str">
        <f t="shared" si="3"/>
        <v/>
      </c>
      <c r="G84" s="2058"/>
      <c r="H84" s="2058"/>
      <c r="I84" s="2058" t="str">
        <f t="shared" si="4"/>
        <v/>
      </c>
      <c r="J84" s="2058"/>
      <c r="K84" s="2058" t="str">
        <f t="shared" si="5"/>
        <v/>
      </c>
      <c r="L84" s="2058"/>
      <c r="M84" s="2058"/>
      <c r="N84" s="1374" t="str">
        <f t="shared" si="6"/>
        <v/>
      </c>
      <c r="O84" s="404"/>
      <c r="P84" s="891"/>
      <c r="Q84" s="382"/>
    </row>
    <row r="85" spans="1:18" ht="12" customHeight="1">
      <c r="A85" s="386"/>
      <c r="B85" s="386"/>
      <c r="C85" s="395"/>
      <c r="D85" s="2060" t="str">
        <f>Data2!V6</f>
        <v/>
      </c>
      <c r="E85" s="2060"/>
      <c r="F85" s="2058" t="str">
        <f t="shared" si="3"/>
        <v/>
      </c>
      <c r="G85" s="2058"/>
      <c r="H85" s="2058"/>
      <c r="I85" s="2058" t="str">
        <f t="shared" si="4"/>
        <v/>
      </c>
      <c r="J85" s="2058"/>
      <c r="K85" s="2058" t="str">
        <f t="shared" si="5"/>
        <v/>
      </c>
      <c r="L85" s="2058"/>
      <c r="M85" s="2058"/>
      <c r="N85" s="1374" t="str">
        <f t="shared" si="6"/>
        <v/>
      </c>
      <c r="O85" s="404"/>
      <c r="P85" s="891"/>
      <c r="Q85" s="382"/>
    </row>
    <row r="86" spans="1:18" ht="12" customHeight="1">
      <c r="A86" s="386"/>
      <c r="B86" s="386"/>
      <c r="C86" s="395"/>
      <c r="D86" s="2060" t="str">
        <f>Data2!V7</f>
        <v/>
      </c>
      <c r="E86" s="2060"/>
      <c r="F86" s="2058" t="str">
        <f t="shared" si="3"/>
        <v/>
      </c>
      <c r="G86" s="2058"/>
      <c r="H86" s="2058"/>
      <c r="I86" s="2058" t="str">
        <f t="shared" si="4"/>
        <v/>
      </c>
      <c r="J86" s="2058"/>
      <c r="K86" s="2058" t="str">
        <f t="shared" si="5"/>
        <v/>
      </c>
      <c r="L86" s="2058"/>
      <c r="M86" s="2058"/>
      <c r="N86" s="1374" t="str">
        <f t="shared" si="6"/>
        <v/>
      </c>
      <c r="O86" s="404"/>
      <c r="P86" s="891"/>
      <c r="Q86" s="382"/>
    </row>
    <row r="87" spans="1:18" ht="12" customHeight="1">
      <c r="A87" s="386"/>
      <c r="B87" s="386"/>
      <c r="C87" s="395"/>
      <c r="D87" s="2060" t="str">
        <f>Data2!V8</f>
        <v/>
      </c>
      <c r="E87" s="2060"/>
      <c r="F87" s="2058" t="str">
        <f>IF(D87="","","&lt; "&amp;D87)</f>
        <v/>
      </c>
      <c r="G87" s="2058"/>
      <c r="H87" s="2058"/>
      <c r="I87" s="2058" t="str">
        <f t="shared" ref="I87" si="7">IF(D87="","",D87&amp;" - "&amp;ROUNDDOWN(D87+(100-D87)/3,0))</f>
        <v/>
      </c>
      <c r="J87" s="2058"/>
      <c r="K87" s="2058" t="str">
        <f t="shared" ref="K87" si="8">IF(D87="","",ROUNDDOWN(D87+(100-D87)/3,0)+1&amp;" - "&amp;(ROUNDDOWN(D87+(100-D87)/3,0)+1)+ROUNDDOWN((100-(ROUNDDOWN(D87+(100-D87)/3,0)+1))/2,0))</f>
        <v/>
      </c>
      <c r="L87" s="2058"/>
      <c r="M87" s="2058"/>
      <c r="N87" s="1374" t="str">
        <f t="shared" ref="N87" si="9">IF(D87="","",(ROUNDDOWN(D87+(100-D87)/3,0)+1)+ROUNDDOWN((100-(ROUNDDOWN(D87+(100-D87)/3,0)+1))/2,0)+1&amp;" - "&amp;100)</f>
        <v/>
      </c>
      <c r="O87" s="404"/>
      <c r="P87" s="891"/>
      <c r="Q87" s="382"/>
    </row>
    <row r="88" spans="1:18" s="392" customFormat="1" ht="18" customHeight="1">
      <c r="A88" s="571"/>
      <c r="B88" s="571"/>
      <c r="C88" s="154"/>
      <c r="D88" s="393" t="s">
        <v>361</v>
      </c>
      <c r="E88" s="393" t="s">
        <v>360</v>
      </c>
      <c r="P88" s="891"/>
      <c r="Q88" s="1386"/>
    </row>
    <row r="89" spans="1:18" ht="14.1" customHeight="1">
      <c r="A89" s="386"/>
      <c r="B89" s="386"/>
      <c r="C89" s="395"/>
      <c r="D89" s="413" t="s">
        <v>323</v>
      </c>
      <c r="E89" s="2071" t="s">
        <v>15</v>
      </c>
      <c r="F89" s="2072"/>
      <c r="G89" s="2072"/>
      <c r="H89" s="2073"/>
      <c r="I89" s="537" t="s">
        <v>16</v>
      </c>
      <c r="J89" s="2002" t="s">
        <v>17</v>
      </c>
      <c r="K89" s="2003"/>
      <c r="L89" s="2003"/>
      <c r="M89" s="2003"/>
      <c r="N89" s="2004"/>
      <c r="O89" s="401"/>
      <c r="P89" s="386"/>
      <c r="Q89" s="382"/>
    </row>
    <row r="90" spans="1:18" ht="14.1" customHeight="1">
      <c r="A90" s="386"/>
      <c r="B90" s="386"/>
      <c r="C90" s="395"/>
      <c r="D90" s="414">
        <v>1</v>
      </c>
      <c r="E90" s="2074" t="str">
        <f>VLOOKUP($B$2,AbEk!$B$9:$U$58,AbEk!I60)</f>
        <v>Pendidikan Kepramukaan</v>
      </c>
      <c r="F90" s="2075"/>
      <c r="G90" s="2075"/>
      <c r="H90" s="2076"/>
      <c r="I90" s="414" t="str">
        <f>IF(VLOOKUP($B$2,AbEk!$B$9:$U$58,AbEk!J60)=0,"",VLOOKUP($B$2,AbEk!$B$9:$U$58,AbEk!J60))</f>
        <v>B</v>
      </c>
      <c r="J90" s="2011" t="str">
        <f>IF(I90="","",IF(VLOOKUP($B$2,AbEk!$B$9:$U$58,AbEk!K60)="","",VLOOKUP($B$2,AbEk!$B$9:$U$58,AbEk!K60)))</f>
        <v/>
      </c>
      <c r="K90" s="2011"/>
      <c r="L90" s="2011"/>
      <c r="M90" s="2011"/>
      <c r="N90" s="2011"/>
      <c r="O90" s="415"/>
      <c r="P90" s="386"/>
      <c r="Q90" s="1389" t="s">
        <v>62</v>
      </c>
      <c r="R90" s="534" t="s">
        <v>156</v>
      </c>
    </row>
    <row r="91" spans="1:18" ht="14.1" customHeight="1">
      <c r="A91" s="386"/>
      <c r="B91" s="386"/>
      <c r="C91" s="395"/>
      <c r="D91" s="416">
        <v>2</v>
      </c>
      <c r="E91" s="2008" t="str">
        <f>IF(VLOOKUP($B$2,AbEk!$B$9:$U$58,AbEk!L60)=0,"",VLOOKUP($B$2,AbEk!$B$9:$U$58,AbEk!L60))</f>
        <v/>
      </c>
      <c r="F91" s="2009"/>
      <c r="G91" s="2009"/>
      <c r="H91" s="2010"/>
      <c r="I91" s="416" t="str">
        <f>IF(VLOOKUP($B$2,AbEk!$B$9:$U$58,AbEk!M60)=0,"",VLOOKUP($B$2,AbEk!$B$9:$U$58,AbEk!M60))</f>
        <v/>
      </c>
      <c r="J91" s="2011" t="str">
        <f>IF(I91="","",IF(VLOOKUP($B$2,AbEk!$B$9:$U$58,AbEk!N60)="","",VLOOKUP($B$2,AbEk!$B$9:$U$58,AbEk!N60)))</f>
        <v/>
      </c>
      <c r="K91" s="2011"/>
      <c r="L91" s="2011"/>
      <c r="M91" s="2011"/>
      <c r="N91" s="2011"/>
      <c r="O91" s="415"/>
      <c r="P91" s="386"/>
      <c r="Q91" s="1389" t="s">
        <v>59</v>
      </c>
      <c r="R91" s="534" t="s">
        <v>157</v>
      </c>
    </row>
    <row r="92" spans="1:18" ht="14.1" customHeight="1">
      <c r="A92" s="386"/>
      <c r="B92" s="386"/>
      <c r="C92" s="395"/>
      <c r="D92" s="416">
        <v>3</v>
      </c>
      <c r="E92" s="2008" t="str">
        <f>IF(VLOOKUP($B$2,AbEk!$B$9:$U$58,AbEk!O60)=0,"",VLOOKUP($B$2,AbEk!$B$9:$U$58,AbEk!O60))</f>
        <v/>
      </c>
      <c r="F92" s="2009"/>
      <c r="G92" s="2009"/>
      <c r="H92" s="2010"/>
      <c r="I92" s="416" t="str">
        <f>IF(VLOOKUP($B$2,AbEk!$B$9:$U$58,AbEk!P60)=0,"",VLOOKUP($B$2,AbEk!$B$9:$U$58,AbEk!P60))</f>
        <v/>
      </c>
      <c r="J92" s="2011" t="str">
        <f>IF(I92="","",IF(VLOOKUP($B$2,AbEk!$B$9:$U$58,AbEk!Q60)="","",VLOOKUP($B$2,AbEk!$B$9:$U$58,AbEk!Q60)))</f>
        <v/>
      </c>
      <c r="K92" s="2011"/>
      <c r="L92" s="2011"/>
      <c r="M92" s="2011"/>
      <c r="N92" s="2011"/>
      <c r="O92" s="415"/>
      <c r="P92" s="386"/>
      <c r="Q92" s="1389" t="s">
        <v>60</v>
      </c>
      <c r="R92" s="534" t="s">
        <v>158</v>
      </c>
    </row>
    <row r="93" spans="1:18" ht="14.1" customHeight="1">
      <c r="A93" s="386"/>
      <c r="B93" s="386"/>
      <c r="C93" s="395"/>
      <c r="D93" s="416">
        <v>4</v>
      </c>
      <c r="E93" s="2008" t="str">
        <f>IF(VLOOKUP($B$2,AbEk!$B$9:$U$58,AbEk!R60)=0,"",VLOOKUP($B$2,AbEk!$B$9:$U$58,AbEk!R60))</f>
        <v/>
      </c>
      <c r="F93" s="2009"/>
      <c r="G93" s="2009"/>
      <c r="H93" s="2010"/>
      <c r="I93" s="416" t="str">
        <f>IF(VLOOKUP($B$2,AbEk!$B$9:$U$58,AbEk!S60)=0,"",VLOOKUP($B$2,AbEk!$B$9:$U$58,AbEk!S60))</f>
        <v/>
      </c>
      <c r="J93" s="2011" t="str">
        <f>IF(I93="","",IF(VLOOKUP($B$2,AbEk!$B$9:$U$58,AbEk!T60)="","",VLOOKUP($B$2,AbEk!$B$9:$U$58,AbEk!T60)))</f>
        <v/>
      </c>
      <c r="K93" s="2011"/>
      <c r="L93" s="2011"/>
      <c r="M93" s="2011"/>
      <c r="N93" s="2011"/>
      <c r="O93" s="415"/>
      <c r="P93" s="386"/>
      <c r="Q93" s="1389" t="s">
        <v>63</v>
      </c>
      <c r="R93" s="534" t="s">
        <v>159</v>
      </c>
    </row>
    <row r="94" spans="1:18" s="400" customFormat="1" ht="18" customHeight="1">
      <c r="A94" s="572"/>
      <c r="B94" s="572"/>
      <c r="C94" s="397"/>
      <c r="D94" s="1045" t="s">
        <v>402</v>
      </c>
      <c r="E94" s="1045" t="s">
        <v>401</v>
      </c>
      <c r="F94" s="392"/>
      <c r="G94" s="392"/>
      <c r="H94" s="392"/>
      <c r="I94" s="392"/>
      <c r="J94" s="392"/>
      <c r="K94" s="392"/>
      <c r="L94" s="392"/>
      <c r="M94" s="392"/>
      <c r="N94" s="392"/>
      <c r="O94" s="392"/>
      <c r="P94" s="572"/>
      <c r="Q94" s="1384"/>
    </row>
    <row r="95" spans="1:18" ht="14.1" customHeight="1">
      <c r="A95" s="386"/>
      <c r="B95" s="386"/>
      <c r="C95" s="395"/>
      <c r="D95" s="537" t="s">
        <v>323</v>
      </c>
      <c r="E95" s="2002" t="s">
        <v>328</v>
      </c>
      <c r="F95" s="2003"/>
      <c r="G95" s="2003"/>
      <c r="H95" s="2004"/>
      <c r="I95" s="2002" t="s">
        <v>17</v>
      </c>
      <c r="J95" s="2003"/>
      <c r="K95" s="2003"/>
      <c r="L95" s="2003"/>
      <c r="M95" s="2003"/>
      <c r="N95" s="2004"/>
      <c r="O95" s="536"/>
      <c r="P95" s="386"/>
      <c r="Q95" s="382"/>
    </row>
    <row r="96" spans="1:18" ht="14.1" customHeight="1">
      <c r="A96" s="386"/>
      <c r="B96" s="386"/>
      <c r="C96" s="395"/>
      <c r="D96" s="544" t="s">
        <v>125</v>
      </c>
      <c r="E96" s="2005" t="str">
        <f>IF(VLOOKUP(B2,Casi!$B$11:$R$60,Casi!M61)="","",VLOOKUP(B2,Casi!$B$11:$R$60,Casi!M61))</f>
        <v/>
      </c>
      <c r="F96" s="2006"/>
      <c r="G96" s="2006"/>
      <c r="H96" s="2007"/>
      <c r="I96" s="2005" t="str">
        <f>IF(VLOOKUP(B2,Casi!$B$11:$R$60,Casi!N61)="","",VLOOKUP(B2,Casi!$B$11:$R$60,Casi!N61))</f>
        <v/>
      </c>
      <c r="J96" s="2006"/>
      <c r="K96" s="2006"/>
      <c r="L96" s="2006"/>
      <c r="M96" s="2006"/>
      <c r="N96" s="2007"/>
      <c r="O96" s="536"/>
      <c r="P96" s="386"/>
      <c r="Q96" s="382"/>
    </row>
    <row r="97" spans="1:17" ht="14.1" customHeight="1">
      <c r="A97" s="386"/>
      <c r="B97" s="386"/>
      <c r="C97" s="395"/>
      <c r="D97" s="544" t="s">
        <v>126</v>
      </c>
      <c r="E97" s="2005" t="str">
        <f>IF(VLOOKUP(B2,Casi!$B$11:$R$60,Casi!O61)="","",VLOOKUP(B2,Casi!$B$11:$R$60,Casi!O61))</f>
        <v/>
      </c>
      <c r="F97" s="2006"/>
      <c r="G97" s="2006"/>
      <c r="H97" s="2007"/>
      <c r="I97" s="2005" t="str">
        <f>IF(VLOOKUP(B2,Casi!$B$11:$R$60,Casi!P61)="","",VLOOKUP(B2,Casi!$B$11:$R$60,Casi!P61))</f>
        <v/>
      </c>
      <c r="J97" s="2006"/>
      <c r="K97" s="2006"/>
      <c r="L97" s="2006"/>
      <c r="M97" s="2006"/>
      <c r="N97" s="2007"/>
      <c r="O97" s="536"/>
      <c r="P97" s="386"/>
      <c r="Q97" s="382"/>
    </row>
    <row r="98" spans="1:17" ht="14.1" customHeight="1">
      <c r="A98" s="386"/>
      <c r="B98" s="386"/>
      <c r="C98" s="395"/>
      <c r="D98" s="544" t="s">
        <v>127</v>
      </c>
      <c r="E98" s="2005" t="str">
        <f>IF(VLOOKUP(B2,Casi!$B$11:$R$60,Casi!Q61)="","",VLOOKUP(B2,Casi!$B$11:$R$60,Casi!Q61))</f>
        <v/>
      </c>
      <c r="F98" s="2006"/>
      <c r="G98" s="2006"/>
      <c r="H98" s="2007"/>
      <c r="I98" s="2005" t="str">
        <f>IF(VLOOKUP(B2,Casi!$B$11:$R$60,Casi!R61)="","",VLOOKUP(B2,Casi!$B$11:$R$60,Casi!R61))</f>
        <v/>
      </c>
      <c r="J98" s="2006"/>
      <c r="K98" s="2006"/>
      <c r="L98" s="2006"/>
      <c r="M98" s="2006"/>
      <c r="N98" s="2007"/>
      <c r="O98" s="536"/>
      <c r="P98" s="386"/>
      <c r="Q98" s="382"/>
    </row>
    <row r="99" spans="1:17" s="400" customFormat="1" ht="18" customHeight="1">
      <c r="A99" s="572"/>
      <c r="B99" s="572"/>
      <c r="C99" s="397"/>
      <c r="D99" s="1046" t="s">
        <v>330</v>
      </c>
      <c r="E99" s="1046" t="s">
        <v>362</v>
      </c>
      <c r="F99" s="417"/>
      <c r="G99" s="417"/>
      <c r="H99" s="417"/>
      <c r="I99" s="417"/>
      <c r="O99" s="392"/>
      <c r="P99" s="572"/>
      <c r="Q99" s="1384"/>
    </row>
    <row r="100" spans="1:17" ht="14.1" customHeight="1">
      <c r="A100" s="386"/>
      <c r="B100" s="386"/>
      <c r="C100" s="395"/>
      <c r="D100" s="1991" t="s">
        <v>18</v>
      </c>
      <c r="E100" s="1991"/>
      <c r="F100" s="1991"/>
      <c r="G100" s="1991"/>
      <c r="H100" s="1991"/>
      <c r="I100" s="538">
        <f>VLOOKUP($B$2,AbEk!$B$9:$U$58,5)</f>
        <v>0</v>
      </c>
      <c r="J100" s="539" t="s">
        <v>21</v>
      </c>
      <c r="O100" s="536"/>
      <c r="P100" s="386"/>
      <c r="Q100" s="382"/>
    </row>
    <row r="101" spans="1:17" ht="14.1" customHeight="1">
      <c r="A101" s="386"/>
      <c r="B101" s="386"/>
      <c r="C101" s="395"/>
      <c r="D101" s="1991" t="s">
        <v>19</v>
      </c>
      <c r="E101" s="1991"/>
      <c r="F101" s="1991"/>
      <c r="G101" s="1991"/>
      <c r="H101" s="1991"/>
      <c r="I101" s="538">
        <f>VLOOKUP($B$2,AbEk!$B$9:$U$58,6)</f>
        <v>0</v>
      </c>
      <c r="J101" s="539" t="s">
        <v>21</v>
      </c>
      <c r="O101" s="536"/>
      <c r="P101" s="386"/>
      <c r="Q101" s="382"/>
    </row>
    <row r="102" spans="1:17" ht="14.1" customHeight="1">
      <c r="A102" s="386"/>
      <c r="B102" s="386"/>
      <c r="C102" s="395"/>
      <c r="D102" s="1992" t="s">
        <v>20</v>
      </c>
      <c r="E102" s="1992"/>
      <c r="F102" s="1992"/>
      <c r="G102" s="1992"/>
      <c r="H102" s="1992"/>
      <c r="I102" s="538">
        <f>VLOOKUP($B$2,AbEk!$B$9:$U$58,7)</f>
        <v>0</v>
      </c>
      <c r="J102" s="539" t="s">
        <v>21</v>
      </c>
      <c r="O102" s="536"/>
      <c r="P102" s="386"/>
      <c r="Q102" s="382"/>
    </row>
    <row r="103" spans="1:17" s="400" customFormat="1" ht="18" customHeight="1">
      <c r="A103" s="572"/>
      <c r="B103" s="572"/>
      <c r="C103" s="397"/>
      <c r="D103" s="393" t="s">
        <v>332</v>
      </c>
      <c r="E103" s="393" t="s">
        <v>329</v>
      </c>
      <c r="F103" s="392"/>
      <c r="G103" s="574"/>
      <c r="H103" s="574"/>
      <c r="I103" s="417"/>
      <c r="J103" s="417"/>
      <c r="O103" s="392"/>
      <c r="P103" s="572"/>
      <c r="Q103" s="1384"/>
    </row>
    <row r="104" spans="1:17" ht="14.1" customHeight="1">
      <c r="A104" s="386"/>
      <c r="B104" s="890">
        <f>IF(VLOOKUP(B2,DKN!B11:AW60,DKN!AW68)&gt;P13,"-",VLOOKUP(B2,DKN!B11:AW60,DKN!AW68))</f>
        <v>6</v>
      </c>
      <c r="C104" s="395"/>
      <c r="D104" s="1993" t="str">
        <f>IF(P10="Ya","Peringkat Nilai : "&amp;B104&amp;" dari "&amp;MAX(DKN!B11:B60)&amp;" siswa. ","")&amp;VLOOKUP(B2,Casi!B11:R60,Casi!$L61)</f>
        <v xml:space="preserve">Peringkat Nilai : 6 dari 37 siswa. Prestasi baik, perlu dipertahankan dan dtingkatkan  </v>
      </c>
      <c r="E104" s="1994"/>
      <c r="F104" s="1994"/>
      <c r="G104" s="1994"/>
      <c r="H104" s="1994"/>
      <c r="I104" s="1994"/>
      <c r="J104" s="1994"/>
      <c r="K104" s="1994"/>
      <c r="L104" s="1994"/>
      <c r="M104" s="1994"/>
      <c r="N104" s="1995"/>
      <c r="O104" s="536"/>
      <c r="P104" s="386"/>
      <c r="Q104" s="382"/>
    </row>
    <row r="105" spans="1:17" ht="14.1" customHeight="1">
      <c r="A105" s="386"/>
      <c r="B105" s="386"/>
      <c r="C105" s="395"/>
      <c r="D105" s="1996"/>
      <c r="E105" s="1997"/>
      <c r="F105" s="1997"/>
      <c r="G105" s="1997"/>
      <c r="H105" s="1997"/>
      <c r="I105" s="1997"/>
      <c r="J105" s="1997"/>
      <c r="K105" s="1997"/>
      <c r="L105" s="1997"/>
      <c r="M105" s="1997"/>
      <c r="N105" s="1998"/>
      <c r="O105" s="536"/>
      <c r="P105" s="386"/>
      <c r="Q105" s="382"/>
    </row>
    <row r="106" spans="1:17" ht="14.1" customHeight="1">
      <c r="A106" s="386"/>
      <c r="B106" s="386"/>
      <c r="C106" s="395"/>
      <c r="D106" s="1996"/>
      <c r="E106" s="1997"/>
      <c r="F106" s="1997"/>
      <c r="G106" s="1997"/>
      <c r="H106" s="1997"/>
      <c r="I106" s="1997"/>
      <c r="J106" s="1997"/>
      <c r="K106" s="1997"/>
      <c r="L106" s="1997"/>
      <c r="M106" s="1997"/>
      <c r="N106" s="1998"/>
      <c r="O106" s="536"/>
      <c r="P106" s="386"/>
      <c r="Q106" s="382"/>
    </row>
    <row r="107" spans="1:17" ht="14.1" customHeight="1">
      <c r="A107" s="386"/>
      <c r="B107" s="386"/>
      <c r="C107" s="395"/>
      <c r="D107" s="1996"/>
      <c r="E107" s="1997"/>
      <c r="F107" s="1997"/>
      <c r="G107" s="1997"/>
      <c r="H107" s="1997"/>
      <c r="I107" s="1997"/>
      <c r="J107" s="1997"/>
      <c r="K107" s="1997"/>
      <c r="L107" s="1997"/>
      <c r="M107" s="1997"/>
      <c r="N107" s="1998"/>
      <c r="O107" s="536"/>
      <c r="P107" s="386"/>
      <c r="Q107" s="382"/>
    </row>
    <row r="108" spans="1:17" ht="14.1" customHeight="1">
      <c r="A108" s="386"/>
      <c r="B108" s="386"/>
      <c r="C108" s="395"/>
      <c r="D108" s="1999"/>
      <c r="E108" s="2000"/>
      <c r="F108" s="2000"/>
      <c r="G108" s="2000"/>
      <c r="H108" s="2000"/>
      <c r="I108" s="2000"/>
      <c r="J108" s="2000"/>
      <c r="K108" s="2000"/>
      <c r="L108" s="2000"/>
      <c r="M108" s="2000"/>
      <c r="N108" s="2001"/>
      <c r="O108" s="536"/>
      <c r="P108" s="386"/>
      <c r="Q108" s="382"/>
    </row>
    <row r="109" spans="1:17" s="400" customFormat="1" ht="18" customHeight="1">
      <c r="A109" s="572"/>
      <c r="B109" s="572"/>
      <c r="C109" s="397"/>
      <c r="D109" s="1046" t="s">
        <v>420</v>
      </c>
      <c r="E109" s="1046" t="s">
        <v>331</v>
      </c>
      <c r="F109" s="573"/>
      <c r="G109" s="574"/>
      <c r="H109" s="574"/>
      <c r="I109" s="417"/>
      <c r="J109" s="417"/>
      <c r="O109" s="392"/>
      <c r="P109" s="572"/>
      <c r="Q109" s="1384"/>
    </row>
    <row r="110" spans="1:17" ht="14.1" customHeight="1">
      <c r="A110" s="386"/>
      <c r="B110" s="386"/>
      <c r="C110" s="395"/>
      <c r="D110" s="558"/>
      <c r="E110" s="559"/>
      <c r="F110" s="559"/>
      <c r="G110" s="559"/>
      <c r="H110" s="559"/>
      <c r="I110" s="540"/>
      <c r="J110" s="540"/>
      <c r="K110" s="560"/>
      <c r="L110" s="560"/>
      <c r="M110" s="560"/>
      <c r="N110" s="561"/>
      <c r="O110" s="536"/>
      <c r="P110" s="386"/>
      <c r="Q110" s="382"/>
    </row>
    <row r="111" spans="1:17" s="966" customFormat="1" ht="14.1" customHeight="1">
      <c r="A111" s="386"/>
      <c r="B111" s="386"/>
      <c r="C111" s="395"/>
      <c r="D111" s="562"/>
      <c r="E111" s="557"/>
      <c r="F111" s="557"/>
      <c r="G111" s="557"/>
      <c r="H111" s="557"/>
      <c r="I111" s="423"/>
      <c r="J111" s="423"/>
      <c r="K111" s="428"/>
      <c r="L111" s="428"/>
      <c r="M111" s="428"/>
      <c r="N111" s="563"/>
      <c r="O111" s="979"/>
      <c r="P111" s="386"/>
      <c r="Q111" s="382"/>
    </row>
    <row r="112" spans="1:17" ht="14.1" customHeight="1">
      <c r="A112" s="386"/>
      <c r="B112" s="386"/>
      <c r="C112" s="395"/>
      <c r="D112" s="562"/>
      <c r="E112" s="557"/>
      <c r="F112" s="557"/>
      <c r="G112" s="557"/>
      <c r="H112" s="557"/>
      <c r="I112" s="423"/>
      <c r="J112" s="423"/>
      <c r="K112" s="428"/>
      <c r="L112" s="428"/>
      <c r="M112" s="428"/>
      <c r="N112" s="563"/>
      <c r="O112" s="536"/>
      <c r="P112" s="386"/>
      <c r="Q112" s="382"/>
    </row>
    <row r="113" spans="1:17" ht="14.1" customHeight="1">
      <c r="A113" s="386"/>
      <c r="B113" s="386"/>
      <c r="C113" s="395"/>
      <c r="D113" s="535"/>
      <c r="E113" s="564"/>
      <c r="F113" s="565"/>
      <c r="G113" s="565"/>
      <c r="H113" s="565"/>
      <c r="I113" s="541"/>
      <c r="J113" s="541"/>
      <c r="K113" s="565"/>
      <c r="L113" s="565"/>
      <c r="M113" s="565"/>
      <c r="N113" s="566"/>
      <c r="P113" s="386"/>
      <c r="Q113" s="382"/>
    </row>
    <row r="114" spans="1:17" s="966" customFormat="1" ht="12" customHeight="1">
      <c r="A114" s="386"/>
      <c r="B114" s="386"/>
      <c r="C114" s="395"/>
      <c r="D114" s="424"/>
      <c r="E114" s="424"/>
      <c r="F114" s="428"/>
      <c r="G114" s="428"/>
      <c r="H114" s="428"/>
      <c r="I114" s="423"/>
      <c r="J114" s="423"/>
      <c r="K114" s="428"/>
      <c r="L114" s="428"/>
      <c r="M114" s="428"/>
      <c r="N114" s="428"/>
      <c r="P114" s="386"/>
      <c r="Q114" s="382"/>
    </row>
    <row r="115" spans="1:17" s="966" customFormat="1" ht="14.1" customHeight="1">
      <c r="A115" s="386"/>
      <c r="B115" s="1376" t="str">
        <f>IF(VALUE(LEFT(Data!$C$9,2))=12,"LULUS","NAIK KE KELAS")</f>
        <v>NAIK KE KELAS</v>
      </c>
      <c r="C115" s="420"/>
      <c r="D115" s="2035" t="str">
        <f>IF(Data!$C$10=1,"","Keputusan:")</f>
        <v/>
      </c>
      <c r="E115" s="2035"/>
      <c r="F115" s="2035"/>
      <c r="G115" s="2035"/>
      <c r="H115" s="2035"/>
      <c r="I115" s="2035"/>
      <c r="J115" s="2035"/>
      <c r="K115" s="421"/>
      <c r="L115" s="421"/>
      <c r="M115" s="421"/>
      <c r="N115" s="421"/>
      <c r="P115" s="386"/>
      <c r="Q115" s="382"/>
    </row>
    <row r="116" spans="1:17" s="966" customFormat="1" ht="14.1" customHeight="1">
      <c r="A116" s="386"/>
      <c r="B116" s="1376" t="str">
        <f>IF(VALUE(LEFT(Data!$C$9,2))=12,"TIDAK LULUS","TINGGAL DI KELAS")</f>
        <v>TINGGAL DI KELAS</v>
      </c>
      <c r="C116" s="420"/>
      <c r="D116" s="1373" t="str">
        <f>IF(VALUE(LEFT(Data!$C$9,1))=9,"Berdasarkan kriteria kelulusan pada kurikulum sekolah tahun pelajaran "&amp;Data!$C$11&amp;" siswa ditetapkan",IF(MOD(Data!$C$10,2)=1,"","Berdasarkan hasil yang dicapai pada semester 1 dan 2, Peserta Didik ditetapkan"))</f>
        <v/>
      </c>
      <c r="E116" s="1373"/>
      <c r="F116" s="1373"/>
      <c r="G116" s="1373"/>
      <c r="H116" s="1373"/>
      <c r="I116" s="1373"/>
      <c r="J116" s="1377"/>
      <c r="K116" s="428"/>
      <c r="L116" s="428"/>
      <c r="M116" s="428"/>
      <c r="N116" s="428"/>
      <c r="P116" s="386"/>
      <c r="Q116" s="382"/>
    </row>
    <row r="117" spans="1:17" s="421" customFormat="1" ht="14.1" customHeight="1">
      <c r="A117" s="419"/>
      <c r="B117" s="1378">
        <f>MOD(Data!$C$10,2)</f>
        <v>1</v>
      </c>
      <c r="C117" s="420"/>
      <c r="D117" s="1379" t="str">
        <f>IF(B117=1,"",IF($P$4="Naik/Lulus",B115,B116))</f>
        <v/>
      </c>
      <c r="E117" s="423"/>
      <c r="F117" s="423"/>
      <c r="H117" s="1380" t="str">
        <f>IF(B115="LULUS","",IF(B117=1,"",":"))</f>
        <v/>
      </c>
      <c r="I117" s="1381" t="str">
        <f>IFERROR(IF(B117=1,"",IF(D117="NAIK KE KELAS",ROMAN(VALUE(LEFT(Data!$C$9,2)+1))&amp;CHOOSE(VALUE(LEFT(Data!$C$9,2)-9),"  ( SEBELAS )","  ( DUABELAS )"),ROMAN(VALUE(LEFT(Data!$C$9,2)))&amp;CHOOSE(VALUE(LEFT(Data!$C$9,2)-9),"  ( SEPULUH )","  ( SEBELAS )"))),"")</f>
        <v/>
      </c>
      <c r="J117" s="1377"/>
      <c r="P117" s="418"/>
      <c r="Q117" s="1387"/>
    </row>
    <row r="118" spans="1:17" s="421" customFormat="1" ht="14.1" customHeight="1">
      <c r="A118" s="419"/>
      <c r="B118" s="1378"/>
      <c r="C118" s="420"/>
      <c r="D118" s="1379"/>
      <c r="E118" s="423"/>
      <c r="F118" s="423"/>
      <c r="G118" s="1380"/>
      <c r="H118" s="1381"/>
      <c r="I118" s="423"/>
      <c r="J118" s="1377"/>
      <c r="P118" s="418"/>
      <c r="Q118" s="1387"/>
    </row>
    <row r="119" spans="1:17" s="421" customFormat="1" ht="14.1" customHeight="1">
      <c r="A119" s="419"/>
      <c r="B119" s="419"/>
      <c r="C119" s="420"/>
      <c r="K119" s="426"/>
      <c r="L119" s="427"/>
      <c r="M119" s="427"/>
      <c r="N119" s="427"/>
      <c r="P119" s="422"/>
      <c r="Q119" s="1387"/>
    </row>
    <row r="120" spans="1:17" s="421" customFormat="1" ht="13.5" customHeight="1">
      <c r="A120" s="419"/>
      <c r="B120" s="419"/>
      <c r="C120" s="420"/>
      <c r="D120" s="965" t="s">
        <v>677</v>
      </c>
      <c r="E120" s="423"/>
      <c r="F120" s="423"/>
      <c r="G120" s="423"/>
      <c r="H120" s="423"/>
      <c r="K120" s="2012" t="str">
        <f>Data!$C$14&amp;", "&amp;TEXT(Data!$C$15,"d mmmm yyy")</f>
        <v>Kupang, 22 December 2022</v>
      </c>
      <c r="L120" s="2012"/>
      <c r="M120" s="2012"/>
      <c r="N120" s="2012"/>
      <c r="P120" s="419"/>
      <c r="Q120" s="1387"/>
    </row>
    <row r="121" spans="1:17" s="421" customFormat="1" ht="13.5" customHeight="1">
      <c r="A121" s="419"/>
      <c r="B121" s="419"/>
      <c r="C121" s="420"/>
      <c r="D121" s="960" t="s">
        <v>366</v>
      </c>
      <c r="E121" s="966"/>
      <c r="F121" s="966"/>
      <c r="G121" s="966"/>
      <c r="H121" s="966"/>
      <c r="I121" s="966"/>
      <c r="K121" s="2013" t="s">
        <v>614</v>
      </c>
      <c r="L121" s="2013"/>
      <c r="M121" s="2013"/>
      <c r="N121" s="2013"/>
      <c r="P121" s="419"/>
      <c r="Q121" s="1387"/>
    </row>
    <row r="122" spans="1:17" s="421" customFormat="1" ht="13.5" customHeight="1">
      <c r="A122" s="419"/>
      <c r="B122" s="419"/>
      <c r="C122" s="420"/>
      <c r="D122" s="960"/>
      <c r="E122" s="966"/>
      <c r="F122" s="966"/>
      <c r="G122" s="966"/>
      <c r="H122" s="966"/>
      <c r="I122" s="966"/>
      <c r="K122" s="2013"/>
      <c r="L122" s="2013"/>
      <c r="M122" s="2013"/>
      <c r="N122" s="2013"/>
      <c r="P122" s="419"/>
      <c r="Q122" s="1387"/>
    </row>
    <row r="123" spans="1:17" s="421" customFormat="1" ht="13.5" customHeight="1">
      <c r="A123" s="419"/>
      <c r="B123" s="419"/>
      <c r="C123" s="420"/>
      <c r="D123" s="966"/>
      <c r="E123" s="966"/>
      <c r="F123" s="966"/>
      <c r="G123" s="966"/>
      <c r="H123" s="966"/>
      <c r="I123" s="966"/>
      <c r="K123" s="2012"/>
      <c r="L123" s="2012"/>
      <c r="M123" s="2012"/>
      <c r="N123" s="2012"/>
      <c r="P123" s="419"/>
      <c r="Q123" s="1387"/>
    </row>
    <row r="124" spans="1:17" s="421" customFormat="1" ht="13.5" customHeight="1">
      <c r="A124" s="419"/>
      <c r="B124" s="419"/>
      <c r="C124" s="420"/>
      <c r="D124" s="966"/>
      <c r="E124" s="960"/>
      <c r="F124" s="423"/>
      <c r="G124" s="423"/>
      <c r="H124" s="966"/>
      <c r="I124" s="962"/>
      <c r="K124" s="2014"/>
      <c r="L124" s="2014"/>
      <c r="M124" s="2014"/>
      <c r="N124" s="2014"/>
      <c r="P124" s="419"/>
      <c r="Q124" s="1387"/>
    </row>
    <row r="125" spans="1:17" s="421" customFormat="1" ht="13.5" customHeight="1">
      <c r="A125" s="419"/>
      <c r="B125" s="419"/>
      <c r="C125" s="420"/>
      <c r="D125" s="965" t="s">
        <v>616</v>
      </c>
      <c r="E125" s="966"/>
      <c r="F125" s="428"/>
      <c r="G125" s="428"/>
      <c r="H125" s="966"/>
      <c r="I125" s="961"/>
      <c r="K125" s="2015" t="str">
        <f>Data!$C$12</f>
        <v>Sendi Laura Kee, S.Pd</v>
      </c>
      <c r="L125" s="2015"/>
      <c r="M125" s="2015"/>
      <c r="N125" s="2015"/>
      <c r="P125" s="419"/>
      <c r="Q125" s="1387"/>
    </row>
    <row r="126" spans="1:17" s="421" customFormat="1" ht="13.5" customHeight="1">
      <c r="A126" s="419"/>
      <c r="B126" s="419"/>
      <c r="C126" s="420"/>
      <c r="E126" s="966"/>
      <c r="F126" s="966"/>
      <c r="G126" s="966"/>
      <c r="H126" s="966"/>
      <c r="I126" s="966"/>
      <c r="K126" s="1986" t="str">
        <f>Data!$B$13&amp;". "&amp;Data!$C$13</f>
        <v>NIP. 198410062022212020</v>
      </c>
      <c r="L126" s="1986"/>
      <c r="M126" s="1986"/>
      <c r="N126" s="1986"/>
      <c r="P126" s="419"/>
      <c r="Q126" s="1387"/>
    </row>
    <row r="127" spans="1:17" ht="13.5" customHeight="1">
      <c r="A127" s="386"/>
      <c r="B127" s="386"/>
      <c r="C127" s="395"/>
      <c r="D127" s="965"/>
      <c r="E127" s="966"/>
      <c r="F127" s="966"/>
      <c r="G127" s="966"/>
      <c r="H127" s="961" t="s">
        <v>490</v>
      </c>
      <c r="J127" s="961"/>
      <c r="K127" s="963"/>
      <c r="L127" s="966"/>
      <c r="M127" s="961"/>
      <c r="N127" s="966"/>
      <c r="P127" s="386"/>
      <c r="Q127" s="382"/>
    </row>
    <row r="128" spans="1:17" s="550" customFormat="1" ht="13.5" customHeight="1">
      <c r="A128" s="386"/>
      <c r="B128" s="386"/>
      <c r="C128" s="395"/>
      <c r="D128" s="965"/>
      <c r="E128" s="966"/>
      <c r="F128" s="966"/>
      <c r="G128" s="966"/>
      <c r="H128" s="962" t="s">
        <v>142</v>
      </c>
      <c r="J128" s="966"/>
      <c r="K128" s="961"/>
      <c r="L128" s="966"/>
      <c r="M128" s="966"/>
      <c r="N128" s="967"/>
      <c r="P128" s="386"/>
      <c r="Q128" s="382"/>
    </row>
    <row r="129" spans="1:17" s="546" customFormat="1" ht="13.5" customHeight="1">
      <c r="A129" s="391"/>
      <c r="B129" s="391"/>
      <c r="C129" s="70"/>
      <c r="D129" s="966"/>
      <c r="E129" s="965"/>
      <c r="F129" s="965"/>
      <c r="G129" s="965"/>
      <c r="J129" s="960"/>
      <c r="K129" s="963"/>
      <c r="L129" s="966"/>
      <c r="M129" s="965"/>
      <c r="N129" s="968"/>
      <c r="O129" s="423"/>
      <c r="P129" s="391"/>
      <c r="Q129" s="891"/>
    </row>
    <row r="130" spans="1:17" s="550" customFormat="1" ht="13.5" customHeight="1">
      <c r="A130" s="386"/>
      <c r="B130" s="386"/>
      <c r="C130" s="395"/>
      <c r="D130" s="966"/>
      <c r="E130" s="965"/>
      <c r="F130" s="965"/>
      <c r="G130" s="965"/>
      <c r="H130" s="962"/>
      <c r="J130" s="966"/>
      <c r="K130" s="963"/>
      <c r="L130" s="966"/>
      <c r="M130" s="965"/>
      <c r="N130" s="964"/>
      <c r="O130" s="428"/>
      <c r="P130" s="386"/>
      <c r="Q130" s="382"/>
    </row>
    <row r="131" spans="1:17" s="550" customFormat="1" ht="13.5" customHeight="1">
      <c r="A131" s="386"/>
      <c r="B131" s="386"/>
      <c r="C131" s="395"/>
      <c r="D131" s="966"/>
      <c r="E131" s="966"/>
      <c r="F131" s="966"/>
      <c r="G131" s="966"/>
      <c r="H131" s="961"/>
      <c r="J131" s="966"/>
      <c r="K131" s="961"/>
      <c r="L131" s="966"/>
      <c r="M131" s="966"/>
      <c r="N131" s="964"/>
      <c r="P131" s="386"/>
      <c r="Q131" s="382"/>
    </row>
    <row r="132" spans="1:17" s="549" customFormat="1" ht="13.5" customHeight="1">
      <c r="A132" s="408"/>
      <c r="B132" s="408"/>
      <c r="C132" s="409"/>
      <c r="D132" s="966"/>
      <c r="E132" s="966"/>
      <c r="F132" s="966"/>
      <c r="G132" s="966"/>
      <c r="H132" s="969" t="str">
        <f>Data!$C$7</f>
        <v>Nelson Nome, S.Pd</v>
      </c>
      <c r="J132" s="965"/>
      <c r="K132" s="961"/>
      <c r="L132" s="966"/>
      <c r="M132" s="966"/>
      <c r="N132" s="967"/>
      <c r="P132" s="408"/>
      <c r="Q132" s="1388"/>
    </row>
    <row r="133" spans="1:17" s="550" customFormat="1" ht="13.5" customHeight="1">
      <c r="A133" s="386"/>
      <c r="B133" s="386"/>
      <c r="C133" s="395"/>
      <c r="D133" s="966"/>
      <c r="E133" s="966"/>
      <c r="F133" s="966"/>
      <c r="G133" s="966"/>
      <c r="H133" s="961" t="str">
        <f>Data!$B$8&amp;". "&amp;Data!$C$8</f>
        <v>NIP. 19781107201001 1 022</v>
      </c>
      <c r="J133" s="966"/>
      <c r="K133" s="966"/>
      <c r="L133" s="966"/>
      <c r="M133" s="966"/>
      <c r="N133" s="964"/>
      <c r="P133" s="386"/>
      <c r="Q133" s="382"/>
    </row>
    <row r="134" spans="1:17" s="550" customFormat="1" ht="7.5" customHeight="1">
      <c r="A134" s="386"/>
      <c r="B134" s="386"/>
      <c r="H134" s="1962"/>
      <c r="I134" s="1962"/>
      <c r="J134" s="1962"/>
      <c r="K134" s="1962"/>
      <c r="P134" s="386"/>
      <c r="Q134" s="382"/>
    </row>
    <row r="135" spans="1:17" s="550" customFormat="1" ht="12" customHeight="1">
      <c r="A135" s="386"/>
      <c r="B135" s="386"/>
      <c r="D135" s="586"/>
      <c r="E135" s="589" t="str">
        <f>E78</f>
        <v>Raport SMA Negeri 1 Amabi Efeto</v>
      </c>
      <c r="F135" s="584"/>
      <c r="G135" s="585"/>
      <c r="H135" s="577"/>
      <c r="I135" s="578"/>
      <c r="J135" s="579"/>
      <c r="K135" s="579"/>
      <c r="L135" s="579"/>
      <c r="M135" s="579"/>
      <c r="N135" s="588">
        <f>N78+1</f>
        <v>4</v>
      </c>
      <c r="P135" s="386"/>
      <c r="Q135" s="382"/>
    </row>
    <row r="136" spans="1:17" s="546" customFormat="1" ht="12" customHeight="1">
      <c r="A136" s="391"/>
      <c r="B136" s="391"/>
      <c r="D136" s="587"/>
      <c r="E136" s="590" t="str">
        <f>E79</f>
        <v>Asti Welmince Welkis | 0 | Kelas: X IIS 2 | Semester:1 | 2022-2023</v>
      </c>
      <c r="F136" s="583"/>
      <c r="G136" s="583"/>
      <c r="H136" s="410"/>
      <c r="I136" s="401"/>
      <c r="J136" s="555"/>
      <c r="K136" s="410"/>
      <c r="L136" s="415"/>
      <c r="M136" s="411"/>
      <c r="P136" s="391"/>
      <c r="Q136" s="891"/>
    </row>
    <row r="137" spans="1:17">
      <c r="A137" s="386"/>
      <c r="B137" s="386"/>
      <c r="C137" s="386"/>
      <c r="D137" s="386"/>
      <c r="E137" s="386"/>
      <c r="F137" s="386"/>
      <c r="G137" s="386"/>
      <c r="H137" s="386"/>
      <c r="I137" s="386"/>
      <c r="J137" s="386"/>
      <c r="K137" s="386"/>
      <c r="L137" s="386"/>
      <c r="M137" s="386"/>
      <c r="N137" s="386"/>
      <c r="O137" s="386"/>
      <c r="P137" s="386"/>
      <c r="Q137" s="382"/>
    </row>
    <row r="138" spans="1:17">
      <c r="A138" s="386"/>
      <c r="B138" s="386"/>
      <c r="C138" s="386"/>
      <c r="D138" s="386"/>
      <c r="E138" s="386"/>
      <c r="F138" s="386"/>
      <c r="G138" s="386"/>
      <c r="H138" s="386"/>
      <c r="I138" s="386"/>
      <c r="J138" s="386"/>
      <c r="K138" s="386"/>
      <c r="L138" s="386"/>
      <c r="M138" s="386"/>
      <c r="N138" s="386"/>
      <c r="O138" s="386"/>
      <c r="P138" s="386"/>
      <c r="Q138" s="382"/>
    </row>
    <row r="139" spans="1:17" hidden="1"/>
    <row r="140" spans="1:17" hidden="1"/>
    <row r="141" spans="1:17" hidden="1"/>
    <row r="142" spans="1:17" hidden="1"/>
    <row r="143" spans="1:17" ht="12.75" hidden="1" customHeight="1"/>
    <row r="144" spans="1:17" hidden="1"/>
    <row r="145" ht="12.75" hidden="1" customHeight="1"/>
    <row r="146" ht="12.75" hidden="1" customHeight="1"/>
    <row r="147" ht="12.75" hidden="1" customHeight="1"/>
    <row r="148" ht="12.75" hidden="1" customHeight="1"/>
    <row r="149" ht="12.75" hidden="1" customHeight="1"/>
    <row r="150" hidden="1"/>
    <row r="151" ht="12.75" hidden="1" customHeight="1"/>
    <row r="152" ht="12.75" hidden="1" customHeight="1"/>
    <row r="153" ht="12.75" hidden="1" customHeight="1"/>
    <row r="154" ht="12.75" hidden="1" customHeight="1"/>
    <row r="155" ht="12.75" hidden="1" customHeight="1"/>
    <row r="156" ht="12.75" hidden="1" customHeight="1"/>
    <row r="157" ht="12.75" hidden="1" customHeight="1"/>
    <row r="158" ht="12.75" hidden="1" customHeight="1"/>
    <row r="159" ht="12.75" hidden="1" customHeight="1"/>
    <row r="160" ht="12.75" hidden="1" customHeight="1"/>
    <row r="161" ht="12.75" hidden="1" customHeight="1"/>
    <row r="162" ht="12.75" hidden="1" customHeight="1"/>
    <row r="163" ht="12.75" hidden="1" customHeight="1"/>
    <row r="164" ht="12.75" hidden="1" customHeight="1"/>
    <row r="165" ht="12.75" hidden="1" customHeight="1"/>
    <row r="166" ht="12.75" hidden="1" customHeight="1"/>
    <row r="167" ht="12.75" hidden="1" customHeight="1"/>
    <row r="168" ht="12.75" hidden="1" customHeight="1"/>
    <row r="169" ht="12.75" hidden="1" customHeight="1"/>
    <row r="170" ht="12.75" hidden="1" customHeight="1"/>
    <row r="171" ht="12.75" hidden="1" customHeight="1"/>
    <row r="172" ht="12.75" hidden="1" customHeight="1"/>
    <row r="173" ht="12.75" hidden="1" customHeight="1"/>
    <row r="174" ht="12.75" hidden="1" customHeight="1"/>
    <row r="175" ht="12.75" hidden="1" customHeight="1"/>
    <row r="176" ht="12.75" hidden="1" customHeight="1"/>
    <row r="177" ht="12.75" hidden="1" customHeight="1"/>
    <row r="178" ht="12.75" hidden="1" customHeight="1"/>
    <row r="179" ht="12.75" hidden="1" customHeight="1"/>
    <row r="180" ht="12.75" hidden="1" customHeight="1"/>
    <row r="181" ht="12.75" hidden="1" customHeight="1"/>
    <row r="182" ht="12.75" hidden="1" customHeight="1"/>
    <row r="183" ht="12.75" hidden="1" customHeight="1"/>
    <row r="184" ht="12.75" hidden="1" customHeight="1"/>
    <row r="185" ht="12.75" hidden="1" customHeight="1"/>
    <row r="186" ht="12.75" hidden="1" customHeight="1"/>
    <row r="187" ht="12.75" hidden="1" customHeight="1"/>
    <row r="188" ht="12.75" hidden="1" customHeight="1"/>
    <row r="189" ht="12.75" hidden="1" customHeight="1"/>
    <row r="190" ht="12.75" hidden="1" customHeight="1"/>
    <row r="191" ht="12.75" hidden="1" customHeight="1"/>
    <row r="192" ht="12.75" hidden="1" customHeight="1"/>
    <row r="193" ht="12.75" hidden="1" customHeight="1"/>
    <row r="194" ht="12.75" hidden="1" customHeight="1"/>
    <row r="195" ht="12.75" hidden="1" customHeight="1"/>
    <row r="196" ht="12.75" hidden="1" customHeight="1"/>
    <row r="197" ht="12.75" hidden="1" customHeight="1"/>
    <row r="198" ht="12.75" hidden="1" customHeight="1"/>
    <row r="199" ht="12.75" hidden="1" customHeight="1"/>
    <row r="200" ht="12.75" hidden="1" customHeight="1"/>
    <row r="201" ht="12.75" hidden="1" customHeight="1"/>
    <row r="202" ht="12.75" hidden="1" customHeight="1"/>
    <row r="203" ht="12.75" hidden="1" customHeight="1"/>
    <row r="204" ht="12.75" hidden="1" customHeight="1"/>
    <row r="205" ht="12.75" hidden="1" customHeight="1"/>
    <row r="206" ht="12.75" hidden="1" customHeight="1"/>
    <row r="207" ht="12.75" hidden="1" customHeight="1"/>
    <row r="208" ht="12.75" hidden="1" customHeight="1"/>
    <row r="209" ht="12.75" hidden="1" customHeight="1"/>
    <row r="210" ht="12.75" hidden="1" customHeight="1"/>
    <row r="211" ht="12.75" hidden="1" customHeight="1"/>
    <row r="212" ht="12.75" hidden="1" customHeight="1"/>
    <row r="213" ht="12.75" hidden="1" customHeight="1"/>
  </sheetData>
  <sheetProtection formatRows="0" selectLockedCells="1"/>
  <mergeCells count="170">
    <mergeCell ref="Q4:Q14"/>
    <mergeCell ref="E55:F55"/>
    <mergeCell ref="J55:N55"/>
    <mergeCell ref="E56:F56"/>
    <mergeCell ref="J34:N34"/>
    <mergeCell ref="E35:F35"/>
    <mergeCell ref="J35:N35"/>
    <mergeCell ref="D85:E85"/>
    <mergeCell ref="D86:E86"/>
    <mergeCell ref="I85:J85"/>
    <mergeCell ref="I86:J86"/>
    <mergeCell ref="D83:E83"/>
    <mergeCell ref="D84:E84"/>
    <mergeCell ref="K85:M85"/>
    <mergeCell ref="K86:M86"/>
    <mergeCell ref="F83:H83"/>
    <mergeCell ref="F84:H84"/>
    <mergeCell ref="F85:H85"/>
    <mergeCell ref="F86:H86"/>
    <mergeCell ref="D37:F37"/>
    <mergeCell ref="J37:N37"/>
    <mergeCell ref="E34:F34"/>
    <mergeCell ref="E36:F36"/>
    <mergeCell ref="D31:F31"/>
    <mergeCell ref="J31:N31"/>
    <mergeCell ref="E32:F32"/>
    <mergeCell ref="J32:N32"/>
    <mergeCell ref="E33:F33"/>
    <mergeCell ref="J57:N57"/>
    <mergeCell ref="D53:F53"/>
    <mergeCell ref="J53:N53"/>
    <mergeCell ref="E54:F54"/>
    <mergeCell ref="E39:F39"/>
    <mergeCell ref="J39:N39"/>
    <mergeCell ref="E46:F46"/>
    <mergeCell ref="J46:N46"/>
    <mergeCell ref="E41:F41"/>
    <mergeCell ref="J41:N41"/>
    <mergeCell ref="E42:F42"/>
    <mergeCell ref="J42:N42"/>
    <mergeCell ref="E40:F40"/>
    <mergeCell ref="J40:N40"/>
    <mergeCell ref="E25:F25"/>
    <mergeCell ref="J25:N25"/>
    <mergeCell ref="E29:F29"/>
    <mergeCell ref="J29:N29"/>
    <mergeCell ref="E30:F30"/>
    <mergeCell ref="J30:N30"/>
    <mergeCell ref="E26:F26"/>
    <mergeCell ref="J26:N26"/>
    <mergeCell ref="E27:F27"/>
    <mergeCell ref="J27:N27"/>
    <mergeCell ref="E28:F28"/>
    <mergeCell ref="J28:N28"/>
    <mergeCell ref="B2:B3"/>
    <mergeCell ref="D4:N4"/>
    <mergeCell ref="D6:E6"/>
    <mergeCell ref="F6:J6"/>
    <mergeCell ref="D7:E7"/>
    <mergeCell ref="F7:J7"/>
    <mergeCell ref="H10:N12"/>
    <mergeCell ref="J23:N23"/>
    <mergeCell ref="D24:F24"/>
    <mergeCell ref="J24:N24"/>
    <mergeCell ref="D14:E14"/>
    <mergeCell ref="F14:N14"/>
    <mergeCell ref="D16:E16"/>
    <mergeCell ref="F16:N16"/>
    <mergeCell ref="D17:E17"/>
    <mergeCell ref="F17:N17"/>
    <mergeCell ref="E23:F23"/>
    <mergeCell ref="D8:E8"/>
    <mergeCell ref="F8:J8"/>
    <mergeCell ref="D9:E9"/>
    <mergeCell ref="F9:J9"/>
    <mergeCell ref="D13:E13"/>
    <mergeCell ref="F13:N13"/>
    <mergeCell ref="E69:F69"/>
    <mergeCell ref="E70:F70"/>
    <mergeCell ref="E71:F71"/>
    <mergeCell ref="D66:F66"/>
    <mergeCell ref="E61:F61"/>
    <mergeCell ref="E62:F62"/>
    <mergeCell ref="E43:F43"/>
    <mergeCell ref="J43:N43"/>
    <mergeCell ref="E44:F44"/>
    <mergeCell ref="J44:N44"/>
    <mergeCell ref="E47:F47"/>
    <mergeCell ref="J47:N47"/>
    <mergeCell ref="J56:N56"/>
    <mergeCell ref="E52:F52"/>
    <mergeCell ref="J52:N52"/>
    <mergeCell ref="E58:F58"/>
    <mergeCell ref="J58:N58"/>
    <mergeCell ref="E59:F59"/>
    <mergeCell ref="E68:F68"/>
    <mergeCell ref="D60:F60"/>
    <mergeCell ref="E65:F65"/>
    <mergeCell ref="E63:F63"/>
    <mergeCell ref="E64:F64"/>
    <mergeCell ref="E57:F57"/>
    <mergeCell ref="H134:K134"/>
    <mergeCell ref="E89:H89"/>
    <mergeCell ref="E92:H92"/>
    <mergeCell ref="J92:N92"/>
    <mergeCell ref="E93:H93"/>
    <mergeCell ref="J93:N93"/>
    <mergeCell ref="D100:H100"/>
    <mergeCell ref="D101:H101"/>
    <mergeCell ref="D102:H102"/>
    <mergeCell ref="E95:H95"/>
    <mergeCell ref="E96:H96"/>
    <mergeCell ref="E97:H97"/>
    <mergeCell ref="E98:H98"/>
    <mergeCell ref="I95:N95"/>
    <mergeCell ref="I96:N96"/>
    <mergeCell ref="I97:N97"/>
    <mergeCell ref="I98:N98"/>
    <mergeCell ref="E90:H90"/>
    <mergeCell ref="J90:N90"/>
    <mergeCell ref="E91:H91"/>
    <mergeCell ref="K126:N126"/>
    <mergeCell ref="D104:N108"/>
    <mergeCell ref="J91:N91"/>
    <mergeCell ref="K120:N120"/>
    <mergeCell ref="P7:P9"/>
    <mergeCell ref="J89:N89"/>
    <mergeCell ref="J54:N54"/>
    <mergeCell ref="J33:N33"/>
    <mergeCell ref="I84:J84"/>
    <mergeCell ref="P11:P12"/>
    <mergeCell ref="K83:M83"/>
    <mergeCell ref="K84:M84"/>
    <mergeCell ref="J36:N36"/>
    <mergeCell ref="J65:N65"/>
    <mergeCell ref="J63:N63"/>
    <mergeCell ref="J64:N64"/>
    <mergeCell ref="J69:N69"/>
    <mergeCell ref="J70:N70"/>
    <mergeCell ref="J66:N66"/>
    <mergeCell ref="J61:N61"/>
    <mergeCell ref="J62:N62"/>
    <mergeCell ref="J59:N59"/>
    <mergeCell ref="K82:M82"/>
    <mergeCell ref="J68:N68"/>
    <mergeCell ref="J75:N75"/>
    <mergeCell ref="J60:N60"/>
    <mergeCell ref="I82:J82"/>
    <mergeCell ref="F81:N81"/>
    <mergeCell ref="K121:N121"/>
    <mergeCell ref="K122:N122"/>
    <mergeCell ref="K123:N123"/>
    <mergeCell ref="K124:N124"/>
    <mergeCell ref="K125:N125"/>
    <mergeCell ref="J71:N71"/>
    <mergeCell ref="E72:F72"/>
    <mergeCell ref="J72:N72"/>
    <mergeCell ref="E73:F73"/>
    <mergeCell ref="J73:N73"/>
    <mergeCell ref="E76:F76"/>
    <mergeCell ref="J76:N76"/>
    <mergeCell ref="D81:E82"/>
    <mergeCell ref="I83:J83"/>
    <mergeCell ref="F82:H82"/>
    <mergeCell ref="E75:F75"/>
    <mergeCell ref="D115:J115"/>
    <mergeCell ref="D87:E87"/>
    <mergeCell ref="I87:J87"/>
    <mergeCell ref="K87:M87"/>
    <mergeCell ref="F87:H87"/>
  </mergeCells>
  <conditionalFormatting sqref="K119:N119">
    <cfRule type="expression" dxfId="200" priority="2048">
      <formula>OR($P$117=1,$P$117="Gasal")</formula>
    </cfRule>
  </conditionalFormatting>
  <conditionalFormatting sqref="E136:F136 E135:M135">
    <cfRule type="expression" dxfId="199" priority="36">
      <formula>$E$40=""</formula>
    </cfRule>
  </conditionalFormatting>
  <conditionalFormatting sqref="I135 F135 K135:K136 N135">
    <cfRule type="expression" dxfId="198" priority="35">
      <formula>$E$70=""</formula>
    </cfRule>
  </conditionalFormatting>
  <conditionalFormatting sqref="P11:P14">
    <cfRule type="expression" dxfId="197" priority="18">
      <formula>$O$10="Tidak"</formula>
    </cfRule>
  </conditionalFormatting>
  <conditionalFormatting sqref="D116:D118 H118 I117">
    <cfRule type="expression" dxfId="196" priority="1">
      <formula>OR($O$122=1,$O$122="Gasal")</formula>
    </cfRule>
  </conditionalFormatting>
  <conditionalFormatting sqref="D115">
    <cfRule type="expression" dxfId="195" priority="3">
      <formula>OR($P$124=1,$P$124="Gasal")</formula>
    </cfRule>
  </conditionalFormatting>
  <conditionalFormatting sqref="D115:J115 J116:J118">
    <cfRule type="expression" dxfId="194" priority="2">
      <formula>$D$125=""</formula>
    </cfRule>
  </conditionalFormatting>
  <conditionalFormatting sqref="D116:I116 D118:G118 D117:F117 H117">
    <cfRule type="expression" dxfId="193" priority="4">
      <formula>#REF!=""</formula>
    </cfRule>
  </conditionalFormatting>
  <dataValidations count="5">
    <dataValidation type="list" allowBlank="1" showInputMessage="1" showErrorMessage="1" sqref="P6">
      <formula1>"Romawi,Arabic"</formula1>
    </dataValidation>
    <dataValidation allowBlank="1" showInputMessage="1" showErrorMessage="1" prompt="jika mengikuti halaman otomatis, maka cells ini dikosongkan" sqref="P2"/>
    <dataValidation type="list" allowBlank="1" showInputMessage="1" showErrorMessage="1" sqref="P10">
      <formula1>"Ya,Tidak"</formula1>
    </dataValidation>
    <dataValidation type="list" allowBlank="1" showInputMessage="1" showErrorMessage="1" sqref="P13">
      <formula1>"3,5,10,15,20,25,30,40,50"</formula1>
    </dataValidation>
    <dataValidation type="list" allowBlank="1" showInputMessage="1" showErrorMessage="1" prompt="Karena banyaknya faktor yang menjadi  kriterian kenaikan/kelulusan maka Naik-Lulus/Tidak Naik-Lulus ditentukan sendiri dengan klik disini." sqref="P4">
      <formula1>"Naik/Lulus,Tidak Naik/Lulus"</formula1>
    </dataValidation>
  </dataValidations>
  <printOptions horizontalCentered="1"/>
  <pageMargins left="0.28000000000000003" right="0.21" top="0.55000000000000004" bottom="0.41" header="0.31496062992125984" footer="0.31496062992125984"/>
  <pageSetup paperSize="9" orientation="portrait" horizontalDpi="4294967293" r:id="rId1"/>
  <rowBreaks count="3" manualBreakCount="3">
    <brk id="21" max="16383" man="1"/>
    <brk id="50" max="16383" man="1"/>
    <brk id="79"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55297" r:id="rId4" name="Spinner 1">
              <controlPr defaultSize="0" autoPict="0">
                <anchor moveWithCells="1" sizeWithCells="1">
                  <from>
                    <xdr:col>3</xdr:col>
                    <xdr:colOff>0</xdr:colOff>
                    <xdr:row>1</xdr:row>
                    <xdr:rowOff>19050</xdr:rowOff>
                  </from>
                  <to>
                    <xdr:col>3</xdr:col>
                    <xdr:colOff>200025</xdr:colOff>
                    <xdr:row>2</xdr:row>
                    <xdr:rowOff>142875</xdr:rowOff>
                  </to>
                </anchor>
              </controlPr>
            </control>
          </mc:Choice>
        </mc:AlternateContent>
      </controls>
    </mc:Choice>
  </mc:AlternateConten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tabColor rgb="FFC00000"/>
  </sheetPr>
  <dimension ref="A1:AE192"/>
  <sheetViews>
    <sheetView showGridLines="0" showRowColHeaders="0" workbookViewId="0">
      <pane xSplit="2" ySplit="3" topLeftCell="C33" activePane="bottomRight" state="frozen"/>
      <selection pane="topRight" activeCell="C1" sqref="C1"/>
      <selection pane="bottomLeft" activeCell="A4" sqref="A4"/>
      <selection pane="bottomRight" activeCell="M43" sqref="M43"/>
    </sheetView>
  </sheetViews>
  <sheetFormatPr defaultColWidth="0" defaultRowHeight="0" customHeight="1" zeroHeight="1"/>
  <cols>
    <col min="1" max="1" width="1.28515625" style="665" customWidth="1"/>
    <col min="2" max="2" width="5" style="665" customWidth="1"/>
    <col min="3" max="3" width="1" style="665" customWidth="1"/>
    <col min="4" max="4" width="3.7109375" style="665" customWidth="1"/>
    <col min="5" max="6" width="7.5703125" style="665" customWidth="1"/>
    <col min="7" max="7" width="4.5703125" style="665" customWidth="1"/>
    <col min="8" max="8" width="8" style="665" customWidth="1"/>
    <col min="9" max="9" width="7" style="665" customWidth="1"/>
    <col min="10" max="15" width="8.85546875" style="665" customWidth="1"/>
    <col min="16" max="16" width="1" style="665" customWidth="1"/>
    <col min="17" max="17" width="19.7109375" style="665" customWidth="1"/>
    <col min="18" max="18" width="9.140625" style="665" hidden="1" customWidth="1"/>
    <col min="19" max="31" width="5.28515625" style="665" hidden="1" customWidth="1"/>
    <col min="32" max="16384" width="9.140625" style="665" hidden="1"/>
  </cols>
  <sheetData>
    <row r="1" spans="1:30" ht="12.75">
      <c r="A1" s="382"/>
      <c r="B1" s="382"/>
      <c r="C1" s="382"/>
      <c r="D1" s="382"/>
      <c r="E1" s="382"/>
      <c r="F1" s="382"/>
      <c r="G1" s="382"/>
      <c r="H1" s="382"/>
      <c r="I1" s="382"/>
      <c r="J1" s="382"/>
      <c r="K1" s="382"/>
      <c r="L1" s="382"/>
      <c r="M1" s="382"/>
      <c r="N1" s="382"/>
      <c r="O1" s="382"/>
      <c r="P1" s="382"/>
      <c r="Q1" s="382"/>
    </row>
    <row r="2" spans="1:30" ht="15.75" customHeight="1">
      <c r="A2" s="382"/>
      <c r="B2" s="1919">
        <v>1</v>
      </c>
      <c r="C2" s="382"/>
      <c r="D2" s="382">
        <f>IDLOK</f>
        <v>0</v>
      </c>
      <c r="E2" s="382"/>
      <c r="F2" s="382"/>
      <c r="G2" s="382"/>
      <c r="H2" s="384"/>
      <c r="I2" s="384"/>
      <c r="J2" s="384" t="s">
        <v>463</v>
      </c>
      <c r="K2" s="656">
        <f>HLOOKUP(S4,S12:AD13,2)</f>
        <v>1</v>
      </c>
      <c r="L2" s="385" t="s">
        <v>464</v>
      </c>
      <c r="M2" s="382"/>
      <c r="N2" s="382"/>
      <c r="O2" s="382"/>
      <c r="P2" s="382"/>
      <c r="Q2" s="657"/>
    </row>
    <row r="3" spans="1:30" ht="15.75" customHeight="1">
      <c r="A3" s="386"/>
      <c r="B3" s="1920"/>
      <c r="C3" s="386"/>
      <c r="D3" s="386"/>
      <c r="E3" s="386"/>
      <c r="F3" s="386"/>
      <c r="G3" s="386"/>
      <c r="H3" s="386"/>
      <c r="I3" s="386"/>
      <c r="J3" s="386"/>
      <c r="K3" s="387" t="s">
        <v>279</v>
      </c>
      <c r="L3" s="386"/>
      <c r="M3" s="386"/>
      <c r="N3" s="386"/>
      <c r="O3" s="386"/>
      <c r="P3" s="386"/>
      <c r="Q3" s="386"/>
      <c r="T3" s="665" t="s">
        <v>475</v>
      </c>
      <c r="U3" s="665" t="s">
        <v>482</v>
      </c>
    </row>
    <row r="4" spans="1:30" ht="21" customHeight="1">
      <c r="A4" s="386"/>
      <c r="B4" s="386"/>
      <c r="C4" s="388"/>
      <c r="D4" s="2171" t="s">
        <v>309</v>
      </c>
      <c r="E4" s="2171"/>
      <c r="F4" s="2171"/>
      <c r="G4" s="2171"/>
      <c r="H4" s="2171"/>
      <c r="I4" s="2171"/>
      <c r="J4" s="2171"/>
      <c r="K4" s="2171"/>
      <c r="L4" s="2171"/>
      <c r="M4" s="2171"/>
      <c r="N4" s="2171"/>
      <c r="O4" s="2171"/>
      <c r="P4" s="389"/>
      <c r="Q4" s="386"/>
      <c r="S4" s="711">
        <f>Data!C16</f>
        <v>1</v>
      </c>
      <c r="T4" s="669" t="s">
        <v>476</v>
      </c>
      <c r="U4" s="665" t="s">
        <v>483</v>
      </c>
    </row>
    <row r="5" spans="1:30" ht="30" customHeight="1">
      <c r="A5" s="386"/>
      <c r="B5" s="386"/>
      <c r="C5" s="388"/>
      <c r="D5" s="669"/>
      <c r="E5" s="669"/>
      <c r="F5" s="669"/>
      <c r="G5" s="669"/>
      <c r="H5" s="669"/>
      <c r="I5" s="669"/>
      <c r="J5" s="669"/>
      <c r="K5" s="669"/>
      <c r="L5" s="669"/>
      <c r="M5" s="669"/>
      <c r="N5" s="669"/>
      <c r="O5" s="669"/>
      <c r="Q5" s="386"/>
      <c r="S5" s="711"/>
      <c r="T5" s="669" t="s">
        <v>477</v>
      </c>
      <c r="U5" s="665" t="s">
        <v>484</v>
      </c>
      <c r="W5" s="700"/>
    </row>
    <row r="6" spans="1:30" s="669" customFormat="1" ht="20.25" customHeight="1">
      <c r="A6" s="391"/>
      <c r="B6" s="386"/>
      <c r="D6" s="1921" t="s">
        <v>22</v>
      </c>
      <c r="E6" s="1921"/>
      <c r="F6" s="1921"/>
      <c r="G6" s="2172" t="str">
        <f>": "&amp;Data!C4</f>
        <v>: SMA Negeri 1 Amabi Efeto</v>
      </c>
      <c r="H6" s="2172"/>
      <c r="I6" s="2172"/>
      <c r="J6" s="2172"/>
      <c r="K6" s="2172"/>
      <c r="L6" s="709" t="s">
        <v>24</v>
      </c>
      <c r="N6" s="392" t="str">
        <f>": "&amp;S4&amp;" "&amp;CHOOSE(S4,T3,T4,T5,T6,T7,T8,U3,U4,U5,U6,U7,U8)</f>
        <v>: 1 (Satu)</v>
      </c>
      <c r="P6" s="393"/>
      <c r="Q6" s="386"/>
      <c r="S6" s="665"/>
      <c r="T6" s="665" t="s">
        <v>478</v>
      </c>
      <c r="U6" s="665" t="s">
        <v>485</v>
      </c>
      <c r="W6" s="700"/>
    </row>
    <row r="7" spans="1:30" s="669" customFormat="1" ht="20.25" customHeight="1">
      <c r="A7" s="391"/>
      <c r="B7" s="386"/>
      <c r="D7" s="1921" t="s">
        <v>71</v>
      </c>
      <c r="E7" s="1921"/>
      <c r="F7" s="1921"/>
      <c r="G7" s="2172" t="str">
        <f>": "&amp;VLOOKUP($B$2,Data!E5:I54,4)</f>
        <v>: Aldo Alfinus Pakae</v>
      </c>
      <c r="H7" s="2172"/>
      <c r="I7" s="2172"/>
      <c r="J7" s="2172"/>
      <c r="K7" s="2172"/>
      <c r="L7" s="709" t="s">
        <v>25</v>
      </c>
      <c r="N7" s="392" t="str">
        <f>": "&amp;Data!C11</f>
        <v>: 2022-2023</v>
      </c>
      <c r="P7" s="393"/>
      <c r="Q7" s="386"/>
      <c r="S7" s="665"/>
      <c r="T7" s="665" t="s">
        <v>479</v>
      </c>
      <c r="U7" s="669" t="s">
        <v>486</v>
      </c>
      <c r="W7" s="700"/>
    </row>
    <row r="8" spans="1:30" s="669" customFormat="1" ht="20.25" customHeight="1">
      <c r="A8" s="391"/>
      <c r="B8" s="386"/>
      <c r="D8" s="1921" t="str">
        <f>IF(VLOOKUP($B$2,Data!$E$5:$AC$54,Data!G55)="","Nomor Induk","No. Induk / NISN")</f>
        <v>No. Induk / NISN</v>
      </c>
      <c r="E8" s="1921"/>
      <c r="F8" s="1921"/>
      <c r="G8" s="2172" t="str">
        <f>": "&amp;TEXT(VLOOKUP($B$2,Data!E5:I54,2),Data!C18)&amp;IF(VLOOKUP($B$2,Data!$E$5:$AC$54,Data!G55)="",""," / "&amp;TEXT(VLOOKUP($B$2,Data!$E$5:$AC$54,Data!G55),Data!C20))</f>
        <v>: 00000 / 0066338468</v>
      </c>
      <c r="H8" s="2172"/>
      <c r="I8" s="2172"/>
      <c r="J8" s="2172"/>
      <c r="K8" s="2172"/>
      <c r="P8" s="393"/>
      <c r="Q8" s="391"/>
      <c r="S8" s="665"/>
      <c r="T8" s="665" t="s">
        <v>480</v>
      </c>
      <c r="U8" s="669" t="s">
        <v>487</v>
      </c>
      <c r="W8" s="700"/>
    </row>
    <row r="9" spans="1:30" s="669" customFormat="1" ht="15.75" customHeight="1">
      <c r="A9" s="391"/>
      <c r="B9" s="386"/>
      <c r="P9" s="664"/>
      <c r="Q9" s="391"/>
      <c r="S9" s="665"/>
      <c r="W9" s="700"/>
    </row>
    <row r="10" spans="1:30" ht="15.75" customHeight="1">
      <c r="A10" s="386"/>
      <c r="B10" s="386"/>
      <c r="C10" s="395"/>
      <c r="D10" s="669"/>
      <c r="E10" s="669"/>
      <c r="F10" s="669"/>
      <c r="G10" s="669"/>
      <c r="H10" s="674"/>
      <c r="I10" s="674"/>
      <c r="J10" s="674"/>
      <c r="K10" s="674"/>
      <c r="L10" s="674"/>
      <c r="M10" s="674"/>
      <c r="N10" s="674"/>
      <c r="O10" s="674"/>
      <c r="Q10" s="386"/>
    </row>
    <row r="11" spans="1:30" ht="20.25" customHeight="1">
      <c r="A11" s="386"/>
      <c r="B11" s="396"/>
      <c r="C11" s="397"/>
      <c r="D11" s="392" t="s">
        <v>308</v>
      </c>
      <c r="E11" s="669"/>
      <c r="F11" s="669"/>
      <c r="G11" s="669"/>
      <c r="H11" s="674"/>
      <c r="I11" s="674"/>
      <c r="J11" s="674"/>
      <c r="K11" s="674"/>
      <c r="L11" s="674"/>
      <c r="M11" s="674"/>
      <c r="N11" s="674"/>
      <c r="O11" s="674"/>
      <c r="Q11" s="386"/>
      <c r="S11" s="665" t="s">
        <v>495</v>
      </c>
    </row>
    <row r="12" spans="1:30" ht="21" customHeight="1">
      <c r="A12" s="386"/>
      <c r="B12" s="398"/>
      <c r="C12" s="395"/>
      <c r="D12" s="392" t="s">
        <v>125</v>
      </c>
      <c r="E12" s="392" t="s">
        <v>269</v>
      </c>
      <c r="F12" s="669"/>
      <c r="G12" s="669"/>
      <c r="H12" s="675"/>
      <c r="I12" s="675"/>
      <c r="J12" s="675"/>
      <c r="K12" s="675"/>
      <c r="L12" s="675"/>
      <c r="M12" s="675"/>
      <c r="N12" s="675"/>
      <c r="O12" s="675"/>
      <c r="Q12" s="386"/>
      <c r="S12" s="723">
        <v>1</v>
      </c>
      <c r="T12" s="723">
        <v>2</v>
      </c>
      <c r="U12" s="723">
        <v>3</v>
      </c>
      <c r="V12" s="723">
        <v>4</v>
      </c>
      <c r="W12" s="723">
        <v>5</v>
      </c>
      <c r="X12" s="723">
        <v>6</v>
      </c>
      <c r="Y12" s="723">
        <v>7</v>
      </c>
      <c r="Z12" s="723">
        <v>8</v>
      </c>
      <c r="AA12" s="723">
        <v>9</v>
      </c>
      <c r="AB12" s="723">
        <v>10</v>
      </c>
      <c r="AC12" s="723">
        <v>11</v>
      </c>
      <c r="AD12" s="723">
        <v>12</v>
      </c>
    </row>
    <row r="13" spans="1:30" ht="18.75" customHeight="1">
      <c r="A13" s="386"/>
      <c r="B13" s="398"/>
      <c r="C13" s="395"/>
      <c r="D13" s="2089" t="s">
        <v>28</v>
      </c>
      <c r="E13" s="2089"/>
      <c r="F13" s="2089" t="s">
        <v>14</v>
      </c>
      <c r="G13" s="2089"/>
      <c r="H13" s="2089"/>
      <c r="I13" s="2089"/>
      <c r="J13" s="2089"/>
      <c r="K13" s="2089"/>
      <c r="L13" s="2089"/>
      <c r="M13" s="2089"/>
      <c r="N13" s="2089"/>
      <c r="O13" s="2089"/>
      <c r="Q13" s="386"/>
      <c r="S13" s="723">
        <v>1</v>
      </c>
      <c r="T13" s="723">
        <v>5</v>
      </c>
      <c r="U13" s="723">
        <v>9</v>
      </c>
      <c r="V13" s="723">
        <v>13</v>
      </c>
      <c r="W13" s="723">
        <v>17</v>
      </c>
      <c r="X13" s="723">
        <v>21</v>
      </c>
      <c r="Y13" s="723">
        <v>25</v>
      </c>
      <c r="Z13" s="723">
        <v>29</v>
      </c>
      <c r="AA13" s="723">
        <v>33</v>
      </c>
      <c r="AB13" s="723">
        <v>37</v>
      </c>
      <c r="AC13" s="723">
        <v>41</v>
      </c>
      <c r="AD13" s="723">
        <v>45</v>
      </c>
    </row>
    <row r="14" spans="1:30" ht="96" customHeight="1">
      <c r="A14" s="386"/>
      <c r="B14" s="399" t="str">
        <f>IFERROR(VLOOKUP($B$2,Sikap!$B$15:$U$64,Sikap!F65),"")</f>
        <v>SB</v>
      </c>
      <c r="C14" s="395"/>
      <c r="D14" s="2087" t="str">
        <f>IF(B14="SB","Sangat Baik",IF(B14="B","Baik",IF(B14="C","Cukup","Kurang")))</f>
        <v>Sangat Baik</v>
      </c>
      <c r="E14" s="2087"/>
      <c r="F14" s="2088" t="str">
        <f>IFERROR(VLOOKUP($B$2,Sikap!$B$15:$Z$64,Sikap!L65),"")</f>
        <v>Selalu berdoa sebelum dan sesudah melakukan kegiatan, menjalankan ibadah sesuai dengan agamanya dan memberi salam pada saat awal dan akhir kegiatan. Sedangkan sikap bersyukur atas nikmat dan karunia Tuhan Yang Maha Esa dan mensyukuri kemampuan manusia dalam mengendalikan diri mulai berkembang</v>
      </c>
      <c r="G14" s="2088"/>
      <c r="H14" s="2088"/>
      <c r="I14" s="2088"/>
      <c r="J14" s="2088"/>
      <c r="K14" s="2088"/>
      <c r="L14" s="2088"/>
      <c r="M14" s="2088"/>
      <c r="N14" s="2088"/>
      <c r="O14" s="2088"/>
      <c r="Q14" s="386"/>
    </row>
    <row r="15" spans="1:30" ht="21.75" customHeight="1">
      <c r="A15" s="386"/>
      <c r="B15" s="396"/>
      <c r="C15" s="395"/>
      <c r="D15" s="393" t="s">
        <v>126</v>
      </c>
      <c r="E15" s="393" t="s">
        <v>270</v>
      </c>
      <c r="F15" s="669"/>
      <c r="G15" s="669"/>
      <c r="H15" s="669"/>
      <c r="I15" s="669"/>
      <c r="J15" s="669"/>
      <c r="K15" s="669"/>
      <c r="L15" s="669"/>
      <c r="M15" s="669"/>
      <c r="N15" s="669"/>
      <c r="O15" s="669"/>
      <c r="Q15" s="386"/>
    </row>
    <row r="16" spans="1:30" ht="18.75" customHeight="1">
      <c r="A16" s="386"/>
      <c r="B16" s="398"/>
      <c r="C16" s="395"/>
      <c r="D16" s="2089" t="s">
        <v>28</v>
      </c>
      <c r="E16" s="2089"/>
      <c r="F16" s="2089" t="s">
        <v>14</v>
      </c>
      <c r="G16" s="2089"/>
      <c r="H16" s="2089"/>
      <c r="I16" s="2089"/>
      <c r="J16" s="2089"/>
      <c r="K16" s="2089"/>
      <c r="L16" s="2089"/>
      <c r="M16" s="2089"/>
      <c r="N16" s="2089"/>
      <c r="O16" s="2089"/>
      <c r="Q16" s="386"/>
    </row>
    <row r="17" spans="1:17" ht="96" customHeight="1">
      <c r="A17" s="386"/>
      <c r="B17" s="399" t="str">
        <f>IFERROR(VLOOKUP($B$2,Sikap!$B$15:$Z$64,Sikap!M65),"")</f>
        <v>SB</v>
      </c>
      <c r="C17" s="395"/>
      <c r="D17" s="2087" t="str">
        <f>IF(B17="SB","Sangat Baik",IF(B17="B","Baik",IF(B17="C","Cukup","Kurang")))</f>
        <v>Sangat Baik</v>
      </c>
      <c r="E17" s="2087"/>
      <c r="F17" s="2090" t="str">
        <f>IFERROR(VLOOKUP($B$2,Sikap!$B$15:$Z$64,Sikap!Y65),"")</f>
        <v>Selalu menunjukkan sikap jujur, disiplin dan tanggung jawab dengan sangat baik, sikap santun, percaya diri dan peduli dengan baik, sikap kurang toleransi dan kurang gotong royong sedangkan sikap nasionalis dan demokratis mulai meningkat. Perlu pendampingan dan pembinaan secara intensif</v>
      </c>
      <c r="G17" s="2090"/>
      <c r="H17" s="2090"/>
      <c r="I17" s="2090"/>
      <c r="J17" s="2090"/>
      <c r="K17" s="2090"/>
      <c r="L17" s="2090"/>
      <c r="M17" s="2090"/>
      <c r="N17" s="2090"/>
      <c r="O17" s="2090"/>
      <c r="Q17" s="386"/>
    </row>
    <row r="18" spans="1:17" ht="13.5" customHeight="1">
      <c r="A18" s="386"/>
      <c r="B18" s="399"/>
      <c r="C18" s="395"/>
      <c r="D18" s="516"/>
      <c r="E18" s="516"/>
      <c r="F18" s="517"/>
      <c r="G18" s="517"/>
      <c r="H18" s="517"/>
      <c r="I18" s="517"/>
      <c r="J18" s="517"/>
      <c r="K18" s="517"/>
      <c r="L18" s="517"/>
      <c r="M18" s="517"/>
      <c r="N18" s="517"/>
      <c r="O18" s="517"/>
      <c r="Q18" s="386"/>
    </row>
    <row r="19" spans="1:17" s="400" customFormat="1" ht="20.25" customHeight="1">
      <c r="A19" s="572"/>
      <c r="B19" s="575"/>
      <c r="C19" s="154"/>
      <c r="D19" s="392" t="s">
        <v>398</v>
      </c>
      <c r="E19" s="392" t="s">
        <v>472</v>
      </c>
      <c r="F19" s="392"/>
      <c r="G19" s="392"/>
      <c r="H19" s="392"/>
      <c r="I19" s="392"/>
      <c r="J19" s="392"/>
      <c r="K19" s="392"/>
      <c r="L19" s="392"/>
      <c r="M19" s="392"/>
      <c r="N19" s="392"/>
      <c r="O19" s="392"/>
      <c r="Q19" s="572"/>
    </row>
    <row r="20" spans="1:17" ht="13.5" customHeight="1">
      <c r="A20" s="386"/>
      <c r="B20" s="396"/>
      <c r="C20" s="395"/>
      <c r="D20" s="2080" t="s">
        <v>55</v>
      </c>
      <c r="E20" s="2162" t="s">
        <v>39</v>
      </c>
      <c r="F20" s="2163"/>
      <c r="G20" s="2164"/>
      <c r="H20" s="2080" t="s">
        <v>317</v>
      </c>
      <c r="I20" s="2161" t="s">
        <v>469</v>
      </c>
      <c r="J20" s="2108" t="s">
        <v>399</v>
      </c>
      <c r="K20" s="2109"/>
      <c r="L20" s="2108" t="s">
        <v>400</v>
      </c>
      <c r="M20" s="2109"/>
      <c r="N20" s="2153" t="s">
        <v>470</v>
      </c>
      <c r="O20" s="2155" t="s">
        <v>471</v>
      </c>
      <c r="Q20" s="386"/>
    </row>
    <row r="21" spans="1:17" s="663" customFormat="1" ht="13.5" customHeight="1">
      <c r="A21" s="567"/>
      <c r="B21" s="567"/>
      <c r="C21" s="568"/>
      <c r="D21" s="2080"/>
      <c r="E21" s="2165"/>
      <c r="F21" s="2166"/>
      <c r="G21" s="2167"/>
      <c r="H21" s="2080"/>
      <c r="I21" s="2161"/>
      <c r="J21" s="678" t="s">
        <v>16</v>
      </c>
      <c r="K21" s="696" t="s">
        <v>467</v>
      </c>
      <c r="L21" s="678" t="s">
        <v>16</v>
      </c>
      <c r="M21" s="696" t="s">
        <v>467</v>
      </c>
      <c r="N21" s="2154"/>
      <c r="O21" s="2156"/>
      <c r="P21" s="570"/>
      <c r="Q21" s="567"/>
    </row>
    <row r="22" spans="1:17" ht="12.95" customHeight="1">
      <c r="A22" s="386"/>
      <c r="B22" s="386"/>
      <c r="C22" s="395"/>
      <c r="D22" s="2084" t="s">
        <v>394</v>
      </c>
      <c r="E22" s="2168"/>
      <c r="F22" s="2168"/>
      <c r="G22" s="692"/>
      <c r="H22" s="692"/>
      <c r="I22" s="673"/>
      <c r="J22" s="692"/>
      <c r="K22" s="692"/>
      <c r="L22" s="692"/>
      <c r="M22" s="692"/>
      <c r="N22" s="692"/>
      <c r="O22" s="673"/>
      <c r="P22" s="401"/>
      <c r="Q22" s="386"/>
    </row>
    <row r="23" spans="1:17" ht="24" customHeight="1">
      <c r="A23" s="386"/>
      <c r="B23" s="386"/>
      <c r="C23" s="395"/>
      <c r="D23" s="676">
        <v>1</v>
      </c>
      <c r="E23" s="2152" t="str">
        <f>"Pendidikan Agama "&amp;VLOOKUP(B2,'KD-PA'!B9:G58,'KD-PA'!G59)&amp;" dan Budi Pekerti"</f>
        <v>Pendidikan Agama Kristen dan Budi Pekerti</v>
      </c>
      <c r="F23" s="2152"/>
      <c r="G23" s="2152"/>
      <c r="H23" s="402">
        <f>IF(Data2!$L$16="KKM TUNGGAL",Data2!$L$3,Data2!G4)</f>
        <v>76</v>
      </c>
      <c r="I23" s="402">
        <f>IF(J23="","",Data2!E4)</f>
        <v>3</v>
      </c>
      <c r="J23" s="403">
        <f>IFERROR(VLOOKUP($B$2,PA!$B$14:$BN$63,PA!S64),"")</f>
        <v>95</v>
      </c>
      <c r="K23" s="676" t="str">
        <f>IFERROR(VLOOKUP($B$2,PA!$B$14:$BN$63,PA!T64),"")</f>
        <v>A</v>
      </c>
      <c r="L23" s="403">
        <f>IFERROR(VLOOKUP($B$2,PA!$B$14:$BN$63,PA!AV64),"")</f>
        <v>95</v>
      </c>
      <c r="M23" s="676" t="str">
        <f>IFERROR(VLOOKUP($B$2,PA!$B$14:$BN$63,PA!AW64),"")</f>
        <v>A</v>
      </c>
      <c r="N23" s="403">
        <f>IF(J23="","",ROUND((J23+L23)/2,0))</f>
        <v>95</v>
      </c>
      <c r="O23" s="676">
        <f>IFERROR(I23*N23,"")</f>
        <v>285</v>
      </c>
      <c r="P23" s="404"/>
      <c r="Q23" s="386"/>
    </row>
    <row r="24" spans="1:17" ht="24" customHeight="1">
      <c r="A24" s="386"/>
      <c r="B24" s="386"/>
      <c r="C24" s="395"/>
      <c r="D24" s="676">
        <v>2</v>
      </c>
      <c r="E24" s="2152" t="str">
        <f>Data2!C5</f>
        <v>Pendidikan Pancasila dan Kewarganegaraan</v>
      </c>
      <c r="F24" s="2152"/>
      <c r="G24" s="2152"/>
      <c r="H24" s="402">
        <f>IF(Data2!$L$16="KKM TUNGGAL",Data2!$L$3,Data2!G5)</f>
        <v>76</v>
      </c>
      <c r="I24" s="402">
        <f>IF(J24="","",Data2!E5)</f>
        <v>3</v>
      </c>
      <c r="J24" s="403">
        <f>IFERROR(VLOOKUP($B$2,PKn!$B$14:$BO$63,PKn!S64),"")</f>
        <v>87</v>
      </c>
      <c r="K24" s="676" t="str">
        <f>IFERROR(VLOOKUP($B$2,PKn!$B$14:$BO$63,PKn!T64),"")</f>
        <v>B</v>
      </c>
      <c r="L24" s="403">
        <f>IFERROR(VLOOKUP($B$2,PKn!$B$14:$BO$63,PKn!AV64),"")</f>
        <v>95</v>
      </c>
      <c r="M24" s="676" t="str">
        <f>IFERROR(VLOOKUP($B$2,PKn!$B$14:$BO$63,PKn!AW64),"")</f>
        <v>A</v>
      </c>
      <c r="N24" s="403">
        <f t="shared" ref="N24:N26" si="0">IF(J24="","",ROUND((J24+L24)/2,0))</f>
        <v>91</v>
      </c>
      <c r="O24" s="686">
        <f t="shared" ref="O24:O48" si="1">IFERROR(I24*N24,"")</f>
        <v>273</v>
      </c>
      <c r="P24" s="404"/>
      <c r="Q24" s="386"/>
    </row>
    <row r="25" spans="1:17" ht="18" customHeight="1">
      <c r="A25" s="386"/>
      <c r="B25" s="386"/>
      <c r="C25" s="395"/>
      <c r="D25" s="676">
        <v>3</v>
      </c>
      <c r="E25" s="2152" t="str">
        <f>Data2!C6</f>
        <v>Bahasa Indonesia</v>
      </c>
      <c r="F25" s="2152"/>
      <c r="G25" s="2152"/>
      <c r="H25" s="402">
        <f>IF(Data2!$L$16="KKM TUNGGAL",Data2!$L$3,Data2!G6)</f>
        <v>76</v>
      </c>
      <c r="I25" s="402">
        <f>IF(J25="","",Data2!E6)</f>
        <v>4</v>
      </c>
      <c r="J25" s="403">
        <f>IFERROR(VLOOKUP($B$2,BInd!$B$14:$BO$63,BInd!S64),"")</f>
        <v>79</v>
      </c>
      <c r="K25" s="676" t="str">
        <f>IFERROR(VLOOKUP($B$2,BInd!$B$14:$BO$63,BInd!T64),"")</f>
        <v>C</v>
      </c>
      <c r="L25" s="403">
        <f>IFERROR(VLOOKUP($B$2,BInd!$B$14:$BO$63,BInd!AV64),"")</f>
        <v>88</v>
      </c>
      <c r="M25" s="676" t="str">
        <f>IFERROR(VLOOKUP($B$2,BInd!$B$14:$BO$63,BInd!AW64),"")</f>
        <v>B</v>
      </c>
      <c r="N25" s="403">
        <f t="shared" si="0"/>
        <v>84</v>
      </c>
      <c r="O25" s="686">
        <f t="shared" si="1"/>
        <v>336</v>
      </c>
      <c r="P25" s="404"/>
      <c r="Q25" s="386"/>
    </row>
    <row r="26" spans="1:17" ht="18" customHeight="1">
      <c r="A26" s="386"/>
      <c r="B26" s="386"/>
      <c r="C26" s="395"/>
      <c r="D26" s="676">
        <v>4</v>
      </c>
      <c r="E26" s="2152" t="str">
        <f>Data2!C7</f>
        <v>Matematika</v>
      </c>
      <c r="F26" s="2152"/>
      <c r="G26" s="2152"/>
      <c r="H26" s="402">
        <f>IF(Data2!$L$16="KKM TUNGGAL",Data2!$L$3,Data2!G7)</f>
        <v>76</v>
      </c>
      <c r="I26" s="402">
        <f>IF(J26="","",Data2!E7)</f>
        <v>4</v>
      </c>
      <c r="J26" s="403">
        <f>IFERROR(VLOOKUP($B$2,Mat!$B$14:$BO$63,Mat!S64),"")</f>
        <v>83</v>
      </c>
      <c r="K26" s="676" t="str">
        <f>IFERROR(VLOOKUP($B$2,Mat!$B$14:$BO$63,Mat!T64),"")</f>
        <v>C</v>
      </c>
      <c r="L26" s="403">
        <f>IFERROR(VLOOKUP($B$2,Mat!$B$14:$BO$63,Mat!AV64),"")</f>
        <v>86</v>
      </c>
      <c r="M26" s="676" t="str">
        <f>IFERROR(VLOOKUP($B$2,Mat!$B$14:$BO$63,Mat!AW64),"")</f>
        <v>B</v>
      </c>
      <c r="N26" s="403">
        <f t="shared" si="0"/>
        <v>85</v>
      </c>
      <c r="O26" s="686">
        <f t="shared" si="1"/>
        <v>340</v>
      </c>
      <c r="P26" s="404"/>
      <c r="Q26" s="386"/>
    </row>
    <row r="27" spans="1:17" ht="18" customHeight="1">
      <c r="A27" s="386"/>
      <c r="B27" s="386"/>
      <c r="C27" s="395"/>
      <c r="D27" s="676">
        <v>5</v>
      </c>
      <c r="E27" s="2152" t="str">
        <f>Data2!C8</f>
        <v>Sejarah Indonesia</v>
      </c>
      <c r="F27" s="2152"/>
      <c r="G27" s="2152"/>
      <c r="H27" s="402">
        <f>IF(Data2!$L$16="KKM TUNGGAL",Data2!$L$3,Data2!G8)</f>
        <v>76</v>
      </c>
      <c r="I27" s="402" t="str">
        <f>IF(J27="","",Data2!E8)</f>
        <v/>
      </c>
      <c r="J27" s="403" t="str">
        <f>IFERROR(VLOOKUP($B$2,SEJ!$B$14:$BO$63,SEJ!S64),"")</f>
        <v/>
      </c>
      <c r="K27" s="676" t="str">
        <f>IFERROR(VLOOKUP($B$2,SEJ!$B$14:$BO$63,SEJ!T64),"")</f>
        <v/>
      </c>
      <c r="L27" s="403" t="str">
        <f>IFERROR(VLOOKUP($B$2,SEJ!$B$14:$BO$63,SEJ!AV64),"")</f>
        <v/>
      </c>
      <c r="M27" s="676" t="str">
        <f>IFERROR(VLOOKUP($B$2,SEJ!$B$14:$BO$63,SEJ!AW64),"")</f>
        <v/>
      </c>
      <c r="N27" s="403" t="str">
        <f>IF(J27="","",ROUND((J27+L27)/2,0))</f>
        <v/>
      </c>
      <c r="O27" s="686" t="str">
        <f t="shared" si="1"/>
        <v/>
      </c>
      <c r="P27" s="404"/>
      <c r="Q27" s="386"/>
    </row>
    <row r="28" spans="1:17" ht="18" customHeight="1">
      <c r="A28" s="386"/>
      <c r="B28" s="386"/>
      <c r="C28" s="395"/>
      <c r="D28" s="676">
        <v>6</v>
      </c>
      <c r="E28" s="2152" t="str">
        <f>Data2!C9</f>
        <v>Bahasa Inggris</v>
      </c>
      <c r="F28" s="2152"/>
      <c r="G28" s="2152"/>
      <c r="H28" s="402">
        <f>IF(Data2!$L$16="KKM TUNGGAL",Data2!$L$3,Data2!G9)</f>
        <v>76</v>
      </c>
      <c r="I28" s="402">
        <f>IF(J28="","",Data2!E9)</f>
        <v>2</v>
      </c>
      <c r="J28" s="403">
        <f>IFERROR(VLOOKUP($B$2,BIng!$B$14:$BO$63,BIng!S64),"")</f>
        <v>84</v>
      </c>
      <c r="K28" s="676" t="str">
        <f>IFERROR(VLOOKUP($B$2,BIng!$B$14:$BO$63,BIng!T64),"")</f>
        <v>C</v>
      </c>
      <c r="L28" s="403">
        <f>IFERROR(VLOOKUP($B$2,BIng!$B$14:$BO$63,BIng!AV64),"")</f>
        <v>86</v>
      </c>
      <c r="M28" s="676" t="str">
        <f>IFERROR(VLOOKUP($B$2,BIng!$B$14:$BO$63,BIng!AW64),"")</f>
        <v>B</v>
      </c>
      <c r="N28" s="403">
        <f>IF(J28="","",ROUND((J28+L28)/2,0))</f>
        <v>85</v>
      </c>
      <c r="O28" s="686">
        <f t="shared" si="1"/>
        <v>170</v>
      </c>
      <c r="P28" s="404"/>
      <c r="Q28" s="386"/>
    </row>
    <row r="29" spans="1:17" ht="12.95" customHeight="1">
      <c r="A29" s="386"/>
      <c r="B29" s="386"/>
      <c r="C29" s="395"/>
      <c r="D29" s="672" t="s">
        <v>392</v>
      </c>
      <c r="E29" s="673"/>
      <c r="F29" s="673"/>
      <c r="G29" s="670"/>
      <c r="H29" s="680"/>
      <c r="I29" s="698"/>
      <c r="J29" s="698"/>
      <c r="K29" s="698"/>
      <c r="L29" s="698"/>
      <c r="M29" s="698"/>
      <c r="N29" s="698"/>
      <c r="O29" s="698"/>
      <c r="P29" s="404"/>
      <c r="Q29" s="386"/>
    </row>
    <row r="30" spans="1:17" ht="18" customHeight="1">
      <c r="A30" s="386"/>
      <c r="B30" s="386"/>
      <c r="C30" s="395"/>
      <c r="D30" s="676">
        <v>1</v>
      </c>
      <c r="E30" s="2152" t="str">
        <f>Data2!C10</f>
        <v>Seni Budaya</v>
      </c>
      <c r="F30" s="2152"/>
      <c r="G30" s="2152"/>
      <c r="H30" s="402">
        <f>IF(Data2!$L$16="KKM TUNGGAL",Data2!$L$3,Data2!G10)</f>
        <v>76</v>
      </c>
      <c r="I30" s="402">
        <f>IF(J30="","",Data2!E10)</f>
        <v>2</v>
      </c>
      <c r="J30" s="403">
        <f>IFERROR(VLOOKUP($B$2,SB!$B$14:$BO$63,SB!S64),"")</f>
        <v>87</v>
      </c>
      <c r="K30" s="676" t="str">
        <f>IFERROR(VLOOKUP($B$2,SB!$B$14:$BO$63,SB!T64),"")</f>
        <v>B</v>
      </c>
      <c r="L30" s="403">
        <f>IFERROR(VLOOKUP($B$2,SB!$B$14:$BO$63,SB!AV64),"")</f>
        <v>90</v>
      </c>
      <c r="M30" s="676" t="str">
        <f>IFERROR(VLOOKUP($B$2,SB!$B$14:$BO$63,SB!AW64),"")</f>
        <v>B</v>
      </c>
      <c r="N30" s="403">
        <f t="shared" ref="N30:N32" si="2">IF(J30="","",ROUND((J30+L30)/2,0))</f>
        <v>89</v>
      </c>
      <c r="O30" s="686">
        <f t="shared" si="1"/>
        <v>178</v>
      </c>
      <c r="P30" s="404"/>
      <c r="Q30" s="386"/>
    </row>
    <row r="31" spans="1:17" ht="24" customHeight="1">
      <c r="A31" s="386"/>
      <c r="B31" s="386"/>
      <c r="C31" s="395"/>
      <c r="D31" s="676">
        <v>2</v>
      </c>
      <c r="E31" s="2152" t="str">
        <f>Data2!C11</f>
        <v>Pendidikan Jasmani Olahraga dan Kesehatan</v>
      </c>
      <c r="F31" s="2152"/>
      <c r="G31" s="2152"/>
      <c r="H31" s="402">
        <f>IF(Data2!$L$16="KKM TUNGGAL",Data2!$L$3,Data2!G11)</f>
        <v>76</v>
      </c>
      <c r="I31" s="402">
        <f>IF(J31="","",Data2!E11)</f>
        <v>3</v>
      </c>
      <c r="J31" s="403">
        <f>IFERROR(VLOOKUP($B$2,pjok!$B$14:$BO$63,pjok!S64),"")</f>
        <v>86</v>
      </c>
      <c r="K31" s="676" t="str">
        <f>IFERROR(VLOOKUP($B$2,pjok!$B$14:$BO$63,pjok!T64),"")</f>
        <v>B</v>
      </c>
      <c r="L31" s="403">
        <f>IFERROR(VLOOKUP($B$2,pjok!$B$14:$BO$63,pjok!AV64),"")</f>
        <v>90</v>
      </c>
      <c r="M31" s="676" t="str">
        <f>IFERROR(VLOOKUP($B$2,pjok!$B$14:$BO$63,pjok!AW64),"")</f>
        <v>B</v>
      </c>
      <c r="N31" s="403">
        <f t="shared" si="2"/>
        <v>88</v>
      </c>
      <c r="O31" s="686">
        <f t="shared" si="1"/>
        <v>264</v>
      </c>
      <c r="P31" s="404"/>
      <c r="Q31" s="386"/>
    </row>
    <row r="32" spans="1:17" ht="24" customHeight="1">
      <c r="A32" s="386"/>
      <c r="B32" s="386"/>
      <c r="C32" s="395"/>
      <c r="D32" s="676">
        <v>3</v>
      </c>
      <c r="E32" s="2152" t="str">
        <f>Data2!C12</f>
        <v>Prakarya dan Kewirausahaan</v>
      </c>
      <c r="F32" s="2152"/>
      <c r="G32" s="2152"/>
      <c r="H32" s="402">
        <f>IF(Data2!$L$16="KKM TUNGGAL",Data2!$L$3,Data2!G12)</f>
        <v>76</v>
      </c>
      <c r="I32" s="402">
        <f>IF(J32="","",Data2!E12)</f>
        <v>2</v>
      </c>
      <c r="J32" s="403">
        <f>IFERROR(VLOOKUP($B$2,pkwu!$B$14:$BO$63,pkwu!S64),"")</f>
        <v>87</v>
      </c>
      <c r="K32" s="676" t="str">
        <f>IFERROR(VLOOKUP($B$2,pkwu!$B$14:$BO$63,pkwu!T64),"")</f>
        <v>B</v>
      </c>
      <c r="L32" s="403">
        <f>IFERROR(VLOOKUP($B$2,pkwu!$B$14:$BO$63,pkwu!AV64),"")</f>
        <v>80</v>
      </c>
      <c r="M32" s="676" t="str">
        <f>IFERROR(VLOOKUP($B$2,pkwu!$B$14:$BO$63,pkwu!AW64),"")</f>
        <v>C</v>
      </c>
      <c r="N32" s="403">
        <f t="shared" si="2"/>
        <v>84</v>
      </c>
      <c r="O32" s="686">
        <f t="shared" si="1"/>
        <v>168</v>
      </c>
      <c r="P32" s="404"/>
      <c r="Q32" s="386"/>
    </row>
    <row r="33" spans="1:17" ht="18" customHeight="1">
      <c r="A33" s="386"/>
      <c r="B33" s="386"/>
      <c r="C33" s="395"/>
      <c r="D33" s="676">
        <f>IF(E33="","",4)</f>
        <v>4</v>
      </c>
      <c r="E33" s="2079" t="str">
        <f>IF(Data2!$C$13=0,"",Data2!$C$13)</f>
        <v>Muatan Lokal</v>
      </c>
      <c r="F33" s="2079"/>
      <c r="G33" s="2079"/>
      <c r="H33" s="402">
        <f>IF(E33="","",IF(Data2!$L$16="KKM TUNGGAL",Data2!$L$3,Data2!G13))</f>
        <v>76</v>
      </c>
      <c r="I33" s="402" t="str">
        <f>IF(J33="","",Data2!E13)</f>
        <v/>
      </c>
      <c r="J33" s="403" t="str">
        <f>IF(D33="","",IFERROR(VLOOKUP($B$2,'Mlk1'!$B$14:$BO$63,'Mlk1'!$S$64),""))</f>
        <v/>
      </c>
      <c r="K33" s="676" t="str">
        <f>IF(E33="","",IFERROR(VLOOKUP($B$2,'Mlk1'!$B$14:BO$63,'Mlk1'!T$64),""))</f>
        <v/>
      </c>
      <c r="L33" s="403" t="str">
        <f>IF(D33="","",IFERROR(VLOOKUP($B$2,'Mlk1'!$B$14:$BO$63,'Mlk1'!$AV$64),""))</f>
        <v/>
      </c>
      <c r="M33" s="676" t="str">
        <f>IF(E33="","",IFERROR(VLOOKUP($B$2,'Mlk1'!$B$14:$BO$63,'Mlk1'!$AW$64),""))</f>
        <v/>
      </c>
      <c r="N33" s="403" t="str">
        <f>IF(J33="","",ROUND((J33+L33)/2,0))</f>
        <v/>
      </c>
      <c r="O33" s="686" t="str">
        <f t="shared" si="1"/>
        <v/>
      </c>
      <c r="P33" s="404"/>
      <c r="Q33" s="386"/>
    </row>
    <row r="34" spans="1:17" s="1108" customFormat="1" ht="18" customHeight="1">
      <c r="A34" s="386"/>
      <c r="B34" s="386"/>
      <c r="C34" s="395"/>
      <c r="D34" s="1107" t="str">
        <f>IF(E34="","",5)</f>
        <v/>
      </c>
      <c r="E34" s="2079" t="str">
        <f>IF(Data2!$C$14=0,"",Data2!$C$14)</f>
        <v/>
      </c>
      <c r="F34" s="2079"/>
      <c r="G34" s="2079"/>
      <c r="H34" s="402" t="str">
        <f>IF(E34="","",IF(Data2!$L$16="KKM TUNGGAL",Data2!$L$3,Data2!G14))</f>
        <v/>
      </c>
      <c r="I34" s="402" t="str">
        <f>IF(J34="","",Data2!E14)</f>
        <v/>
      </c>
      <c r="J34" s="403" t="str">
        <f>IF(D34="","",IFERROR(VLOOKUP($B$2,'Ml2'!$B$14:$BO$63,'Ml2'!$S$64),""))</f>
        <v/>
      </c>
      <c r="K34" s="1107" t="str">
        <f>IF(E34="","",IFERROR(VLOOKUP($B$2,'Ml2'!$B$14:BO$63,'Ml2'!T$64),""))</f>
        <v/>
      </c>
      <c r="L34" s="403" t="str">
        <f>IF(D34="","",IFERROR(VLOOKUP($B$2,'Ml2'!$B$14:$BO$63,'Ml2'!$AV$64),""))</f>
        <v/>
      </c>
      <c r="M34" s="1107" t="str">
        <f>IF(E34="","",IFERROR(VLOOKUP($B$2,'Ml2'!$B$14:$BO$63,'Ml2'!$AW$64),""))</f>
        <v/>
      </c>
      <c r="N34" s="403" t="str">
        <f>IF(J34="","",ROUND((J34+L34)/2,0))</f>
        <v/>
      </c>
      <c r="O34" s="1107" t="str">
        <f t="shared" ref="O34" si="3">IFERROR(I34*N34,"")</f>
        <v/>
      </c>
      <c r="P34" s="404"/>
      <c r="Q34" s="386"/>
    </row>
    <row r="35" spans="1:17" s="687" customFormat="1" ht="18.75" customHeight="1">
      <c r="A35" s="391"/>
      <c r="B35" s="391"/>
      <c r="C35" s="70"/>
      <c r="D35" s="682"/>
      <c r="E35" s="682"/>
      <c r="F35" s="682"/>
      <c r="H35" s="583"/>
      <c r="I35" s="583"/>
      <c r="J35" s="410"/>
      <c r="K35" s="401"/>
      <c r="L35" s="410"/>
      <c r="M35" s="401"/>
      <c r="N35" s="401"/>
      <c r="O35" s="410"/>
      <c r="P35" s="580"/>
      <c r="Q35" s="391"/>
    </row>
    <row r="36" spans="1:17" ht="12" customHeight="1">
      <c r="A36" s="386"/>
      <c r="B36" s="399"/>
      <c r="C36" s="395"/>
      <c r="D36" s="586"/>
      <c r="E36" s="589" t="str">
        <f>"Raport "&amp;Data!$C$4</f>
        <v>Raport SMA Negeri 1 Amabi Efeto</v>
      </c>
      <c r="F36" s="661"/>
      <c r="G36" s="661"/>
      <c r="H36" s="661"/>
      <c r="I36" s="661"/>
      <c r="J36" s="661"/>
      <c r="K36" s="661"/>
      <c r="L36" s="661"/>
      <c r="M36" s="703"/>
      <c r="N36" s="661"/>
      <c r="O36" s="581">
        <f>IF(Q2&gt;0,Q2,HLOOKUP(S4,S12:AD13,2))</f>
        <v>1</v>
      </c>
      <c r="P36" s="404"/>
      <c r="Q36" s="659"/>
    </row>
    <row r="37" spans="1:17" s="669" customFormat="1" ht="12.75">
      <c r="A37" s="391"/>
      <c r="B37" s="391"/>
      <c r="C37" s="70"/>
      <c r="D37" s="587"/>
      <c r="E37" s="658" t="str">
        <f>VLOOKUP($B$2,Data!E5:I54,4)&amp;" | "&amp;VLOOKUP($B$2,Data!E5:I54,2)&amp;" | Semester:"&amp;S4&amp;" | "&amp;Data!C11</f>
        <v>Aldo Alfinus Pakae | 0 | Semester:1 | 2022-2023</v>
      </c>
      <c r="F37" s="583"/>
      <c r="G37" s="583"/>
      <c r="H37" s="401"/>
      <c r="I37" s="401"/>
      <c r="J37" s="401"/>
      <c r="K37" s="410"/>
      <c r="L37" s="415"/>
      <c r="N37" s="411"/>
      <c r="O37" s="423"/>
      <c r="P37" s="580"/>
      <c r="Q37" s="660"/>
    </row>
    <row r="38" spans="1:17" s="689" customFormat="1" ht="13.5" customHeight="1">
      <c r="A38" s="386"/>
      <c r="B38" s="396"/>
      <c r="C38" s="395"/>
      <c r="D38" s="2080" t="s">
        <v>55</v>
      </c>
      <c r="E38" s="2162" t="s">
        <v>39</v>
      </c>
      <c r="F38" s="2163"/>
      <c r="G38" s="2164"/>
      <c r="H38" s="2080" t="s">
        <v>317</v>
      </c>
      <c r="I38" s="2161" t="s">
        <v>469</v>
      </c>
      <c r="J38" s="2108" t="s">
        <v>399</v>
      </c>
      <c r="K38" s="2109"/>
      <c r="L38" s="2108" t="s">
        <v>400</v>
      </c>
      <c r="M38" s="2109"/>
      <c r="N38" s="2153" t="s">
        <v>470</v>
      </c>
      <c r="O38" s="2155" t="s">
        <v>471</v>
      </c>
      <c r="Q38" s="386"/>
    </row>
    <row r="39" spans="1:17" s="688" customFormat="1" ht="13.5" customHeight="1">
      <c r="A39" s="567"/>
      <c r="B39" s="567"/>
      <c r="C39" s="568"/>
      <c r="D39" s="2080"/>
      <c r="E39" s="2165"/>
      <c r="F39" s="2166"/>
      <c r="G39" s="2167"/>
      <c r="H39" s="2080"/>
      <c r="I39" s="2161"/>
      <c r="J39" s="678" t="s">
        <v>16</v>
      </c>
      <c r="K39" s="696" t="s">
        <v>467</v>
      </c>
      <c r="L39" s="678" t="s">
        <v>16</v>
      </c>
      <c r="M39" s="696" t="s">
        <v>467</v>
      </c>
      <c r="N39" s="2154"/>
      <c r="O39" s="2156"/>
      <c r="P39" s="570"/>
      <c r="Q39" s="567"/>
    </row>
    <row r="40" spans="1:17" ht="12.75">
      <c r="A40" s="386"/>
      <c r="B40" s="386"/>
      <c r="C40" s="395"/>
      <c r="D40" s="691" t="s">
        <v>393</v>
      </c>
      <c r="E40" s="692"/>
      <c r="F40" s="692"/>
      <c r="G40" s="692"/>
      <c r="H40" s="692"/>
      <c r="I40" s="692"/>
      <c r="J40" s="692"/>
      <c r="K40" s="692"/>
      <c r="L40" s="692"/>
      <c r="M40" s="692"/>
      <c r="N40" s="692"/>
      <c r="O40" s="693"/>
      <c r="P40" s="404"/>
      <c r="Q40" s="386"/>
    </row>
    <row r="41" spans="1:17" s="966" customFormat="1" ht="12.75">
      <c r="A41" s="386"/>
      <c r="B41" s="386"/>
      <c r="C41" s="395"/>
      <c r="D41" s="774">
        <f>IF(E41="","",1)</f>
        <v>1</v>
      </c>
      <c r="E41" s="2079" t="str">
        <f>IF(Data2!$C$15=0,"",Data2!$C$15)</f>
        <v>Sosiologi</v>
      </c>
      <c r="F41" s="2079"/>
      <c r="G41" s="2079"/>
      <c r="H41" s="402">
        <f>IF(E41="","",IF(Data2!$L$16="KKM TUNGGAL",Data2!$L$3,Data2!G15))</f>
        <v>76</v>
      </c>
      <c r="I41" s="402">
        <f>IF(J41="","",Data2!E15)</f>
        <v>4</v>
      </c>
      <c r="J41" s="403">
        <f>IF(D41="","",IFERROR(VLOOKUP($B$2,sosio!$B$14:$BO$63,sosio!S64),""))</f>
        <v>90</v>
      </c>
      <c r="K41" s="774" t="str">
        <f>IF(E41="","",IFERROR(VLOOKUP($B$2,sosio!$B$14:$BO$63,sosio!T64),""))</f>
        <v>B</v>
      </c>
      <c r="L41" s="403">
        <f>IF(D41="","",IFERROR(VLOOKUP($B$2,sosio!$B$14:$BO$63,sosio!AV64),""))</f>
        <v>85</v>
      </c>
      <c r="M41" s="774" t="str">
        <f>IF(E41="","",IFERROR(VLOOKUP($B$2,sosio!$B$14:$BO$63,sosio!AW64),""))</f>
        <v>B</v>
      </c>
      <c r="N41" s="403">
        <f>IF(J41="","",ROUND((J41+L41)/2,0))</f>
        <v>88</v>
      </c>
      <c r="O41" s="774">
        <f>IFERROR(I41*N41,"")</f>
        <v>352</v>
      </c>
      <c r="P41" s="404"/>
      <c r="Q41" s="386"/>
    </row>
    <row r="42" spans="1:17" ht="15" customHeight="1">
      <c r="A42" s="386"/>
      <c r="B42" s="386"/>
      <c r="C42" s="395"/>
      <c r="D42" s="985">
        <f>IF(E42="","",2)</f>
        <v>2</v>
      </c>
      <c r="E42" s="2079" t="str">
        <f>IF(Data2!$C$16=0,"",Data2!$C$16)</f>
        <v>Geografi</v>
      </c>
      <c r="F42" s="2079"/>
      <c r="G42" s="2079"/>
      <c r="H42" s="433">
        <f>IF(E42="","",IF(Data2!$L$16="KKM TUNGGAL",Data2!$L$3,Data2!G16))</f>
        <v>76</v>
      </c>
      <c r="I42" s="433">
        <f>IF(J42="","",Data2!E16)</f>
        <v>4</v>
      </c>
      <c r="J42" s="432">
        <f>IF(E42="","",IFERROR(VLOOKUP($B$2,geog!$B$14:$BO$63,geog!$S$64),""))</f>
        <v>85</v>
      </c>
      <c r="K42" s="431" t="str">
        <f>IF(E42="","",IFERROR(VLOOKUP($B$2,geog!$B$14:$BO$63,geog!$T$64),""))</f>
        <v>B</v>
      </c>
      <c r="L42" s="403">
        <f>IF(E94="","",IFERROR(VLOOKUP($B$2,geog!$B$14:$BO$63,geog!AV64),""))</f>
        <v>95</v>
      </c>
      <c r="M42" s="676" t="str">
        <f>IF(E94="","",IFERROR(VLOOKUP($B$2,geog!$B$14:$BO$63,geog!AW64),""))</f>
        <v>A</v>
      </c>
      <c r="N42" s="403">
        <f t="shared" ref="N42:N46" si="4">IF(J42="","",ROUND((J42+L42)/2,0))</f>
        <v>90</v>
      </c>
      <c r="O42" s="686">
        <f t="shared" si="1"/>
        <v>360</v>
      </c>
      <c r="P42" s="404"/>
      <c r="Q42" s="386"/>
    </row>
    <row r="43" spans="1:17" ht="15" customHeight="1">
      <c r="A43" s="386"/>
      <c r="B43" s="386"/>
      <c r="C43" s="395"/>
      <c r="D43" s="985">
        <f>IF(E43="","",3)</f>
        <v>3</v>
      </c>
      <c r="E43" s="2079" t="str">
        <f>IF(Data2!$C$17=0,"",Data2!$C$17)</f>
        <v>Ekonomi</v>
      </c>
      <c r="F43" s="2079"/>
      <c r="G43" s="2079"/>
      <c r="H43" s="433">
        <f>IF(E43="","",IF(Data2!$L$16="KKM TUNGGAL",Data2!$L$3,Data2!G17))</f>
        <v>76</v>
      </c>
      <c r="I43" s="433">
        <f>IF(J43="","",Data2!E17)</f>
        <v>4</v>
      </c>
      <c r="J43" s="432">
        <f>IF(E43="","",IFERROR(VLOOKUP($B$2,ekonomi!$B$14:$BO$63,ekonomi!$S$64),""))</f>
        <v>88</v>
      </c>
      <c r="K43" s="431" t="str">
        <f>IF(E43="","",IFERROR(VLOOKUP($B$2,ekonomi!$B$14:$BO$63,ekonomi!$T$64),""))</f>
        <v>B</v>
      </c>
      <c r="L43" s="432">
        <f>IF(E96="","",IFERROR(VLOOKUP($B$2,ekonomi!$B$14:$BO$63,ekonomi!$AV$64),""))</f>
        <v>88</v>
      </c>
      <c r="M43" s="431" t="str">
        <f>IF(E96="","",IFERROR(VLOOKUP($B$2,ekonomi!$B$14:$BO$63,ekonomi!$AW$64),""))</f>
        <v>B</v>
      </c>
      <c r="N43" s="403">
        <f t="shared" si="4"/>
        <v>88</v>
      </c>
      <c r="O43" s="686">
        <f t="shared" si="1"/>
        <v>352</v>
      </c>
      <c r="P43" s="404"/>
      <c r="Q43" s="386"/>
    </row>
    <row r="44" spans="1:17" ht="15" customHeight="1">
      <c r="A44" s="386"/>
      <c r="B44" s="386"/>
      <c r="C44" s="395"/>
      <c r="D44" s="985">
        <f>IF(E44="","",4)</f>
        <v>4</v>
      </c>
      <c r="E44" s="2079" t="str">
        <f>IF(Data2!$C$18=0,"",Data2!$C$18)</f>
        <v>Sejarah Peminatan</v>
      </c>
      <c r="F44" s="2079"/>
      <c r="G44" s="2079"/>
      <c r="H44" s="433">
        <f>IF(E44="","",IF(Data2!$L$16="KKM TUNGGAL",Data2!$L$3,Data2!G18))</f>
        <v>76</v>
      </c>
      <c r="I44" s="433">
        <f>IF(J44="","",Data2!E18)</f>
        <v>4</v>
      </c>
      <c r="J44" s="432">
        <f>IF(E44="","",IFERROR(VLOOKUP($B$2,'sejarah peminatan'!$B$14:$BO$63,'sejarah peminatan'!$S$64),""))</f>
        <v>86</v>
      </c>
      <c r="K44" s="431" t="str">
        <f>IF(E44="","",IFERROR(VLOOKUP($B$2,'sejarah peminatan'!$B$14:$BO$63,'sejarah peminatan'!$T$64),""))</f>
        <v>B</v>
      </c>
      <c r="L44" s="432">
        <f>IF(E98="","",IFERROR(VLOOKUP($B$2,'sejarah peminatan'!$B$14:$BO$63,'sejarah peminatan'!$AV$64),""))</f>
        <v>85</v>
      </c>
      <c r="M44" s="431" t="str">
        <f>IF(E98="","",IFERROR(VLOOKUP($B$2,'sejarah peminatan'!$B$14:$BO$63,'sejarah peminatan'!$AW$64),""))</f>
        <v>B</v>
      </c>
      <c r="N44" s="403">
        <f t="shared" si="4"/>
        <v>86</v>
      </c>
      <c r="O44" s="686">
        <f t="shared" si="1"/>
        <v>344</v>
      </c>
      <c r="P44" s="404"/>
      <c r="Q44" s="386"/>
    </row>
    <row r="45" spans="1:17" ht="15" customHeight="1">
      <c r="A45" s="386"/>
      <c r="B45" s="386"/>
      <c r="C45" s="395"/>
      <c r="D45" s="985" t="str">
        <f>IF(E45="","",5)</f>
        <v/>
      </c>
      <c r="E45" s="2079" t="str">
        <f>IF(Data2!$C$19=0,"",Data2!$C$19)</f>
        <v/>
      </c>
      <c r="F45" s="2079"/>
      <c r="G45" s="2079"/>
      <c r="H45" s="433" t="str">
        <f>IF(E45="","",IF(Data2!$L$16="KKM TUNGGAL",Data2!$L$3,Data2!G19))</f>
        <v/>
      </c>
      <c r="I45" s="433" t="str">
        <f>IF(J45="","",Data2!E19)</f>
        <v/>
      </c>
      <c r="J45" s="432" t="str">
        <f>IF(E45="","",IFERROR(VLOOKUP($B$2,'PM5'!$B$14:$BO$63,'PM5'!$S$64),""))</f>
        <v/>
      </c>
      <c r="K45" s="431" t="str">
        <f>IF(E45="","",IFERROR(VLOOKUP($B$2,'PM5'!$B$14:$BO$63,'PM5'!$T$64),""))</f>
        <v/>
      </c>
      <c r="L45" s="432" t="str">
        <f>IF(E100="","",IFERROR(VLOOKUP($B$2,'PM5'!$B$14:$BO$63,'PM5'!$AV$64),""))</f>
        <v/>
      </c>
      <c r="M45" s="431" t="str">
        <f>IF(E100="","",IFERROR(VLOOKUP($B$2,'PM5'!$B$14:$BO$63,'PM5'!$AW$64),""))</f>
        <v/>
      </c>
      <c r="N45" s="403" t="str">
        <f>IF(J45="","",ROUND((J45+L45)/2,0))</f>
        <v/>
      </c>
      <c r="O45" s="686" t="str">
        <f t="shared" si="1"/>
        <v/>
      </c>
      <c r="P45" s="404"/>
      <c r="Q45" s="386"/>
    </row>
    <row r="46" spans="1:17" ht="15" customHeight="1">
      <c r="A46" s="386"/>
      <c r="B46" s="386"/>
      <c r="C46" s="395"/>
      <c r="D46" s="431" t="str">
        <f>IF(E46="","",6)</f>
        <v/>
      </c>
      <c r="E46" s="2079" t="str">
        <f>IF(Data2!$C$20=0,"",Data2!$C$20)</f>
        <v/>
      </c>
      <c r="F46" s="2079"/>
      <c r="G46" s="2079"/>
      <c r="H46" s="433" t="str">
        <f>IF(E46="","",IF(Data2!$L$16="KKM TUNGGAL",Data2!$L$3,Data2!G20))</f>
        <v/>
      </c>
      <c r="I46" s="433" t="str">
        <f>IF(J46="","",Data2!E20)</f>
        <v/>
      </c>
      <c r="J46" s="432" t="str">
        <f>IF(E46="","",IFERROR(VLOOKUP($B$2,'PM6'!$B$14:$BO$63,'PM6'!$S$64),""))</f>
        <v/>
      </c>
      <c r="K46" s="431" t="str">
        <f>IF(E46="","",IFERROR(VLOOKUP($B$2,'PM5'!$B$14:$BO$63,'PM5'!$T$64),""))</f>
        <v/>
      </c>
      <c r="L46" s="432" t="str">
        <f>IF(E102="","",IFERROR(VLOOKUP($B$2,'PM6'!$B$14:$BO$63,'PM6'!$AV$64),""))</f>
        <v/>
      </c>
      <c r="M46" s="431" t="str">
        <f>IF(E102="","",IFERROR(VLOOKUP($B$2,'PM6'!$B$14:$BO$63,'PM6'!$AW$64),""))</f>
        <v/>
      </c>
      <c r="N46" s="403" t="str">
        <f t="shared" si="4"/>
        <v/>
      </c>
      <c r="O46" s="686" t="str">
        <f t="shared" si="1"/>
        <v/>
      </c>
      <c r="P46" s="404"/>
      <c r="Q46" s="386"/>
    </row>
    <row r="47" spans="1:17" s="966" customFormat="1" ht="15" customHeight="1">
      <c r="A47" s="386"/>
      <c r="B47" s="386"/>
      <c r="C47" s="395"/>
      <c r="D47" s="985">
        <f>IF(E47="","",1)</f>
        <v>1</v>
      </c>
      <c r="E47" s="2079" t="str">
        <f>IF(Data2!$C$21=0,"",Data2!$C$21)</f>
        <v>Biologi</v>
      </c>
      <c r="F47" s="2079"/>
      <c r="G47" s="2079"/>
      <c r="H47" s="433">
        <f>IF(E47="","",IF(Data2!$L$16="KKM TUNGGAL",Data2!$L$3,Data2!G21))</f>
        <v>76</v>
      </c>
      <c r="I47" s="433">
        <f>IF(J47="","",Data2!E21)</f>
        <v>4</v>
      </c>
      <c r="J47" s="432">
        <f>IF(E47="","",IFERROR(VLOOKUP($B$2,biologi!$B$14:$BO$63,biologi!$S$64),""))</f>
        <v>81</v>
      </c>
      <c r="K47" s="985" t="str">
        <f>IF(E47="","",IFERROR(VLOOKUP($B$2,biologi!$B$14:$BO$63,biologi!$T$64),""))</f>
        <v>C</v>
      </c>
      <c r="L47" s="403">
        <f>IF(E47="","",IFERROR(VLOOKUP($B$2,biologi!$B$14:$BO$63,biologi!$AV$64),""))</f>
        <v>81</v>
      </c>
      <c r="M47" s="980" t="str">
        <f>IF(E47="","",IFERROR(VLOOKUP($B$2,biologi!$B$14:$BO$63,biologi!$AW$64),""))</f>
        <v>C</v>
      </c>
      <c r="N47" s="403">
        <f>IF(J47="","",ROUND((J47+L47)/2,0))</f>
        <v>81</v>
      </c>
      <c r="O47" s="980">
        <f t="shared" ref="O47" si="5">IFERROR(I47*N47,"")</f>
        <v>324</v>
      </c>
      <c r="P47" s="404"/>
      <c r="Q47" s="386"/>
    </row>
    <row r="48" spans="1:17" ht="15" customHeight="1">
      <c r="A48" s="386"/>
      <c r="B48" s="386"/>
      <c r="C48" s="395"/>
      <c r="D48" s="676">
        <f>IF(E48="","",2)</f>
        <v>2</v>
      </c>
      <c r="E48" s="2079" t="str">
        <f>IF(Data2!$C$22=0,"",Data2!$C$22)</f>
        <v>Fisika</v>
      </c>
      <c r="F48" s="2079"/>
      <c r="G48" s="2079"/>
      <c r="H48" s="407">
        <f>IF(E48="","",IF(Data2!$L$16="KKM TUNGGAL",Data2!$L$3,Data2!G22))</f>
        <v>76</v>
      </c>
      <c r="I48" s="433">
        <f>IF(J48="","",Data2!E22)</f>
        <v>4</v>
      </c>
      <c r="J48" s="403">
        <f>IF(E48="","",IFERROR(VLOOKUP($B$2,fissika!$B$14:$BO$63,fissika!$S$64),""))</f>
        <v>82</v>
      </c>
      <c r="K48" s="676" t="str">
        <f>IF(E48="","",IFERROR(VLOOKUP($B$2,fissika!$B$14:$BO$63,fissika!$T$64),""))</f>
        <v>C</v>
      </c>
      <c r="L48" s="403">
        <f>IF(E110="","",IFERROR(VLOOKUP($B$2,fissika!$B$14:$BO$63,fissika!$AV$64),""))</f>
        <v>88</v>
      </c>
      <c r="M48" s="676" t="str">
        <f>IF(E110="","",IFERROR(VLOOKUP($B$2,fissika!$B$14:$BO$63,fissika!$AW$64),""))</f>
        <v>B</v>
      </c>
      <c r="N48" s="403">
        <f>IF(J48="","",ROUND((J48+L48)/2,0))</f>
        <v>85</v>
      </c>
      <c r="O48" s="686">
        <f t="shared" si="1"/>
        <v>340</v>
      </c>
      <c r="P48" s="404"/>
      <c r="Q48" s="386"/>
    </row>
    <row r="49" spans="1:19" s="669" customFormat="1" ht="17.25" customHeight="1">
      <c r="A49" s="391"/>
      <c r="B49" s="391"/>
      <c r="C49" s="70"/>
      <c r="D49" s="2173" t="s">
        <v>468</v>
      </c>
      <c r="E49" s="2173"/>
      <c r="F49" s="2173"/>
      <c r="G49" s="2173"/>
      <c r="H49" s="683"/>
      <c r="I49" s="699">
        <f>SUM(I23:I48)</f>
        <v>47</v>
      </c>
      <c r="J49" s="699">
        <f>SUM(J23:J48)</f>
        <v>1200</v>
      </c>
      <c r="K49" s="676"/>
      <c r="L49" s="699">
        <f>SUM(L23:L48)</f>
        <v>1232</v>
      </c>
      <c r="M49" s="676"/>
      <c r="N49" s="699">
        <f>SUM(N23:N48)</f>
        <v>1219</v>
      </c>
      <c r="O49" s="699">
        <f>SUM(O23:O48)</f>
        <v>4087</v>
      </c>
      <c r="P49" s="580"/>
      <c r="Q49" s="391"/>
    </row>
    <row r="50" spans="1:19" s="685" customFormat="1" ht="9.75" customHeight="1">
      <c r="A50" s="391"/>
      <c r="B50" s="391"/>
      <c r="C50" s="70"/>
      <c r="D50" s="682"/>
      <c r="E50" s="682"/>
      <c r="F50" s="682"/>
      <c r="G50" s="682"/>
      <c r="H50" s="583"/>
      <c r="I50" s="679"/>
      <c r="J50" s="679"/>
      <c r="K50" s="401"/>
      <c r="L50" s="679"/>
      <c r="M50" s="401"/>
      <c r="N50" s="679"/>
      <c r="O50" s="679"/>
      <c r="P50" s="580"/>
      <c r="Q50" s="391"/>
    </row>
    <row r="51" spans="1:19" s="685" customFormat="1" ht="17.25" customHeight="1">
      <c r="A51" s="391"/>
      <c r="B51" s="391"/>
      <c r="C51" s="70"/>
      <c r="D51" s="2174" t="s">
        <v>473</v>
      </c>
      <c r="E51" s="2175"/>
      <c r="F51" s="2175"/>
      <c r="G51" s="2175"/>
      <c r="H51" s="2176"/>
      <c r="I51" s="710">
        <f>ROUND(O49/I49,0)</f>
        <v>87</v>
      </c>
      <c r="J51" s="679"/>
      <c r="K51" s="401"/>
      <c r="L51" s="679"/>
      <c r="M51" s="401"/>
      <c r="N51" s="679"/>
      <c r="O51" s="679"/>
      <c r="P51" s="580"/>
      <c r="Q51" s="391"/>
    </row>
    <row r="52" spans="1:19" s="685" customFormat="1" ht="9.75" customHeight="1">
      <c r="A52" s="391"/>
      <c r="B52" s="391"/>
      <c r="C52" s="70"/>
      <c r="D52" s="682"/>
      <c r="E52" s="682"/>
      <c r="F52" s="682"/>
      <c r="H52" s="583"/>
      <c r="I52" s="583"/>
      <c r="J52" s="410"/>
      <c r="K52" s="401"/>
      <c r="L52" s="410"/>
      <c r="M52" s="401"/>
      <c r="N52" s="401"/>
      <c r="O52" s="410"/>
      <c r="P52" s="580"/>
      <c r="Q52" s="391"/>
    </row>
    <row r="53" spans="1:19" ht="12.95" customHeight="1">
      <c r="A53" s="386"/>
      <c r="B53" s="386"/>
      <c r="C53" s="395"/>
      <c r="D53" s="2111" t="s">
        <v>317</v>
      </c>
      <c r="E53" s="2112"/>
      <c r="F53" s="2115" t="s">
        <v>28</v>
      </c>
      <c r="G53" s="2116"/>
      <c r="H53" s="2116"/>
      <c r="I53" s="2116"/>
      <c r="J53" s="2116"/>
      <c r="K53" s="2116"/>
      <c r="L53" s="2116"/>
      <c r="M53" s="2116"/>
      <c r="N53" s="2116"/>
      <c r="O53" s="2117"/>
      <c r="P53" s="404"/>
      <c r="Q53" s="386"/>
    </row>
    <row r="54" spans="1:19" ht="12.95" customHeight="1">
      <c r="A54" s="386"/>
      <c r="B54" s="386"/>
      <c r="C54" s="395"/>
      <c r="D54" s="2113"/>
      <c r="E54" s="2114"/>
      <c r="F54" s="2106" t="s">
        <v>324</v>
      </c>
      <c r="G54" s="2160"/>
      <c r="H54" s="2107"/>
      <c r="I54" s="2106" t="s">
        <v>325</v>
      </c>
      <c r="J54" s="2107"/>
      <c r="K54" s="2106" t="s">
        <v>326</v>
      </c>
      <c r="L54" s="2107"/>
      <c r="M54" s="2106" t="s">
        <v>327</v>
      </c>
      <c r="N54" s="2160"/>
      <c r="O54" s="2107"/>
      <c r="P54" s="404"/>
      <c r="Q54" s="386"/>
    </row>
    <row r="55" spans="1:19" ht="12.95" customHeight="1">
      <c r="A55" s="386"/>
      <c r="B55" s="386"/>
      <c r="C55" s="395"/>
      <c r="D55" s="2169">
        <f>IF(Data2!L16="KKM TUNGGAL",Data2!L3,Data2!V4)</f>
        <v>76</v>
      </c>
      <c r="E55" s="2170"/>
      <c r="F55" s="2118" t="str">
        <f>IF(D55="","","&lt; "&amp;D55)</f>
        <v>&lt; 76</v>
      </c>
      <c r="G55" s="2119"/>
      <c r="H55" s="2120"/>
      <c r="I55" s="2118" t="str">
        <f>IF(D55="","",D55&amp;" - "&amp;ROUNDDOWN(D55+(100-D55)/3,0))</f>
        <v>76 - 84</v>
      </c>
      <c r="J55" s="2120"/>
      <c r="K55" s="2118" t="str">
        <f>IF(D55="","",ROUNDDOWN(D55+(100-D55)/3,0)+1&amp;" - "&amp;(ROUNDDOWN(D55+(100-D55)/3,0)+1)+ROUNDDOWN((100-(ROUNDDOWN(D55+(100-D55)/3,0)+1))/2,0))</f>
        <v>85 - 92</v>
      </c>
      <c r="L55" s="2120"/>
      <c r="M55" s="2118" t="str">
        <f>IF(D55="","",(ROUNDDOWN(D55+(100-D55)/3,0)+1)+ROUNDDOWN((100-(ROUNDDOWN(D55+(100-D55)/3,0)+1))/2,0)+1&amp;" - "&amp;100)</f>
        <v>93 - 100</v>
      </c>
      <c r="N55" s="2119"/>
      <c r="O55" s="2120"/>
      <c r="P55" s="404"/>
      <c r="Q55" s="386"/>
    </row>
    <row r="56" spans="1:19" ht="12.95" customHeight="1">
      <c r="A56" s="386"/>
      <c r="B56" s="386"/>
      <c r="C56" s="395"/>
      <c r="D56" s="1927" t="str">
        <f>Data2!V5</f>
        <v/>
      </c>
      <c r="E56" s="1927"/>
      <c r="F56" s="1937" t="str">
        <f>IF(D56="","","&lt; "&amp;D56)</f>
        <v/>
      </c>
      <c r="G56" s="1937"/>
      <c r="H56" s="1937"/>
      <c r="I56" s="1937" t="str">
        <f>IF(D56="","",D56&amp;" - "&amp;ROUNDDOWN(D56+(100-D56)/3,0))</f>
        <v/>
      </c>
      <c r="J56" s="1937"/>
      <c r="K56" s="1937" t="str">
        <f>IF(D56="","",ROUNDDOWN(D56+(100-D56)/3,0)+1&amp;" - "&amp;(ROUNDDOWN(D56+(100-D56)/3,0)+1)+ROUNDDOWN((100-(ROUNDDOWN(D56+(100-D56)/3,0)+1))/2,0))</f>
        <v/>
      </c>
      <c r="L56" s="1937"/>
      <c r="M56" s="1937" t="str">
        <f>IF(D56="","",(ROUNDDOWN(D56+(100-D56)/3,0)+1)+ROUNDDOWN((100-(ROUNDDOWN(D56+(100-D56)/3,0)+1))/2,0)+1&amp;" - "&amp;100)</f>
        <v/>
      </c>
      <c r="N56" s="1937"/>
      <c r="O56" s="1937"/>
      <c r="P56" s="404"/>
      <c r="Q56" s="386"/>
    </row>
    <row r="57" spans="1:19" ht="12.95" customHeight="1">
      <c r="A57" s="386"/>
      <c r="B57" s="386"/>
      <c r="C57" s="395"/>
      <c r="D57" s="1927" t="str">
        <f>Data2!V6</f>
        <v/>
      </c>
      <c r="E57" s="1927"/>
      <c r="F57" s="1937" t="str">
        <f>IF(D57="","","&lt; "&amp;D57)</f>
        <v/>
      </c>
      <c r="G57" s="1937"/>
      <c r="H57" s="1937"/>
      <c r="I57" s="1937" t="str">
        <f>IF(D57="","",D57&amp;" - "&amp;ROUNDDOWN(D57+(100-D57)/3,0))</f>
        <v/>
      </c>
      <c r="J57" s="1937"/>
      <c r="K57" s="1937" t="str">
        <f>IF(D57="","",ROUNDDOWN(D57+(100-D57)/3,0)+1&amp;" - "&amp;(ROUNDDOWN(D57+(100-D57)/3,0)+1)+ROUNDDOWN((100-(ROUNDDOWN(D57+(100-D57)/3,0)+1))/2,0))</f>
        <v/>
      </c>
      <c r="L57" s="1937"/>
      <c r="M57" s="1937" t="str">
        <f>IF(D57="","",(ROUNDDOWN(D57+(100-D57)/3,0)+1)+ROUNDDOWN((100-(ROUNDDOWN(D57+(100-D57)/3,0)+1))/2,0)+1&amp;" - "&amp;100)</f>
        <v/>
      </c>
      <c r="N57" s="1937"/>
      <c r="O57" s="1937"/>
      <c r="P57" s="404"/>
      <c r="Q57" s="386"/>
    </row>
    <row r="58" spans="1:19" ht="12.95" customHeight="1">
      <c r="A58" s="386"/>
      <c r="B58" s="386"/>
      <c r="C58" s="395"/>
      <c r="D58" s="1927" t="str">
        <f>Data2!V7</f>
        <v/>
      </c>
      <c r="E58" s="1927"/>
      <c r="F58" s="1937" t="str">
        <f>IF(D58="","","&lt; "&amp;D58)</f>
        <v/>
      </c>
      <c r="G58" s="1937"/>
      <c r="H58" s="1937"/>
      <c r="I58" s="1937" t="str">
        <f>IF(D58="","",D58&amp;" - "&amp;ROUNDDOWN(D58+(100-D58)/3,0))</f>
        <v/>
      </c>
      <c r="J58" s="1937"/>
      <c r="K58" s="1937" t="str">
        <f>IF(D58="","",ROUNDDOWN(D58+(100-D58)/3,0)+1&amp;" - "&amp;(ROUNDDOWN(D58+(100-D58)/3,0)+1)+ROUNDDOWN((100-(ROUNDDOWN(D58+(100-D58)/3,0)+1))/2,0))</f>
        <v/>
      </c>
      <c r="L58" s="1937"/>
      <c r="M58" s="1937" t="str">
        <f>IF(D58="","",(ROUNDDOWN(D58+(100-D58)/3,0)+1)+ROUNDDOWN((100-(ROUNDDOWN(D58+(100-D58)/3,0)+1))/2,0)+1&amp;" - "&amp;100)</f>
        <v/>
      </c>
      <c r="N58" s="1937"/>
      <c r="O58" s="1937"/>
      <c r="P58" s="404"/>
      <c r="Q58" s="386"/>
    </row>
    <row r="59" spans="1:19" ht="12.95" customHeight="1">
      <c r="A59" s="386"/>
      <c r="B59" s="386"/>
      <c r="C59" s="395"/>
      <c r="D59" s="1927" t="str">
        <f>Data2!V8</f>
        <v/>
      </c>
      <c r="E59" s="1927"/>
      <c r="F59" s="1937" t="str">
        <f>IF(D59="","","&lt; "&amp;D59)</f>
        <v/>
      </c>
      <c r="G59" s="1937"/>
      <c r="H59" s="1937"/>
      <c r="I59" s="1937" t="str">
        <f>IF(D59="","",D59&amp;" - "&amp;ROUNDDOWN(D59+(100-D59)/3,0))</f>
        <v/>
      </c>
      <c r="J59" s="1937"/>
      <c r="K59" s="1937" t="str">
        <f>IF(D59="","",ROUNDDOWN(D59+(100-D59)/3,0)+1&amp;" - "&amp;(ROUNDDOWN(D59+(100-D59)/3,0)+1)+ROUNDDOWN((100-(ROUNDDOWN(D59+(100-D59)/3,0)+1))/2,0))</f>
        <v/>
      </c>
      <c r="L59" s="1937"/>
      <c r="M59" s="1937" t="str">
        <f>IF(D59="","",(ROUNDDOWN(D59+(100-D59)/3,0)+1)+ROUNDDOWN((100-(ROUNDDOWN(D59+(100-D59)/3,0)+1))/2,0)+1&amp;" - "&amp;100)</f>
        <v/>
      </c>
      <c r="N59" s="1937"/>
      <c r="O59" s="1937"/>
      <c r="P59" s="404"/>
      <c r="Q59" s="386"/>
    </row>
    <row r="60" spans="1:19" s="687" customFormat="1" ht="9" customHeight="1">
      <c r="A60" s="391"/>
      <c r="B60" s="391"/>
      <c r="C60" s="70"/>
      <c r="D60" s="682"/>
      <c r="E60" s="682"/>
      <c r="F60" s="682"/>
      <c r="H60" s="583"/>
      <c r="I60" s="583"/>
      <c r="J60" s="410"/>
      <c r="K60" s="401"/>
      <c r="L60" s="410"/>
      <c r="M60" s="401"/>
      <c r="N60" s="401"/>
      <c r="O60" s="410"/>
      <c r="P60" s="580"/>
      <c r="Q60" s="391"/>
    </row>
    <row r="61" spans="1:19" s="400" customFormat="1" ht="12.75">
      <c r="A61" s="572"/>
      <c r="B61" s="572"/>
      <c r="D61" s="392" t="s">
        <v>359</v>
      </c>
      <c r="E61" s="392" t="s">
        <v>474</v>
      </c>
      <c r="Q61" s="391"/>
    </row>
    <row r="62" spans="1:19" s="663" customFormat="1" ht="11.25">
      <c r="A62" s="567"/>
      <c r="B62" s="567"/>
      <c r="C62" s="568"/>
      <c r="D62" s="671" t="s">
        <v>55</v>
      </c>
      <c r="E62" s="2080" t="s">
        <v>39</v>
      </c>
      <c r="F62" s="2080"/>
      <c r="G62" s="2108" t="s">
        <v>41</v>
      </c>
      <c r="H62" s="2109"/>
      <c r="I62" s="2110" t="s">
        <v>14</v>
      </c>
      <c r="J62" s="2110"/>
      <c r="K62" s="2110"/>
      <c r="L62" s="2110"/>
      <c r="M62" s="2110"/>
      <c r="N62" s="2110"/>
      <c r="O62" s="2110"/>
      <c r="P62" s="570"/>
      <c r="Q62" s="567"/>
      <c r="S62" s="695"/>
    </row>
    <row r="63" spans="1:19" ht="13.5" customHeight="1">
      <c r="A63" s="386"/>
      <c r="B63" s="386"/>
      <c r="C63" s="395"/>
      <c r="D63" s="2084" t="s">
        <v>13</v>
      </c>
      <c r="E63" s="2085"/>
      <c r="F63" s="2085"/>
      <c r="G63" s="673"/>
      <c r="H63" s="673"/>
      <c r="I63" s="692"/>
      <c r="J63" s="692"/>
      <c r="K63" s="692"/>
      <c r="L63" s="692"/>
      <c r="M63" s="692"/>
      <c r="N63" s="692"/>
      <c r="O63" s="692"/>
      <c r="P63" s="404"/>
      <c r="Q63" s="386"/>
    </row>
    <row r="64" spans="1:19" ht="33" customHeight="1">
      <c r="A64" s="386"/>
      <c r="B64" s="386"/>
      <c r="C64" s="395"/>
      <c r="D64" s="2122">
        <v>1</v>
      </c>
      <c r="E64" s="2095" t="str">
        <f>E23</f>
        <v>Pendidikan Agama Kristen dan Budi Pekerti</v>
      </c>
      <c r="F64" s="2096"/>
      <c r="G64" s="2102" t="str">
        <f t="shared" ref="G64" si="6">IF(E64="","","Pengetahuan")</f>
        <v>Pengetahuan</v>
      </c>
      <c r="H64" s="2102"/>
      <c r="I64" s="2099" t="str">
        <f>IFERROR(VLOOKUP($B$2,PA!$B$14:$BN$63,PA!AK64),"")</f>
        <v>Memiliki kemampuan sangat baik dalam Memahami keberadaan Allah sebagai pembaharu kehidupan  dan Menjelaskan makna kebersamaan dengan orang lain</v>
      </c>
      <c r="J64" s="2100"/>
      <c r="K64" s="2100"/>
      <c r="L64" s="2100"/>
      <c r="M64" s="2100"/>
      <c r="N64" s="2100"/>
      <c r="O64" s="2101"/>
      <c r="P64" s="404"/>
      <c r="Q64" s="386"/>
    </row>
    <row r="65" spans="1:19" s="684" customFormat="1" ht="33" customHeight="1">
      <c r="A65" s="386"/>
      <c r="B65" s="386"/>
      <c r="C65" s="395"/>
      <c r="D65" s="2123"/>
      <c r="E65" s="2097"/>
      <c r="F65" s="2098"/>
      <c r="G65" s="2102" t="str">
        <f t="shared" ref="G65" si="7">IF(E64="","","Keterampilan")</f>
        <v>Keterampilan</v>
      </c>
      <c r="H65" s="2102"/>
      <c r="I65" s="2103" t="str">
        <f>IFERROR(VLOOKUP($B$2,PA!$B$14:$BN$63,PA!BN64),"")</f>
        <v xml:space="preserve">Memiliki keterampilan sangat baik dalam Melaksanakan buah-buah Roh dalam surat Paulus di jemaat Galatia dan Menunjukkan hal-hal yang positif dan negatif manusia </v>
      </c>
      <c r="J65" s="2104"/>
      <c r="K65" s="2104"/>
      <c r="L65" s="2104"/>
      <c r="M65" s="2104"/>
      <c r="N65" s="2104"/>
      <c r="O65" s="2105"/>
      <c r="P65" s="404"/>
      <c r="Q65" s="386"/>
    </row>
    <row r="66" spans="1:19" ht="33" customHeight="1">
      <c r="A66" s="386"/>
      <c r="B66" s="386"/>
      <c r="C66" s="395"/>
      <c r="D66" s="2122">
        <v>2</v>
      </c>
      <c r="E66" s="2095" t="str">
        <f>E24</f>
        <v>Pendidikan Pancasila dan Kewarganegaraan</v>
      </c>
      <c r="F66" s="2096"/>
      <c r="G66" s="2102" t="str">
        <f t="shared" ref="G66" si="8">IF(E66="","","Pengetahuan")</f>
        <v>Pengetahuan</v>
      </c>
      <c r="H66" s="2102"/>
      <c r="I66" s="2099" t="str">
        <f>IFERROR(VLOOKUP($B$2,PKn!$B$14:$BO$63,PKn!AK64),"")</f>
        <v>Memiliki kemampuan baik dalam Menganalisis dinamika hidrosfer dan dampaknya terhadap kehidupani, cukup kemampuan dalam Menganalisis dinamika atmosfer dan dampaknya terhadap kehidupan</v>
      </c>
      <c r="J66" s="2100"/>
      <c r="K66" s="2100"/>
      <c r="L66" s="2100"/>
      <c r="M66" s="2100"/>
      <c r="N66" s="2100"/>
      <c r="O66" s="2101"/>
      <c r="P66" s="404"/>
      <c r="Q66" s="386"/>
    </row>
    <row r="67" spans="1:19" s="684" customFormat="1" ht="33" customHeight="1">
      <c r="A67" s="386"/>
      <c r="B67" s="386"/>
      <c r="C67" s="395"/>
      <c r="D67" s="2123"/>
      <c r="E67" s="2097"/>
      <c r="F67" s="2098"/>
      <c r="G67" s="2102" t="str">
        <f t="shared" ref="G67" si="9">IF(E66="","","Keterampilan")</f>
        <v>Keterampilan</v>
      </c>
      <c r="H67" s="2102"/>
      <c r="I67" s="2103" t="str">
        <f>IFERROR(VLOOKUP($B$2,PKn!$B$14:$BO$63,PKn!BN64),"")</f>
        <v>Memiliki keterampilan sangat baik dalam Menyajikan proses dinamika hidrosfer menggunakan peta dan Menyajikan proses dinamika litosfer dengan menggunakan peta</v>
      </c>
      <c r="J67" s="2104"/>
      <c r="K67" s="2104"/>
      <c r="L67" s="2104"/>
      <c r="M67" s="2104"/>
      <c r="N67" s="2104"/>
      <c r="O67" s="2105"/>
      <c r="P67" s="404"/>
      <c r="Q67" s="386"/>
    </row>
    <row r="68" spans="1:19" ht="33" customHeight="1">
      <c r="A68" s="386"/>
      <c r="B68" s="386"/>
      <c r="C68" s="395"/>
      <c r="D68" s="2122">
        <v>3</v>
      </c>
      <c r="E68" s="2147" t="str">
        <f>E25</f>
        <v>Bahasa Indonesia</v>
      </c>
      <c r="F68" s="2148"/>
      <c r="G68" s="2102" t="str">
        <f t="shared" ref="G68" si="10">IF(E68="","","Pengetahuan")</f>
        <v>Pengetahuan</v>
      </c>
      <c r="H68" s="2102"/>
      <c r="I68" s="2099" t="str">
        <f>IFERROR(VLOOKUP($B$2,BInd!$B$14:$BO$63,BInd!AK64),"")</f>
        <v>Memiliki kemampuan baik dalam Menganalisis  unsur pembangun puisi. dan Menganalisis  isi, struktur dan kebahasaan teks  negosiasi.</v>
      </c>
      <c r="J68" s="2100"/>
      <c r="K68" s="2100"/>
      <c r="L68" s="2100"/>
      <c r="M68" s="2100"/>
      <c r="N68" s="2100"/>
      <c r="O68" s="2101"/>
      <c r="P68" s="404"/>
      <c r="Q68" s="386"/>
    </row>
    <row r="69" spans="1:19" s="684" customFormat="1" ht="33" customHeight="1">
      <c r="A69" s="386"/>
      <c r="B69" s="386"/>
      <c r="C69" s="395"/>
      <c r="D69" s="2123"/>
      <c r="E69" s="2149"/>
      <c r="F69" s="2150"/>
      <c r="G69" s="2102" t="str">
        <f t="shared" ref="G69" si="11">IF(E68="","","Keterampilan")</f>
        <v>Keterampilan</v>
      </c>
      <c r="H69" s="2102"/>
      <c r="I69" s="2103" t="str">
        <f>IFERROR(VLOOKUP($B$2,BInd!$B$14:$BO$63,BInd!BN64),"")</f>
        <v>Memiliki keterampilan baik dalam mengembangkan permasalahan isu dan berbagai sudut pandang dan Menyampaikan penawaran dalam teks negosiasi secara lisan.</v>
      </c>
      <c r="J69" s="2104"/>
      <c r="K69" s="2104"/>
      <c r="L69" s="2104"/>
      <c r="M69" s="2104"/>
      <c r="N69" s="2104"/>
      <c r="O69" s="2105"/>
      <c r="P69" s="404"/>
      <c r="Q69" s="386"/>
    </row>
    <row r="70" spans="1:19" ht="33" customHeight="1">
      <c r="A70" s="386"/>
      <c r="B70" s="386"/>
      <c r="C70" s="395"/>
      <c r="D70" s="1937">
        <v>4</v>
      </c>
      <c r="E70" s="2145" t="str">
        <f>E26</f>
        <v>Matematika</v>
      </c>
      <c r="F70" s="2145"/>
      <c r="G70" s="2102" t="str">
        <f t="shared" ref="G70" si="12">IF(E70="","","Pengetahuan")</f>
        <v>Pengetahuan</v>
      </c>
      <c r="H70" s="2102"/>
      <c r="I70" s="2099" t="str">
        <f>IFERROR(VLOOKUP($B$2,Mat!$B$14:$BO$63,Mat!AK64),"")</f>
        <v>Memiliki kemampuan baik dalam Menjelaskan aturan sinus dan cosinus, perlu dimaksimalkan kemampuan dalam Menjelaskan rasio trigonometri (sinus, cosinus, tangen, cosecan, secan, dan cotangen) pada segitiga siku-siku</v>
      </c>
      <c r="J70" s="2100"/>
      <c r="K70" s="2100"/>
      <c r="L70" s="2100"/>
      <c r="M70" s="2100"/>
      <c r="N70" s="2100"/>
      <c r="O70" s="2101"/>
      <c r="P70" s="404"/>
      <c r="Q70" s="386"/>
    </row>
    <row r="71" spans="1:19" ht="33" customHeight="1">
      <c r="A71" s="386"/>
      <c r="B71" s="386"/>
      <c r="C71" s="395"/>
      <c r="D71" s="1937"/>
      <c r="E71" s="2145"/>
      <c r="F71" s="2145"/>
      <c r="G71" s="2102" t="str">
        <f t="shared" ref="G71" si="13">IF(E70="","","Keterampilan")</f>
        <v>Keterampilan</v>
      </c>
      <c r="H71" s="2102"/>
      <c r="I71" s="2157" t="str">
        <f>IFERROR(VLOOKUP($B$2,Mat!$B$14:$BO$63,Mat!BN64),"")</f>
        <v>Memiliki keterampilan baik dalam Menganalisa perubahan grafik fungsi trigonometri akibat perubahan pada konstanta pada fungsi y = a sin b(x + c) + d., perlu dimaksimalkan keterampilan dalam Menyelesaikan masalah kontekstual yang berkaitan dengan rasio trigonometri (sinus, cosinus, tangen, cosecan, secan, dan cotangen) pada segitiga siku-siku</v>
      </c>
      <c r="J71" s="2158"/>
      <c r="K71" s="2158"/>
      <c r="L71" s="2158"/>
      <c r="M71" s="2158"/>
      <c r="N71" s="2158"/>
      <c r="O71" s="2159"/>
      <c r="P71" s="404"/>
      <c r="Q71" s="386"/>
    </row>
    <row r="72" spans="1:19" ht="33" customHeight="1">
      <c r="A72" s="386"/>
      <c r="B72" s="386"/>
      <c r="C72" s="395"/>
      <c r="D72" s="2122">
        <v>5</v>
      </c>
      <c r="E72" s="2147" t="str">
        <f>E27</f>
        <v>Sejarah Indonesia</v>
      </c>
      <c r="F72" s="2148"/>
      <c r="G72" s="2102" t="str">
        <f t="shared" ref="G72" si="14">IF(E72="","","Pengetahuan")</f>
        <v>Pengetahuan</v>
      </c>
      <c r="H72" s="2102"/>
      <c r="I72" s="2099" t="str">
        <f>IFERROR(VLOOKUP($B$2,SEJ!$B$14:$BO$63,SEJ!AK64),"")</f>
        <v/>
      </c>
      <c r="J72" s="2100"/>
      <c r="K72" s="2100"/>
      <c r="L72" s="2100"/>
      <c r="M72" s="2100"/>
      <c r="N72" s="2100"/>
      <c r="O72" s="2101"/>
      <c r="P72" s="404"/>
      <c r="Q72" s="386"/>
    </row>
    <row r="73" spans="1:19" s="684" customFormat="1" ht="33" customHeight="1">
      <c r="A73" s="386"/>
      <c r="B73" s="386"/>
      <c r="C73" s="395"/>
      <c r="D73" s="2123"/>
      <c r="E73" s="2149"/>
      <c r="F73" s="2150"/>
      <c r="G73" s="2102" t="str">
        <f t="shared" ref="G73" si="15">IF(E72="","","Keterampilan")</f>
        <v>Keterampilan</v>
      </c>
      <c r="H73" s="2102"/>
      <c r="I73" s="2103" t="str">
        <f>IFERROR(VLOOKUP($B$2,SEJ!$B$14:$BO$63,SEJ!BN64),"")</f>
        <v/>
      </c>
      <c r="J73" s="2104"/>
      <c r="K73" s="2104"/>
      <c r="L73" s="2104"/>
      <c r="M73" s="2104"/>
      <c r="N73" s="2104"/>
      <c r="O73" s="2105"/>
      <c r="P73" s="404"/>
      <c r="Q73" s="386"/>
    </row>
    <row r="74" spans="1:19" ht="33" customHeight="1">
      <c r="A74" s="386"/>
      <c r="B74" s="386"/>
      <c r="C74" s="395"/>
      <c r="D74" s="2143">
        <v>6</v>
      </c>
      <c r="E74" s="2145" t="str">
        <f>E28</f>
        <v>Bahasa Inggris</v>
      </c>
      <c r="F74" s="2145"/>
      <c r="G74" s="2102" t="str">
        <f t="shared" ref="G74" si="16">IF(E74="","","Pengetahuan")</f>
        <v>Pengetahuan</v>
      </c>
      <c r="H74" s="2102"/>
      <c r="I74" s="2099" t="str">
        <f>IFERROR(VLOOKUP($B$2,BIng!$B$14:$BO$63,BIng!AK64),"")</f>
        <v>Memiliki kemampuan baik dalam Menafsirkan unsur dan fungsi dari sebuah lirik lagu , cukup kemampuan dalam Memahami teks memberi dan meminta informasi di masa lalu</v>
      </c>
      <c r="J74" s="2100"/>
      <c r="K74" s="2100"/>
      <c r="L74" s="2100"/>
      <c r="M74" s="2100"/>
      <c r="N74" s="2100"/>
      <c r="O74" s="2101"/>
      <c r="P74" s="404"/>
      <c r="Q74" s="386"/>
    </row>
    <row r="75" spans="1:19" s="684" customFormat="1" ht="33" customHeight="1">
      <c r="A75" s="386"/>
      <c r="B75" s="386"/>
      <c r="C75" s="395"/>
      <c r="D75" s="2144"/>
      <c r="E75" s="2145"/>
      <c r="F75" s="2145"/>
      <c r="G75" s="2102" t="str">
        <f t="shared" ref="G75" si="17">IF(E74="","","Keterampilan")</f>
        <v>Keterampilan</v>
      </c>
      <c r="H75" s="2102"/>
      <c r="I75" s="2103" t="str">
        <f>IFERROR(VLOOKUP($B$2,BIng!$B$14:$BO$63,BIng!BN64),"")</f>
        <v>Memiliki keterampilan baik dalam Menyayikan sebuah lagu bahasa inggris sederhana dan Menyusun teks tentang Past Event</v>
      </c>
      <c r="J75" s="2104"/>
      <c r="K75" s="2104"/>
      <c r="L75" s="2104"/>
      <c r="M75" s="2104"/>
      <c r="N75" s="2104"/>
      <c r="O75" s="2105"/>
      <c r="P75" s="404"/>
      <c r="Q75" s="386"/>
    </row>
    <row r="76" spans="1:19" s="689" customFormat="1" ht="20.100000000000001" customHeight="1">
      <c r="A76" s="386"/>
      <c r="B76" s="386"/>
      <c r="C76" s="395"/>
      <c r="D76" s="556"/>
      <c r="E76" s="704"/>
      <c r="F76" s="704"/>
      <c r="G76" s="705"/>
      <c r="H76" s="705"/>
      <c r="I76" s="697"/>
      <c r="J76" s="697"/>
      <c r="K76" s="697"/>
      <c r="L76" s="697"/>
      <c r="M76" s="697"/>
      <c r="N76" s="697"/>
      <c r="O76" s="697"/>
      <c r="P76" s="404"/>
      <c r="Q76" s="386"/>
    </row>
    <row r="77" spans="1:19" s="689" customFormat="1" ht="12" customHeight="1">
      <c r="A77" s="386"/>
      <c r="B77" s="386"/>
      <c r="C77" s="395"/>
      <c r="D77" s="586"/>
      <c r="E77" s="589" t="str">
        <f>"Raport "&amp;Data!$C$4</f>
        <v>Raport SMA Negeri 1 Amabi Efeto</v>
      </c>
      <c r="F77" s="584"/>
      <c r="G77" s="585"/>
      <c r="H77" s="578"/>
      <c r="I77" s="578"/>
      <c r="J77" s="578"/>
      <c r="K77" s="579"/>
      <c r="L77" s="579"/>
      <c r="M77" s="579"/>
      <c r="N77" s="579"/>
      <c r="O77" s="581">
        <f>O36+1</f>
        <v>2</v>
      </c>
      <c r="P77" s="665"/>
      <c r="Q77" s="386"/>
    </row>
    <row r="78" spans="1:19" s="689" customFormat="1" ht="12" customHeight="1">
      <c r="A78" s="386"/>
      <c r="B78" s="386"/>
      <c r="C78" s="395"/>
      <c r="D78" s="587"/>
      <c r="E78" s="590" t="str">
        <f>E37</f>
        <v>Aldo Alfinus Pakae | 0 | Semester:1 | 2022-2023</v>
      </c>
      <c r="F78" s="583"/>
      <c r="G78" s="583"/>
      <c r="H78" s="401"/>
      <c r="I78" s="401"/>
      <c r="J78" s="401"/>
      <c r="K78" s="555"/>
      <c r="L78" s="410"/>
      <c r="M78" s="415"/>
      <c r="N78" s="411"/>
      <c r="O78" s="423"/>
      <c r="P78" s="665"/>
      <c r="Q78" s="386"/>
    </row>
    <row r="79" spans="1:19" s="688" customFormat="1" ht="15.95" customHeight="1">
      <c r="A79" s="567"/>
      <c r="B79" s="567"/>
      <c r="C79" s="568"/>
      <c r="D79" s="694" t="s">
        <v>55</v>
      </c>
      <c r="E79" s="2080" t="s">
        <v>39</v>
      </c>
      <c r="F79" s="2080"/>
      <c r="G79" s="2108" t="s">
        <v>41</v>
      </c>
      <c r="H79" s="2109"/>
      <c r="I79" s="2110" t="s">
        <v>14</v>
      </c>
      <c r="J79" s="2110"/>
      <c r="K79" s="2110"/>
      <c r="L79" s="2110"/>
      <c r="M79" s="2110"/>
      <c r="N79" s="2110"/>
      <c r="O79" s="2110"/>
      <c r="P79" s="570"/>
      <c r="Q79" s="567"/>
      <c r="S79" s="695"/>
    </row>
    <row r="80" spans="1:19" ht="15.95" customHeight="1">
      <c r="A80" s="386"/>
      <c r="B80" s="386"/>
      <c r="C80" s="395"/>
      <c r="D80" s="2077" t="s">
        <v>392</v>
      </c>
      <c r="E80" s="2078"/>
      <c r="F80" s="2078"/>
      <c r="G80" s="690"/>
      <c r="H80" s="692"/>
      <c r="I80" s="2146"/>
      <c r="J80" s="2146"/>
      <c r="K80" s="2146"/>
      <c r="L80" s="2146"/>
      <c r="M80" s="2146"/>
      <c r="N80" s="2146"/>
      <c r="O80" s="2146"/>
      <c r="P80" s="404"/>
      <c r="Q80" s="386"/>
    </row>
    <row r="81" spans="1:17" ht="32.1" customHeight="1">
      <c r="A81" s="386"/>
      <c r="B81" s="386"/>
      <c r="C81" s="395"/>
      <c r="D81" s="2122">
        <v>1</v>
      </c>
      <c r="E81" s="2147" t="str">
        <f>E30</f>
        <v>Seni Budaya</v>
      </c>
      <c r="F81" s="2148"/>
      <c r="G81" s="2102" t="str">
        <f t="shared" ref="G81" si="18">IF(E81="","","Pengetahuan")</f>
        <v>Pengetahuan</v>
      </c>
      <c r="H81" s="2102"/>
      <c r="I81" s="2099" t="str">
        <f>IFERROR(VLOOKUP($B$2,SB!$B$14:$BO$63,SB!AK64),"")</f>
        <v>Memiliki kemampuan baik dalam memahami karya seni rupa dua dimensi dan tiga dimensi dan Memahami jenis dan fungsi alat musik tradisional</v>
      </c>
      <c r="J81" s="2100"/>
      <c r="K81" s="2100"/>
      <c r="L81" s="2100"/>
      <c r="M81" s="2100"/>
      <c r="N81" s="2100"/>
      <c r="O81" s="2101"/>
      <c r="P81" s="404"/>
      <c r="Q81" s="386"/>
    </row>
    <row r="82" spans="1:17" s="684" customFormat="1" ht="32.1" customHeight="1">
      <c r="A82" s="386"/>
      <c r="B82" s="386"/>
      <c r="C82" s="395"/>
      <c r="D82" s="2123"/>
      <c r="E82" s="2149"/>
      <c r="F82" s="2150"/>
      <c r="G82" s="2102" t="str">
        <f t="shared" ref="G82" si="19">IF(E81="","","Keterampilan")</f>
        <v>Keterampilan</v>
      </c>
      <c r="H82" s="2102"/>
      <c r="I82" s="2103" t="str">
        <f>IFERROR(VLOOKUP($B$2,SB!$B$14:$BO$63,SB!BN64),"")</f>
        <v>Memiliki keterampilan baik dalam memeragakan seni teater tradisional dan Membuat karya seni rupa dua dimensi menggunakan berbagai media</v>
      </c>
      <c r="J82" s="2104"/>
      <c r="K82" s="2104"/>
      <c r="L82" s="2104"/>
      <c r="M82" s="2104"/>
      <c r="N82" s="2104"/>
      <c r="O82" s="2105"/>
      <c r="P82" s="404"/>
      <c r="Q82" s="386"/>
    </row>
    <row r="83" spans="1:17" ht="32.1" customHeight="1">
      <c r="A83" s="386"/>
      <c r="B83" s="386"/>
      <c r="C83" s="395"/>
      <c r="D83" s="2122">
        <v>2</v>
      </c>
      <c r="E83" s="2147" t="str">
        <f>E31</f>
        <v>Pendidikan Jasmani Olahraga dan Kesehatan</v>
      </c>
      <c r="F83" s="2148"/>
      <c r="G83" s="2102" t="str">
        <f t="shared" ref="G83" si="20">IF(E83="","","Pengetahuan")</f>
        <v>Pengetahuan</v>
      </c>
      <c r="H83" s="2102"/>
      <c r="I83" s="2099" t="str">
        <f>IFERROR(VLOOKUP($B$2,pjok!$B$14:$BO$63,pjok!AK64),"")</f>
        <v>Memiliki kemampuan baik dalam Menganalisis aktifitas renang gaya bebas, cukup kemampuan dalam Menganalisis bahaya penyala gunaan narkoba</v>
      </c>
      <c r="J83" s="2100"/>
      <c r="K83" s="2100"/>
      <c r="L83" s="2100"/>
      <c r="M83" s="2100"/>
      <c r="N83" s="2100"/>
      <c r="O83" s="2101"/>
      <c r="P83" s="404"/>
      <c r="Q83" s="386"/>
    </row>
    <row r="84" spans="1:17" s="684" customFormat="1" ht="32.1" customHeight="1">
      <c r="A84" s="386"/>
      <c r="B84" s="386"/>
      <c r="C84" s="395"/>
      <c r="D84" s="2123"/>
      <c r="E84" s="2149"/>
      <c r="F84" s="2150"/>
      <c r="G84" s="2102" t="str">
        <f t="shared" ref="G84" si="21">IF(E83="","","Keterampilan")</f>
        <v>Keterampilan</v>
      </c>
      <c r="H84" s="2102"/>
      <c r="I84" s="2103" t="str">
        <f>IFERROR(VLOOKUP($B$2,pjok!$B$14:$BO$63,pjok!BN64),"")</f>
        <v>Memiliki keterampilan baik dalam Mempraktikan gerak senam lantai dan Menyajikan cara remaja bergaul sehat</v>
      </c>
      <c r="J84" s="2104"/>
      <c r="K84" s="2104"/>
      <c r="L84" s="2104"/>
      <c r="M84" s="2104"/>
      <c r="N84" s="2104"/>
      <c r="O84" s="2105"/>
      <c r="P84" s="404"/>
      <c r="Q84" s="386"/>
    </row>
    <row r="85" spans="1:17" ht="32.1" customHeight="1">
      <c r="A85" s="386"/>
      <c r="B85" s="386"/>
      <c r="C85" s="395"/>
      <c r="D85" s="2122">
        <v>3</v>
      </c>
      <c r="E85" s="2147" t="str">
        <f>E32</f>
        <v>Prakarya dan Kewirausahaan</v>
      </c>
      <c r="F85" s="2148"/>
      <c r="G85" s="2102" t="str">
        <f t="shared" ref="G85" si="22">IF(E85="","","Pengetahuan")</f>
        <v>Pengetahuan</v>
      </c>
      <c r="H85" s="2102"/>
      <c r="I85" s="2099" t="str">
        <f>IFERROR(VLOOKUP($B$2,pkwu!$B$14:$BO$63,pkwu!AK64),"")</f>
        <v>Memiliki kemampuan sangat baik dalam memahami strategi pemasaran produk kerajina dengan inspirasi, cukup kemampuan dalam memahami perhitungan biaya produksi berdasarkan daya dukung</v>
      </c>
      <c r="J85" s="2100"/>
      <c r="K85" s="2100"/>
      <c r="L85" s="2100"/>
      <c r="M85" s="2100"/>
      <c r="N85" s="2100"/>
      <c r="O85" s="2101"/>
      <c r="P85" s="404"/>
      <c r="Q85" s="386"/>
    </row>
    <row r="86" spans="1:17" s="684" customFormat="1" ht="32.1" customHeight="1">
      <c r="A86" s="386"/>
      <c r="B86" s="386"/>
      <c r="C86" s="395"/>
      <c r="D86" s="2123"/>
      <c r="E86" s="2149"/>
      <c r="F86" s="2150"/>
      <c r="G86" s="2102" t="str">
        <f t="shared" ref="G86" si="23">IF(E85="","","Keterampilan")</f>
        <v>Keterampilan</v>
      </c>
      <c r="H86" s="2102"/>
      <c r="I86" s="2103" t="str">
        <f>IFERROR(VLOOKUP($B$2,pkwu!$B$14:$BO$63,pkwu!BN64),"")</f>
        <v>Memiliki keterampilan cukup dalam menghitung biaya produksi (harga pokok produksi )kerajinan dan menyusun perencanaan usaha kerajinan dengan inspirasi artefak</v>
      </c>
      <c r="J86" s="2104"/>
      <c r="K86" s="2104"/>
      <c r="L86" s="2104"/>
      <c r="M86" s="2104"/>
      <c r="N86" s="2104"/>
      <c r="O86" s="2105"/>
      <c r="P86" s="404"/>
      <c r="Q86" s="386"/>
    </row>
    <row r="87" spans="1:17" ht="32.1" customHeight="1">
      <c r="A87" s="386"/>
      <c r="B87" s="386"/>
      <c r="C87" s="395"/>
      <c r="D87" s="1937">
        <f>IF(E87="","",4)</f>
        <v>4</v>
      </c>
      <c r="E87" s="2121" t="str">
        <f>IF(Data2!C13=0,"",Data2!C$13)</f>
        <v>Muatan Lokal</v>
      </c>
      <c r="F87" s="2121"/>
      <c r="G87" s="2102" t="str">
        <f t="shared" ref="G87" si="24">IF(E87="","","Pengetahuan")</f>
        <v>Pengetahuan</v>
      </c>
      <c r="H87" s="2102"/>
      <c r="I87" s="2099" t="str">
        <f>IF(E33="","",IFERROR(VLOOKUP($B$2,'Mlk1'!$B$14:$BO$63,'Mlk1'!$AK$64),""))</f>
        <v/>
      </c>
      <c r="J87" s="2100"/>
      <c r="K87" s="2100"/>
      <c r="L87" s="2100"/>
      <c r="M87" s="2100"/>
      <c r="N87" s="2100"/>
      <c r="O87" s="2101"/>
      <c r="P87" s="404"/>
      <c r="Q87" s="386"/>
    </row>
    <row r="88" spans="1:17" s="684" customFormat="1" ht="32.1" customHeight="1">
      <c r="A88" s="386"/>
      <c r="B88" s="386"/>
      <c r="C88" s="395"/>
      <c r="D88" s="1937"/>
      <c r="E88" s="2121"/>
      <c r="F88" s="2121"/>
      <c r="G88" s="2102" t="str">
        <f t="shared" ref="G88" si="25">IF(E87="","","Keterampilan")</f>
        <v>Keterampilan</v>
      </c>
      <c r="H88" s="2102"/>
      <c r="I88" s="2103" t="str">
        <f>IF(E33="","",IFERROR(VLOOKUP($B$2,'Mlk1'!$B$14:$BO$63,'Mlk1'!$BN$64),""))</f>
        <v/>
      </c>
      <c r="J88" s="2104"/>
      <c r="K88" s="2104"/>
      <c r="L88" s="2104"/>
      <c r="M88" s="2104"/>
      <c r="N88" s="2104"/>
      <c r="O88" s="2105"/>
      <c r="P88" s="404"/>
      <c r="Q88" s="386"/>
    </row>
    <row r="89" spans="1:17" s="1108" customFormat="1" ht="32.1" customHeight="1">
      <c r="A89" s="386"/>
      <c r="B89" s="386"/>
      <c r="C89" s="395"/>
      <c r="D89" s="1937" t="str">
        <f>IF(E89="","",4)</f>
        <v/>
      </c>
      <c r="E89" s="2121" t="str">
        <f>IF(Data2!C14=0,"",Data2!C$14)</f>
        <v/>
      </c>
      <c r="F89" s="2121"/>
      <c r="G89" s="2102" t="str">
        <f>IF(E89="","","Pengetahuan")</f>
        <v/>
      </c>
      <c r="H89" s="2102"/>
      <c r="I89" s="2099" t="str">
        <f>IFERROR(VLOOKUP($B$2,'Ml2'!$B$14:$BO$63,'Ml2'!$AK$64),"")</f>
        <v/>
      </c>
      <c r="J89" s="2100"/>
      <c r="K89" s="2100"/>
      <c r="L89" s="2100"/>
      <c r="M89" s="2100"/>
      <c r="N89" s="2100"/>
      <c r="O89" s="2101"/>
      <c r="P89" s="404"/>
      <c r="Q89" s="386"/>
    </row>
    <row r="90" spans="1:17" s="1108" customFormat="1" ht="32.1" customHeight="1">
      <c r="A90" s="386"/>
      <c r="B90" s="386"/>
      <c r="C90" s="395"/>
      <c r="D90" s="1937"/>
      <c r="E90" s="2121"/>
      <c r="F90" s="2121"/>
      <c r="G90" s="2102" t="str">
        <f>IF(E89="","","Keterampilan")</f>
        <v/>
      </c>
      <c r="H90" s="2102"/>
      <c r="I90" s="2103" t="str">
        <f>IFERROR(VLOOKUP($B$2,'Ml2'!$B$14:$BO$63,'Ml2'!$BN$64),"")</f>
        <v/>
      </c>
      <c r="J90" s="2104"/>
      <c r="K90" s="2104"/>
      <c r="L90" s="2104"/>
      <c r="M90" s="2104"/>
      <c r="N90" s="2104"/>
      <c r="O90" s="2105"/>
      <c r="P90" s="404"/>
      <c r="Q90" s="386"/>
    </row>
    <row r="91" spans="1:17" s="966" customFormat="1" ht="15.95" customHeight="1">
      <c r="A91" s="386"/>
      <c r="B91" s="386"/>
      <c r="C91" s="395"/>
      <c r="D91" s="691" t="s">
        <v>393</v>
      </c>
      <c r="E91" s="692"/>
      <c r="F91" s="692"/>
      <c r="G91" s="681"/>
      <c r="H91" s="698"/>
      <c r="I91" s="2146"/>
      <c r="J91" s="2146"/>
      <c r="K91" s="2146"/>
      <c r="L91" s="2146"/>
      <c r="M91" s="2146"/>
      <c r="N91" s="2146"/>
      <c r="O91" s="2151"/>
      <c r="P91" s="404"/>
      <c r="Q91" s="386"/>
    </row>
    <row r="92" spans="1:17" s="773" customFormat="1" ht="32.1" customHeight="1">
      <c r="A92" s="386"/>
      <c r="B92" s="386"/>
      <c r="C92" s="395"/>
      <c r="D92" s="2122">
        <f>IF(E92="","",1)</f>
        <v>1</v>
      </c>
      <c r="E92" s="2121" t="str">
        <f>IF(Data2!$C$15=0,"",Data2!$C$15)</f>
        <v>Sosiologi</v>
      </c>
      <c r="F92" s="2121"/>
      <c r="G92" s="2102" t="str">
        <f t="shared" ref="G92" si="26">IF(E92="","","Pengetahuan")</f>
        <v>Pengetahuan</v>
      </c>
      <c r="H92" s="2102"/>
      <c r="I92" s="2099" t="str">
        <f>IF(E41="","",IFERROR(VLOOKUP($B$2,sosio!$B$14:$BO$63,sosio!AK64),""))</f>
        <v xml:space="preserve">Memiliki kemampuan baik dalam memahami berbagai metode penelitian di masyarakat dan menganalisis permasalahan sosial di masyarakat </v>
      </c>
      <c r="J92" s="2100"/>
      <c r="K92" s="2100"/>
      <c r="L92" s="2100"/>
      <c r="M92" s="2100"/>
      <c r="N92" s="2100"/>
      <c r="O92" s="2101"/>
      <c r="P92" s="404"/>
      <c r="Q92" s="386"/>
    </row>
    <row r="93" spans="1:17" s="773" customFormat="1" ht="32.1" customHeight="1">
      <c r="A93" s="386"/>
      <c r="B93" s="386"/>
      <c r="C93" s="395"/>
      <c r="D93" s="2123"/>
      <c r="E93" s="2121"/>
      <c r="F93" s="2121"/>
      <c r="G93" s="2102" t="str">
        <f t="shared" ref="G93" si="27">IF(E92="","","Keterampilan")</f>
        <v>Keterampilan</v>
      </c>
      <c r="H93" s="2102"/>
      <c r="I93" s="2103" t="str">
        <f>IF(E41="","",IFERROR(VLOOKUP($B$2,sosio!$B$14:$BO$63,sosio!BN64),""))</f>
        <v>Memiliki keterampilan baik dalam melakukan penelitian sederhana yang terjadi di masyarakat dan memberiakan respon dalam mengatasi permasalahan sosial</v>
      </c>
      <c r="J93" s="2104"/>
      <c r="K93" s="2104"/>
      <c r="L93" s="2104"/>
      <c r="M93" s="2104"/>
      <c r="N93" s="2104"/>
      <c r="O93" s="2105"/>
      <c r="P93" s="404"/>
      <c r="Q93" s="386"/>
    </row>
    <row r="94" spans="1:17" ht="32.1" customHeight="1">
      <c r="A94" s="386"/>
      <c r="B94" s="386"/>
      <c r="C94" s="395"/>
      <c r="D94" s="2122">
        <f>IF(E94="","",2)</f>
        <v>2</v>
      </c>
      <c r="E94" s="2121" t="str">
        <f>IF(Data2!$C$16=0,"",Data2!$C$16)</f>
        <v>Geografi</v>
      </c>
      <c r="F94" s="2121"/>
      <c r="G94" s="2102" t="str">
        <f>IF(E94="","","Pengetahuan")</f>
        <v>Pengetahuan</v>
      </c>
      <c r="H94" s="2102"/>
      <c r="I94" s="2056" t="str">
        <f>IF(E42="","",IFERROR(VLOOKUP($B$2,geog!$B$14:$BO$63,geog!$AK$64),""))</f>
        <v>Memiliki kemampuan baik dalam Menganalisis dinamika litosfer dan dampaknya terhadap kehidupan, cukup kemampuan dalam Menganalisis dinamika atmosfer dan dampaknya terhadap kehidupan</v>
      </c>
      <c r="J94" s="2056"/>
      <c r="K94" s="2056"/>
      <c r="L94" s="2056"/>
      <c r="M94" s="2056"/>
      <c r="N94" s="2056"/>
      <c r="O94" s="2056"/>
      <c r="P94" s="404"/>
      <c r="Q94" s="386"/>
    </row>
    <row r="95" spans="1:17" s="684" customFormat="1" ht="32.1" customHeight="1">
      <c r="A95" s="386"/>
      <c r="B95" s="386"/>
      <c r="C95" s="395"/>
      <c r="D95" s="2123"/>
      <c r="E95" s="2121"/>
      <c r="F95" s="2121"/>
      <c r="G95" s="2102" t="str">
        <f>IF(E94="","","Keterampilan")</f>
        <v>Keterampilan</v>
      </c>
      <c r="H95" s="2102"/>
      <c r="I95" s="2063" t="str">
        <f>IF(E94="","",IFERROR(VLOOKUP($B$2,geog!$B$14:$BO$63,geog!BN64),""))</f>
        <v>Memiliki keterampilan sangat baik dalam Menyajikan proses dinamika hidrosfer menggunakan peta dan Menyajikan proses dinamika litosfer dengan menggunakan peta</v>
      </c>
      <c r="J95" s="2063"/>
      <c r="K95" s="2063"/>
      <c r="L95" s="2063"/>
      <c r="M95" s="2063"/>
      <c r="N95" s="2063"/>
      <c r="O95" s="2063"/>
      <c r="P95" s="404"/>
      <c r="Q95" s="386"/>
    </row>
    <row r="96" spans="1:17" ht="32.1" customHeight="1">
      <c r="A96" s="386"/>
      <c r="B96" s="713" t="str">
        <f>E96</f>
        <v>Ekonomi</v>
      </c>
      <c r="C96" s="395"/>
      <c r="D96" s="2122">
        <f>IF(E96="","",3)</f>
        <v>3</v>
      </c>
      <c r="E96" s="2121" t="str">
        <f>IF(Data2!$C$17=0,"",Data2!$C$17)</f>
        <v>Ekonomi</v>
      </c>
      <c r="F96" s="2121"/>
      <c r="G96" s="2102" t="str">
        <f t="shared" ref="G96" si="28">IF(E96="","","Pengetahuan")</f>
        <v>Pengetahuan</v>
      </c>
      <c r="H96" s="2102"/>
      <c r="I96" s="2056" t="str">
        <f>IF(E43="","",IFERROR(VLOOKUP($B$2,ekonomi!$B$14:$BO$63,ekonomi!$AK$64),""))</f>
        <v>Memiliki kemampuan baik dalam Memahami konsumsi dan investasi dan Memahami kebijakan pemerintah dalam bidang ekonomi</v>
      </c>
      <c r="J96" s="2056"/>
      <c r="K96" s="2056"/>
      <c r="L96" s="2056"/>
      <c r="M96" s="2056"/>
      <c r="N96" s="2056"/>
      <c r="O96" s="2056"/>
      <c r="P96" s="404"/>
      <c r="Q96" s="386"/>
    </row>
    <row r="97" spans="1:17" s="684" customFormat="1" ht="32.1" customHeight="1">
      <c r="A97" s="386"/>
      <c r="B97" s="713" t="str">
        <f>E96</f>
        <v>Ekonomi</v>
      </c>
      <c r="C97" s="395"/>
      <c r="D97" s="2123"/>
      <c r="E97" s="2121"/>
      <c r="F97" s="2121"/>
      <c r="G97" s="2102" t="str">
        <f t="shared" ref="G97" si="29">IF(E96="","","Keterampilan")</f>
        <v>Keterampilan</v>
      </c>
      <c r="H97" s="2102"/>
      <c r="I97" s="2056" t="str">
        <f>IF(E96="","",IFERROR(VLOOKUP($B$2,ekonomi!$B$14:$BO$63,ekonomi!$BN$64),""))</f>
        <v xml:space="preserve">Memiliki keterampilan baik dalam Menbedakan peran bank Umum dan Mendeskripsikan masalah masalah yang di hadapi pemerintah </v>
      </c>
      <c r="J97" s="2056"/>
      <c r="K97" s="2056"/>
      <c r="L97" s="2056"/>
      <c r="M97" s="2056"/>
      <c r="N97" s="2056"/>
      <c r="O97" s="2056"/>
      <c r="P97" s="404"/>
      <c r="Q97" s="386"/>
    </row>
    <row r="98" spans="1:17" ht="32.1" customHeight="1">
      <c r="A98" s="386"/>
      <c r="B98" s="713" t="str">
        <f t="shared" ref="B98" si="30">E98</f>
        <v>Sejarah Peminatan</v>
      </c>
      <c r="C98" s="395"/>
      <c r="D98" s="2122">
        <f>IF(E98="","",4)</f>
        <v>4</v>
      </c>
      <c r="E98" s="2121" t="str">
        <f>IF(Data2!$C$18=0,"",Data2!$C$18)</f>
        <v>Sejarah Peminatan</v>
      </c>
      <c r="F98" s="2121"/>
      <c r="G98" s="2102" t="str">
        <f t="shared" ref="G98" si="31">IF(E98="","","Pengetahuan")</f>
        <v>Pengetahuan</v>
      </c>
      <c r="H98" s="2102"/>
      <c r="I98" s="2056" t="str">
        <f>IF(E44="","",IFERROR(VLOOKUP($B$2,'sejarah peminatan'!$B$14:$BO$63,'sejarah peminatan'!$AK$64),""))</f>
        <v>Memiliki kemampuan baik dalam Menganalisis berbagai bentuk/jenis sumber Sejarah dan Menganalisis langkah-langkah penelitian Sejarah terhadap berbagai peristiwa Sejarah</v>
      </c>
      <c r="J98" s="2056"/>
      <c r="K98" s="2056"/>
      <c r="L98" s="2056"/>
      <c r="M98" s="2056"/>
      <c r="N98" s="2056"/>
      <c r="O98" s="2056"/>
      <c r="P98" s="404"/>
      <c r="Q98" s="386"/>
    </row>
    <row r="99" spans="1:17" s="684" customFormat="1" ht="32.1" customHeight="1">
      <c r="A99" s="386"/>
      <c r="B99" s="713" t="str">
        <f t="shared" ref="B99" si="32">E98</f>
        <v>Sejarah Peminatan</v>
      </c>
      <c r="C99" s="395"/>
      <c r="D99" s="2123"/>
      <c r="E99" s="2121"/>
      <c r="F99" s="2121"/>
      <c r="G99" s="2102" t="str">
        <f t="shared" ref="G99" si="33">IF(E98="","","Keterampilan")</f>
        <v>Keterampilan</v>
      </c>
      <c r="H99" s="2102"/>
      <c r="I99" s="2056" t="str">
        <f>IF(E98="","",IFERROR(VLOOKUP($B$2,'sejarah peminatan'!$B$14:$BO$63,'sejarah peminatan'!$BN$64),""))</f>
        <v xml:space="preserve">Memiliki keterampilan baik dalam Menyajikan hasil analisis mengenai keterkaitan antara Manusia Purba Indonesia dan Dunia dengan manusia modern secara fisik dan budaya, dalam berbagai bentuk presentasi., cukup keterampilan dalam Melakukan  penelitian sejarah secara sederhana dan menyajikanya dalam bentuk laporan penelitian.
</v>
      </c>
      <c r="J99" s="2056"/>
      <c r="K99" s="2056"/>
      <c r="L99" s="2056"/>
      <c r="M99" s="2056"/>
      <c r="N99" s="2056"/>
      <c r="O99" s="2056"/>
      <c r="P99" s="404"/>
      <c r="Q99" s="386"/>
    </row>
    <row r="100" spans="1:17" ht="32.1" customHeight="1">
      <c r="A100" s="386"/>
      <c r="B100" s="713" t="str">
        <f t="shared" ref="B100" si="34">E100</f>
        <v/>
      </c>
      <c r="C100" s="395"/>
      <c r="D100" s="2122" t="str">
        <f>IF(E100="","",5)</f>
        <v/>
      </c>
      <c r="E100" s="2121" t="str">
        <f>IF(Data2!$C$19=0,"",Data2!$C$19)</f>
        <v/>
      </c>
      <c r="F100" s="2121"/>
      <c r="G100" s="2102" t="str">
        <f t="shared" ref="G100" si="35">IF(E100="","","Pengetahuan")</f>
        <v/>
      </c>
      <c r="H100" s="2102"/>
      <c r="I100" s="2056" t="str">
        <f>IF(E45="","",IFERROR(VLOOKUP($B$2,'PM5'!$B$14:$BO$63,'PM5'!$AK$64),""))</f>
        <v/>
      </c>
      <c r="J100" s="2056"/>
      <c r="K100" s="2056"/>
      <c r="L100" s="2056"/>
      <c r="M100" s="2056"/>
      <c r="N100" s="2056"/>
      <c r="O100" s="2056"/>
      <c r="P100" s="404"/>
      <c r="Q100" s="386"/>
    </row>
    <row r="101" spans="1:17" s="684" customFormat="1" ht="32.1" customHeight="1">
      <c r="A101" s="386"/>
      <c r="B101" s="713" t="str">
        <f t="shared" ref="B101" si="36">E100</f>
        <v/>
      </c>
      <c r="C101" s="395"/>
      <c r="D101" s="2123"/>
      <c r="E101" s="2121"/>
      <c r="F101" s="2121"/>
      <c r="G101" s="2102" t="str">
        <f t="shared" ref="G101" si="37">IF(E100="","","Keterampilan")</f>
        <v/>
      </c>
      <c r="H101" s="2102"/>
      <c r="I101" s="2056" t="str">
        <f>IF(E100="","",IFERROR(VLOOKUP($B$2,'PM5'!$B$14:$BO$63,'PM5'!$BN$64),""))</f>
        <v/>
      </c>
      <c r="J101" s="2056"/>
      <c r="K101" s="2056"/>
      <c r="L101" s="2056"/>
      <c r="M101" s="2056"/>
      <c r="N101" s="2056"/>
      <c r="O101" s="2056"/>
      <c r="P101" s="404"/>
      <c r="Q101" s="386"/>
    </row>
    <row r="102" spans="1:17" ht="32.1" customHeight="1">
      <c r="A102" s="386"/>
      <c r="B102" s="713" t="str">
        <f t="shared" ref="B102" si="38">E102</f>
        <v/>
      </c>
      <c r="C102" s="395"/>
      <c r="D102" s="2122" t="str">
        <f>IF(E102="","",6)</f>
        <v/>
      </c>
      <c r="E102" s="2121" t="str">
        <f>IF(Data2!$C$20=0,"",Data2!$C$20)</f>
        <v/>
      </c>
      <c r="F102" s="2121"/>
      <c r="G102" s="2102" t="str">
        <f t="shared" ref="G102" si="39">IF(E102="","","Pengetahuan")</f>
        <v/>
      </c>
      <c r="H102" s="2102"/>
      <c r="I102" s="2056" t="str">
        <f>IF(E46="","",IFERROR(VLOOKUP($B$2,'PM6'!$B$14:$BO$63,'PM6'!$AK$64),""))</f>
        <v/>
      </c>
      <c r="J102" s="2056"/>
      <c r="K102" s="2056"/>
      <c r="L102" s="2056"/>
      <c r="M102" s="2056"/>
      <c r="N102" s="2056"/>
      <c r="O102" s="2056"/>
      <c r="P102" s="404"/>
      <c r="Q102" s="386"/>
    </row>
    <row r="103" spans="1:17" s="684" customFormat="1" ht="32.1" customHeight="1">
      <c r="A103" s="386"/>
      <c r="B103" s="713" t="str">
        <f t="shared" ref="B103" si="40">E102</f>
        <v/>
      </c>
      <c r="C103" s="395"/>
      <c r="D103" s="2123"/>
      <c r="E103" s="2121"/>
      <c r="F103" s="2121"/>
      <c r="G103" s="2102" t="str">
        <f t="shared" ref="G103" si="41">IF(E102="","","Keterampilan")</f>
        <v/>
      </c>
      <c r="H103" s="2102"/>
      <c r="I103" s="2056" t="str">
        <f>IF(E102="","",IFERROR(VLOOKUP($B$2,'PM6'!$B$14:$BO$63,'PM6'!$BN$64),""))</f>
        <v/>
      </c>
      <c r="J103" s="2056"/>
      <c r="K103" s="2056"/>
      <c r="L103" s="2056"/>
      <c r="M103" s="2056"/>
      <c r="N103" s="2056"/>
      <c r="O103" s="2056"/>
      <c r="P103" s="404"/>
      <c r="Q103" s="386"/>
    </row>
    <row r="104" spans="1:17" s="1108" customFormat="1" ht="20.100000000000001" customHeight="1">
      <c r="A104" s="386"/>
      <c r="B104" s="713"/>
      <c r="C104" s="395"/>
      <c r="D104" s="401"/>
      <c r="E104" s="1121"/>
      <c r="F104" s="1121"/>
      <c r="G104" s="1122"/>
      <c r="H104" s="1122"/>
      <c r="I104" s="555"/>
      <c r="J104" s="555"/>
      <c r="K104" s="555"/>
      <c r="L104" s="555"/>
      <c r="M104" s="555"/>
      <c r="N104" s="555"/>
      <c r="O104" s="555"/>
      <c r="P104" s="404"/>
      <c r="Q104" s="386"/>
    </row>
    <row r="105" spans="1:17" s="1108" customFormat="1" ht="12" customHeight="1">
      <c r="A105" s="386"/>
      <c r="B105" s="386"/>
      <c r="C105" s="395"/>
      <c r="D105" s="586"/>
      <c r="E105" s="589" t="str">
        <f>E77</f>
        <v>Raport SMA Negeri 1 Amabi Efeto</v>
      </c>
      <c r="F105" s="584"/>
      <c r="G105" s="585"/>
      <c r="H105" s="578"/>
      <c r="I105" s="578"/>
      <c r="J105" s="578"/>
      <c r="K105" s="579"/>
      <c r="L105" s="579"/>
      <c r="M105" s="579"/>
      <c r="N105" s="579"/>
      <c r="O105" s="588">
        <f>O77+1</f>
        <v>3</v>
      </c>
      <c r="P105" s="404"/>
      <c r="Q105" s="386"/>
    </row>
    <row r="106" spans="1:17" s="1108" customFormat="1" ht="12" customHeight="1">
      <c r="A106" s="386"/>
      <c r="B106" s="391"/>
      <c r="C106" s="70"/>
      <c r="D106" s="587"/>
      <c r="E106" s="590" t="str">
        <f>E78</f>
        <v>Aldo Alfinus Pakae | 0 | Semester:1 | 2022-2023</v>
      </c>
      <c r="F106" s="583"/>
      <c r="G106" s="583"/>
      <c r="H106" s="401"/>
      <c r="I106" s="401"/>
      <c r="J106" s="401"/>
      <c r="K106" s="555"/>
      <c r="L106" s="410"/>
      <c r="M106" s="415"/>
      <c r="N106" s="411"/>
      <c r="O106" s="669"/>
      <c r="P106" s="580"/>
      <c r="Q106" s="386"/>
    </row>
    <row r="107" spans="1:17" s="1108" customFormat="1" ht="15" customHeight="1">
      <c r="A107" s="386"/>
      <c r="B107" s="391"/>
      <c r="C107" s="70"/>
      <c r="D107" s="1111" t="s">
        <v>55</v>
      </c>
      <c r="E107" s="2080" t="s">
        <v>39</v>
      </c>
      <c r="F107" s="2080"/>
      <c r="G107" s="2108" t="s">
        <v>41</v>
      </c>
      <c r="H107" s="2109"/>
      <c r="I107" s="2110" t="s">
        <v>14</v>
      </c>
      <c r="J107" s="2110"/>
      <c r="K107" s="2110"/>
      <c r="L107" s="2110"/>
      <c r="M107" s="2110"/>
      <c r="N107" s="2110"/>
      <c r="O107" s="2110"/>
      <c r="P107" s="580"/>
      <c r="Q107" s="386"/>
    </row>
    <row r="108" spans="1:17" s="966" customFormat="1" ht="30" customHeight="1">
      <c r="A108" s="386"/>
      <c r="B108" s="713"/>
      <c r="C108" s="395"/>
      <c r="D108" s="1937">
        <f>IF(E108="","",1)</f>
        <v>1</v>
      </c>
      <c r="E108" s="2121" t="str">
        <f>IF(Data2!$C$21=0,"",Data2!$C$21)</f>
        <v>Biologi</v>
      </c>
      <c r="F108" s="2121"/>
      <c r="G108" s="2102" t="str">
        <f t="shared" ref="G108" si="42">IF(E108="","","Pengetahuan")</f>
        <v>Pengetahuan</v>
      </c>
      <c r="H108" s="2102"/>
      <c r="I108" s="2056" t="str">
        <f>IF(E108="","",IFERROR(VLOOKUP($B$2,biologi!$B$14:$BO$63,biologi!$AK$64),""))</f>
        <v>Memiliki kemampuan cukup dalam mengenal berbagai jenis hewan berdasarkan filum dan mengelompokkan tumbuhan dalam divisio berdasarkan ciri dan peranan</v>
      </c>
      <c r="J108" s="2056"/>
      <c r="K108" s="2056"/>
      <c r="L108" s="2056"/>
      <c r="M108" s="2056"/>
      <c r="N108" s="2056"/>
      <c r="O108" s="2056"/>
      <c r="P108" s="404"/>
      <c r="Q108" s="386"/>
    </row>
    <row r="109" spans="1:17" s="966" customFormat="1" ht="30" customHeight="1">
      <c r="A109" s="386"/>
      <c r="B109" s="713"/>
      <c r="C109" s="395"/>
      <c r="D109" s="1937"/>
      <c r="E109" s="2121"/>
      <c r="F109" s="2121"/>
      <c r="G109" s="2102" t="str">
        <f t="shared" ref="G109" si="43">IF(E108="","","Keterampilan")</f>
        <v>Keterampilan</v>
      </c>
      <c r="H109" s="2102"/>
      <c r="I109" s="2056" t="str">
        <f>IF(E108="","",IFERROR(VLOOKUP($B$2,biologi!$B$14:$BO$63,biologi!$BN$64),""))</f>
        <v>Memiliki keterampilan cukup dalam menjelaskan kelompok hewan berdasarkan ciri, reproduksi dan peran dan menyajikan hasil pengamatan jenis hewan di lingkunagn sekitar</v>
      </c>
      <c r="J109" s="2056"/>
      <c r="K109" s="2056"/>
      <c r="L109" s="2056"/>
      <c r="M109" s="2056"/>
      <c r="N109" s="2056"/>
      <c r="O109" s="2056"/>
      <c r="P109" s="404"/>
      <c r="Q109" s="386"/>
    </row>
    <row r="110" spans="1:17" ht="30" customHeight="1">
      <c r="A110" s="386"/>
      <c r="B110" s="713" t="str">
        <f t="shared" ref="B110" si="44">E110</f>
        <v>Fisika</v>
      </c>
      <c r="C110" s="395"/>
      <c r="D110" s="1937">
        <f>IF(E110="","",2)</f>
        <v>2</v>
      </c>
      <c r="E110" s="2121" t="str">
        <f>IF(Data2!$C$22=0,"",Data2!$C$22)</f>
        <v>Fisika</v>
      </c>
      <c r="F110" s="2121"/>
      <c r="G110" s="2102" t="str">
        <f t="shared" ref="G110" si="45">IF(E110="","","Pengetahuan")</f>
        <v>Pengetahuan</v>
      </c>
      <c r="H110" s="2102"/>
      <c r="I110" s="2056" t="str">
        <f>IF(E48="","",IFERROR(VLOOKUP($B$2,fissika!$B$14:$BO$63,fissika!$AK$64),""))</f>
        <v>Memiliki kemampuan cukup dalam Menganalisis konsep energi, usaha dan perubahan energi dan Menganalisis interaksi hubungan antar gaya</v>
      </c>
      <c r="J110" s="2056"/>
      <c r="K110" s="2056"/>
      <c r="L110" s="2056"/>
      <c r="M110" s="2056"/>
      <c r="N110" s="2056"/>
      <c r="O110" s="2056"/>
      <c r="P110" s="404"/>
      <c r="Q110" s="386"/>
    </row>
    <row r="111" spans="1:17" s="684" customFormat="1" ht="30" customHeight="1">
      <c r="A111" s="386"/>
      <c r="B111" s="713" t="str">
        <f t="shared" ref="B111" si="46">E110</f>
        <v>Fisika</v>
      </c>
      <c r="C111" s="395"/>
      <c r="D111" s="1937"/>
      <c r="E111" s="2121"/>
      <c r="F111" s="2121"/>
      <c r="G111" s="2102" t="str">
        <f t="shared" ref="G111" si="47">IF(E110="","","Keterampilan")</f>
        <v>Keterampilan</v>
      </c>
      <c r="H111" s="2102"/>
      <c r="I111" s="2056" t="str">
        <f>IF(E110="","",IFERROR(VLOOKUP($B$2,fissika!$B$14:$BO$63,fissika!$BN$64),""))</f>
        <v>Memiliki keterampilan baik dalam KD keterampilan 4 Ekonomi dan Melakukan percobaan getaran harmonis pada ayunan sederhana</v>
      </c>
      <c r="J111" s="2056"/>
      <c r="K111" s="2056"/>
      <c r="L111" s="2056"/>
      <c r="M111" s="2056"/>
      <c r="N111" s="2056"/>
      <c r="O111" s="2056"/>
      <c r="P111" s="404"/>
      <c r="Q111" s="386"/>
    </row>
    <row r="112" spans="1:17" s="392" customFormat="1" ht="18" customHeight="1">
      <c r="A112" s="571"/>
      <c r="B112" s="571"/>
      <c r="C112" s="154"/>
      <c r="D112" s="393" t="s">
        <v>361</v>
      </c>
      <c r="E112" s="393" t="s">
        <v>360</v>
      </c>
      <c r="Q112" s="571"/>
    </row>
    <row r="113" spans="1:19" ht="15.75" customHeight="1">
      <c r="A113" s="386"/>
      <c r="B113" s="386"/>
      <c r="C113" s="395"/>
      <c r="D113" s="413" t="s">
        <v>323</v>
      </c>
      <c r="E113" s="2128" t="s">
        <v>15</v>
      </c>
      <c r="F113" s="2128"/>
      <c r="G113" s="2128"/>
      <c r="H113" s="2128"/>
      <c r="I113" s="667" t="s">
        <v>16</v>
      </c>
      <c r="J113" s="2002" t="s">
        <v>17</v>
      </c>
      <c r="K113" s="2003"/>
      <c r="L113" s="2003"/>
      <c r="M113" s="2003"/>
      <c r="N113" s="2003"/>
      <c r="O113" s="2004"/>
      <c r="P113" s="401"/>
      <c r="Q113" s="386"/>
    </row>
    <row r="114" spans="1:19" ht="15.75" customHeight="1">
      <c r="A114" s="386"/>
      <c r="B114" s="386"/>
      <c r="C114" s="395"/>
      <c r="D114" s="414">
        <v>1</v>
      </c>
      <c r="E114" s="2129" t="str">
        <f>VLOOKUP($B$2,AbEk!$B$9:$U$58,AbEk!I60)</f>
        <v>Pendidikan Kepramukaan</v>
      </c>
      <c r="F114" s="2129"/>
      <c r="G114" s="2129"/>
      <c r="H114" s="2129"/>
      <c r="I114" s="414" t="str">
        <f>IF(VLOOKUP($B$2,AbEk!$B$9:$U$58,AbEk!J60)=0,"",VLOOKUP($B$2,AbEk!$B$9:$U$58,AbEk!J60))</f>
        <v>SB</v>
      </c>
      <c r="J114" s="2125" t="str">
        <f>IF(I114="","",IF(VLOOKUP($B$2,AbEk!$B$9:$U$58,AbEk!K60)="","",VLOOKUP($B$2,AbEk!$B$9:$U$58,AbEk!K60)))</f>
        <v>Juara 1 LT tk. Kabupaten</v>
      </c>
      <c r="K114" s="2126"/>
      <c r="L114" s="2126"/>
      <c r="M114" s="2126"/>
      <c r="N114" s="2126"/>
      <c r="O114" s="2127"/>
      <c r="P114" s="415"/>
      <c r="Q114" s="386"/>
      <c r="R114" s="665" t="s">
        <v>62</v>
      </c>
      <c r="S114" s="665" t="s">
        <v>156</v>
      </c>
    </row>
    <row r="115" spans="1:19" ht="15.75" customHeight="1">
      <c r="A115" s="386"/>
      <c r="B115" s="386"/>
      <c r="C115" s="395"/>
      <c r="D115" s="416">
        <v>2</v>
      </c>
      <c r="E115" s="2130" t="str">
        <f>IF(VLOOKUP($B$2,AbEk!$B$9:$U$58,AbEk!L60)=0,"",VLOOKUP($B$2,AbEk!$B$9:$U$58,AbEk!L60))</f>
        <v>Drumband</v>
      </c>
      <c r="F115" s="2130"/>
      <c r="G115" s="2130"/>
      <c r="H115" s="2130"/>
      <c r="I115" s="416" t="str">
        <f>IF(VLOOKUP($B$2,AbEk!$B$9:$U$58,AbEk!M60)=0,"",VLOOKUP($B$2,AbEk!$B$9:$U$58,AbEk!M60))</f>
        <v>SB</v>
      </c>
      <c r="J115" s="2125" t="str">
        <f>IF(I115="","",IF(VLOOKUP($B$2,AbEk!$B$9:$U$58,AbEk!N60)="","",VLOOKUP($B$2,AbEk!$B$9:$U$58,AbEk!N60)))</f>
        <v/>
      </c>
      <c r="K115" s="2126"/>
      <c r="L115" s="2126"/>
      <c r="M115" s="2126"/>
      <c r="N115" s="2126"/>
      <c r="O115" s="2127"/>
      <c r="P115" s="415"/>
      <c r="Q115" s="386"/>
      <c r="R115" s="665" t="s">
        <v>59</v>
      </c>
      <c r="S115" s="665" t="s">
        <v>157</v>
      </c>
    </row>
    <row r="116" spans="1:19" ht="15.75" customHeight="1">
      <c r="A116" s="386"/>
      <c r="B116" s="386"/>
      <c r="C116" s="395"/>
      <c r="D116" s="416">
        <v>3</v>
      </c>
      <c r="E116" s="2130" t="str">
        <f>IF(VLOOKUP($B$2,AbEk!$B$9:$U$58,AbEk!O60)=0,"",VLOOKUP($B$2,AbEk!$B$9:$U$58,AbEk!O60))</f>
        <v>Palang Merah Remaja</v>
      </c>
      <c r="F116" s="2130"/>
      <c r="G116" s="2130"/>
      <c r="H116" s="2130"/>
      <c r="I116" s="416" t="str">
        <f>IF(VLOOKUP($B$2,AbEk!$B$9:$U$58,AbEk!P60)=0,"",VLOOKUP($B$2,AbEk!$B$9:$U$58,AbEk!P60))</f>
        <v>B</v>
      </c>
      <c r="J116" s="2125" t="str">
        <f>IF(I116="","",IF(VLOOKUP($B$2,AbEk!$B$9:$U$58,AbEk!Q60)="","",VLOOKUP($B$2,AbEk!$B$9:$U$58,AbEk!Q60)))</f>
        <v>Mampu menolong temannya yang sakit</v>
      </c>
      <c r="K116" s="2126"/>
      <c r="L116" s="2126"/>
      <c r="M116" s="2126"/>
      <c r="N116" s="2126"/>
      <c r="O116" s="2127"/>
      <c r="P116" s="415"/>
      <c r="Q116" s="386"/>
      <c r="R116" s="665" t="s">
        <v>60</v>
      </c>
      <c r="S116" s="665" t="s">
        <v>158</v>
      </c>
    </row>
    <row r="117" spans="1:19" ht="15.75" customHeight="1">
      <c r="A117" s="386"/>
      <c r="B117" s="386"/>
      <c r="C117" s="395"/>
      <c r="D117" s="416">
        <v>4</v>
      </c>
      <c r="E117" s="2130" t="str">
        <f>IF(VLOOKUP($B$2,AbEk!$B$9:$U$58,AbEk!R60)=0,"",VLOOKUP($B$2,AbEk!$B$9:$U$58,AbEk!R60))</f>
        <v/>
      </c>
      <c r="F117" s="2130"/>
      <c r="G117" s="2130"/>
      <c r="H117" s="2130"/>
      <c r="I117" s="416" t="str">
        <f>IF(VLOOKUP($B$2,AbEk!$B$9:$U$58,AbEk!S60)=0,"",VLOOKUP($B$2,AbEk!$B$9:$U$58,AbEk!S60))</f>
        <v/>
      </c>
      <c r="J117" s="2125" t="str">
        <f>IF(I117="","",IF(VLOOKUP($B$2,AbEk!$B$9:$U$58,AbEk!T60)="","",VLOOKUP($B$2,AbEk!$B$9:$U$58,AbEk!T60)))</f>
        <v/>
      </c>
      <c r="K117" s="2126"/>
      <c r="L117" s="2126"/>
      <c r="M117" s="2126"/>
      <c r="N117" s="2126"/>
      <c r="O117" s="2127"/>
      <c r="P117" s="415"/>
      <c r="Q117" s="386"/>
      <c r="R117" s="665" t="s">
        <v>63</v>
      </c>
      <c r="S117" s="665" t="s">
        <v>159</v>
      </c>
    </row>
    <row r="118" spans="1:19" s="400" customFormat="1" ht="18" customHeight="1">
      <c r="A118" s="572"/>
      <c r="B118" s="572"/>
      <c r="C118" s="397"/>
      <c r="D118" s="1045" t="s">
        <v>402</v>
      </c>
      <c r="E118" s="1123" t="s">
        <v>401</v>
      </c>
      <c r="F118" s="392"/>
      <c r="G118" s="392"/>
      <c r="H118" s="392"/>
      <c r="I118" s="392"/>
      <c r="J118" s="392"/>
      <c r="K118" s="392"/>
      <c r="L118" s="392"/>
      <c r="M118" s="392"/>
      <c r="N118" s="392"/>
      <c r="O118" s="392"/>
      <c r="P118" s="392"/>
      <c r="Q118" s="572"/>
    </row>
    <row r="119" spans="1:19" ht="15.75" customHeight="1">
      <c r="A119" s="386"/>
      <c r="B119" s="386"/>
      <c r="C119" s="395"/>
      <c r="D119" s="667" t="s">
        <v>323</v>
      </c>
      <c r="E119" s="2089" t="s">
        <v>328</v>
      </c>
      <c r="F119" s="2089"/>
      <c r="G119" s="2089"/>
      <c r="H119" s="2089"/>
      <c r="I119" s="2002" t="s">
        <v>17</v>
      </c>
      <c r="J119" s="2003"/>
      <c r="K119" s="2003"/>
      <c r="L119" s="2003"/>
      <c r="M119" s="2003"/>
      <c r="N119" s="2003"/>
      <c r="O119" s="2004"/>
      <c r="P119" s="669"/>
      <c r="Q119" s="386"/>
    </row>
    <row r="120" spans="1:19" ht="15.75" customHeight="1">
      <c r="A120" s="386"/>
      <c r="B120" s="386"/>
      <c r="C120" s="395"/>
      <c r="D120" s="676" t="s">
        <v>125</v>
      </c>
      <c r="E120" s="2124" t="str">
        <f>IF(VLOOKUP(B2,Casi!$B$11:$R$60,Casi!M61)="","",VLOOKUP(B2,Casi!$B$11:$R$60,Casi!M61))</f>
        <v>Kesenian</v>
      </c>
      <c r="F120" s="2124"/>
      <c r="G120" s="2124"/>
      <c r="H120" s="2124"/>
      <c r="I120" s="2005" t="str">
        <f>IF(VLOOKUP(B2,Casi!$B$11:$R$60,Casi!N61)="","",VLOOKUP(B2,Casi!$B$11:$R$60,Casi!N61))</f>
        <v>Juara I Lomba Menyanyi antar kelas</v>
      </c>
      <c r="J120" s="2006"/>
      <c r="K120" s="2006"/>
      <c r="L120" s="2006"/>
      <c r="M120" s="2006"/>
      <c r="N120" s="2006"/>
      <c r="O120" s="2007"/>
      <c r="P120" s="669"/>
      <c r="Q120" s="386"/>
    </row>
    <row r="121" spans="1:19" ht="15.75" customHeight="1">
      <c r="A121" s="386"/>
      <c r="B121" s="386"/>
      <c r="C121" s="395"/>
      <c r="D121" s="676" t="s">
        <v>126</v>
      </c>
      <c r="E121" s="2124" t="str">
        <f>IF(VLOOKUP(B2,Casi!$B$11:$R$60,Casi!O61)="","",VLOOKUP(B2,Casi!$B$11:$R$60,Casi!O61))</f>
        <v>Keagamaan</v>
      </c>
      <c r="F121" s="2124"/>
      <c r="G121" s="2124"/>
      <c r="H121" s="2124"/>
      <c r="I121" s="2005" t="str">
        <f>IF(VLOOKUP(B2,Casi!$B$11:$R$60,Casi!P61)="","",VLOOKUP(B2,Casi!$B$11:$R$60,Casi!P61))</f>
        <v>Juara I Adzan tingkat Kabupaten</v>
      </c>
      <c r="J121" s="2006"/>
      <c r="K121" s="2006"/>
      <c r="L121" s="2006"/>
      <c r="M121" s="2006"/>
      <c r="N121" s="2006"/>
      <c r="O121" s="2007"/>
      <c r="P121" s="669"/>
      <c r="Q121" s="386"/>
    </row>
    <row r="122" spans="1:19" ht="15.75" customHeight="1">
      <c r="A122" s="386"/>
      <c r="B122" s="386"/>
      <c r="C122" s="395"/>
      <c r="D122" s="676" t="s">
        <v>127</v>
      </c>
      <c r="E122" s="2124" t="str">
        <f>IF(VLOOKUP(B2,Casi!$B$11:$R$60,Casi!Q61)="","",VLOOKUP(B2,Casi!$B$11:$R$60,Casi!Q61))</f>
        <v/>
      </c>
      <c r="F122" s="2124"/>
      <c r="G122" s="2124"/>
      <c r="H122" s="2124"/>
      <c r="I122" s="2005" t="str">
        <f>IF(VLOOKUP(B2,Casi!$B$11:$R$60,Casi!R61)="","",VLOOKUP(B2,Casi!$B$11:$R$60,Casi!R61))</f>
        <v/>
      </c>
      <c r="J122" s="2006"/>
      <c r="K122" s="2006"/>
      <c r="L122" s="2006"/>
      <c r="M122" s="2006"/>
      <c r="N122" s="2006"/>
      <c r="O122" s="2007"/>
      <c r="P122" s="669"/>
      <c r="Q122" s="386"/>
    </row>
    <row r="123" spans="1:19" s="400" customFormat="1" ht="18" customHeight="1">
      <c r="A123" s="572"/>
      <c r="B123" s="572"/>
      <c r="C123" s="397"/>
      <c r="D123" s="1046" t="s">
        <v>330</v>
      </c>
      <c r="E123" s="1046" t="s">
        <v>362</v>
      </c>
      <c r="F123" s="417"/>
      <c r="G123" s="417"/>
      <c r="H123" s="417"/>
      <c r="I123" s="417"/>
      <c r="J123" s="417"/>
      <c r="P123" s="392"/>
      <c r="Q123" s="572"/>
    </row>
    <row r="124" spans="1:19" ht="15.75" customHeight="1">
      <c r="A124" s="386"/>
      <c r="B124" s="386"/>
      <c r="C124" s="395"/>
      <c r="D124" s="1991" t="s">
        <v>18</v>
      </c>
      <c r="E124" s="1991"/>
      <c r="F124" s="1991"/>
      <c r="G124" s="1991"/>
      <c r="H124" s="1991"/>
      <c r="I124" s="668">
        <f>VLOOKUP($B$2,AbEk!$B$9:$U$58,5)</f>
        <v>5</v>
      </c>
      <c r="J124" s="2132" t="s">
        <v>21</v>
      </c>
      <c r="K124" s="1965"/>
      <c r="P124" s="669"/>
      <c r="Q124" s="386"/>
    </row>
    <row r="125" spans="1:19" ht="15.75" customHeight="1">
      <c r="A125" s="386"/>
      <c r="B125" s="386"/>
      <c r="C125" s="395"/>
      <c r="D125" s="1991" t="s">
        <v>19</v>
      </c>
      <c r="E125" s="1991"/>
      <c r="F125" s="1991"/>
      <c r="G125" s="1991"/>
      <c r="H125" s="1991"/>
      <c r="I125" s="668">
        <f>VLOOKUP($B$2,AbEk!$B$9:$U$58,6)</f>
        <v>1</v>
      </c>
      <c r="J125" s="2132" t="s">
        <v>21</v>
      </c>
      <c r="K125" s="1965"/>
      <c r="P125" s="669"/>
      <c r="Q125" s="386"/>
    </row>
    <row r="126" spans="1:19" ht="15.75" customHeight="1">
      <c r="A126" s="386"/>
      <c r="B126" s="386"/>
      <c r="C126" s="395"/>
      <c r="D126" s="1992" t="s">
        <v>20</v>
      </c>
      <c r="E126" s="1992"/>
      <c r="F126" s="1992"/>
      <c r="G126" s="1992"/>
      <c r="H126" s="1992"/>
      <c r="I126" s="668">
        <f>VLOOKUP($B$2,AbEk!$B$9:$U$58,7)</f>
        <v>2</v>
      </c>
      <c r="J126" s="2132" t="s">
        <v>21</v>
      </c>
      <c r="K126" s="1965"/>
      <c r="P126" s="669"/>
      <c r="Q126" s="386"/>
    </row>
    <row r="127" spans="1:19" s="400" customFormat="1" ht="18" customHeight="1">
      <c r="A127" s="572"/>
      <c r="B127" s="572"/>
      <c r="C127" s="397"/>
      <c r="D127" s="393" t="s">
        <v>332</v>
      </c>
      <c r="E127" s="393" t="s">
        <v>488</v>
      </c>
      <c r="F127" s="392"/>
      <c r="G127" s="574"/>
      <c r="H127" s="417"/>
      <c r="I127" s="417"/>
      <c r="J127" s="417"/>
      <c r="K127" s="417"/>
      <c r="P127" s="392"/>
      <c r="Q127" s="572"/>
    </row>
    <row r="128" spans="1:19" ht="12.75" customHeight="1">
      <c r="A128" s="386"/>
      <c r="B128" s="386"/>
      <c r="C128" s="395"/>
      <c r="D128" s="1993" t="str">
        <f>VLOOKUP(B2,Casi!B11:R60,Casi!$L61)</f>
        <v>Prestasi baik, perlu dipertahankan dan dtingkatkanSelalu berusaha untuk mematuhi tata tertib sekolah dan patuh terhadap Guru. Mempunyai kemampuan dan motivasi yang tinggi untuk menggunakan waktu secara efisien. Masih perlu memperbanyak teman bergaul dan teman diskusi, kurangi aktifitas menyendiri.</v>
      </c>
      <c r="E128" s="1994"/>
      <c r="F128" s="1994"/>
      <c r="G128" s="1994"/>
      <c r="H128" s="1994"/>
      <c r="I128" s="1994"/>
      <c r="J128" s="1994"/>
      <c r="K128" s="1994"/>
      <c r="L128" s="1994"/>
      <c r="M128" s="1994"/>
      <c r="N128" s="1994"/>
      <c r="O128" s="1995"/>
      <c r="P128" s="669"/>
      <c r="Q128" s="386"/>
    </row>
    <row r="129" spans="1:17" ht="12.75" customHeight="1">
      <c r="A129" s="386"/>
      <c r="B129" s="386"/>
      <c r="C129" s="395"/>
      <c r="D129" s="1996"/>
      <c r="E129" s="1997"/>
      <c r="F129" s="1997"/>
      <c r="G129" s="1997"/>
      <c r="H129" s="1997"/>
      <c r="I129" s="1997"/>
      <c r="J129" s="1997"/>
      <c r="K129" s="1997"/>
      <c r="L129" s="1997"/>
      <c r="M129" s="1997"/>
      <c r="N129" s="1997"/>
      <c r="O129" s="1998"/>
      <c r="P129" s="669"/>
      <c r="Q129" s="386"/>
    </row>
    <row r="130" spans="1:17" ht="12.75" customHeight="1">
      <c r="A130" s="386"/>
      <c r="B130" s="386"/>
      <c r="C130" s="395"/>
      <c r="D130" s="1996"/>
      <c r="E130" s="1997"/>
      <c r="F130" s="1997"/>
      <c r="G130" s="1997"/>
      <c r="H130" s="1997"/>
      <c r="I130" s="1997"/>
      <c r="J130" s="1997"/>
      <c r="K130" s="1997"/>
      <c r="L130" s="1997"/>
      <c r="M130" s="1997"/>
      <c r="N130" s="1997"/>
      <c r="O130" s="1998"/>
      <c r="P130" s="669"/>
      <c r="Q130" s="386"/>
    </row>
    <row r="131" spans="1:17" ht="12.75" customHeight="1">
      <c r="A131" s="386"/>
      <c r="B131" s="386"/>
      <c r="C131" s="395"/>
      <c r="D131" s="1996"/>
      <c r="E131" s="1997"/>
      <c r="F131" s="1997"/>
      <c r="G131" s="1997"/>
      <c r="H131" s="1997"/>
      <c r="I131" s="1997"/>
      <c r="J131" s="1997"/>
      <c r="K131" s="1997"/>
      <c r="L131" s="1997"/>
      <c r="M131" s="1997"/>
      <c r="N131" s="1997"/>
      <c r="O131" s="1998"/>
      <c r="P131" s="669"/>
      <c r="Q131" s="386"/>
    </row>
    <row r="132" spans="1:17" ht="12.75" customHeight="1">
      <c r="A132" s="386"/>
      <c r="B132" s="386"/>
      <c r="C132" s="395"/>
      <c r="D132" s="1999"/>
      <c r="E132" s="2000"/>
      <c r="F132" s="2000"/>
      <c r="G132" s="2000"/>
      <c r="H132" s="2000"/>
      <c r="I132" s="2000"/>
      <c r="J132" s="2000"/>
      <c r="K132" s="2000"/>
      <c r="L132" s="2000"/>
      <c r="M132" s="2000"/>
      <c r="N132" s="2000"/>
      <c r="O132" s="2001"/>
      <c r="P132" s="669"/>
      <c r="Q132" s="386"/>
    </row>
    <row r="133" spans="1:17" s="400" customFormat="1" ht="18" customHeight="1">
      <c r="A133" s="572"/>
      <c r="B133" s="572"/>
      <c r="C133" s="397"/>
      <c r="D133" s="1046" t="s">
        <v>420</v>
      </c>
      <c r="E133" s="1046" t="s">
        <v>331</v>
      </c>
      <c r="F133" s="573"/>
      <c r="G133" s="574"/>
      <c r="H133" s="417"/>
      <c r="I133" s="417"/>
      <c r="J133" s="417"/>
      <c r="K133" s="417"/>
      <c r="P133" s="392"/>
      <c r="Q133" s="572"/>
    </row>
    <row r="134" spans="1:17" ht="12.75" customHeight="1">
      <c r="A134" s="386"/>
      <c r="B134" s="386"/>
      <c r="C134" s="395"/>
      <c r="D134" s="558"/>
      <c r="E134" s="559"/>
      <c r="F134" s="559"/>
      <c r="G134" s="559"/>
      <c r="H134" s="540"/>
      <c r="I134" s="540"/>
      <c r="J134" s="540"/>
      <c r="K134" s="540"/>
      <c r="L134" s="560"/>
      <c r="M134" s="560"/>
      <c r="N134" s="560"/>
      <c r="O134" s="561"/>
      <c r="P134" s="669"/>
      <c r="Q134" s="386"/>
    </row>
    <row r="135" spans="1:17" ht="12.75" customHeight="1">
      <c r="A135" s="386"/>
      <c r="B135" s="386"/>
      <c r="C135" s="395"/>
      <c r="D135" s="562"/>
      <c r="E135" s="557"/>
      <c r="F135" s="557"/>
      <c r="G135" s="557"/>
      <c r="H135" s="423"/>
      <c r="I135" s="423"/>
      <c r="J135" s="423"/>
      <c r="K135" s="423"/>
      <c r="L135" s="428"/>
      <c r="M135" s="428"/>
      <c r="N135" s="428"/>
      <c r="O135" s="563"/>
      <c r="P135" s="669"/>
      <c r="Q135" s="386"/>
    </row>
    <row r="136" spans="1:17" ht="12.75" customHeight="1">
      <c r="A136" s="386"/>
      <c r="B136" s="386"/>
      <c r="C136" s="395"/>
      <c r="D136" s="562"/>
      <c r="E136" s="557"/>
      <c r="F136" s="557"/>
      <c r="G136" s="557"/>
      <c r="H136" s="423"/>
      <c r="I136" s="423"/>
      <c r="J136" s="423"/>
      <c r="K136" s="423"/>
      <c r="L136" s="428"/>
      <c r="M136" s="428"/>
      <c r="N136" s="428"/>
      <c r="O136" s="563"/>
      <c r="P136" s="669"/>
      <c r="Q136" s="386"/>
    </row>
    <row r="137" spans="1:17" ht="12.75" customHeight="1">
      <c r="A137" s="386"/>
      <c r="B137" s="386"/>
      <c r="C137" s="395"/>
      <c r="D137" s="562"/>
      <c r="E137" s="557"/>
      <c r="F137" s="557"/>
      <c r="G137" s="557"/>
      <c r="H137" s="423"/>
      <c r="I137" s="423"/>
      <c r="J137" s="423"/>
      <c r="K137" s="423"/>
      <c r="L137" s="428"/>
      <c r="M137" s="428"/>
      <c r="N137" s="428"/>
      <c r="O137" s="563"/>
      <c r="P137" s="669"/>
      <c r="Q137" s="386"/>
    </row>
    <row r="138" spans="1:17" ht="12.75" customHeight="1">
      <c r="A138" s="386"/>
      <c r="B138" s="386"/>
      <c r="C138" s="395"/>
      <c r="D138" s="551"/>
      <c r="E138" s="564"/>
      <c r="F138" s="565"/>
      <c r="G138" s="565"/>
      <c r="H138" s="541"/>
      <c r="I138" s="541"/>
      <c r="J138" s="541"/>
      <c r="K138" s="541"/>
      <c r="L138" s="565"/>
      <c r="M138" s="565"/>
      <c r="N138" s="565"/>
      <c r="O138" s="566"/>
      <c r="Q138" s="386"/>
    </row>
    <row r="139" spans="1:17" s="421" customFormat="1" ht="12.75" customHeight="1">
      <c r="A139" s="419"/>
      <c r="B139" s="419"/>
      <c r="C139" s="420"/>
      <c r="K139" s="425"/>
      <c r="L139" s="426"/>
      <c r="M139" s="427"/>
      <c r="N139" s="427"/>
      <c r="O139" s="427"/>
      <c r="Q139" s="422"/>
    </row>
    <row r="140" spans="1:17" s="421" customFormat="1" ht="13.5" customHeight="1">
      <c r="A140" s="419"/>
      <c r="B140" s="419"/>
      <c r="C140" s="420"/>
      <c r="D140" s="423" t="s">
        <v>490</v>
      </c>
      <c r="E140" s="424"/>
      <c r="F140" s="423"/>
      <c r="G140" s="423"/>
      <c r="I140" s="423"/>
      <c r="K140" s="425"/>
      <c r="L140" s="712" t="str">
        <f>Data!C14&amp;", "&amp;TEXT(Data!C15,"d mmmm yyy")</f>
        <v>Kupang, 22 December 2022</v>
      </c>
      <c r="O140" s="427"/>
      <c r="Q140" s="419"/>
    </row>
    <row r="141" spans="1:17" ht="15.75" customHeight="1">
      <c r="A141" s="386"/>
      <c r="B141" s="386"/>
      <c r="C141" s="395"/>
      <c r="D141" s="665" t="s">
        <v>366</v>
      </c>
      <c r="L141" s="707" t="s">
        <v>489</v>
      </c>
      <c r="Q141" s="386"/>
    </row>
    <row r="142" spans="1:17" ht="39.950000000000003" customHeight="1">
      <c r="A142" s="386"/>
      <c r="B142" s="386"/>
      <c r="C142" s="395"/>
      <c r="D142" s="664"/>
      <c r="H142" s="684"/>
      <c r="I142" s="684"/>
      <c r="J142" s="684"/>
      <c r="L142" s="701"/>
      <c r="M142" s="701"/>
      <c r="N142" s="701"/>
      <c r="O142" s="701"/>
      <c r="Q142" s="386"/>
    </row>
    <row r="143" spans="1:17" s="669" customFormat="1" ht="16.5" customHeight="1">
      <c r="A143" s="391"/>
      <c r="B143" s="391"/>
      <c r="C143" s="70"/>
      <c r="D143" s="669" t="s">
        <v>491</v>
      </c>
      <c r="F143" s="423"/>
      <c r="G143" s="423"/>
      <c r="H143" s="2140"/>
      <c r="I143" s="2140"/>
      <c r="J143" s="2140"/>
      <c r="K143" s="2140"/>
      <c r="L143" s="2138" t="str">
        <f>Data!C12</f>
        <v>Sendi Laura Kee, S.Pd</v>
      </c>
      <c r="M143" s="2139"/>
      <c r="N143" s="2139"/>
      <c r="O143" s="2139"/>
      <c r="P143" s="423"/>
      <c r="Q143" s="391"/>
    </row>
    <row r="144" spans="1:17" ht="16.5" customHeight="1">
      <c r="A144" s="386"/>
      <c r="B144" s="386"/>
      <c r="C144" s="395"/>
      <c r="F144" s="428"/>
      <c r="G144" s="428"/>
      <c r="H144" s="2142"/>
      <c r="I144" s="2142"/>
      <c r="J144" s="2142"/>
      <c r="K144" s="2142"/>
      <c r="L144" s="2134" t="str">
        <f>Data!B13&amp;". "&amp;Data!C13</f>
        <v>NIP. 198410062022212020</v>
      </c>
      <c r="M144" s="2134"/>
      <c r="N144" s="2134"/>
      <c r="O144" s="2134"/>
      <c r="P144" s="428"/>
      <c r="Q144" s="386"/>
    </row>
    <row r="145" spans="1:17" ht="22.5" customHeight="1">
      <c r="A145" s="386"/>
      <c r="B145" s="386"/>
      <c r="C145" s="395"/>
      <c r="H145" s="2135" t="s">
        <v>490</v>
      </c>
      <c r="I145" s="2135"/>
      <c r="J145" s="2135"/>
      <c r="K145" s="2135"/>
      <c r="L145" s="706"/>
      <c r="M145" s="707"/>
      <c r="N145" s="2134"/>
      <c r="O145" s="2134"/>
      <c r="P145" s="576"/>
      <c r="Q145" s="386"/>
    </row>
    <row r="146" spans="1:17" ht="16.5" customHeight="1">
      <c r="A146" s="386"/>
      <c r="B146" s="386"/>
      <c r="C146" s="395"/>
      <c r="H146" s="2131" t="s">
        <v>142</v>
      </c>
      <c r="I146" s="2131"/>
      <c r="J146" s="2131"/>
      <c r="K146" s="2131"/>
      <c r="L146" s="707"/>
      <c r="M146" s="707"/>
      <c r="N146" s="2134"/>
      <c r="O146" s="2134"/>
      <c r="Q146" s="386"/>
    </row>
    <row r="147" spans="1:17" s="664" customFormat="1" ht="39.950000000000003" customHeight="1">
      <c r="A147" s="408"/>
      <c r="B147" s="408"/>
      <c r="C147" s="409"/>
      <c r="H147" s="2141"/>
      <c r="I147" s="2141"/>
      <c r="J147" s="2141"/>
      <c r="K147" s="2141"/>
      <c r="L147" s="2133"/>
      <c r="M147" s="2133"/>
      <c r="N147" s="2133"/>
      <c r="O147" s="2133"/>
      <c r="Q147" s="408"/>
    </row>
    <row r="148" spans="1:17" ht="14.25" customHeight="1">
      <c r="A148" s="386"/>
      <c r="B148" s="386"/>
      <c r="C148" s="395"/>
      <c r="H148" s="2136" t="str">
        <f>Data!C7</f>
        <v>Nelson Nome, S.Pd</v>
      </c>
      <c r="I148" s="2137"/>
      <c r="J148" s="2137"/>
      <c r="K148" s="2137"/>
      <c r="L148" s="2134"/>
      <c r="M148" s="2134"/>
      <c r="N148" s="2134"/>
      <c r="O148" s="2134"/>
      <c r="Q148" s="386"/>
    </row>
    <row r="149" spans="1:17" ht="13.5" customHeight="1">
      <c r="A149" s="386"/>
      <c r="B149" s="386"/>
      <c r="H149" s="2131" t="str">
        <f>Data!B8&amp;". "&amp;Data!C8</f>
        <v>NIP. 19781107201001 1 022</v>
      </c>
      <c r="I149" s="2131"/>
      <c r="J149" s="2131"/>
      <c r="K149" s="2131"/>
      <c r="L149" s="707"/>
      <c r="M149" s="707"/>
      <c r="N149" s="707"/>
      <c r="O149" s="707"/>
      <c r="Q149" s="386"/>
    </row>
    <row r="150" spans="1:17" ht="9.9499999999999993" customHeight="1">
      <c r="A150" s="386"/>
      <c r="B150" s="386"/>
      <c r="K150" s="666"/>
      <c r="L150" s="707"/>
      <c r="M150" s="707"/>
      <c r="N150" s="707"/>
      <c r="O150" s="707"/>
      <c r="Q150" s="386"/>
    </row>
    <row r="151" spans="1:17" ht="12" customHeight="1">
      <c r="A151" s="386"/>
      <c r="B151" s="386"/>
      <c r="D151" s="586"/>
      <c r="E151" s="589" t="str">
        <f>E105</f>
        <v>Raport SMA Negeri 1 Amabi Efeto</v>
      </c>
      <c r="F151" s="584"/>
      <c r="G151" s="585"/>
      <c r="H151" s="578"/>
      <c r="I151" s="578"/>
      <c r="J151" s="578"/>
      <c r="K151" s="579"/>
      <c r="L151" s="579"/>
      <c r="M151" s="579"/>
      <c r="N151" s="579"/>
      <c r="O151" s="588">
        <f>O105+1</f>
        <v>4</v>
      </c>
      <c r="Q151" s="386"/>
    </row>
    <row r="152" spans="1:17" s="669" customFormat="1" ht="12" customHeight="1">
      <c r="A152" s="391"/>
      <c r="B152" s="391"/>
      <c r="D152" s="587"/>
      <c r="E152" s="590" t="str">
        <f>E106</f>
        <v>Aldo Alfinus Pakae | 0 | Semester:1 | 2022-2023</v>
      </c>
      <c r="F152" s="583"/>
      <c r="G152" s="583"/>
      <c r="H152" s="401"/>
      <c r="I152" s="401"/>
      <c r="J152" s="401"/>
      <c r="K152" s="555"/>
      <c r="L152" s="410"/>
      <c r="M152" s="415"/>
      <c r="N152" s="411"/>
      <c r="Q152" s="391"/>
    </row>
    <row r="153" spans="1:17" ht="12.75">
      <c r="A153" s="386"/>
      <c r="B153" s="386"/>
      <c r="C153" s="386"/>
      <c r="D153" s="386"/>
      <c r="E153" s="386"/>
      <c r="F153" s="386"/>
      <c r="G153" s="386"/>
      <c r="H153" s="386"/>
      <c r="I153" s="386"/>
      <c r="J153" s="386"/>
      <c r="K153" s="386"/>
      <c r="L153" s="386"/>
      <c r="M153" s="386"/>
      <c r="N153" s="386"/>
      <c r="O153" s="386"/>
      <c r="P153" s="386"/>
      <c r="Q153" s="386"/>
    </row>
    <row r="154" spans="1:17" ht="12.75">
      <c r="A154" s="386"/>
      <c r="B154" s="386"/>
      <c r="C154" s="386"/>
      <c r="D154" s="386"/>
      <c r="E154" s="386"/>
      <c r="F154" s="386"/>
      <c r="G154" s="386"/>
      <c r="H154" s="386"/>
      <c r="I154" s="386"/>
      <c r="J154" s="386"/>
      <c r="K154" s="386"/>
      <c r="L154" s="386"/>
      <c r="M154" s="386"/>
      <c r="N154" s="386"/>
      <c r="O154" s="386"/>
      <c r="P154" s="386"/>
      <c r="Q154" s="386"/>
    </row>
    <row r="155" spans="1:17" ht="12.75" hidden="1"/>
    <row r="156" spans="1:17" ht="12.75" hidden="1"/>
    <row r="157" spans="1:17" ht="12.75" hidden="1"/>
    <row r="158" spans="1:17" ht="12.75" hidden="1"/>
    <row r="159" spans="1:17" ht="12.75" hidden="1" customHeight="1"/>
    <row r="160" spans="1:17" ht="12.75" hidden="1"/>
    <row r="161" ht="12.75" hidden="1" customHeight="1"/>
    <row r="162" ht="12.75" hidden="1" customHeight="1"/>
    <row r="163" ht="12.75" hidden="1" customHeight="1"/>
    <row r="164" ht="12.75" hidden="1" customHeight="1"/>
    <row r="165" ht="12.75" hidden="1" customHeight="1"/>
    <row r="166" ht="12.75" hidden="1"/>
    <row r="167" ht="12.75" hidden="1" customHeight="1"/>
    <row r="168" ht="12.75" hidden="1" customHeight="1"/>
    <row r="169" ht="12.75" hidden="1" customHeight="1"/>
    <row r="170" ht="12.75" hidden="1" customHeight="1"/>
    <row r="171" ht="12.75" hidden="1" customHeight="1"/>
    <row r="172" ht="12.75" hidden="1" customHeight="1"/>
    <row r="173" ht="12.75" hidden="1" customHeight="1"/>
    <row r="174" ht="12.75" hidden="1" customHeight="1"/>
    <row r="175" ht="12.75" hidden="1" customHeight="1"/>
    <row r="176" ht="12.75" hidden="1" customHeight="1"/>
    <row r="177" ht="12.75" hidden="1" customHeight="1"/>
    <row r="178" ht="12.75" hidden="1" customHeight="1"/>
    <row r="179" ht="12.75" hidden="1" customHeight="1"/>
    <row r="180" ht="12.75" hidden="1" customHeight="1"/>
    <row r="181" ht="12.75" hidden="1" customHeight="1"/>
    <row r="182" ht="12.75" hidden="1" customHeight="1"/>
    <row r="183" ht="12.75" hidden="1" customHeight="1"/>
    <row r="184" ht="12.75" hidden="1" customHeight="1"/>
    <row r="185" ht="12.75" hidden="1" customHeight="1"/>
    <row r="186" ht="12.75" hidden="1" customHeight="1"/>
    <row r="187" ht="12.75" hidden="1" customHeight="1"/>
    <row r="188" ht="12.75" hidden="1" customHeight="1"/>
    <row r="189" ht="12.75" hidden="1" customHeight="1"/>
    <row r="190" ht="12.75" hidden="1" customHeight="1"/>
    <row r="191" ht="12.75" hidden="1" customHeight="1"/>
    <row r="192" ht="12.75" hidden="1" customHeight="1"/>
  </sheetData>
  <sheetProtection formatRows="0" selectLockedCells="1"/>
  <mergeCells count="250">
    <mergeCell ref="E44:G44"/>
    <mergeCell ref="E45:G45"/>
    <mergeCell ref="D49:G49"/>
    <mergeCell ref="D51:H51"/>
    <mergeCell ref="K58:L58"/>
    <mergeCell ref="K59:L59"/>
    <mergeCell ref="M54:O54"/>
    <mergeCell ref="I59:J59"/>
    <mergeCell ref="I58:J58"/>
    <mergeCell ref="I56:J56"/>
    <mergeCell ref="K56:L56"/>
    <mergeCell ref="I57:J57"/>
    <mergeCell ref="I55:J55"/>
    <mergeCell ref="K57:L57"/>
    <mergeCell ref="M59:O59"/>
    <mergeCell ref="M58:O58"/>
    <mergeCell ref="M57:O57"/>
    <mergeCell ref="F57:H57"/>
    <mergeCell ref="F58:H58"/>
    <mergeCell ref="F59:H59"/>
    <mergeCell ref="E46:G46"/>
    <mergeCell ref="E47:G47"/>
    <mergeCell ref="E26:G26"/>
    <mergeCell ref="E27:G27"/>
    <mergeCell ref="E28:G28"/>
    <mergeCell ref="E30:G30"/>
    <mergeCell ref="E31:G31"/>
    <mergeCell ref="E32:G32"/>
    <mergeCell ref="E33:G33"/>
    <mergeCell ref="E42:G42"/>
    <mergeCell ref="E43:G43"/>
    <mergeCell ref="E41:G41"/>
    <mergeCell ref="I38:I39"/>
    <mergeCell ref="J38:K38"/>
    <mergeCell ref="L38:M38"/>
    <mergeCell ref="D55:E55"/>
    <mergeCell ref="D58:E58"/>
    <mergeCell ref="D57:E57"/>
    <mergeCell ref="D13:E13"/>
    <mergeCell ref="F13:O13"/>
    <mergeCell ref="B2:B3"/>
    <mergeCell ref="D4:O4"/>
    <mergeCell ref="G6:K6"/>
    <mergeCell ref="G7:K7"/>
    <mergeCell ref="G8:K8"/>
    <mergeCell ref="D6:F6"/>
    <mergeCell ref="D7:F7"/>
    <mergeCell ref="D8:F8"/>
    <mergeCell ref="D38:D39"/>
    <mergeCell ref="E38:G39"/>
    <mergeCell ref="H38:H39"/>
    <mergeCell ref="D14:E14"/>
    <mergeCell ref="F14:O14"/>
    <mergeCell ref="D16:E16"/>
    <mergeCell ref="F16:O16"/>
    <mergeCell ref="D17:E17"/>
    <mergeCell ref="F17:O17"/>
    <mergeCell ref="J20:K20"/>
    <mergeCell ref="L20:M20"/>
    <mergeCell ref="E23:G23"/>
    <mergeCell ref="D20:D21"/>
    <mergeCell ref="H20:H21"/>
    <mergeCell ref="I20:I21"/>
    <mergeCell ref="N20:N21"/>
    <mergeCell ref="O20:O21"/>
    <mergeCell ref="E20:G21"/>
    <mergeCell ref="D22:F22"/>
    <mergeCell ref="E24:G24"/>
    <mergeCell ref="E25:G25"/>
    <mergeCell ref="E34:G34"/>
    <mergeCell ref="N38:N39"/>
    <mergeCell ref="O38:O39"/>
    <mergeCell ref="D66:D67"/>
    <mergeCell ref="E68:F69"/>
    <mergeCell ref="D68:D69"/>
    <mergeCell ref="E70:F71"/>
    <mergeCell ref="D70:D71"/>
    <mergeCell ref="I69:O69"/>
    <mergeCell ref="I70:O70"/>
    <mergeCell ref="I71:O71"/>
    <mergeCell ref="G64:H64"/>
    <mergeCell ref="G65:H65"/>
    <mergeCell ref="E64:F65"/>
    <mergeCell ref="K55:L55"/>
    <mergeCell ref="K54:L54"/>
    <mergeCell ref="D64:D65"/>
    <mergeCell ref="I64:O64"/>
    <mergeCell ref="I65:O65"/>
    <mergeCell ref="F54:H54"/>
    <mergeCell ref="F55:H55"/>
    <mergeCell ref="F56:H56"/>
    <mergeCell ref="I91:O91"/>
    <mergeCell ref="D72:D73"/>
    <mergeCell ref="E72:F73"/>
    <mergeCell ref="G67:H67"/>
    <mergeCell ref="G68:H68"/>
    <mergeCell ref="G69:H69"/>
    <mergeCell ref="G70:H70"/>
    <mergeCell ref="G71:H71"/>
    <mergeCell ref="G72:H72"/>
    <mergeCell ref="I88:O88"/>
    <mergeCell ref="G81:H81"/>
    <mergeCell ref="G82:H82"/>
    <mergeCell ref="G83:H83"/>
    <mergeCell ref="G84:H84"/>
    <mergeCell ref="G85:H85"/>
    <mergeCell ref="G79:H79"/>
    <mergeCell ref="D125:H125"/>
    <mergeCell ref="D74:D75"/>
    <mergeCell ref="E74:F75"/>
    <mergeCell ref="D94:D95"/>
    <mergeCell ref="D96:D97"/>
    <mergeCell ref="I84:O84"/>
    <mergeCell ref="I85:O85"/>
    <mergeCell ref="I86:O86"/>
    <mergeCell ref="G74:H74"/>
    <mergeCell ref="G75:H75"/>
    <mergeCell ref="I75:O75"/>
    <mergeCell ref="I80:O80"/>
    <mergeCell ref="I81:O81"/>
    <mergeCell ref="I82:O82"/>
    <mergeCell ref="I83:O83"/>
    <mergeCell ref="D81:D82"/>
    <mergeCell ref="E81:F82"/>
    <mergeCell ref="D83:D84"/>
    <mergeCell ref="E83:F84"/>
    <mergeCell ref="D85:D86"/>
    <mergeCell ref="E85:F86"/>
    <mergeCell ref="D87:D88"/>
    <mergeCell ref="E87:F88"/>
    <mergeCell ref="G88:H88"/>
    <mergeCell ref="G94:H94"/>
    <mergeCell ref="G95:H95"/>
    <mergeCell ref="G96:H96"/>
    <mergeCell ref="G97:H97"/>
    <mergeCell ref="E94:F95"/>
    <mergeCell ref="H149:K149"/>
    <mergeCell ref="J124:K124"/>
    <mergeCell ref="J125:K125"/>
    <mergeCell ref="J126:K126"/>
    <mergeCell ref="D124:H124"/>
    <mergeCell ref="D128:O132"/>
    <mergeCell ref="L147:O147"/>
    <mergeCell ref="N145:O145"/>
    <mergeCell ref="N146:O146"/>
    <mergeCell ref="L148:O148"/>
    <mergeCell ref="H145:K145"/>
    <mergeCell ref="H148:K148"/>
    <mergeCell ref="D126:H126"/>
    <mergeCell ref="L143:O143"/>
    <mergeCell ref="L144:O144"/>
    <mergeCell ref="H143:K143"/>
    <mergeCell ref="H146:K146"/>
    <mergeCell ref="H147:K147"/>
    <mergeCell ref="H144:K144"/>
    <mergeCell ref="I122:O122"/>
    <mergeCell ref="E119:H119"/>
    <mergeCell ref="E120:H120"/>
    <mergeCell ref="E121:H121"/>
    <mergeCell ref="E122:H122"/>
    <mergeCell ref="I109:O109"/>
    <mergeCell ref="J114:O114"/>
    <mergeCell ref="J115:O115"/>
    <mergeCell ref="J116:O116"/>
    <mergeCell ref="J117:O117"/>
    <mergeCell ref="E113:H113"/>
    <mergeCell ref="E114:H114"/>
    <mergeCell ref="E115:H115"/>
    <mergeCell ref="E116:H116"/>
    <mergeCell ref="E117:H117"/>
    <mergeCell ref="I119:O119"/>
    <mergeCell ref="I120:O120"/>
    <mergeCell ref="I121:O121"/>
    <mergeCell ref="G110:H110"/>
    <mergeCell ref="D98:D99"/>
    <mergeCell ref="I97:O97"/>
    <mergeCell ref="D108:D109"/>
    <mergeCell ref="E108:F109"/>
    <mergeCell ref="G108:H108"/>
    <mergeCell ref="I108:O108"/>
    <mergeCell ref="G109:H109"/>
    <mergeCell ref="D110:D111"/>
    <mergeCell ref="E110:F111"/>
    <mergeCell ref="I110:O110"/>
    <mergeCell ref="I111:O111"/>
    <mergeCell ref="G111:H111"/>
    <mergeCell ref="E100:F101"/>
    <mergeCell ref="G98:H98"/>
    <mergeCell ref="G99:H99"/>
    <mergeCell ref="E98:F99"/>
    <mergeCell ref="I98:O98"/>
    <mergeCell ref="I99:O99"/>
    <mergeCell ref="G100:H100"/>
    <mergeCell ref="G101:H101"/>
    <mergeCell ref="G102:H102"/>
    <mergeCell ref="G103:H103"/>
    <mergeCell ref="D100:D101"/>
    <mergeCell ref="D102:D103"/>
    <mergeCell ref="I100:O100"/>
    <mergeCell ref="I101:O101"/>
    <mergeCell ref="I102:O102"/>
    <mergeCell ref="I103:O103"/>
    <mergeCell ref="J113:O113"/>
    <mergeCell ref="E102:F103"/>
    <mergeCell ref="E107:F107"/>
    <mergeCell ref="G107:H107"/>
    <mergeCell ref="I107:O107"/>
    <mergeCell ref="I95:O95"/>
    <mergeCell ref="I96:O96"/>
    <mergeCell ref="G73:H73"/>
    <mergeCell ref="D53:E54"/>
    <mergeCell ref="F53:O53"/>
    <mergeCell ref="M55:O55"/>
    <mergeCell ref="D89:D90"/>
    <mergeCell ref="E89:F90"/>
    <mergeCell ref="G89:H89"/>
    <mergeCell ref="I89:O89"/>
    <mergeCell ref="G90:H90"/>
    <mergeCell ref="I90:O90"/>
    <mergeCell ref="D92:D93"/>
    <mergeCell ref="E92:F93"/>
    <mergeCell ref="G92:H92"/>
    <mergeCell ref="I92:O92"/>
    <mergeCell ref="G93:H93"/>
    <mergeCell ref="I93:O93"/>
    <mergeCell ref="G86:H86"/>
    <mergeCell ref="G87:H87"/>
    <mergeCell ref="I87:O87"/>
    <mergeCell ref="D80:F80"/>
    <mergeCell ref="E96:F97"/>
    <mergeCell ref="I94:O94"/>
    <mergeCell ref="D63:F63"/>
    <mergeCell ref="E66:F67"/>
    <mergeCell ref="I74:O74"/>
    <mergeCell ref="E79:F79"/>
    <mergeCell ref="E48:G48"/>
    <mergeCell ref="E62:F62"/>
    <mergeCell ref="G66:H66"/>
    <mergeCell ref="D59:E59"/>
    <mergeCell ref="M56:O56"/>
    <mergeCell ref="D56:E56"/>
    <mergeCell ref="I66:O66"/>
    <mergeCell ref="I67:O67"/>
    <mergeCell ref="I68:O68"/>
    <mergeCell ref="I54:J54"/>
    <mergeCell ref="I72:O72"/>
    <mergeCell ref="I73:O73"/>
    <mergeCell ref="G62:H62"/>
    <mergeCell ref="I62:O62"/>
    <mergeCell ref="I79:O79"/>
  </mergeCells>
  <conditionalFormatting sqref="K139:O139">
    <cfRule type="expression" dxfId="192" priority="53">
      <formula>OR(#REF!=1,#REF!="Gasal")</formula>
    </cfRule>
  </conditionalFormatting>
  <conditionalFormatting sqref="E152:F152 E151:N151">
    <cfRule type="expression" dxfId="191" priority="48">
      <formula>$E$42=""</formula>
    </cfRule>
  </conditionalFormatting>
  <conditionalFormatting sqref="H151:J151 L151:L152 O151 F151">
    <cfRule type="expression" dxfId="190" priority="47">
      <formula>$E$96=""</formula>
    </cfRule>
  </conditionalFormatting>
  <conditionalFormatting sqref="K39:M39 C38:C39 J38:J39 P38:P39">
    <cfRule type="expression" dxfId="189" priority="24">
      <formula>$D$2=0</formula>
    </cfRule>
  </conditionalFormatting>
  <conditionalFormatting sqref="D55:O59">
    <cfRule type="expression" dxfId="188" priority="22">
      <formula>$D55=""</formula>
    </cfRule>
    <cfRule type="expression" dxfId="187" priority="23">
      <formula>AND($D55&lt;&gt;0,$D56="")</formula>
    </cfRule>
  </conditionalFormatting>
  <conditionalFormatting sqref="I41 N41">
    <cfRule type="expression" dxfId="186" priority="16">
      <formula>$D$2=0</formula>
    </cfRule>
  </conditionalFormatting>
  <conditionalFormatting sqref="D107:G107 I107">
    <cfRule type="expression" dxfId="185" priority="3">
      <formula>$D$2=0</formula>
    </cfRule>
  </conditionalFormatting>
  <dataValidations count="1">
    <dataValidation allowBlank="1" showInputMessage="1" showErrorMessage="1" prompt="jika mengikuti halaman otomatis, maka cells ini dikosongkan" sqref="Q2"/>
  </dataValidations>
  <pageMargins left="0.56999999999999995" right="0.47" top="0.47" bottom="0.45" header="0.3" footer="0.3"/>
  <pageSetup paperSize="9" orientation="portrait" horizontalDpi="4294967292" verticalDpi="0" r:id="rId1"/>
  <rowBreaks count="3" manualBreakCount="3">
    <brk id="37" max="16383" man="1"/>
    <brk id="78" max="16383" man="1"/>
    <brk id="106"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61441" r:id="rId4" name="Spinner 1">
              <controlPr defaultSize="0" autoPict="0">
                <anchor moveWithCells="1" sizeWithCells="1">
                  <from>
                    <xdr:col>3</xdr:col>
                    <xdr:colOff>0</xdr:colOff>
                    <xdr:row>1</xdr:row>
                    <xdr:rowOff>19050</xdr:rowOff>
                  </from>
                  <to>
                    <xdr:col>3</xdr:col>
                    <xdr:colOff>200025</xdr:colOff>
                    <xdr:row>2</xdr:row>
                    <xdr:rowOff>142875</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C00000"/>
  </sheetPr>
  <dimension ref="A1:Y105"/>
  <sheetViews>
    <sheetView showGridLines="0" showRowColHeaders="0" topLeftCell="A4" workbookViewId="0">
      <selection activeCell="P22" sqref="P22"/>
    </sheetView>
  </sheetViews>
  <sheetFormatPr defaultColWidth="0" defaultRowHeight="0" customHeight="1" zeroHeight="1"/>
  <cols>
    <col min="1" max="1" width="3.5703125" style="447" customWidth="1"/>
    <col min="2" max="2" width="1.7109375" style="447" customWidth="1"/>
    <col min="3" max="3" width="3.28515625" style="447" customWidth="1"/>
    <col min="4" max="4" width="13.7109375" style="447" customWidth="1"/>
    <col min="5" max="5" width="9.5703125" style="447" customWidth="1"/>
    <col min="6" max="6" width="2.85546875" style="447" customWidth="1"/>
    <col min="7" max="7" width="13.7109375" style="447" customWidth="1"/>
    <col min="8" max="8" width="13.42578125" style="450" customWidth="1"/>
    <col min="9" max="9" width="6" style="450" customWidth="1"/>
    <col min="10" max="10" width="19.7109375" style="450" customWidth="1"/>
    <col min="11" max="11" width="0.5703125" style="450" customWidth="1"/>
    <col min="12" max="12" width="6" style="447" customWidth="1"/>
    <col min="13" max="13" width="8.85546875" style="447" customWidth="1"/>
    <col min="14" max="14" width="13.7109375" style="450" customWidth="1"/>
    <col min="15" max="15" width="25.7109375" style="450" customWidth="1"/>
    <col min="16" max="16" width="25.7109375" style="447" customWidth="1"/>
    <col min="17" max="17" width="0.42578125" style="447" customWidth="1"/>
    <col min="18" max="18" width="4.7109375" style="447" customWidth="1"/>
    <col min="19" max="19" width="18.5703125" style="447" customWidth="1"/>
    <col min="20" max="20" width="18.7109375" style="447" customWidth="1"/>
    <col min="21" max="21" width="39.7109375" style="447" customWidth="1"/>
    <col min="22" max="22" width="9.140625" style="447" customWidth="1"/>
    <col min="23" max="16384" width="9.140625" style="447" hidden="1"/>
  </cols>
  <sheetData>
    <row r="1" spans="1:22" ht="28.5" customHeight="1">
      <c r="A1" s="446"/>
      <c r="B1" s="761" t="s">
        <v>175</v>
      </c>
      <c r="C1" s="509"/>
      <c r="D1" s="509"/>
      <c r="E1" s="509"/>
      <c r="F1" s="509"/>
      <c r="G1" s="509"/>
      <c r="H1" s="762"/>
      <c r="I1" s="509"/>
      <c r="J1" s="509"/>
      <c r="K1" s="446"/>
      <c r="L1" s="763">
        <v>25</v>
      </c>
      <c r="M1" s="764" t="s">
        <v>545</v>
      </c>
      <c r="N1" s="509"/>
      <c r="O1" s="509"/>
      <c r="P1" s="509"/>
      <c r="Q1" s="446"/>
      <c r="R1" s="446"/>
      <c r="S1" s="446"/>
      <c r="T1" s="446"/>
      <c r="U1" s="446"/>
      <c r="V1" s="446"/>
    </row>
    <row r="2" spans="1:22" ht="26.25" customHeight="1">
      <c r="A2" s="446"/>
      <c r="C2" s="448"/>
      <c r="D2" s="448"/>
      <c r="E2" s="448"/>
      <c r="F2" s="448"/>
      <c r="G2" s="448"/>
      <c r="H2" s="449"/>
      <c r="I2" s="449"/>
      <c r="J2" s="449"/>
      <c r="L2" s="2180" t="s">
        <v>377</v>
      </c>
      <c r="M2" s="2180"/>
      <c r="N2" s="2180"/>
      <c r="O2" s="2180"/>
      <c r="P2" s="2180"/>
      <c r="R2" s="2192" t="s">
        <v>378</v>
      </c>
      <c r="S2" s="2192"/>
      <c r="T2" s="2192"/>
      <c r="U2" s="2192"/>
      <c r="V2" s="446"/>
    </row>
    <row r="3" spans="1:22" ht="20.25" customHeight="1">
      <c r="A3" s="446"/>
      <c r="C3" s="2225"/>
      <c r="D3" s="2225"/>
      <c r="E3" s="2225"/>
      <c r="F3" s="2225"/>
      <c r="G3" s="2225"/>
      <c r="H3" s="449"/>
      <c r="I3" s="449"/>
      <c r="J3" s="449"/>
      <c r="L3" s="2218" t="s">
        <v>374</v>
      </c>
      <c r="M3" s="2218"/>
      <c r="N3" s="2218"/>
      <c r="O3" s="2218"/>
      <c r="P3" s="2218"/>
      <c r="V3" s="446"/>
    </row>
    <row r="4" spans="1:22" ht="24" customHeight="1">
      <c r="A4" s="446"/>
      <c r="C4" s="448"/>
      <c r="D4" s="448"/>
      <c r="E4" s="448"/>
      <c r="F4" s="448"/>
      <c r="G4" s="448"/>
      <c r="H4" s="449"/>
      <c r="I4" s="449"/>
      <c r="J4" s="449"/>
      <c r="V4" s="446"/>
    </row>
    <row r="5" spans="1:22" ht="18" customHeight="1">
      <c r="A5" s="446"/>
      <c r="C5" s="2213" t="s">
        <v>316</v>
      </c>
      <c r="D5" s="2213"/>
      <c r="E5" s="2213"/>
      <c r="F5" s="2213"/>
      <c r="G5" s="2213"/>
      <c r="H5" s="2213"/>
      <c r="I5" s="2213"/>
      <c r="J5" s="2213"/>
      <c r="K5" s="451"/>
      <c r="L5" s="2215" t="s">
        <v>363</v>
      </c>
      <c r="M5" s="2216"/>
      <c r="N5" s="2216"/>
      <c r="O5" s="2216"/>
      <c r="P5" s="2217"/>
      <c r="R5" s="447" t="s">
        <v>370</v>
      </c>
      <c r="T5" s="447" t="s">
        <v>383</v>
      </c>
      <c r="V5" s="446"/>
    </row>
    <row r="6" spans="1:22" ht="18" customHeight="1">
      <c r="A6" s="446"/>
      <c r="C6" s="2213"/>
      <c r="D6" s="2213"/>
      <c r="E6" s="2213"/>
      <c r="F6" s="2213"/>
      <c r="G6" s="2213"/>
      <c r="H6" s="2213"/>
      <c r="I6" s="2213"/>
      <c r="J6" s="2213"/>
      <c r="K6" s="451"/>
      <c r="L6" s="2219" t="s">
        <v>91</v>
      </c>
      <c r="M6" s="2220"/>
      <c r="N6" s="2214" t="s">
        <v>367</v>
      </c>
      <c r="O6" s="2214" t="s">
        <v>368</v>
      </c>
      <c r="P6" s="2214" t="s">
        <v>369</v>
      </c>
      <c r="R6" s="447" t="s">
        <v>22</v>
      </c>
      <c r="T6" s="447" t="s">
        <v>383</v>
      </c>
      <c r="V6" s="446"/>
    </row>
    <row r="7" spans="1:22" ht="18" customHeight="1">
      <c r="A7" s="446"/>
      <c r="C7" s="2213" t="s">
        <v>409</v>
      </c>
      <c r="D7" s="2213"/>
      <c r="E7" s="2213"/>
      <c r="F7" s="2213"/>
      <c r="G7" s="2213"/>
      <c r="H7" s="2213"/>
      <c r="I7" s="2213"/>
      <c r="J7" s="2213"/>
      <c r="K7" s="451"/>
      <c r="L7" s="2221"/>
      <c r="M7" s="2222"/>
      <c r="N7" s="2214"/>
      <c r="O7" s="2214"/>
      <c r="P7" s="2214"/>
      <c r="R7" s="447" t="s">
        <v>310</v>
      </c>
      <c r="T7" s="447" t="s">
        <v>383</v>
      </c>
      <c r="V7" s="446"/>
    </row>
    <row r="8" spans="1:22" ht="18" customHeight="1">
      <c r="A8" s="446"/>
      <c r="C8" s="2213"/>
      <c r="D8" s="2213"/>
      <c r="E8" s="2213"/>
      <c r="F8" s="2213"/>
      <c r="G8" s="2213"/>
      <c r="H8" s="2213"/>
      <c r="I8" s="2213"/>
      <c r="J8" s="2213"/>
      <c r="K8" s="451"/>
      <c r="L8" s="2221"/>
      <c r="M8" s="2222"/>
      <c r="N8" s="2214"/>
      <c r="O8" s="2214"/>
      <c r="P8" s="2214"/>
      <c r="R8" s="450"/>
      <c r="V8" s="446"/>
    </row>
    <row r="9" spans="1:22" ht="18" customHeight="1">
      <c r="A9" s="446"/>
      <c r="C9" s="2213" t="s">
        <v>410</v>
      </c>
      <c r="D9" s="2213"/>
      <c r="E9" s="2213"/>
      <c r="F9" s="2213"/>
      <c r="G9" s="2213"/>
      <c r="H9" s="2213"/>
      <c r="I9" s="2213"/>
      <c r="J9" s="2213"/>
      <c r="K9" s="451"/>
      <c r="L9" s="2223"/>
      <c r="M9" s="2224"/>
      <c r="N9" s="2214"/>
      <c r="O9" s="2214"/>
      <c r="P9" s="2214"/>
      <c r="R9" s="2193" t="s">
        <v>323</v>
      </c>
      <c r="S9" s="2193" t="s">
        <v>379</v>
      </c>
      <c r="T9" s="2193"/>
      <c r="U9" s="2193" t="s">
        <v>17</v>
      </c>
      <c r="V9" s="446"/>
    </row>
    <row r="10" spans="1:22" ht="19.350000000000001" customHeight="1">
      <c r="A10" s="446"/>
      <c r="C10" s="2213"/>
      <c r="D10" s="2213"/>
      <c r="E10" s="2213"/>
      <c r="F10" s="2213"/>
      <c r="G10" s="2213"/>
      <c r="H10" s="2213"/>
      <c r="I10" s="2213"/>
      <c r="J10" s="2213"/>
      <c r="K10" s="451"/>
      <c r="L10" s="2211"/>
      <c r="M10" s="2212"/>
      <c r="N10" s="452"/>
      <c r="O10" s="452"/>
      <c r="P10" s="452" t="s">
        <v>364</v>
      </c>
      <c r="R10" s="2193"/>
      <c r="S10" s="2193"/>
      <c r="T10" s="2193"/>
      <c r="U10" s="2193"/>
      <c r="V10" s="446"/>
    </row>
    <row r="11" spans="1:22" ht="19.350000000000001" customHeight="1">
      <c r="A11" s="446"/>
      <c r="C11" s="453"/>
      <c r="D11" s="453"/>
      <c r="E11" s="453"/>
      <c r="F11" s="448"/>
      <c r="G11" s="448"/>
      <c r="H11" s="449"/>
      <c r="I11" s="449"/>
      <c r="J11" s="449"/>
      <c r="L11" s="2207"/>
      <c r="M11" s="2208"/>
      <c r="N11" s="454"/>
      <c r="O11" s="454"/>
      <c r="P11" s="454" t="s">
        <v>165</v>
      </c>
      <c r="R11" s="455">
        <v>1</v>
      </c>
      <c r="S11" s="2194" t="s">
        <v>380</v>
      </c>
      <c r="T11" s="2194"/>
      <c r="U11" s="456"/>
      <c r="V11" s="446"/>
    </row>
    <row r="12" spans="1:22" ht="19.350000000000001" customHeight="1">
      <c r="A12" s="446"/>
      <c r="C12" s="453"/>
      <c r="D12" s="453"/>
      <c r="E12" s="453"/>
      <c r="F12" s="448"/>
      <c r="G12" s="448"/>
      <c r="H12" s="449"/>
      <c r="I12" s="449"/>
      <c r="J12" s="449"/>
      <c r="L12" s="2207"/>
      <c r="M12" s="2208"/>
      <c r="N12" s="454"/>
      <c r="O12" s="454"/>
      <c r="P12" s="457"/>
      <c r="R12" s="458"/>
      <c r="S12" s="2184"/>
      <c r="T12" s="2184"/>
      <c r="U12" s="459"/>
      <c r="V12" s="446"/>
    </row>
    <row r="13" spans="1:22" ht="19.350000000000001" customHeight="1">
      <c r="A13" s="446"/>
      <c r="C13" s="453"/>
      <c r="D13" s="453"/>
      <c r="E13" s="453"/>
      <c r="F13" s="448"/>
      <c r="G13" s="448"/>
      <c r="H13" s="449"/>
      <c r="I13" s="449"/>
      <c r="J13" s="449"/>
      <c r="L13" s="2207"/>
      <c r="M13" s="2208"/>
      <c r="N13" s="454"/>
      <c r="O13" s="454"/>
      <c r="P13" s="457"/>
      <c r="R13" s="458"/>
      <c r="S13" s="2184"/>
      <c r="T13" s="2184"/>
      <c r="U13" s="459"/>
      <c r="V13" s="446"/>
    </row>
    <row r="14" spans="1:22" ht="19.350000000000001" customHeight="1">
      <c r="A14" s="446"/>
      <c r="C14" s="453"/>
      <c r="D14" s="453"/>
      <c r="E14" s="453"/>
      <c r="F14" s="448"/>
      <c r="G14" s="448"/>
      <c r="H14" s="449"/>
      <c r="I14" s="449"/>
      <c r="J14" s="449"/>
      <c r="L14" s="2207"/>
      <c r="M14" s="2208"/>
      <c r="N14" s="454"/>
      <c r="O14" s="454"/>
      <c r="P14" s="454" t="s">
        <v>365</v>
      </c>
      <c r="R14" s="458"/>
      <c r="S14" s="2184"/>
      <c r="T14" s="2184"/>
      <c r="U14" s="459"/>
      <c r="V14" s="446"/>
    </row>
    <row r="15" spans="1:22" ht="19.350000000000001" customHeight="1">
      <c r="A15" s="446"/>
      <c r="C15" s="453"/>
      <c r="D15" s="453"/>
      <c r="E15" s="453"/>
      <c r="F15" s="448"/>
      <c r="G15" s="448"/>
      <c r="H15" s="449"/>
      <c r="I15" s="449"/>
      <c r="J15" s="449"/>
      <c r="L15" s="2207"/>
      <c r="M15" s="2208"/>
      <c r="N15" s="454"/>
      <c r="O15" s="454"/>
      <c r="P15" s="454" t="s">
        <v>83</v>
      </c>
      <c r="R15" s="458"/>
      <c r="S15" s="2184"/>
      <c r="T15" s="2184"/>
      <c r="U15" s="459"/>
      <c r="V15" s="446"/>
    </row>
    <row r="16" spans="1:22" ht="19.350000000000001" customHeight="1">
      <c r="A16" s="446"/>
      <c r="C16" s="460"/>
      <c r="D16" s="460"/>
      <c r="E16" s="460"/>
      <c r="F16" s="448"/>
      <c r="G16" s="448"/>
      <c r="H16" s="449"/>
      <c r="I16" s="449"/>
      <c r="J16" s="449"/>
      <c r="L16" s="2207"/>
      <c r="M16" s="2208"/>
      <c r="N16" s="454"/>
      <c r="O16" s="454"/>
      <c r="P16" s="461" t="s">
        <v>366</v>
      </c>
      <c r="R16" s="458"/>
      <c r="S16" s="2184"/>
      <c r="T16" s="2184"/>
      <c r="U16" s="459"/>
      <c r="V16" s="446"/>
    </row>
    <row r="17" spans="1:22" ht="19.350000000000001" customHeight="1">
      <c r="A17" s="446"/>
      <c r="C17" s="460"/>
      <c r="D17" s="460"/>
      <c r="E17" s="460"/>
      <c r="F17" s="448"/>
      <c r="G17" s="448"/>
      <c r="H17" s="449"/>
      <c r="I17" s="449"/>
      <c r="J17" s="449"/>
      <c r="L17" s="2207"/>
      <c r="M17" s="2208"/>
      <c r="N17" s="454"/>
      <c r="O17" s="454"/>
      <c r="P17" s="457"/>
      <c r="R17" s="458"/>
      <c r="S17" s="2184"/>
      <c r="T17" s="2184"/>
      <c r="U17" s="459"/>
      <c r="V17" s="446"/>
    </row>
    <row r="18" spans="1:22" ht="19.350000000000001" customHeight="1">
      <c r="A18" s="446"/>
      <c r="C18" s="448"/>
      <c r="D18" s="448"/>
      <c r="E18" s="448"/>
      <c r="F18" s="448"/>
      <c r="G18" s="448"/>
      <c r="H18" s="449"/>
      <c r="I18" s="449"/>
      <c r="J18" s="449"/>
      <c r="L18" s="2207"/>
      <c r="M18" s="2208"/>
      <c r="N18" s="454"/>
      <c r="O18" s="454"/>
      <c r="P18" s="457"/>
      <c r="R18" s="458"/>
      <c r="S18" s="2184"/>
      <c r="T18" s="2184"/>
      <c r="U18" s="459"/>
      <c r="V18" s="446"/>
    </row>
    <row r="19" spans="1:22" ht="19.350000000000001" customHeight="1">
      <c r="A19" s="446"/>
      <c r="C19" s="448"/>
      <c r="D19" s="448"/>
      <c r="E19" s="448"/>
      <c r="F19" s="448"/>
      <c r="G19" s="448"/>
      <c r="H19" s="449"/>
      <c r="I19" s="449"/>
      <c r="J19" s="449"/>
      <c r="L19" s="2209"/>
      <c r="M19" s="2210"/>
      <c r="N19" s="462"/>
      <c r="O19" s="462"/>
      <c r="P19" s="462" t="s">
        <v>365</v>
      </c>
      <c r="R19" s="463"/>
      <c r="S19" s="2185"/>
      <c r="T19" s="2185"/>
      <c r="U19" s="464"/>
      <c r="V19" s="446"/>
    </row>
    <row r="20" spans="1:22" ht="19.350000000000001" customHeight="1">
      <c r="A20" s="446"/>
      <c r="C20" s="448"/>
      <c r="D20" s="448"/>
      <c r="E20" s="448"/>
      <c r="F20" s="448"/>
      <c r="G20" s="448"/>
      <c r="H20" s="449"/>
      <c r="I20" s="449"/>
      <c r="J20" s="449"/>
      <c r="L20" s="2211"/>
      <c r="M20" s="2212"/>
      <c r="N20" s="452"/>
      <c r="O20" s="452"/>
      <c r="P20" s="452" t="s">
        <v>364</v>
      </c>
      <c r="R20" s="458">
        <v>2</v>
      </c>
      <c r="S20" s="2184" t="s">
        <v>381</v>
      </c>
      <c r="T20" s="2184"/>
      <c r="U20" s="459"/>
      <c r="V20" s="446"/>
    </row>
    <row r="21" spans="1:22" ht="19.350000000000001" customHeight="1">
      <c r="A21" s="446"/>
      <c r="K21" s="465"/>
      <c r="L21" s="2207"/>
      <c r="M21" s="2208"/>
      <c r="N21" s="454"/>
      <c r="O21" s="454"/>
      <c r="P21" s="454" t="s">
        <v>165</v>
      </c>
      <c r="R21" s="458"/>
      <c r="S21" s="2184"/>
      <c r="T21" s="2184"/>
      <c r="U21" s="459"/>
      <c r="V21" s="446"/>
    </row>
    <row r="22" spans="1:22" ht="19.350000000000001" customHeight="1">
      <c r="A22" s="446"/>
      <c r="K22" s="438"/>
      <c r="L22" s="2207"/>
      <c r="M22" s="2208"/>
      <c r="N22" s="454"/>
      <c r="O22" s="454"/>
      <c r="P22" s="457"/>
      <c r="R22" s="458"/>
      <c r="S22" s="2184"/>
      <c r="T22" s="2184"/>
      <c r="U22" s="459"/>
      <c r="V22" s="446"/>
    </row>
    <row r="23" spans="1:22" ht="19.350000000000001" customHeight="1">
      <c r="A23" s="446"/>
      <c r="C23" s="2227" t="s">
        <v>22</v>
      </c>
      <c r="D23" s="2227"/>
      <c r="E23" s="2227"/>
      <c r="F23" s="466" t="s">
        <v>122</v>
      </c>
      <c r="G23" s="2229" t="str">
        <f>Data!C4</f>
        <v>SMA Negeri 1 Amabi Efeto</v>
      </c>
      <c r="H23" s="2229"/>
      <c r="I23" s="2229"/>
      <c r="J23" s="2229"/>
      <c r="K23" s="438"/>
      <c r="L23" s="2207"/>
      <c r="M23" s="2208"/>
      <c r="N23" s="454"/>
      <c r="O23" s="454"/>
      <c r="P23" s="457"/>
      <c r="R23" s="458"/>
      <c r="S23" s="2184"/>
      <c r="T23" s="2184"/>
      <c r="U23" s="459"/>
      <c r="V23" s="446"/>
    </row>
    <row r="24" spans="1:22" ht="19.350000000000001" customHeight="1">
      <c r="A24" s="446"/>
      <c r="C24" s="2227" t="s">
        <v>318</v>
      </c>
      <c r="D24" s="2227"/>
      <c r="E24" s="2227"/>
      <c r="F24" s="466" t="s">
        <v>122</v>
      </c>
      <c r="G24" s="2228">
        <v>123456789</v>
      </c>
      <c r="H24" s="2228"/>
      <c r="I24" s="2228"/>
      <c r="J24" s="2228"/>
      <c r="L24" s="2207"/>
      <c r="M24" s="2208"/>
      <c r="N24" s="454"/>
      <c r="O24" s="454"/>
      <c r="P24" s="454" t="s">
        <v>365</v>
      </c>
      <c r="R24" s="458"/>
      <c r="S24" s="2184"/>
      <c r="T24" s="2184"/>
      <c r="U24" s="459"/>
      <c r="V24" s="446"/>
    </row>
    <row r="25" spans="1:22" ht="19.350000000000001" customHeight="1">
      <c r="A25" s="446"/>
      <c r="C25" s="2227" t="s">
        <v>166</v>
      </c>
      <c r="D25" s="2227"/>
      <c r="E25" s="2227"/>
      <c r="F25" s="466" t="s">
        <v>122</v>
      </c>
      <c r="G25" s="2228">
        <v>23454</v>
      </c>
      <c r="H25" s="2228"/>
      <c r="I25" s="2228"/>
      <c r="J25" s="2228"/>
      <c r="K25" s="467"/>
      <c r="L25" s="2207"/>
      <c r="M25" s="2208"/>
      <c r="N25" s="454"/>
      <c r="O25" s="454"/>
      <c r="P25" s="454" t="s">
        <v>83</v>
      </c>
      <c r="R25" s="458"/>
      <c r="S25" s="2184"/>
      <c r="T25" s="2184"/>
      <c r="U25" s="459"/>
      <c r="V25" s="446"/>
    </row>
    <row r="26" spans="1:22" ht="19.350000000000001" customHeight="1">
      <c r="A26" s="446"/>
      <c r="C26" s="503" t="s">
        <v>9</v>
      </c>
      <c r="D26" s="504"/>
      <c r="E26" s="504"/>
      <c r="K26" s="436"/>
      <c r="L26" s="2207"/>
      <c r="M26" s="2208"/>
      <c r="N26" s="454"/>
      <c r="O26" s="454"/>
      <c r="P26" s="461" t="s">
        <v>366</v>
      </c>
      <c r="R26" s="458"/>
      <c r="S26" s="2184"/>
      <c r="T26" s="2184"/>
      <c r="U26" s="459"/>
      <c r="V26" s="446"/>
    </row>
    <row r="27" spans="1:22" ht="19.350000000000001" customHeight="1">
      <c r="A27" s="446"/>
      <c r="C27" s="503" t="s">
        <v>193</v>
      </c>
      <c r="D27" s="505"/>
      <c r="E27" s="505"/>
      <c r="F27" s="466" t="s">
        <v>122</v>
      </c>
      <c r="G27" s="2230" t="str">
        <f>Data!C5</f>
        <v>Jl. Dusun V Hunaek Desa Fatukanutu</v>
      </c>
      <c r="H27" s="2230"/>
      <c r="I27" s="2230"/>
      <c r="J27" s="2230"/>
      <c r="K27" s="439"/>
      <c r="L27" s="2207"/>
      <c r="M27" s="2208"/>
      <c r="N27" s="454"/>
      <c r="O27" s="454"/>
      <c r="P27" s="457"/>
      <c r="R27" s="458"/>
      <c r="S27" s="2184"/>
      <c r="T27" s="2184"/>
      <c r="U27" s="459"/>
      <c r="V27" s="446"/>
    </row>
    <row r="28" spans="1:22" ht="19.350000000000001" customHeight="1">
      <c r="A28" s="446"/>
      <c r="C28" s="505"/>
      <c r="D28" s="505"/>
      <c r="E28" s="505"/>
      <c r="F28" s="466" t="s">
        <v>122</v>
      </c>
      <c r="G28" s="448" t="s">
        <v>171</v>
      </c>
      <c r="H28" s="440">
        <v>123456</v>
      </c>
      <c r="I28" s="449" t="s">
        <v>319</v>
      </c>
      <c r="J28" s="440" t="s">
        <v>173</v>
      </c>
      <c r="K28" s="439"/>
      <c r="L28" s="2207"/>
      <c r="M28" s="2208"/>
      <c r="N28" s="454"/>
      <c r="O28" s="454"/>
      <c r="P28" s="457"/>
      <c r="R28" s="458"/>
      <c r="S28" s="2184"/>
      <c r="T28" s="2184"/>
      <c r="U28" s="459"/>
      <c r="V28" s="446"/>
    </row>
    <row r="29" spans="1:22" ht="19.350000000000001" customHeight="1">
      <c r="A29" s="446"/>
      <c r="C29" s="2227" t="s">
        <v>320</v>
      </c>
      <c r="D29" s="2227"/>
      <c r="E29" s="2227"/>
      <c r="F29" s="466" t="s">
        <v>122</v>
      </c>
      <c r="G29" s="2228" t="s">
        <v>206</v>
      </c>
      <c r="H29" s="2228"/>
      <c r="I29" s="2228"/>
      <c r="J29" s="2228"/>
      <c r="K29" s="439"/>
      <c r="L29" s="2209"/>
      <c r="M29" s="2210"/>
      <c r="N29" s="462"/>
      <c r="O29" s="462"/>
      <c r="P29" s="462" t="s">
        <v>365</v>
      </c>
      <c r="R29" s="463"/>
      <c r="S29" s="2185"/>
      <c r="T29" s="2185"/>
      <c r="U29" s="464"/>
      <c r="V29" s="446"/>
    </row>
    <row r="30" spans="1:22" ht="19.350000000000001" customHeight="1">
      <c r="A30" s="446"/>
      <c r="C30" s="2227" t="s">
        <v>167</v>
      </c>
      <c r="D30" s="2227"/>
      <c r="E30" s="2227"/>
      <c r="F30" s="466" t="s">
        <v>122</v>
      </c>
      <c r="G30" s="2228" t="s">
        <v>207</v>
      </c>
      <c r="H30" s="2228"/>
      <c r="I30" s="2228"/>
      <c r="J30" s="2228"/>
      <c r="K30" s="439"/>
      <c r="L30" s="2211"/>
      <c r="M30" s="2212"/>
      <c r="N30" s="452"/>
      <c r="O30" s="452"/>
      <c r="P30" s="452" t="s">
        <v>364</v>
      </c>
      <c r="R30" s="458">
        <v>3</v>
      </c>
      <c r="S30" s="2184" t="s">
        <v>382</v>
      </c>
      <c r="T30" s="2184"/>
      <c r="U30" s="459"/>
      <c r="V30" s="446"/>
    </row>
    <row r="31" spans="1:22" ht="19.350000000000001" customHeight="1">
      <c r="A31" s="446"/>
      <c r="C31" s="2227" t="s">
        <v>321</v>
      </c>
      <c r="D31" s="2227"/>
      <c r="E31" s="2227"/>
      <c r="F31" s="466" t="s">
        <v>122</v>
      </c>
      <c r="G31" s="2228" t="s">
        <v>208</v>
      </c>
      <c r="H31" s="2228"/>
      <c r="I31" s="2228"/>
      <c r="J31" s="2228"/>
      <c r="K31" s="437"/>
      <c r="L31" s="2207"/>
      <c r="M31" s="2208"/>
      <c r="N31" s="454"/>
      <c r="O31" s="454"/>
      <c r="P31" s="454" t="s">
        <v>165</v>
      </c>
      <c r="R31" s="458"/>
      <c r="S31" s="2184"/>
      <c r="T31" s="2184"/>
      <c r="U31" s="459"/>
      <c r="V31" s="446"/>
    </row>
    <row r="32" spans="1:22" ht="19.350000000000001" customHeight="1">
      <c r="A32" s="446"/>
      <c r="C32" s="2227" t="s">
        <v>168</v>
      </c>
      <c r="D32" s="2227"/>
      <c r="E32" s="2227"/>
      <c r="F32" s="466" t="s">
        <v>122</v>
      </c>
      <c r="G32" s="2228" t="s">
        <v>209</v>
      </c>
      <c r="H32" s="2228"/>
      <c r="I32" s="2228"/>
      <c r="J32" s="2228"/>
      <c r="K32" s="437"/>
      <c r="L32" s="2207"/>
      <c r="M32" s="2208"/>
      <c r="N32" s="454"/>
      <c r="O32" s="454"/>
      <c r="P32" s="457"/>
      <c r="R32" s="458"/>
      <c r="S32" s="2184"/>
      <c r="T32" s="2184"/>
      <c r="U32" s="459"/>
      <c r="V32" s="446"/>
    </row>
    <row r="33" spans="1:25" ht="19.350000000000001" customHeight="1">
      <c r="A33" s="446"/>
      <c r="C33" s="2227" t="s">
        <v>169</v>
      </c>
      <c r="D33" s="2227"/>
      <c r="E33" s="2227"/>
      <c r="F33" s="466" t="s">
        <v>122</v>
      </c>
      <c r="G33" s="2226" t="s">
        <v>210</v>
      </c>
      <c r="H33" s="2226"/>
      <c r="I33" s="2226"/>
      <c r="J33" s="2226"/>
      <c r="L33" s="2207"/>
      <c r="M33" s="2208"/>
      <c r="N33" s="454"/>
      <c r="O33" s="454"/>
      <c r="P33" s="457"/>
      <c r="R33" s="458"/>
      <c r="S33" s="2184"/>
      <c r="T33" s="2184"/>
      <c r="U33" s="459"/>
      <c r="V33" s="446"/>
    </row>
    <row r="34" spans="1:25" ht="19.350000000000001" customHeight="1">
      <c r="A34" s="446"/>
      <c r="C34" s="2227" t="s">
        <v>170</v>
      </c>
      <c r="D34" s="2227"/>
      <c r="E34" s="2227"/>
      <c r="F34" s="466" t="s">
        <v>122</v>
      </c>
      <c r="G34" s="2226" t="s">
        <v>197</v>
      </c>
      <c r="H34" s="2226"/>
      <c r="I34" s="2226"/>
      <c r="J34" s="2226"/>
      <c r="L34" s="2207"/>
      <c r="M34" s="2208"/>
      <c r="N34" s="454"/>
      <c r="O34" s="454"/>
      <c r="P34" s="454" t="s">
        <v>365</v>
      </c>
      <c r="R34" s="458"/>
      <c r="S34" s="2184"/>
      <c r="T34" s="2184"/>
      <c r="U34" s="459"/>
      <c r="V34" s="446"/>
    </row>
    <row r="35" spans="1:25" ht="19.350000000000001" customHeight="1">
      <c r="A35" s="446"/>
      <c r="L35" s="2207"/>
      <c r="M35" s="2208"/>
      <c r="N35" s="454"/>
      <c r="O35" s="454"/>
      <c r="P35" s="454" t="s">
        <v>83</v>
      </c>
      <c r="R35" s="458"/>
      <c r="S35" s="2184"/>
      <c r="T35" s="2184"/>
      <c r="U35" s="459"/>
      <c r="V35" s="446"/>
    </row>
    <row r="36" spans="1:25" ht="19.350000000000001" customHeight="1">
      <c r="A36" s="446"/>
      <c r="L36" s="2207"/>
      <c r="M36" s="2208"/>
      <c r="N36" s="454"/>
      <c r="O36" s="454"/>
      <c r="P36" s="461" t="s">
        <v>366</v>
      </c>
      <c r="R36" s="458"/>
      <c r="S36" s="2184"/>
      <c r="T36" s="2184"/>
      <c r="U36" s="459"/>
      <c r="V36" s="446"/>
    </row>
    <row r="37" spans="1:25" ht="19.350000000000001" customHeight="1">
      <c r="A37" s="446"/>
      <c r="L37" s="2207"/>
      <c r="M37" s="2208"/>
      <c r="N37" s="454"/>
      <c r="O37" s="454"/>
      <c r="P37" s="457"/>
      <c r="R37" s="458"/>
      <c r="S37" s="2184"/>
      <c r="T37" s="2184"/>
      <c r="U37" s="459"/>
      <c r="V37" s="446"/>
    </row>
    <row r="38" spans="1:25" ht="19.350000000000001" customHeight="1">
      <c r="A38" s="446"/>
      <c r="L38" s="2207"/>
      <c r="M38" s="2208"/>
      <c r="N38" s="454"/>
      <c r="O38" s="454"/>
      <c r="P38" s="457"/>
      <c r="R38" s="458"/>
      <c r="S38" s="2184"/>
      <c r="T38" s="2184"/>
      <c r="U38" s="459"/>
      <c r="V38" s="446"/>
    </row>
    <row r="39" spans="1:25" ht="19.350000000000001" customHeight="1">
      <c r="A39" s="446"/>
      <c r="B39" s="448"/>
      <c r="K39" s="468"/>
      <c r="L39" s="2209"/>
      <c r="M39" s="2210"/>
      <c r="N39" s="462"/>
      <c r="O39" s="462"/>
      <c r="P39" s="462" t="s">
        <v>365</v>
      </c>
      <c r="R39" s="463"/>
      <c r="S39" s="2185"/>
      <c r="T39" s="2185"/>
      <c r="U39" s="464"/>
      <c r="V39" s="446"/>
    </row>
    <row r="40" spans="1:25" ht="23.25" customHeight="1">
      <c r="A40" s="446"/>
      <c r="C40" s="469"/>
      <c r="D40" s="469"/>
      <c r="E40" s="469"/>
      <c r="F40" s="469"/>
      <c r="G40" s="469"/>
      <c r="H40" s="468"/>
      <c r="I40" s="468"/>
      <c r="J40" s="468"/>
      <c r="K40" s="443"/>
      <c r="L40" s="468"/>
      <c r="M40" s="468"/>
      <c r="N40" s="468"/>
      <c r="O40" s="468"/>
      <c r="P40" s="468"/>
      <c r="R40" s="468"/>
      <c r="S40" s="468"/>
      <c r="T40" s="468"/>
      <c r="U40" s="468"/>
      <c r="V40" s="446"/>
    </row>
    <row r="41" spans="1:25" ht="16.5" customHeight="1">
      <c r="A41" s="446"/>
      <c r="B41" s="470"/>
      <c r="C41" s="508" t="str">
        <f>"Raport-"&amp;$G$23</f>
        <v>Raport-SMA Negeri 1 Amabi Efeto</v>
      </c>
      <c r="D41" s="460"/>
      <c r="E41" s="460"/>
      <c r="F41" s="445"/>
      <c r="J41" s="506" t="s">
        <v>384</v>
      </c>
      <c r="L41" s="625" t="str">
        <f>$C$41</f>
        <v>Raport-SMA Negeri 1 Amabi Efeto</v>
      </c>
      <c r="M41" s="471"/>
      <c r="N41" s="460"/>
      <c r="O41" s="460"/>
      <c r="P41" s="511">
        <f>L1</f>
        <v>25</v>
      </c>
      <c r="R41" s="625" t="str">
        <f>$C$41</f>
        <v>Raport-SMA Negeri 1 Amabi Efeto</v>
      </c>
      <c r="S41" s="471"/>
      <c r="T41" s="460"/>
      <c r="U41" s="511">
        <f>P41+2</f>
        <v>27</v>
      </c>
      <c r="V41" s="446"/>
    </row>
    <row r="42" spans="1:25" ht="16.5" customHeight="1">
      <c r="A42" s="446"/>
      <c r="C42" s="2180" t="s">
        <v>322</v>
      </c>
      <c r="D42" s="2180"/>
      <c r="E42" s="2180"/>
      <c r="F42" s="2180"/>
      <c r="G42" s="2180"/>
      <c r="H42" s="2180"/>
      <c r="I42" s="2180"/>
      <c r="J42" s="2180"/>
      <c r="K42" s="472"/>
      <c r="L42" s="2197" t="s">
        <v>377</v>
      </c>
      <c r="M42" s="2197"/>
      <c r="N42" s="2197"/>
      <c r="O42" s="2197"/>
      <c r="P42" s="2197"/>
      <c r="R42" s="2180" t="s">
        <v>322</v>
      </c>
      <c r="S42" s="2180"/>
      <c r="T42" s="2180"/>
      <c r="U42" s="2180"/>
      <c r="V42" s="446"/>
      <c r="W42" s="702"/>
      <c r="X42" s="702"/>
      <c r="Y42" s="702"/>
    </row>
    <row r="43" spans="1:25" ht="16.5" customHeight="1">
      <c r="A43" s="446"/>
      <c r="C43" s="2180"/>
      <c r="D43" s="2180"/>
      <c r="E43" s="2180"/>
      <c r="F43" s="2180"/>
      <c r="G43" s="2180"/>
      <c r="H43" s="2180"/>
      <c r="I43" s="2180"/>
      <c r="J43" s="2180"/>
      <c r="K43" s="473"/>
      <c r="L43" s="2197"/>
      <c r="M43" s="2197"/>
      <c r="N43" s="2197"/>
      <c r="O43" s="2197"/>
      <c r="P43" s="2197"/>
      <c r="R43" s="702"/>
      <c r="S43" s="702"/>
      <c r="T43" s="702"/>
      <c r="U43" s="702"/>
      <c r="V43" s="446"/>
      <c r="W43" s="702"/>
      <c r="X43" s="702"/>
      <c r="Y43" s="702"/>
    </row>
    <row r="44" spans="1:25" ht="16.5" customHeight="1">
      <c r="A44" s="446"/>
      <c r="D44" s="474"/>
      <c r="E44" s="474"/>
      <c r="F44" s="474"/>
      <c r="G44" s="475"/>
      <c r="H44" s="473"/>
      <c r="I44" s="473"/>
      <c r="J44" s="473"/>
      <c r="K44" s="473"/>
      <c r="L44" s="2206" t="s">
        <v>374</v>
      </c>
      <c r="M44" s="2206"/>
      <c r="N44" s="2206"/>
      <c r="O44" s="2206"/>
      <c r="P44" s="2206"/>
      <c r="R44" s="2178" t="s">
        <v>496</v>
      </c>
      <c r="S44" s="2178"/>
      <c r="T44" s="2178"/>
      <c r="U44" s="2178"/>
      <c r="V44" s="446"/>
    </row>
    <row r="45" spans="1:25" ht="17.100000000000001" customHeight="1">
      <c r="A45" s="446"/>
      <c r="D45" s="621"/>
      <c r="E45" s="621"/>
      <c r="F45" s="621"/>
      <c r="G45" s="621"/>
      <c r="H45" s="621"/>
      <c r="I45" s="621"/>
      <c r="J45" s="621"/>
      <c r="K45" s="476"/>
      <c r="R45" s="2178" t="s">
        <v>530</v>
      </c>
      <c r="S45" s="2178"/>
      <c r="T45" s="2178"/>
      <c r="U45" s="2178"/>
      <c r="V45" s="509"/>
    </row>
    <row r="46" spans="1:25" ht="17.100000000000001" customHeight="1">
      <c r="A46" s="446"/>
      <c r="D46" s="620"/>
      <c r="E46" s="620"/>
      <c r="F46" s="620"/>
      <c r="G46" s="620"/>
      <c r="H46" s="620"/>
      <c r="I46" s="620"/>
      <c r="J46" s="620"/>
      <c r="K46" s="447"/>
      <c r="R46" s="2178" t="s">
        <v>531</v>
      </c>
      <c r="S46" s="2178"/>
      <c r="T46" s="2178"/>
      <c r="U46" s="2178"/>
      <c r="V46" s="509"/>
    </row>
    <row r="47" spans="1:25" ht="17.100000000000001" customHeight="1">
      <c r="A47" s="446"/>
      <c r="C47" s="651" t="s">
        <v>448</v>
      </c>
      <c r="D47" s="652"/>
      <c r="E47" s="652"/>
      <c r="F47" s="652"/>
      <c r="G47" s="652"/>
      <c r="H47" s="652"/>
      <c r="I47" s="652"/>
      <c r="J47" s="652"/>
      <c r="K47" s="476"/>
      <c r="L47" s="2198" t="s">
        <v>55</v>
      </c>
      <c r="M47" s="2200" t="s">
        <v>376</v>
      </c>
      <c r="N47" s="2201"/>
      <c r="O47" s="2201"/>
      <c r="P47" s="2202"/>
      <c r="R47" s="2178" t="s">
        <v>532</v>
      </c>
      <c r="S47" s="2178"/>
      <c r="T47" s="2178"/>
      <c r="U47" s="2178"/>
      <c r="V47" s="509"/>
    </row>
    <row r="48" spans="1:25" ht="17.100000000000001" customHeight="1">
      <c r="A48" s="446"/>
      <c r="C48" s="653" t="s">
        <v>449</v>
      </c>
      <c r="D48" s="652"/>
      <c r="E48" s="652"/>
      <c r="F48" s="652"/>
      <c r="G48" s="652"/>
      <c r="H48" s="652"/>
      <c r="I48" s="652"/>
      <c r="J48" s="652"/>
      <c r="K48" s="476"/>
      <c r="L48" s="2199"/>
      <c r="M48" s="2203"/>
      <c r="N48" s="2204"/>
      <c r="O48" s="2204"/>
      <c r="P48" s="2205"/>
      <c r="R48" t="s">
        <v>125</v>
      </c>
      <c r="S48" s="2177" t="s">
        <v>511</v>
      </c>
      <c r="T48" s="2177"/>
      <c r="U48" s="2177"/>
      <c r="V48" s="509"/>
    </row>
    <row r="49" spans="1:22" ht="17.100000000000001" customHeight="1">
      <c r="A49" s="446"/>
      <c r="B49" s="448"/>
      <c r="C49" s="651" t="s">
        <v>450</v>
      </c>
      <c r="D49" s="652"/>
      <c r="E49" s="652"/>
      <c r="F49" s="652"/>
      <c r="G49" s="652"/>
      <c r="H49" s="652"/>
      <c r="I49" s="652"/>
      <c r="J49" s="652"/>
      <c r="K49" s="477"/>
      <c r="L49" s="435"/>
      <c r="M49" s="2190"/>
      <c r="N49" s="2191"/>
      <c r="O49" s="452"/>
      <c r="P49" s="478"/>
      <c r="R49" t="s">
        <v>126</v>
      </c>
      <c r="S49" s="2177" t="s">
        <v>512</v>
      </c>
      <c r="T49" s="2177"/>
      <c r="U49" s="2177"/>
      <c r="V49" s="509"/>
    </row>
    <row r="50" spans="1:22" ht="17.100000000000001" customHeight="1">
      <c r="A50" s="446"/>
      <c r="C50" s="651" t="s">
        <v>451</v>
      </c>
      <c r="D50" s="652"/>
      <c r="E50" s="652"/>
      <c r="F50" s="652"/>
      <c r="G50" s="652"/>
      <c r="H50" s="652"/>
      <c r="I50" s="652"/>
      <c r="J50" s="652"/>
      <c r="K50" s="477"/>
      <c r="L50" s="442">
        <v>1</v>
      </c>
      <c r="M50" s="2186" t="s">
        <v>370</v>
      </c>
      <c r="N50" s="2187"/>
      <c r="O50" s="479" t="s">
        <v>375</v>
      </c>
      <c r="P50" s="459" t="s">
        <v>364</v>
      </c>
      <c r="R50" t="s">
        <v>127</v>
      </c>
      <c r="S50" s="2177" t="s">
        <v>513</v>
      </c>
      <c r="T50" s="2177"/>
      <c r="U50" s="2177"/>
      <c r="V50" s="509"/>
    </row>
    <row r="51" spans="1:22" ht="17.100000000000001" customHeight="1">
      <c r="A51" s="446"/>
      <c r="C51" s="654" t="s">
        <v>125</v>
      </c>
      <c r="D51" s="2183" t="s">
        <v>431</v>
      </c>
      <c r="E51" s="2183"/>
      <c r="F51" s="2183"/>
      <c r="G51" s="2183"/>
      <c r="H51" s="2183"/>
      <c r="I51" s="2183"/>
      <c r="J51" s="2183"/>
      <c r="K51" s="480"/>
      <c r="L51" s="442">
        <v>2</v>
      </c>
      <c r="M51" s="2186" t="s">
        <v>310</v>
      </c>
      <c r="N51" s="2187"/>
      <c r="O51" s="479" t="s">
        <v>375</v>
      </c>
      <c r="P51" s="459" t="s">
        <v>165</v>
      </c>
      <c r="R51" t="s">
        <v>128</v>
      </c>
      <c r="S51" s="2177" t="s">
        <v>514</v>
      </c>
      <c r="T51" s="2177"/>
      <c r="U51" s="2177"/>
      <c r="V51" s="509"/>
    </row>
    <row r="52" spans="1:22" ht="17.100000000000001" customHeight="1">
      <c r="A52" s="446"/>
      <c r="C52" s="654" t="s">
        <v>126</v>
      </c>
      <c r="D52" s="2183" t="s">
        <v>432</v>
      </c>
      <c r="E52" s="2183"/>
      <c r="F52" s="2183"/>
      <c r="G52" s="2183"/>
      <c r="H52" s="2183"/>
      <c r="I52" s="2183"/>
      <c r="J52" s="2183"/>
      <c r="K52" s="480"/>
      <c r="L52" s="442">
        <v>3</v>
      </c>
      <c r="M52" s="2186" t="s">
        <v>22</v>
      </c>
      <c r="N52" s="2187"/>
      <c r="O52" s="479" t="s">
        <v>375</v>
      </c>
      <c r="P52" s="459"/>
      <c r="R52"/>
      <c r="S52" s="2177" t="s">
        <v>497</v>
      </c>
      <c r="T52" s="2177"/>
      <c r="U52" s="2177"/>
      <c r="V52" s="509"/>
    </row>
    <row r="53" spans="1:22" ht="17.100000000000001" customHeight="1">
      <c r="A53" s="446"/>
      <c r="C53" s="654" t="s">
        <v>127</v>
      </c>
      <c r="D53" s="2183" t="s">
        <v>433</v>
      </c>
      <c r="E53" s="2183"/>
      <c r="F53" s="2183"/>
      <c r="G53" s="2183"/>
      <c r="H53" s="2183"/>
      <c r="I53" s="2183"/>
      <c r="J53" s="2183"/>
      <c r="K53" s="480"/>
      <c r="L53" s="442">
        <v>4</v>
      </c>
      <c r="M53" s="2186" t="s">
        <v>371</v>
      </c>
      <c r="N53" s="2187"/>
      <c r="O53" s="479" t="s">
        <v>375</v>
      </c>
      <c r="P53" s="459"/>
      <c r="R53"/>
      <c r="S53" s="2177" t="s">
        <v>504</v>
      </c>
      <c r="T53" s="2177"/>
      <c r="U53" s="2177"/>
      <c r="V53" s="509"/>
    </row>
    <row r="54" spans="1:22" ht="17.100000000000001" customHeight="1">
      <c r="A54" s="446"/>
      <c r="C54" s="654" t="s">
        <v>128</v>
      </c>
      <c r="D54" s="2183" t="s">
        <v>452</v>
      </c>
      <c r="E54" s="2183"/>
      <c r="F54" s="2183"/>
      <c r="G54" s="2183"/>
      <c r="H54" s="2183"/>
      <c r="I54" s="2183"/>
      <c r="J54" s="2183"/>
      <c r="K54" s="477"/>
      <c r="L54" s="442"/>
      <c r="M54" s="2186" t="s">
        <v>372</v>
      </c>
      <c r="N54" s="2187"/>
      <c r="O54" s="479" t="s">
        <v>375</v>
      </c>
      <c r="P54" s="459"/>
      <c r="R54" t="s">
        <v>129</v>
      </c>
      <c r="S54" s="2177" t="s">
        <v>434</v>
      </c>
      <c r="T54" s="2177"/>
      <c r="U54" s="2177"/>
      <c r="V54" s="509"/>
    </row>
    <row r="55" spans="1:22" ht="17.100000000000001" customHeight="1">
      <c r="A55" s="446"/>
      <c r="C55" s="654"/>
      <c r="D55" s="2183" t="s">
        <v>453</v>
      </c>
      <c r="E55" s="2183"/>
      <c r="F55" s="2183"/>
      <c r="G55" s="2183"/>
      <c r="H55" s="2183"/>
      <c r="I55" s="2183"/>
      <c r="J55" s="2183"/>
      <c r="K55" s="480"/>
      <c r="L55" s="442"/>
      <c r="M55" s="2186" t="s">
        <v>373</v>
      </c>
      <c r="N55" s="2187"/>
      <c r="O55" s="479" t="s">
        <v>375</v>
      </c>
      <c r="P55" s="459" t="s">
        <v>365</v>
      </c>
      <c r="R55"/>
      <c r="S55" s="2177" t="s">
        <v>505</v>
      </c>
      <c r="T55" s="2177"/>
      <c r="U55" s="2177"/>
      <c r="V55" s="509"/>
    </row>
    <row r="56" spans="1:22" ht="17.100000000000001" customHeight="1">
      <c r="A56" s="446"/>
      <c r="C56" s="654"/>
      <c r="D56" s="2183" t="s">
        <v>454</v>
      </c>
      <c r="E56" s="2183"/>
      <c r="F56" s="2183"/>
      <c r="G56" s="2183"/>
      <c r="H56" s="2183"/>
      <c r="I56" s="2183"/>
      <c r="J56" s="2183"/>
      <c r="K56" s="477"/>
      <c r="L56" s="442">
        <v>5</v>
      </c>
      <c r="M56" s="2186" t="s">
        <v>25</v>
      </c>
      <c r="N56" s="2187"/>
      <c r="O56" s="479" t="s">
        <v>375</v>
      </c>
      <c r="P56" s="459" t="s">
        <v>83</v>
      </c>
      <c r="R56" t="s">
        <v>130</v>
      </c>
      <c r="S56" s="2177" t="s">
        <v>436</v>
      </c>
      <c r="T56" s="2177"/>
      <c r="U56" s="2177"/>
      <c r="V56" s="509"/>
    </row>
    <row r="57" spans="1:22" ht="17.100000000000001" customHeight="1">
      <c r="A57" s="446"/>
      <c r="C57" s="654" t="s">
        <v>129</v>
      </c>
      <c r="D57" s="2183" t="s">
        <v>434</v>
      </c>
      <c r="E57" s="2183"/>
      <c r="F57" s="2183"/>
      <c r="G57" s="2183"/>
      <c r="H57" s="2183"/>
      <c r="I57" s="2183"/>
      <c r="J57" s="2183"/>
      <c r="K57" s="480"/>
      <c r="L57" s="441"/>
      <c r="M57" s="2188"/>
      <c r="N57" s="2189"/>
      <c r="O57" s="481"/>
      <c r="P57" s="464"/>
      <c r="R57" t="s">
        <v>131</v>
      </c>
      <c r="S57" s="2177" t="s">
        <v>529</v>
      </c>
      <c r="T57" s="2177"/>
      <c r="U57" s="2177"/>
      <c r="V57" s="509"/>
    </row>
    <row r="58" spans="1:22" ht="17.100000000000001" customHeight="1">
      <c r="A58" s="446"/>
      <c r="C58" s="654"/>
      <c r="D58" s="2183" t="s">
        <v>435</v>
      </c>
      <c r="E58" s="2183"/>
      <c r="F58" s="2183"/>
      <c r="G58" s="2183"/>
      <c r="H58" s="2183"/>
      <c r="I58" s="2183"/>
      <c r="J58" s="2183"/>
      <c r="K58" s="480"/>
      <c r="L58" s="435"/>
      <c r="M58" s="2190"/>
      <c r="N58" s="2191"/>
      <c r="O58" s="452"/>
      <c r="P58" s="478"/>
      <c r="R58" t="s">
        <v>132</v>
      </c>
      <c r="S58" s="2177" t="s">
        <v>523</v>
      </c>
      <c r="T58" s="2177"/>
      <c r="U58" s="2177"/>
      <c r="V58" s="509"/>
    </row>
    <row r="59" spans="1:22" ht="17.100000000000001" customHeight="1">
      <c r="A59" s="446"/>
      <c r="C59" s="654" t="s">
        <v>130</v>
      </c>
      <c r="D59" s="2183" t="s">
        <v>436</v>
      </c>
      <c r="E59" s="2183"/>
      <c r="F59" s="2183"/>
      <c r="G59" s="2183"/>
      <c r="H59" s="2183"/>
      <c r="I59" s="2183"/>
      <c r="J59" s="2183"/>
      <c r="K59" s="480"/>
      <c r="L59" s="442">
        <v>1</v>
      </c>
      <c r="M59" s="2186" t="s">
        <v>370</v>
      </c>
      <c r="N59" s="2187"/>
      <c r="O59" s="479" t="s">
        <v>375</v>
      </c>
      <c r="P59" s="459" t="s">
        <v>364</v>
      </c>
      <c r="R59" t="s">
        <v>133</v>
      </c>
      <c r="S59" s="2177" t="s">
        <v>515</v>
      </c>
      <c r="T59" s="2177"/>
      <c r="U59" s="2177"/>
      <c r="V59" s="509"/>
    </row>
    <row r="60" spans="1:22" ht="17.100000000000001" customHeight="1">
      <c r="A60" s="446"/>
      <c r="C60" s="654" t="s">
        <v>131</v>
      </c>
      <c r="D60" s="2183" t="s">
        <v>437</v>
      </c>
      <c r="E60" s="2183"/>
      <c r="F60" s="2183"/>
      <c r="G60" s="2183"/>
      <c r="H60" s="2183"/>
      <c r="I60" s="2183"/>
      <c r="J60" s="2183"/>
      <c r="K60" s="477"/>
      <c r="L60" s="442">
        <v>2</v>
      </c>
      <c r="M60" s="2186" t="s">
        <v>310</v>
      </c>
      <c r="N60" s="2187"/>
      <c r="O60" s="479" t="s">
        <v>375</v>
      </c>
      <c r="P60" s="459" t="s">
        <v>165</v>
      </c>
      <c r="R60"/>
      <c r="S60" s="2177" t="s">
        <v>506</v>
      </c>
      <c r="T60" s="2177"/>
      <c r="U60" s="2177"/>
      <c r="V60" s="509"/>
    </row>
    <row r="61" spans="1:22" ht="17.100000000000001" customHeight="1">
      <c r="A61" s="446"/>
      <c r="B61" s="482"/>
      <c r="C61" s="654"/>
      <c r="D61" s="2183" t="s">
        <v>438</v>
      </c>
      <c r="E61" s="2183"/>
      <c r="F61" s="2183"/>
      <c r="G61" s="2183"/>
      <c r="H61" s="2183"/>
      <c r="I61" s="2183"/>
      <c r="J61" s="2183"/>
      <c r="K61" s="477"/>
      <c r="L61" s="442">
        <v>3</v>
      </c>
      <c r="M61" s="2186" t="s">
        <v>22</v>
      </c>
      <c r="N61" s="2187"/>
      <c r="O61" s="479" t="s">
        <v>375</v>
      </c>
      <c r="P61" s="459"/>
      <c r="R61" t="s">
        <v>134</v>
      </c>
      <c r="S61" s="2177" t="s">
        <v>534</v>
      </c>
      <c r="T61" s="2177"/>
      <c r="U61" s="2177"/>
      <c r="V61" s="509"/>
    </row>
    <row r="62" spans="1:22" ht="17.100000000000001" customHeight="1">
      <c r="A62" s="446"/>
      <c r="B62" s="483"/>
      <c r="C62" s="654" t="s">
        <v>132</v>
      </c>
      <c r="D62" s="2183" t="s">
        <v>439</v>
      </c>
      <c r="E62" s="2183"/>
      <c r="F62" s="2183"/>
      <c r="G62" s="2183"/>
      <c r="H62" s="2183"/>
      <c r="I62" s="2183"/>
      <c r="J62" s="2183"/>
      <c r="K62" s="477"/>
      <c r="L62" s="442">
        <v>4</v>
      </c>
      <c r="M62" s="2186" t="s">
        <v>371</v>
      </c>
      <c r="N62" s="2187"/>
      <c r="O62" s="479" t="s">
        <v>375</v>
      </c>
      <c r="P62" s="459"/>
      <c r="R62"/>
      <c r="S62" s="2177" t="s">
        <v>535</v>
      </c>
      <c r="T62" s="2177"/>
      <c r="U62" s="2177"/>
      <c r="V62" s="509"/>
    </row>
    <row r="63" spans="1:22" ht="17.100000000000001" customHeight="1">
      <c r="A63" s="446"/>
      <c r="B63" s="484"/>
      <c r="C63" s="654"/>
      <c r="D63" s="2183" t="s">
        <v>440</v>
      </c>
      <c r="E63" s="2183"/>
      <c r="F63" s="2183"/>
      <c r="G63" s="2183"/>
      <c r="H63" s="2183"/>
      <c r="I63" s="2183"/>
      <c r="J63" s="2183"/>
      <c r="K63" s="477"/>
      <c r="L63" s="442"/>
      <c r="M63" s="2186" t="s">
        <v>372</v>
      </c>
      <c r="N63" s="2187"/>
      <c r="O63" s="479" t="s">
        <v>375</v>
      </c>
      <c r="P63" s="459"/>
      <c r="R63" t="s">
        <v>135</v>
      </c>
      <c r="S63" s="2177" t="s">
        <v>516</v>
      </c>
      <c r="T63" s="2177"/>
      <c r="U63" s="2177"/>
      <c r="V63" s="509"/>
    </row>
    <row r="64" spans="1:22" ht="17.100000000000001" customHeight="1">
      <c r="A64" s="446"/>
      <c r="B64" s="484"/>
      <c r="C64" s="654" t="s">
        <v>133</v>
      </c>
      <c r="D64" s="2183" t="s">
        <v>456</v>
      </c>
      <c r="E64" s="2183"/>
      <c r="F64" s="2183"/>
      <c r="G64" s="2183"/>
      <c r="H64" s="2183"/>
      <c r="I64" s="2183"/>
      <c r="J64" s="2183"/>
      <c r="K64" s="477"/>
      <c r="L64" s="442"/>
      <c r="M64" s="2186" t="s">
        <v>373</v>
      </c>
      <c r="N64" s="2187"/>
      <c r="O64" s="479" t="s">
        <v>375</v>
      </c>
      <c r="P64" s="459" t="s">
        <v>365</v>
      </c>
      <c r="R64"/>
      <c r="S64" s="2177" t="s">
        <v>498</v>
      </c>
      <c r="T64" s="2177"/>
      <c r="U64" s="2177"/>
      <c r="V64" s="509"/>
    </row>
    <row r="65" spans="1:22" ht="17.100000000000001" customHeight="1">
      <c r="A65" s="446"/>
      <c r="B65" s="484"/>
      <c r="C65" s="654"/>
      <c r="D65" s="2183" t="s">
        <v>455</v>
      </c>
      <c r="E65" s="2183"/>
      <c r="F65" s="2183"/>
      <c r="G65" s="2183"/>
      <c r="H65" s="2183"/>
      <c r="I65" s="2183"/>
      <c r="J65" s="2183"/>
      <c r="K65" s="477"/>
      <c r="L65" s="442">
        <v>5</v>
      </c>
      <c r="M65" s="2186" t="s">
        <v>25</v>
      </c>
      <c r="N65" s="2187"/>
      <c r="O65" s="479" t="s">
        <v>375</v>
      </c>
      <c r="P65" s="459" t="s">
        <v>83</v>
      </c>
      <c r="R65"/>
      <c r="S65" s="2177" t="s">
        <v>499</v>
      </c>
      <c r="T65" s="2177"/>
      <c r="U65" s="2177"/>
      <c r="V65" s="509"/>
    </row>
    <row r="66" spans="1:22" ht="17.100000000000001" customHeight="1">
      <c r="A66" s="446"/>
      <c r="B66" s="485"/>
      <c r="C66" s="654" t="s">
        <v>134</v>
      </c>
      <c r="D66" s="2183" t="s">
        <v>441</v>
      </c>
      <c r="E66" s="2183"/>
      <c r="F66" s="2183"/>
      <c r="G66" s="2183"/>
      <c r="H66" s="2183"/>
      <c r="I66" s="2183"/>
      <c r="J66" s="2183"/>
      <c r="K66" s="477"/>
      <c r="L66" s="441"/>
      <c r="M66" s="2188"/>
      <c r="N66" s="2189"/>
      <c r="O66" s="481"/>
      <c r="P66" s="464"/>
      <c r="R66" t="s">
        <v>136</v>
      </c>
      <c r="S66" s="2177" t="s">
        <v>442</v>
      </c>
      <c r="T66" s="2177"/>
      <c r="U66" s="2177"/>
      <c r="V66" s="509"/>
    </row>
    <row r="67" spans="1:22" ht="17.100000000000001" customHeight="1">
      <c r="A67" s="446"/>
      <c r="B67" s="485"/>
      <c r="C67" s="654"/>
      <c r="D67" s="2183" t="s">
        <v>458</v>
      </c>
      <c r="E67" s="2183"/>
      <c r="F67" s="2183"/>
      <c r="G67" s="2183"/>
      <c r="H67" s="2183"/>
      <c r="I67" s="2183"/>
      <c r="J67" s="2183"/>
      <c r="K67" s="477"/>
      <c r="L67" s="435"/>
      <c r="M67" s="2190"/>
      <c r="N67" s="2191"/>
      <c r="O67" s="452"/>
      <c r="P67" s="478"/>
      <c r="R67"/>
      <c r="S67" s="2177" t="s">
        <v>443</v>
      </c>
      <c r="T67" s="2177"/>
      <c r="U67" s="2177"/>
      <c r="V67" s="509"/>
    </row>
    <row r="68" spans="1:22" ht="17.100000000000001" customHeight="1">
      <c r="A68" s="446"/>
      <c r="B68" s="485"/>
      <c r="C68" s="654"/>
      <c r="D68" s="2183" t="s">
        <v>457</v>
      </c>
      <c r="E68" s="2183"/>
      <c r="F68" s="2183"/>
      <c r="G68" s="2183"/>
      <c r="H68" s="2183"/>
      <c r="I68" s="2183"/>
      <c r="J68" s="2183"/>
      <c r="K68" s="477"/>
      <c r="L68" s="442">
        <v>1</v>
      </c>
      <c r="M68" s="2186" t="s">
        <v>370</v>
      </c>
      <c r="N68" s="2187"/>
      <c r="O68" s="479" t="s">
        <v>375</v>
      </c>
      <c r="P68" s="459" t="s">
        <v>364</v>
      </c>
      <c r="R68" t="s">
        <v>137</v>
      </c>
      <c r="S68" s="2177" t="s">
        <v>444</v>
      </c>
      <c r="T68" s="2177"/>
      <c r="U68" s="2177"/>
      <c r="V68" s="509"/>
    </row>
    <row r="69" spans="1:22" ht="17.100000000000001" customHeight="1">
      <c r="A69" s="446"/>
      <c r="B69" s="485"/>
      <c r="C69" s="654" t="s">
        <v>135</v>
      </c>
      <c r="D69" s="2183" t="s">
        <v>461</v>
      </c>
      <c r="E69" s="2183"/>
      <c r="F69" s="2183"/>
      <c r="G69" s="2183"/>
      <c r="H69" s="2183"/>
      <c r="I69" s="2183"/>
      <c r="J69" s="2183"/>
      <c r="K69" s="486"/>
      <c r="L69" s="442">
        <v>2</v>
      </c>
      <c r="M69" s="2186" t="s">
        <v>310</v>
      </c>
      <c r="N69" s="2187"/>
      <c r="O69" s="479" t="s">
        <v>375</v>
      </c>
      <c r="P69" s="459" t="s">
        <v>165</v>
      </c>
      <c r="R69"/>
      <c r="S69" s="2177" t="s">
        <v>507</v>
      </c>
      <c r="T69" s="2177"/>
      <c r="U69" s="2177"/>
      <c r="V69" s="509"/>
    </row>
    <row r="70" spans="1:22" ht="17.100000000000001" customHeight="1">
      <c r="A70" s="446"/>
      <c r="B70" s="485"/>
      <c r="C70" s="654"/>
      <c r="D70" s="2183" t="s">
        <v>459</v>
      </c>
      <c r="E70" s="2183"/>
      <c r="F70" s="2183"/>
      <c r="G70" s="2183"/>
      <c r="H70" s="2183"/>
      <c r="I70" s="2183"/>
      <c r="J70" s="2183"/>
      <c r="K70" s="477"/>
      <c r="L70" s="442">
        <v>3</v>
      </c>
      <c r="M70" s="2186" t="s">
        <v>22</v>
      </c>
      <c r="N70" s="2187"/>
      <c r="O70" s="479" t="s">
        <v>375</v>
      </c>
      <c r="P70" s="459"/>
      <c r="R70" t="s">
        <v>138</v>
      </c>
      <c r="S70" s="2177" t="s">
        <v>536</v>
      </c>
      <c r="T70" s="2177"/>
      <c r="U70" s="2177"/>
      <c r="V70" s="509"/>
    </row>
    <row r="71" spans="1:22" ht="17.100000000000001" customHeight="1">
      <c r="A71" s="446"/>
      <c r="B71" s="485"/>
      <c r="C71" s="654"/>
      <c r="D71" s="2183" t="s">
        <v>460</v>
      </c>
      <c r="E71" s="2183"/>
      <c r="F71" s="2183"/>
      <c r="G71" s="2183"/>
      <c r="H71" s="2183"/>
      <c r="I71" s="2183"/>
      <c r="J71" s="2183"/>
      <c r="K71" s="477"/>
      <c r="L71" s="442">
        <v>4</v>
      </c>
      <c r="M71" s="2186" t="s">
        <v>371</v>
      </c>
      <c r="N71" s="2187"/>
      <c r="O71" s="479" t="s">
        <v>375</v>
      </c>
      <c r="P71" s="459"/>
      <c r="R71" t="s">
        <v>139</v>
      </c>
      <c r="S71" s="2177" t="s">
        <v>518</v>
      </c>
      <c r="T71" s="2177"/>
      <c r="U71" s="2177"/>
      <c r="V71" s="509"/>
    </row>
    <row r="72" spans="1:22" ht="17.100000000000001" customHeight="1">
      <c r="A72" s="446"/>
      <c r="B72" s="485"/>
      <c r="C72" s="654" t="s">
        <v>136</v>
      </c>
      <c r="D72" s="2183" t="s">
        <v>442</v>
      </c>
      <c r="E72" s="2183"/>
      <c r="F72" s="2183"/>
      <c r="G72" s="2183"/>
      <c r="H72" s="2183"/>
      <c r="I72" s="2183"/>
      <c r="J72" s="2183"/>
      <c r="K72" s="477"/>
      <c r="L72" s="442"/>
      <c r="M72" s="2186" t="s">
        <v>372</v>
      </c>
      <c r="N72" s="2187"/>
      <c r="O72" s="479" t="s">
        <v>375</v>
      </c>
      <c r="P72" s="459"/>
      <c r="R72" t="s">
        <v>140</v>
      </c>
      <c r="S72" s="2177" t="s">
        <v>533</v>
      </c>
      <c r="T72" s="2177"/>
      <c r="U72" s="2177"/>
      <c r="V72" s="509"/>
    </row>
    <row r="73" spans="1:22" ht="17.100000000000001" customHeight="1">
      <c r="A73" s="446"/>
      <c r="B73" s="485"/>
      <c r="C73" s="654"/>
      <c r="D73" s="2183" t="s">
        <v>443</v>
      </c>
      <c r="E73" s="2183"/>
      <c r="F73" s="2183"/>
      <c r="G73" s="2183"/>
      <c r="H73" s="2183"/>
      <c r="I73" s="2183"/>
      <c r="J73" s="2183"/>
      <c r="K73" s="477"/>
      <c r="L73" s="442"/>
      <c r="M73" s="2186" t="s">
        <v>373</v>
      </c>
      <c r="N73" s="2187"/>
      <c r="O73" s="479" t="s">
        <v>375</v>
      </c>
      <c r="P73" s="459" t="s">
        <v>365</v>
      </c>
      <c r="R73" t="s">
        <v>141</v>
      </c>
      <c r="S73" s="2177" t="s">
        <v>519</v>
      </c>
      <c r="T73" s="2177"/>
      <c r="U73" s="2177"/>
      <c r="V73" s="509"/>
    </row>
    <row r="74" spans="1:22" ht="17.100000000000001" customHeight="1">
      <c r="A74" s="446"/>
      <c r="B74" s="485"/>
      <c r="C74" s="654" t="s">
        <v>137</v>
      </c>
      <c r="D74" s="2183" t="s">
        <v>444</v>
      </c>
      <c r="E74" s="2183"/>
      <c r="F74" s="2183"/>
      <c r="G74" s="2183"/>
      <c r="H74" s="2183"/>
      <c r="I74" s="2183"/>
      <c r="J74" s="2183"/>
      <c r="K74" s="477"/>
      <c r="L74" s="442">
        <v>5</v>
      </c>
      <c r="M74" s="2186" t="s">
        <v>25</v>
      </c>
      <c r="N74" s="2187"/>
      <c r="O74" s="479" t="s">
        <v>375</v>
      </c>
      <c r="P74" s="459" t="s">
        <v>83</v>
      </c>
      <c r="R74"/>
      <c r="S74" s="2177" t="s">
        <v>508</v>
      </c>
      <c r="T74" s="2177"/>
      <c r="U74" s="2177"/>
      <c r="V74" s="509"/>
    </row>
    <row r="75" spans="1:22" ht="17.100000000000001" customHeight="1">
      <c r="A75" s="446"/>
      <c r="B75" s="485"/>
      <c r="C75" s="654"/>
      <c r="D75" s="2183" t="s">
        <v>445</v>
      </c>
      <c r="E75" s="2183"/>
      <c r="F75" s="2183"/>
      <c r="G75" s="2183"/>
      <c r="H75" s="2183"/>
      <c r="I75" s="2183"/>
      <c r="J75" s="2183"/>
      <c r="K75" s="474"/>
      <c r="L75" s="441"/>
      <c r="M75" s="2188"/>
      <c r="N75" s="2189"/>
      <c r="O75" s="481"/>
      <c r="P75" s="464"/>
      <c r="R75" t="s">
        <v>517</v>
      </c>
      <c r="S75" s="2177" t="s">
        <v>520</v>
      </c>
      <c r="T75" s="2177"/>
      <c r="U75" s="2177"/>
      <c r="V75" s="509"/>
    </row>
    <row r="76" spans="1:22" ht="17.100000000000001" customHeight="1">
      <c r="A76" s="446"/>
      <c r="B76" s="485"/>
      <c r="C76" s="654" t="s">
        <v>138</v>
      </c>
      <c r="D76" s="2183" t="s">
        <v>446</v>
      </c>
      <c r="E76" s="2183"/>
      <c r="F76" s="2183"/>
      <c r="G76" s="2183"/>
      <c r="H76" s="2183"/>
      <c r="I76" s="2183"/>
      <c r="J76" s="2183"/>
      <c r="K76" s="487"/>
      <c r="L76" s="435"/>
      <c r="M76" s="2190"/>
      <c r="N76" s="2191"/>
      <c r="O76" s="452"/>
      <c r="P76" s="478"/>
      <c r="S76" s="2181" t="s">
        <v>509</v>
      </c>
      <c r="T76" s="757" t="s">
        <v>539</v>
      </c>
      <c r="U76" s="755" t="s">
        <v>510</v>
      </c>
      <c r="V76" s="509"/>
    </row>
    <row r="77" spans="1:22" ht="17.100000000000001" customHeight="1">
      <c r="A77" s="446"/>
      <c r="B77" s="485"/>
      <c r="C77" s="654" t="s">
        <v>139</v>
      </c>
      <c r="D77" s="2183" t="s">
        <v>447</v>
      </c>
      <c r="E77" s="2183"/>
      <c r="F77" s="2183"/>
      <c r="G77" s="2183"/>
      <c r="H77" s="2183"/>
      <c r="I77" s="2183"/>
      <c r="J77" s="2183"/>
      <c r="K77" s="488"/>
      <c r="L77" s="442">
        <v>1</v>
      </c>
      <c r="M77" s="2186" t="s">
        <v>370</v>
      </c>
      <c r="N77" s="2187"/>
      <c r="O77" s="479" t="s">
        <v>375</v>
      </c>
      <c r="P77" s="459" t="s">
        <v>364</v>
      </c>
      <c r="S77" s="2181"/>
      <c r="T77" s="756" t="s">
        <v>540</v>
      </c>
      <c r="U77" s="755" t="s">
        <v>538</v>
      </c>
      <c r="V77" s="509"/>
    </row>
    <row r="78" spans="1:22" ht="17.100000000000001" customHeight="1">
      <c r="A78" s="446"/>
      <c r="B78" s="485"/>
      <c r="C78" s="655"/>
      <c r="D78" s="2179"/>
      <c r="E78" s="2179"/>
      <c r="F78" s="2179"/>
      <c r="G78" s="2179"/>
      <c r="H78" s="2179"/>
      <c r="I78" s="2179"/>
      <c r="J78" s="2179"/>
      <c r="K78" s="487"/>
      <c r="L78" s="442">
        <v>2</v>
      </c>
      <c r="M78" s="2186" t="s">
        <v>310</v>
      </c>
      <c r="N78" s="2187"/>
      <c r="O78" s="479" t="s">
        <v>375</v>
      </c>
      <c r="P78" s="459" t="s">
        <v>165</v>
      </c>
      <c r="U78" s="755" t="s">
        <v>500</v>
      </c>
      <c r="V78" s="509"/>
    </row>
    <row r="79" spans="1:22" ht="17.100000000000001" customHeight="1">
      <c r="B79" s="485"/>
      <c r="C79" s="648"/>
      <c r="D79" s="648"/>
      <c r="E79" s="648"/>
      <c r="F79" s="648"/>
      <c r="G79" s="648"/>
      <c r="H79" s="650"/>
      <c r="I79" s="650"/>
      <c r="J79" s="650"/>
      <c r="K79" s="487"/>
      <c r="L79" s="442">
        <v>3</v>
      </c>
      <c r="M79" s="2186" t="s">
        <v>22</v>
      </c>
      <c r="N79" s="2187"/>
      <c r="O79" s="479" t="s">
        <v>375</v>
      </c>
      <c r="P79" s="459"/>
      <c r="R79" t="s">
        <v>521</v>
      </c>
      <c r="S79" s="2177" t="s">
        <v>522</v>
      </c>
      <c r="T79" s="2177"/>
      <c r="U79" s="2177"/>
      <c r="V79" s="509"/>
    </row>
    <row r="80" spans="1:22" ht="17.100000000000001" customHeight="1">
      <c r="B80" s="485"/>
      <c r="C80" s="649"/>
      <c r="D80" s="2182"/>
      <c r="E80" s="2182"/>
      <c r="F80" s="2182"/>
      <c r="G80" s="2182"/>
      <c r="H80" s="2182"/>
      <c r="I80" s="2182"/>
      <c r="J80" s="2182"/>
      <c r="K80" s="487"/>
      <c r="L80" s="442">
        <v>4</v>
      </c>
      <c r="M80" s="2186" t="s">
        <v>371</v>
      </c>
      <c r="N80" s="2187"/>
      <c r="O80" s="479" t="s">
        <v>375</v>
      </c>
      <c r="P80" s="459"/>
      <c r="R80"/>
      <c r="S80" s="2177" t="s">
        <v>501</v>
      </c>
      <c r="T80" s="2177"/>
      <c r="U80" s="2177"/>
      <c r="V80" s="509"/>
    </row>
    <row r="81" spans="2:22" ht="17.100000000000001" customHeight="1">
      <c r="B81" s="485"/>
      <c r="C81" s="649"/>
      <c r="D81" s="2182"/>
      <c r="E81" s="2182"/>
      <c r="F81" s="2182"/>
      <c r="G81" s="2182"/>
      <c r="H81" s="2182"/>
      <c r="I81" s="2182"/>
      <c r="J81" s="2182"/>
      <c r="K81" s="487"/>
      <c r="L81" s="442"/>
      <c r="M81" s="2186" t="s">
        <v>372</v>
      </c>
      <c r="N81" s="2187"/>
      <c r="O81" s="479" t="s">
        <v>375</v>
      </c>
      <c r="P81" s="459"/>
      <c r="R81"/>
      <c r="S81" s="2177" t="s">
        <v>537</v>
      </c>
      <c r="T81" s="2177"/>
      <c r="U81" s="2177"/>
      <c r="V81" s="509"/>
    </row>
    <row r="82" spans="2:22" ht="17.100000000000001" customHeight="1">
      <c r="B82" s="485"/>
      <c r="C82" s="649"/>
      <c r="D82" s="2182"/>
      <c r="E82" s="2182"/>
      <c r="F82" s="2182"/>
      <c r="G82" s="2182"/>
      <c r="H82" s="2182"/>
      <c r="I82" s="2182"/>
      <c r="J82" s="2182"/>
      <c r="K82" s="487"/>
      <c r="L82" s="442"/>
      <c r="M82" s="2186" t="s">
        <v>373</v>
      </c>
      <c r="N82" s="2187"/>
      <c r="O82" s="479" t="s">
        <v>375</v>
      </c>
      <c r="P82" s="459" t="s">
        <v>365</v>
      </c>
      <c r="R82"/>
      <c r="S82" s="2177" t="s">
        <v>502</v>
      </c>
      <c r="T82" s="2177"/>
      <c r="U82" s="2177"/>
      <c r="V82" s="509"/>
    </row>
    <row r="83" spans="2:22" ht="17.100000000000001" customHeight="1">
      <c r="B83" s="485"/>
      <c r="C83" s="649"/>
      <c r="D83" s="649"/>
      <c r="E83" s="401"/>
      <c r="F83" s="401"/>
      <c r="G83" s="401"/>
      <c r="H83" s="401"/>
      <c r="I83" s="401"/>
      <c r="J83" s="401"/>
      <c r="K83" s="487"/>
      <c r="L83" s="442">
        <v>5</v>
      </c>
      <c r="M83" s="2186" t="s">
        <v>25</v>
      </c>
      <c r="N83" s="2187"/>
      <c r="O83" s="479" t="s">
        <v>375</v>
      </c>
      <c r="P83" s="459" t="s">
        <v>83</v>
      </c>
      <c r="R83"/>
      <c r="S83" s="2177" t="s">
        <v>503</v>
      </c>
      <c r="T83" s="2177"/>
      <c r="U83" s="2177"/>
      <c r="V83" s="509"/>
    </row>
    <row r="84" spans="2:22" ht="17.100000000000001" customHeight="1">
      <c r="B84" s="485"/>
      <c r="C84" s="649"/>
      <c r="D84" s="649"/>
      <c r="E84" s="401"/>
      <c r="F84" s="401"/>
      <c r="G84" s="401"/>
      <c r="H84" s="401"/>
      <c r="I84" s="401"/>
      <c r="J84" s="401"/>
      <c r="K84" s="487"/>
      <c r="L84" s="441"/>
      <c r="M84" s="2195"/>
      <c r="N84" s="2196"/>
      <c r="O84" s="481"/>
      <c r="P84" s="464"/>
      <c r="R84"/>
      <c r="S84" s="2177" t="s">
        <v>541</v>
      </c>
      <c r="T84" s="2177"/>
      <c r="U84" s="2177"/>
      <c r="V84" s="509"/>
    </row>
    <row r="85" spans="2:22" ht="16.5" customHeight="1">
      <c r="B85" s="485"/>
      <c r="C85" s="489"/>
      <c r="D85" s="490"/>
      <c r="E85" s="491"/>
      <c r="F85" s="491"/>
      <c r="G85" s="487"/>
      <c r="H85" s="487"/>
      <c r="I85" s="487"/>
      <c r="J85" s="487"/>
      <c r="K85" s="487"/>
      <c r="R85"/>
      <c r="S85" s="2177" t="s">
        <v>542</v>
      </c>
      <c r="T85" s="2177"/>
      <c r="U85" s="2177"/>
      <c r="V85" s="509"/>
    </row>
    <row r="86" spans="2:22" ht="16.5" customHeight="1">
      <c r="B86" s="485"/>
      <c r="C86" s="492"/>
      <c r="D86" s="493"/>
      <c r="E86" s="493"/>
      <c r="F86" s="493"/>
      <c r="G86" s="493"/>
      <c r="H86" s="493"/>
      <c r="I86" s="493"/>
      <c r="J86" s="493"/>
      <c r="K86" s="494"/>
      <c r="L86" s="492"/>
      <c r="M86" s="493"/>
      <c r="N86" s="493"/>
      <c r="O86" s="493"/>
      <c r="P86" s="493"/>
      <c r="Q86" s="494"/>
      <c r="V86" s="509"/>
    </row>
    <row r="87" spans="2:22" ht="16.5" customHeight="1">
      <c r="C87" s="625" t="str">
        <f>$C$41</f>
        <v>Raport-SMA Negeri 1 Amabi Efeto</v>
      </c>
      <c r="E87" s="474"/>
      <c r="F87" s="474"/>
      <c r="G87" s="474"/>
      <c r="H87" s="474"/>
      <c r="I87" s="474"/>
      <c r="J87" s="507" t="s">
        <v>385</v>
      </c>
      <c r="K87" s="444"/>
      <c r="L87" s="625" t="str">
        <f>$C$41</f>
        <v>Raport-SMA Negeri 1 Amabi Efeto</v>
      </c>
      <c r="N87" s="474"/>
      <c r="O87" s="474"/>
      <c r="P87" s="510">
        <f>P41+1</f>
        <v>26</v>
      </c>
      <c r="Q87" s="494"/>
      <c r="R87" s="758" t="str">
        <f>$C$41</f>
        <v>Raport-SMA Negeri 1 Amabi Efeto</v>
      </c>
      <c r="S87" s="759"/>
      <c r="T87" s="759"/>
      <c r="U87" s="760" t="s">
        <v>385</v>
      </c>
      <c r="V87" s="509"/>
    </row>
    <row r="88" spans="2:22" ht="16.5" customHeight="1">
      <c r="C88" s="474"/>
      <c r="D88" s="474"/>
      <c r="E88" s="474"/>
      <c r="F88" s="474"/>
      <c r="G88" s="474"/>
      <c r="H88" s="474"/>
      <c r="I88" s="474"/>
      <c r="J88" s="474"/>
      <c r="K88" s="474"/>
      <c r="R88"/>
      <c r="V88" s="509"/>
    </row>
    <row r="89" spans="2:22" ht="16.5" hidden="1" customHeight="1">
      <c r="C89" s="495"/>
      <c r="D89" s="483"/>
      <c r="E89" s="483"/>
      <c r="F89" s="483"/>
      <c r="G89" s="483"/>
      <c r="H89" s="496"/>
      <c r="I89" s="496"/>
      <c r="J89" s="496"/>
      <c r="K89" s="496"/>
    </row>
    <row r="90" spans="2:22" ht="16.5" hidden="1" customHeight="1">
      <c r="C90" s="497"/>
      <c r="D90" s="498"/>
      <c r="E90" s="499"/>
      <c r="F90" s="499"/>
      <c r="G90" s="499"/>
      <c r="H90" s="499"/>
      <c r="I90" s="499"/>
      <c r="J90" s="496"/>
      <c r="K90" s="496"/>
    </row>
    <row r="91" spans="2:22" ht="16.5" hidden="1" customHeight="1">
      <c r="C91" s="497"/>
      <c r="D91" s="498"/>
      <c r="E91" s="499"/>
      <c r="F91" s="499"/>
      <c r="G91" s="499"/>
      <c r="H91" s="499"/>
      <c r="I91" s="499"/>
      <c r="J91" s="496"/>
      <c r="K91" s="496"/>
      <c r="T91"/>
      <c r="U91"/>
    </row>
    <row r="92" spans="2:22" ht="16.5" hidden="1" customHeight="1">
      <c r="C92" s="497"/>
      <c r="D92" s="498"/>
      <c r="E92" s="499"/>
      <c r="F92" s="499"/>
      <c r="G92" s="499"/>
      <c r="H92" s="499"/>
      <c r="I92" s="499"/>
      <c r="J92" s="496"/>
      <c r="K92" s="496"/>
      <c r="T92"/>
      <c r="U92"/>
    </row>
    <row r="93" spans="2:22" ht="16.5" hidden="1" customHeight="1">
      <c r="C93" s="500"/>
      <c r="D93" s="498"/>
      <c r="E93" s="501"/>
      <c r="F93" s="501"/>
      <c r="G93" s="501"/>
      <c r="H93" s="501"/>
      <c r="I93" s="501"/>
      <c r="J93" s="502"/>
      <c r="K93" s="502"/>
      <c r="T93"/>
      <c r="U93"/>
    </row>
    <row r="94" spans="2:22" ht="16.5" hidden="1" customHeight="1">
      <c r="C94" s="497"/>
      <c r="D94" s="498"/>
      <c r="E94" s="499"/>
      <c r="F94" s="499"/>
      <c r="G94" s="499"/>
      <c r="H94" s="499"/>
      <c r="I94" s="499"/>
      <c r="J94" s="496"/>
      <c r="K94" s="496"/>
      <c r="T94"/>
      <c r="U94"/>
    </row>
    <row r="95" spans="2:22" ht="16.5" hidden="1" customHeight="1">
      <c r="C95" s="497"/>
      <c r="D95" s="498"/>
      <c r="E95" s="499"/>
      <c r="F95" s="499"/>
      <c r="G95" s="499"/>
      <c r="H95" s="499"/>
      <c r="I95" s="499"/>
      <c r="J95" s="496"/>
      <c r="K95" s="496"/>
    </row>
    <row r="96" spans="2:22" ht="16.5" hidden="1" customHeight="1">
      <c r="C96" s="497"/>
      <c r="D96" s="498"/>
      <c r="E96" s="499"/>
      <c r="F96" s="499"/>
      <c r="G96" s="499"/>
      <c r="H96" s="499"/>
      <c r="I96" s="499"/>
      <c r="J96" s="496"/>
      <c r="K96" s="496"/>
    </row>
    <row r="97" spans="3:11" ht="16.5" hidden="1" customHeight="1">
      <c r="C97" s="497"/>
      <c r="D97" s="498"/>
      <c r="E97" s="499"/>
      <c r="F97" s="499"/>
      <c r="G97" s="499"/>
      <c r="H97" s="499"/>
      <c r="I97" s="499"/>
      <c r="J97" s="496"/>
      <c r="K97" s="496"/>
    </row>
    <row r="98" spans="3:11" ht="16.5" hidden="1" customHeight="1">
      <c r="C98" s="497"/>
      <c r="D98" s="498"/>
      <c r="E98" s="499"/>
      <c r="F98" s="499"/>
      <c r="G98" s="499"/>
      <c r="H98" s="499"/>
      <c r="I98" s="499"/>
    </row>
    <row r="99" spans="3:11" ht="16.5" hidden="1" customHeight="1">
      <c r="C99" s="497"/>
      <c r="D99" s="499"/>
      <c r="E99" s="499"/>
      <c r="F99" s="497"/>
      <c r="G99" s="499"/>
      <c r="H99" s="499"/>
      <c r="I99" s="449"/>
      <c r="J99" s="447"/>
      <c r="K99" s="447"/>
    </row>
    <row r="100" spans="3:11" ht="16.5" hidden="1" customHeight="1">
      <c r="C100" s="497"/>
      <c r="D100" s="499"/>
      <c r="E100" s="499"/>
      <c r="F100" s="497"/>
      <c r="G100" s="499"/>
      <c r="H100" s="499"/>
      <c r="I100" s="449"/>
      <c r="J100" s="447"/>
      <c r="K100" s="447"/>
    </row>
    <row r="101" spans="3:11" ht="16.5" hidden="1" customHeight="1">
      <c r="C101" s="497"/>
      <c r="D101" s="498"/>
      <c r="E101" s="499"/>
      <c r="F101" s="497"/>
      <c r="G101" s="498"/>
      <c r="H101" s="499"/>
      <c r="I101" s="449"/>
      <c r="J101" s="447"/>
      <c r="K101" s="447"/>
    </row>
    <row r="102" spans="3:11" ht="16.5" hidden="1" customHeight="1">
      <c r="H102" s="447"/>
      <c r="I102" s="447"/>
      <c r="J102" s="447"/>
      <c r="K102" s="447"/>
    </row>
    <row r="103" spans="3:11" ht="16.5" hidden="1" customHeight="1">
      <c r="H103" s="447"/>
      <c r="I103" s="447"/>
      <c r="J103" s="447"/>
      <c r="K103" s="447"/>
    </row>
    <row r="104" spans="3:11" ht="16.5" hidden="1" customHeight="1">
      <c r="H104" s="447"/>
      <c r="I104" s="447"/>
      <c r="J104" s="447"/>
      <c r="K104" s="447"/>
    </row>
    <row r="105" spans="3:11" ht="16.5" hidden="1" customHeight="1">
      <c r="H105" s="447"/>
      <c r="I105" s="447"/>
      <c r="J105" s="447"/>
      <c r="K105" s="447"/>
    </row>
  </sheetData>
  <sheetProtection selectLockedCells="1"/>
  <mergeCells count="206">
    <mergeCell ref="G34:J34"/>
    <mergeCell ref="C34:E34"/>
    <mergeCell ref="C23:E23"/>
    <mergeCell ref="C25:E25"/>
    <mergeCell ref="C29:E29"/>
    <mergeCell ref="G29:J29"/>
    <mergeCell ref="C33:E33"/>
    <mergeCell ref="C32:E32"/>
    <mergeCell ref="C31:E31"/>
    <mergeCell ref="C24:E24"/>
    <mergeCell ref="G23:J23"/>
    <mergeCell ref="G24:J24"/>
    <mergeCell ref="G25:J25"/>
    <mergeCell ref="C30:E30"/>
    <mergeCell ref="G27:J27"/>
    <mergeCell ref="G33:J33"/>
    <mergeCell ref="G32:J32"/>
    <mergeCell ref="G31:J31"/>
    <mergeCell ref="G30:J30"/>
    <mergeCell ref="C9:J10"/>
    <mergeCell ref="C7:J8"/>
    <mergeCell ref="C5:J6"/>
    <mergeCell ref="L2:P2"/>
    <mergeCell ref="N6:N9"/>
    <mergeCell ref="O6:O9"/>
    <mergeCell ref="P6:P9"/>
    <mergeCell ref="L5:P5"/>
    <mergeCell ref="L3:P3"/>
    <mergeCell ref="L6:M9"/>
    <mergeCell ref="C3:G3"/>
    <mergeCell ref="L15:M15"/>
    <mergeCell ref="L16:M16"/>
    <mergeCell ref="L17:M17"/>
    <mergeCell ref="L18:M18"/>
    <mergeCell ref="L19:M19"/>
    <mergeCell ref="L10:M10"/>
    <mergeCell ref="L11:M11"/>
    <mergeCell ref="L12:M12"/>
    <mergeCell ref="L13:M13"/>
    <mergeCell ref="L14:M14"/>
    <mergeCell ref="L25:M25"/>
    <mergeCell ref="L26:M26"/>
    <mergeCell ref="L27:M27"/>
    <mergeCell ref="L28:M28"/>
    <mergeCell ref="L29:M29"/>
    <mergeCell ref="L20:M20"/>
    <mergeCell ref="L21:M21"/>
    <mergeCell ref="L22:M22"/>
    <mergeCell ref="L23:M23"/>
    <mergeCell ref="L24:M24"/>
    <mergeCell ref="L35:M35"/>
    <mergeCell ref="L36:M36"/>
    <mergeCell ref="L37:M37"/>
    <mergeCell ref="L38:M38"/>
    <mergeCell ref="L39:M39"/>
    <mergeCell ref="L30:M30"/>
    <mergeCell ref="L31:M31"/>
    <mergeCell ref="L32:M32"/>
    <mergeCell ref="L33:M33"/>
    <mergeCell ref="L34:M34"/>
    <mergeCell ref="S16:T16"/>
    <mergeCell ref="S17:T17"/>
    <mergeCell ref="S18:T18"/>
    <mergeCell ref="S19:T19"/>
    <mergeCell ref="S20:T20"/>
    <mergeCell ref="S21:T21"/>
    <mergeCell ref="M83:N83"/>
    <mergeCell ref="M84:N84"/>
    <mergeCell ref="L42:P43"/>
    <mergeCell ref="L47:L48"/>
    <mergeCell ref="M47:P48"/>
    <mergeCell ref="M49:N49"/>
    <mergeCell ref="M76:N76"/>
    <mergeCell ref="M77:N77"/>
    <mergeCell ref="M78:N78"/>
    <mergeCell ref="M79:N79"/>
    <mergeCell ref="M80:N80"/>
    <mergeCell ref="M81:N81"/>
    <mergeCell ref="M82:N82"/>
    <mergeCell ref="M75:N75"/>
    <mergeCell ref="M74:N74"/>
    <mergeCell ref="L44:P44"/>
    <mergeCell ref="M70:N70"/>
    <mergeCell ref="M71:N71"/>
    <mergeCell ref="R2:U2"/>
    <mergeCell ref="R9:R10"/>
    <mergeCell ref="S9:T10"/>
    <mergeCell ref="U9:U10"/>
    <mergeCell ref="S11:T11"/>
    <mergeCell ref="S12:T12"/>
    <mergeCell ref="S13:T13"/>
    <mergeCell ref="S14:T14"/>
    <mergeCell ref="S15:T15"/>
    <mergeCell ref="S27:T27"/>
    <mergeCell ref="S28:T28"/>
    <mergeCell ref="S29:T29"/>
    <mergeCell ref="S30:T30"/>
    <mergeCell ref="S31:T31"/>
    <mergeCell ref="S22:T22"/>
    <mergeCell ref="S23:T23"/>
    <mergeCell ref="S24:T24"/>
    <mergeCell ref="S25:T25"/>
    <mergeCell ref="S26:T26"/>
    <mergeCell ref="S61:U61"/>
    <mergeCell ref="S32:T32"/>
    <mergeCell ref="S33:T33"/>
    <mergeCell ref="S34:T34"/>
    <mergeCell ref="S35:T35"/>
    <mergeCell ref="S36:T36"/>
    <mergeCell ref="C42:J43"/>
    <mergeCell ref="M72:N72"/>
    <mergeCell ref="M73:N73"/>
    <mergeCell ref="M65:N65"/>
    <mergeCell ref="M66:N66"/>
    <mergeCell ref="M67:N67"/>
    <mergeCell ref="M68:N68"/>
    <mergeCell ref="M69:N69"/>
    <mergeCell ref="M60:N60"/>
    <mergeCell ref="M61:N61"/>
    <mergeCell ref="M62:N62"/>
    <mergeCell ref="M63:N63"/>
    <mergeCell ref="M64:N64"/>
    <mergeCell ref="M55:N55"/>
    <mergeCell ref="M56:N56"/>
    <mergeCell ref="M57:N57"/>
    <mergeCell ref="M58:N58"/>
    <mergeCell ref="M59:N59"/>
    <mergeCell ref="S37:T37"/>
    <mergeCell ref="S38:T38"/>
    <mergeCell ref="S39:T39"/>
    <mergeCell ref="M51:N51"/>
    <mergeCell ref="M52:N52"/>
    <mergeCell ref="M53:N53"/>
    <mergeCell ref="M54:N54"/>
    <mergeCell ref="D52:J52"/>
    <mergeCell ref="S60:U60"/>
    <mergeCell ref="M50:N50"/>
    <mergeCell ref="D70:J70"/>
    <mergeCell ref="D53:J53"/>
    <mergeCell ref="D54:J54"/>
    <mergeCell ref="D55:J55"/>
    <mergeCell ref="D56:J56"/>
    <mergeCell ref="D57:J57"/>
    <mergeCell ref="D58:J58"/>
    <mergeCell ref="D59:J59"/>
    <mergeCell ref="D60:J60"/>
    <mergeCell ref="D61:J61"/>
    <mergeCell ref="D78:J78"/>
    <mergeCell ref="R42:U42"/>
    <mergeCell ref="R44:U44"/>
    <mergeCell ref="S48:U48"/>
    <mergeCell ref="S76:S77"/>
    <mergeCell ref="D80:J80"/>
    <mergeCell ref="D81:J81"/>
    <mergeCell ref="D82:J82"/>
    <mergeCell ref="D51:J51"/>
    <mergeCell ref="D71:J71"/>
    <mergeCell ref="D72:J72"/>
    <mergeCell ref="D73:J73"/>
    <mergeCell ref="D74:J74"/>
    <mergeCell ref="D75:J75"/>
    <mergeCell ref="D76:J76"/>
    <mergeCell ref="D77:J77"/>
    <mergeCell ref="D62:J62"/>
    <mergeCell ref="D63:J63"/>
    <mergeCell ref="D64:J64"/>
    <mergeCell ref="D65:J65"/>
    <mergeCell ref="D66:J66"/>
    <mergeCell ref="D67:J67"/>
    <mergeCell ref="D68:J68"/>
    <mergeCell ref="D69:J69"/>
    <mergeCell ref="S68:U68"/>
    <mergeCell ref="S69:U69"/>
    <mergeCell ref="S70:U70"/>
    <mergeCell ref="S71:U71"/>
    <mergeCell ref="R45:U45"/>
    <mergeCell ref="R46:U46"/>
    <mergeCell ref="R47:U47"/>
    <mergeCell ref="S49:U49"/>
    <mergeCell ref="S50:U50"/>
    <mergeCell ref="S51:U51"/>
    <mergeCell ref="S52:U52"/>
    <mergeCell ref="S53:U53"/>
    <mergeCell ref="S54:U54"/>
    <mergeCell ref="S55:U55"/>
    <mergeCell ref="S56:U56"/>
    <mergeCell ref="S57:U57"/>
    <mergeCell ref="S58:U58"/>
    <mergeCell ref="S59:U59"/>
    <mergeCell ref="S62:U62"/>
    <mergeCell ref="S63:U63"/>
    <mergeCell ref="S64:U64"/>
    <mergeCell ref="S65:U65"/>
    <mergeCell ref="S66:U66"/>
    <mergeCell ref="S67:U67"/>
    <mergeCell ref="S85:U85"/>
    <mergeCell ref="S72:U72"/>
    <mergeCell ref="S73:U73"/>
    <mergeCell ref="S74:U74"/>
    <mergeCell ref="S81:U81"/>
    <mergeCell ref="S82:U82"/>
    <mergeCell ref="S84:U84"/>
    <mergeCell ref="S80:U80"/>
    <mergeCell ref="S83:U83"/>
    <mergeCell ref="S79:U79"/>
    <mergeCell ref="S75:U75"/>
  </mergeCells>
  <dataValidations count="1">
    <dataValidation allowBlank="1" showInputMessage="1" showErrorMessage="1" prompt="KKM" sqref="E90:E98 H100:H101 G90:G98 E100:E101"/>
  </dataValidations>
  <hyperlinks>
    <hyperlink ref="G33" r:id="rId1"/>
    <hyperlink ref="G34" r:id="rId2" display="smp1nawangan@gmail.com"/>
  </hyperlinks>
  <printOptions horizontalCentered="1"/>
  <pageMargins left="0.28000000000000003" right="0.19" top="0.53" bottom="0.51181102362204722" header="0.31496062992125984" footer="0.31496062992125984"/>
  <pageSetup paperSize="9" orientation="portrait" blackAndWhite="1" horizontalDpi="4294967293" verticalDpi="4294967293" r:id="rId3"/>
  <rowBreaks count="1" manualBreakCount="1">
    <brk id="41" max="16383" man="1"/>
  </rowBreaks>
  <colBreaks count="2" manualBreakCount="2">
    <brk id="10" max="1048575" man="1"/>
    <brk id="16" max="1048575" man="1"/>
  </colBreaks>
  <drawing r:id="rId4"/>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rgb="FFC00000"/>
  </sheetPr>
  <dimension ref="A1:O46"/>
  <sheetViews>
    <sheetView showGridLines="0" showRowColHeaders="0" workbookViewId="0">
      <pane xSplit="3" ySplit="3" topLeftCell="D30" activePane="bottomRight" state="frozen"/>
      <selection activeCell="AE26" sqref="AE26"/>
      <selection pane="topRight" activeCell="AE26" sqref="AE26"/>
      <selection pane="bottomLeft" activeCell="AE26" sqref="AE26"/>
      <selection pane="bottomRight" activeCell="J37" sqref="J37"/>
    </sheetView>
  </sheetViews>
  <sheetFormatPr defaultColWidth="0" defaultRowHeight="17.25" customHeight="1" zeroHeight="1"/>
  <cols>
    <col min="1" max="1" width="0.7109375" style="123" customWidth="1"/>
    <col min="2" max="2" width="5.42578125" style="123" customWidth="1"/>
    <col min="3" max="3" width="0.7109375" style="123" customWidth="1"/>
    <col min="4" max="4" width="4.7109375" style="116" customWidth="1"/>
    <col min="5" max="5" width="2.85546875" style="116" customWidth="1"/>
    <col min="6" max="6" width="26.7109375" style="116" customWidth="1"/>
    <col min="7" max="7" width="2.140625" style="116" customWidth="1"/>
    <col min="8" max="8" width="40.7109375" style="116" customWidth="1"/>
    <col min="9" max="9" width="13.7109375" style="116" customWidth="1"/>
    <col min="10" max="10" width="48.7109375" style="119" customWidth="1"/>
    <col min="11" max="11" width="13.7109375" style="119" customWidth="1"/>
    <col min="12" max="12" width="5.5703125" style="123" customWidth="1"/>
    <col min="13" max="13" width="26" style="123" hidden="1" customWidth="1"/>
    <col min="14" max="14" width="2.28515625" style="123" hidden="1" customWidth="1"/>
    <col min="15" max="15" width="50" style="123" hidden="1" customWidth="1"/>
    <col min="16" max="16384" width="9.140625" style="123" hidden="1"/>
  </cols>
  <sheetData>
    <row r="1" spans="1:15" ht="8.25" customHeight="1">
      <c r="A1" s="120"/>
      <c r="B1" s="120"/>
      <c r="C1" s="120"/>
      <c r="D1" s="121"/>
      <c r="E1" s="121"/>
      <c r="F1" s="121"/>
      <c r="G1" s="121"/>
      <c r="H1" s="121"/>
      <c r="I1" s="121"/>
      <c r="J1" s="122"/>
      <c r="K1" s="122"/>
      <c r="L1" s="120"/>
    </row>
    <row r="2" spans="1:15" ht="22.5" customHeight="1">
      <c r="A2" s="120"/>
      <c r="B2" s="2234">
        <v>1</v>
      </c>
      <c r="C2" s="120"/>
      <c r="D2" s="121"/>
      <c r="E2" s="121"/>
      <c r="F2" s="124" t="s">
        <v>178</v>
      </c>
      <c r="G2" s="125" t="s">
        <v>122</v>
      </c>
      <c r="H2" s="115">
        <v>42932</v>
      </c>
      <c r="I2" s="1127" t="s">
        <v>728</v>
      </c>
      <c r="J2" s="1128" t="s">
        <v>729</v>
      </c>
      <c r="K2" s="122"/>
      <c r="L2" s="120"/>
      <c r="M2" s="126"/>
      <c r="O2" s="127"/>
    </row>
    <row r="3" spans="1:15" ht="20.100000000000001" customHeight="1">
      <c r="A3" s="120"/>
      <c r="B3" s="2235"/>
      <c r="C3" s="120"/>
      <c r="D3" s="121"/>
      <c r="E3" s="121"/>
      <c r="F3" s="121" t="s">
        <v>292</v>
      </c>
      <c r="G3" s="121" t="s">
        <v>122</v>
      </c>
      <c r="H3" s="317" t="s">
        <v>290</v>
      </c>
      <c r="I3" s="1127" t="s">
        <v>318</v>
      </c>
      <c r="J3" s="1128">
        <v>20206113</v>
      </c>
      <c r="K3" s="122"/>
      <c r="L3" s="120"/>
      <c r="M3" s="126"/>
    </row>
    <row r="4" spans="1:15" ht="22.5" customHeight="1">
      <c r="A4" s="120"/>
      <c r="B4" s="130"/>
      <c r="C4" s="120"/>
      <c r="E4" s="2236" t="s">
        <v>109</v>
      </c>
      <c r="F4" s="2236"/>
      <c r="G4" s="2236"/>
      <c r="H4" s="2236"/>
      <c r="I4" s="642"/>
      <c r="J4" s="643"/>
      <c r="K4" s="644" t="str">
        <f>IF(VLOOKUP($B$2,Data!$E$5:$AF$54,Data!AF55)="","","No. : "&amp;VLOOKUP($B$2,Data!$E$5:$AF$54,Data!AF55))</f>
        <v>No. : C-157</v>
      </c>
      <c r="L4" s="120"/>
    </row>
    <row r="5" spans="1:15" ht="18" customHeight="1">
      <c r="A5" s="120"/>
      <c r="B5" s="110" t="s">
        <v>177</v>
      </c>
      <c r="C5" s="120"/>
      <c r="I5" s="474"/>
      <c r="J5" s="335"/>
      <c r="K5" s="335"/>
      <c r="L5" s="120"/>
    </row>
    <row r="6" spans="1:15" ht="18" customHeight="1">
      <c r="A6" s="120"/>
      <c r="B6" s="131" t="s">
        <v>176</v>
      </c>
      <c r="C6" s="120"/>
      <c r="I6" s="474"/>
      <c r="J6" s="335"/>
      <c r="K6" s="335"/>
      <c r="L6" s="120"/>
    </row>
    <row r="7" spans="1:15" ht="18" customHeight="1">
      <c r="A7" s="120"/>
      <c r="B7" s="129"/>
      <c r="C7" s="120"/>
      <c r="I7" s="474"/>
      <c r="J7" s="335"/>
      <c r="K7" s="335"/>
      <c r="L7" s="120"/>
    </row>
    <row r="8" spans="1:15" ht="17.25" customHeight="1">
      <c r="A8" s="120"/>
      <c r="B8" s="120"/>
      <c r="C8" s="120"/>
      <c r="D8" s="116" t="s">
        <v>125</v>
      </c>
      <c r="E8" s="117" t="s">
        <v>311</v>
      </c>
      <c r="G8" s="116" t="s">
        <v>122</v>
      </c>
      <c r="H8" s="1155" t="str">
        <f>VLOOKUP($B$2,Data!$E$5:$AC$54,Data!H55)</f>
        <v>Aldo Alfinus Pakae</v>
      </c>
      <c r="I8" s="645"/>
      <c r="J8" s="335"/>
      <c r="K8" s="335"/>
      <c r="L8" s="120"/>
    </row>
    <row r="9" spans="1:15" ht="17.25" customHeight="1">
      <c r="A9" s="120"/>
      <c r="B9" s="120"/>
      <c r="C9" s="120"/>
      <c r="D9" s="116" t="s">
        <v>126</v>
      </c>
      <c r="E9" s="2233" t="str">
        <f>IF(VLOOKUP($B$2,Data!$E$5:$AC$54,Data!G55)="","Nomor Induk","NIS / NISN")</f>
        <v>NIS / NISN</v>
      </c>
      <c r="F9" s="2233"/>
      <c r="G9" s="116" t="s">
        <v>122</v>
      </c>
      <c r="H9" s="1156" t="str">
        <f>TEXT(VLOOKUP($B$2,Data!$E$5:$AC$54,Data!F55),Data!C18)&amp;IF(VLOOKUP($B$2,Data!$E$5:$AC$54,Data!G55)="",""," / "&amp;TEXT(VLOOKUP($B$2,Data!$E$5:$AC$54,Data!G55),Data!C20))</f>
        <v>00000 / 0066338468</v>
      </c>
      <c r="I9" s="475"/>
      <c r="J9" s="335"/>
      <c r="K9" s="335"/>
      <c r="L9" s="120"/>
    </row>
    <row r="10" spans="1:15" ht="17.25" customHeight="1">
      <c r="A10" s="120"/>
      <c r="B10" s="120"/>
      <c r="C10" s="120"/>
      <c r="D10" s="116" t="s">
        <v>127</v>
      </c>
      <c r="E10" s="117" t="s">
        <v>114</v>
      </c>
      <c r="G10" s="116" t="s">
        <v>122</v>
      </c>
      <c r="H10" s="1156" t="str">
        <f>VLOOKUP($B$2,Data!$E$5:$AC$54,Data!J55)&amp;", "&amp;TEXT(VLOOKUP($B$2,Data!$E$5:$AC$54,Data!K55),"D MMMM YYY")</f>
        <v>kupang, 20 September 2006</v>
      </c>
      <c r="I10" s="2240" t="s">
        <v>316</v>
      </c>
      <c r="J10" s="2240"/>
      <c r="K10" s="2240"/>
      <c r="L10" s="120"/>
    </row>
    <row r="11" spans="1:15" ht="17.25" customHeight="1">
      <c r="A11" s="120"/>
      <c r="B11" s="120"/>
      <c r="C11" s="120"/>
      <c r="D11" s="116" t="s">
        <v>128</v>
      </c>
      <c r="E11" s="117" t="s">
        <v>115</v>
      </c>
      <c r="G11" s="116" t="s">
        <v>122</v>
      </c>
      <c r="H11" s="1156" t="str">
        <f>IF(VLOOKUP($B$2,Data!$E$5:$AC$54,Data!I55)="L","Laki-laki","Perempuan")</f>
        <v>Laki-laki</v>
      </c>
      <c r="I11" s="2240"/>
      <c r="J11" s="2240"/>
      <c r="K11" s="2240"/>
      <c r="L11" s="120"/>
    </row>
    <row r="12" spans="1:15" ht="17.25" customHeight="1">
      <c r="A12" s="120"/>
      <c r="B12" s="120"/>
      <c r="C12" s="120"/>
      <c r="D12" s="116" t="s">
        <v>129</v>
      </c>
      <c r="E12" s="117" t="s">
        <v>116</v>
      </c>
      <c r="G12" s="116" t="s">
        <v>122</v>
      </c>
      <c r="H12" s="1156" t="str">
        <f>VLOOKUP($B$2,Data!$E$5:$AC$54,Data!L55)</f>
        <v>KRISTEN</v>
      </c>
      <c r="I12" s="2241" t="s">
        <v>409</v>
      </c>
      <c r="J12" s="2241"/>
      <c r="K12" s="2241"/>
      <c r="L12" s="120"/>
    </row>
    <row r="13" spans="1:15" ht="17.25" customHeight="1">
      <c r="A13" s="120"/>
      <c r="B13" s="120"/>
      <c r="C13" s="120"/>
      <c r="D13" s="116" t="s">
        <v>130</v>
      </c>
      <c r="E13" s="117" t="s">
        <v>117</v>
      </c>
      <c r="G13" s="116" t="s">
        <v>122</v>
      </c>
      <c r="H13" s="1156" t="str">
        <f>VLOOKUP($B$2,Data!$E$5:$AC$54,Data!M55)</f>
        <v>AK</v>
      </c>
      <c r="I13" s="2241"/>
      <c r="J13" s="2241"/>
      <c r="K13" s="2241"/>
      <c r="L13" s="120"/>
    </row>
    <row r="14" spans="1:15" ht="17.25" customHeight="1">
      <c r="A14" s="120"/>
      <c r="B14" s="120"/>
      <c r="C14" s="120"/>
      <c r="D14" s="116" t="s">
        <v>131</v>
      </c>
      <c r="E14" s="117" t="s">
        <v>118</v>
      </c>
      <c r="G14" s="116" t="s">
        <v>122</v>
      </c>
      <c r="H14" s="1156">
        <f>VLOOKUP($B$2,Data!$E$5:$AC$54,Data!N55)</f>
        <v>1</v>
      </c>
      <c r="I14" s="2242" t="str">
        <f>Data!C4&amp;IF(H3="TIDAK",""," - "&amp;UPPER(Data!C14))</f>
        <v>SMA Negeri 1 Amabi Efeto</v>
      </c>
      <c r="J14" s="2242"/>
      <c r="K14" s="2242"/>
      <c r="L14" s="120"/>
    </row>
    <row r="15" spans="1:15" ht="17.25" customHeight="1">
      <c r="A15" s="120"/>
      <c r="B15" s="120"/>
      <c r="C15" s="120"/>
      <c r="D15" s="116" t="s">
        <v>132</v>
      </c>
      <c r="E15" s="117" t="s">
        <v>312</v>
      </c>
      <c r="G15" s="116" t="s">
        <v>122</v>
      </c>
      <c r="H15" s="1156" t="str">
        <f>VLOOKUP($B$2,Data!$E$5:$AC$54,Data!O55)</f>
        <v>Desa Niunbaun</v>
      </c>
      <c r="I15" s="2242"/>
      <c r="J15" s="2242"/>
      <c r="K15" s="2242"/>
      <c r="L15" s="120"/>
    </row>
    <row r="16" spans="1:15" ht="17.25" customHeight="1">
      <c r="A16" s="120"/>
      <c r="B16" s="120"/>
      <c r="C16" s="120"/>
      <c r="D16" s="116" t="s">
        <v>133</v>
      </c>
      <c r="E16" s="117" t="s">
        <v>112</v>
      </c>
      <c r="G16" s="116" t="s">
        <v>122</v>
      </c>
      <c r="H16" s="1156">
        <f>VLOOKUP($B$2,Data!$E$5:$AC$54,Data!P55)</f>
        <v>0</v>
      </c>
      <c r="I16" s="2239" t="str">
        <f>"NSS : "&amp;J2&amp;"  |  NPSN: "&amp;J3</f>
        <v>NSS : 201020812170  |  NPSN: 20206113</v>
      </c>
      <c r="J16" s="2239"/>
      <c r="K16" s="2239"/>
      <c r="L16" s="120"/>
    </row>
    <row r="17" spans="1:12" ht="17.25" customHeight="1">
      <c r="A17" s="120"/>
      <c r="B17" s="120"/>
      <c r="C17" s="120"/>
      <c r="D17" s="116" t="s">
        <v>134</v>
      </c>
      <c r="E17" s="117" t="s">
        <v>462</v>
      </c>
      <c r="G17" s="116" t="s">
        <v>122</v>
      </c>
      <c r="H17" s="1156" t="str">
        <f>VLOOKUP($B$2,Data!$E$5:$AC$54,Data!Q55)</f>
        <v>SMP N 3 Amabi Oefeto</v>
      </c>
      <c r="I17" s="475"/>
      <c r="J17" s="335"/>
      <c r="K17" s="335"/>
      <c r="L17" s="120"/>
    </row>
    <row r="18" spans="1:12" ht="17.25" customHeight="1">
      <c r="A18" s="120"/>
      <c r="B18" s="120"/>
      <c r="C18" s="120"/>
      <c r="D18" s="116" t="s">
        <v>135</v>
      </c>
      <c r="E18" s="117" t="s">
        <v>119</v>
      </c>
      <c r="G18" s="116" t="s">
        <v>122</v>
      </c>
      <c r="H18" s="1156"/>
      <c r="I18" s="475"/>
      <c r="J18" s="335"/>
      <c r="K18" s="335"/>
      <c r="L18" s="120"/>
    </row>
    <row r="19" spans="1:12" ht="17.25" customHeight="1">
      <c r="A19" s="120"/>
      <c r="B19" s="120"/>
      <c r="C19" s="120"/>
      <c r="E19" s="117" t="s">
        <v>110</v>
      </c>
      <c r="G19" s="116" t="s">
        <v>122</v>
      </c>
      <c r="H19" s="1156" t="str">
        <f>VLOOKUP($B$2,Data!$E$5:$AC$54,Data!R55)</f>
        <v>X</v>
      </c>
      <c r="I19" s="475"/>
      <c r="J19" s="335"/>
      <c r="K19" s="335"/>
      <c r="L19" s="120"/>
    </row>
    <row r="20" spans="1:12" ht="17.25" customHeight="1">
      <c r="A20" s="120"/>
      <c r="B20" s="120"/>
      <c r="C20" s="120"/>
      <c r="E20" s="117" t="s">
        <v>111</v>
      </c>
      <c r="G20" s="116" t="s">
        <v>122</v>
      </c>
      <c r="H20" s="1156" t="str">
        <f>TEXT(VLOOKUP($B$2,Data!$E$5:$AC$54,Data!S55),"D MMMM YYY")</f>
        <v>15 JULI 2022</v>
      </c>
      <c r="I20" s="475"/>
      <c r="J20" s="335"/>
      <c r="K20" s="335"/>
      <c r="L20" s="120"/>
    </row>
    <row r="21" spans="1:12" ht="17.25" customHeight="1">
      <c r="A21" s="120"/>
      <c r="B21" s="120"/>
      <c r="C21" s="120"/>
      <c r="D21" s="116" t="s">
        <v>136</v>
      </c>
      <c r="E21" s="117" t="s">
        <v>276</v>
      </c>
      <c r="G21" s="116" t="s">
        <v>122</v>
      </c>
      <c r="H21" s="1156"/>
      <c r="I21" s="475"/>
      <c r="J21" s="335"/>
      <c r="K21" s="335"/>
      <c r="L21" s="120"/>
    </row>
    <row r="22" spans="1:12" ht="17.25" customHeight="1">
      <c r="A22" s="120"/>
      <c r="B22" s="120"/>
      <c r="C22" s="120"/>
      <c r="E22" s="117" t="s">
        <v>123</v>
      </c>
      <c r="G22" s="116" t="s">
        <v>122</v>
      </c>
      <c r="H22" s="1156" t="str">
        <f>VLOOKUP($B$2,Data!$E$5:$AC$54,Data!T55)</f>
        <v>Urbanus Pakae</v>
      </c>
      <c r="I22" s="475"/>
      <c r="J22" s="335"/>
      <c r="K22" s="335"/>
      <c r="L22" s="120"/>
    </row>
    <row r="23" spans="1:12" ht="17.25" customHeight="1">
      <c r="A23" s="120"/>
      <c r="B23" s="120"/>
      <c r="C23" s="120"/>
      <c r="E23" s="117" t="s">
        <v>124</v>
      </c>
      <c r="G23" s="116" t="s">
        <v>122</v>
      </c>
      <c r="H23" s="1156" t="str">
        <f>VLOOKUP($B$2,Data!$E$5:$AC$54,Data!U55)</f>
        <v>Albertina Nitti</v>
      </c>
      <c r="I23" s="475"/>
      <c r="J23" s="335"/>
      <c r="K23" s="335"/>
      <c r="L23" s="120"/>
    </row>
    <row r="24" spans="1:12" ht="17.25" customHeight="1">
      <c r="A24" s="120"/>
      <c r="B24" s="120"/>
      <c r="C24" s="120"/>
      <c r="D24" s="116" t="s">
        <v>137</v>
      </c>
      <c r="E24" s="117" t="s">
        <v>120</v>
      </c>
      <c r="G24" s="116" t="s">
        <v>122</v>
      </c>
      <c r="H24" s="1156" t="str">
        <f>VLOOKUP($B$2,Data!$E$5:$AC$54,Data!V55)</f>
        <v>Desa Niunbaun</v>
      </c>
      <c r="I24" s="475"/>
      <c r="J24" s="335"/>
      <c r="K24" s="335"/>
      <c r="L24" s="120"/>
    </row>
    <row r="25" spans="1:12" ht="17.25" customHeight="1">
      <c r="A25" s="120"/>
      <c r="B25" s="120"/>
      <c r="C25" s="120"/>
      <c r="E25" s="117" t="s">
        <v>112</v>
      </c>
      <c r="G25" s="116" t="s">
        <v>122</v>
      </c>
      <c r="H25" s="1156">
        <f>VLOOKUP($B$2,Data!$E$5:$AC$54,Data!W55)</f>
        <v>0</v>
      </c>
      <c r="I25" s="475"/>
      <c r="J25" s="335"/>
      <c r="K25" s="335"/>
      <c r="L25" s="120"/>
    </row>
    <row r="26" spans="1:12" ht="17.25" customHeight="1">
      <c r="A26" s="120"/>
      <c r="B26" s="120"/>
      <c r="C26" s="120"/>
      <c r="D26" s="116" t="s">
        <v>138</v>
      </c>
      <c r="E26" s="117" t="s">
        <v>121</v>
      </c>
      <c r="G26" s="116" t="s">
        <v>122</v>
      </c>
      <c r="H26" s="1156"/>
      <c r="I26" s="475"/>
      <c r="J26" s="335"/>
      <c r="K26" s="335"/>
      <c r="L26" s="120"/>
    </row>
    <row r="27" spans="1:12" ht="17.25" customHeight="1">
      <c r="A27" s="120"/>
      <c r="B27" s="120"/>
      <c r="C27" s="120"/>
      <c r="E27" s="117" t="s">
        <v>123</v>
      </c>
      <c r="G27" s="116" t="s">
        <v>122</v>
      </c>
      <c r="H27" s="1156" t="str">
        <f>VLOOKUP($B$2,Data!$E$5:$AC$54,Data!X55)</f>
        <v>PETANI</v>
      </c>
      <c r="I27" s="475"/>
      <c r="J27" s="335"/>
      <c r="K27" s="335"/>
      <c r="L27" s="120"/>
    </row>
    <row r="28" spans="1:12" ht="17.25" customHeight="1">
      <c r="A28" s="120"/>
      <c r="B28" s="120"/>
      <c r="C28" s="120"/>
      <c r="E28" s="117" t="s">
        <v>124</v>
      </c>
      <c r="G28" s="116" t="s">
        <v>122</v>
      </c>
      <c r="H28" s="1156" t="str">
        <f>VLOOKUP($B$2,Data!$E$5:$AC$54,Data!Y55)</f>
        <v>IRT</v>
      </c>
      <c r="I28" s="475"/>
      <c r="J28" s="335"/>
      <c r="K28" s="335"/>
      <c r="L28" s="120"/>
    </row>
    <row r="29" spans="1:12" ht="17.25" customHeight="1">
      <c r="A29" s="120"/>
      <c r="B29" s="120"/>
      <c r="C29" s="120"/>
      <c r="D29" s="116" t="s">
        <v>139</v>
      </c>
      <c r="E29" s="117" t="s">
        <v>313</v>
      </c>
      <c r="G29" s="116" t="s">
        <v>122</v>
      </c>
      <c r="H29" s="1156" t="str">
        <f>VLOOKUP($B$2,Data!$E$5:$AC$54,Data!Z55)</f>
        <v>-</v>
      </c>
      <c r="I29" s="475"/>
      <c r="J29" s="335"/>
      <c r="K29" s="335"/>
      <c r="L29" s="120"/>
    </row>
    <row r="30" spans="1:12" ht="17.25" customHeight="1">
      <c r="A30" s="120"/>
      <c r="B30" s="120"/>
      <c r="C30" s="120"/>
      <c r="D30" s="116" t="s">
        <v>140</v>
      </c>
      <c r="E30" s="117" t="s">
        <v>314</v>
      </c>
      <c r="G30" s="116" t="s">
        <v>122</v>
      </c>
      <c r="H30" s="1156" t="str">
        <f>VLOOKUP($B$2,Data!$E$5:$AC$54,Data!AA55)</f>
        <v>-</v>
      </c>
      <c r="I30" s="475"/>
      <c r="J30" s="335"/>
      <c r="K30" s="335"/>
      <c r="L30" s="120"/>
    </row>
    <row r="31" spans="1:12" ht="17.25" customHeight="1">
      <c r="A31" s="120"/>
      <c r="B31" s="120"/>
      <c r="C31" s="120"/>
      <c r="E31" s="117" t="s">
        <v>113</v>
      </c>
      <c r="G31" s="116" t="s">
        <v>122</v>
      </c>
      <c r="H31" s="1156" t="str">
        <f>VLOOKUP($B$2,Data!$E$5:$AC$54,Data!AB55)</f>
        <v>-</v>
      </c>
      <c r="I31" s="118"/>
      <c r="J31" s="345" t="s">
        <v>164</v>
      </c>
      <c r="K31" s="335"/>
      <c r="L31" s="120"/>
    </row>
    <row r="32" spans="1:12" ht="17.25" customHeight="1">
      <c r="A32" s="120"/>
      <c r="B32" s="120"/>
      <c r="C32" s="120"/>
      <c r="D32" s="116" t="s">
        <v>141</v>
      </c>
      <c r="E32" s="117" t="s">
        <v>315</v>
      </c>
      <c r="G32" s="116" t="s">
        <v>122</v>
      </c>
      <c r="H32" s="1156" t="str">
        <f>VLOOKUP($B$2,Data!$E$5:$AC$54,Data!AC55)</f>
        <v>-</v>
      </c>
      <c r="I32" s="118"/>
      <c r="J32" s="2237" t="str">
        <f>H8</f>
        <v>Aldo Alfinus Pakae</v>
      </c>
      <c r="K32" s="335"/>
      <c r="L32" s="120"/>
    </row>
    <row r="33" spans="1:12" ht="17.25" customHeight="1">
      <c r="A33" s="120"/>
      <c r="B33" s="120"/>
      <c r="C33" s="120"/>
      <c r="J33" s="2238"/>
      <c r="K33" s="338"/>
      <c r="L33" s="120"/>
    </row>
    <row r="34" spans="1:12" ht="12.75" customHeight="1">
      <c r="A34" s="120"/>
      <c r="B34" s="120"/>
      <c r="C34" s="120"/>
      <c r="K34" s="344"/>
      <c r="L34" s="120"/>
    </row>
    <row r="35" spans="1:12" ht="17.25" customHeight="1">
      <c r="A35" s="120"/>
      <c r="B35" s="120"/>
      <c r="C35" s="120"/>
      <c r="K35" s="344"/>
      <c r="L35" s="120"/>
    </row>
    <row r="36" spans="1:12" ht="17.25" customHeight="1">
      <c r="A36" s="120"/>
      <c r="B36" s="120"/>
      <c r="C36" s="120"/>
      <c r="H36" s="132" t="str">
        <f>Data!C14&amp;", "&amp;TEXT('Hal-3'!H2,"d mmmm yyy")</f>
        <v>Kupang, 16 July 2017</v>
      </c>
      <c r="I36" s="132"/>
      <c r="J36" s="434" t="str">
        <f>IF(VLOOKUP($B$2,Data!$E$5:$AC$54,Data!G55)="","Nomor Induk : ","NIS / NISN : ")</f>
        <v xml:space="preserve">NIS / NISN : </v>
      </c>
      <c r="K36" s="343"/>
      <c r="L36" s="120"/>
    </row>
    <row r="37" spans="1:12" ht="17.25" customHeight="1">
      <c r="A37" s="120"/>
      <c r="B37" s="120"/>
      <c r="C37" s="120"/>
      <c r="H37" s="132" t="s">
        <v>165</v>
      </c>
      <c r="I37" s="132"/>
      <c r="J37" s="375" t="str">
        <f>H9</f>
        <v>00000 / 0066338468</v>
      </c>
      <c r="K37" s="335"/>
      <c r="L37" s="120"/>
    </row>
    <row r="38" spans="1:12" ht="18" customHeight="1">
      <c r="A38" s="120"/>
      <c r="B38" s="120"/>
      <c r="C38" s="120"/>
      <c r="H38" s="132"/>
      <c r="I38" s="646"/>
      <c r="J38" s="335"/>
      <c r="K38" s="335"/>
      <c r="L38" s="120"/>
    </row>
    <row r="39" spans="1:12" ht="21.75" customHeight="1">
      <c r="A39" s="120"/>
      <c r="B39" s="120"/>
      <c r="C39" s="120"/>
      <c r="H39" s="132"/>
      <c r="I39" s="646"/>
      <c r="J39" s="335"/>
      <c r="K39" s="335"/>
      <c r="L39" s="120"/>
    </row>
    <row r="40" spans="1:12" ht="17.25" customHeight="1">
      <c r="A40" s="120"/>
      <c r="B40" s="120"/>
      <c r="C40" s="120"/>
      <c r="H40" s="132"/>
      <c r="I40" s="2232" t="s">
        <v>291</v>
      </c>
      <c r="J40" s="2232"/>
      <c r="K40" s="2232"/>
      <c r="L40" s="120"/>
    </row>
    <row r="41" spans="1:12" ht="17.25" customHeight="1">
      <c r="A41" s="120"/>
      <c r="B41" s="120"/>
      <c r="C41" s="120"/>
      <c r="H41" s="133" t="str">
        <f>Data!C7</f>
        <v>Nelson Nome, S.Pd</v>
      </c>
      <c r="I41" s="2232"/>
      <c r="J41" s="2232"/>
      <c r="K41" s="2232"/>
      <c r="L41" s="120"/>
    </row>
    <row r="42" spans="1:12" ht="17.25" customHeight="1">
      <c r="A42" s="120"/>
      <c r="B42" s="120"/>
      <c r="C42" s="120"/>
      <c r="H42" s="132" t="str">
        <f>Data!B8&amp;". "&amp;Data!C8</f>
        <v>NIP. 19781107201001 1 022</v>
      </c>
      <c r="I42" s="2231" t="s">
        <v>172</v>
      </c>
      <c r="J42" s="2231"/>
      <c r="K42" s="2231"/>
      <c r="L42" s="120"/>
    </row>
    <row r="43" spans="1:12" ht="20.25" customHeight="1">
      <c r="A43" s="120"/>
      <c r="B43" s="120"/>
      <c r="C43" s="120"/>
      <c r="I43" s="1154"/>
      <c r="J43" s="1154">
        <v>2018</v>
      </c>
      <c r="K43" s="1154"/>
      <c r="L43" s="120"/>
    </row>
    <row r="44" spans="1:12" ht="27.75" customHeight="1">
      <c r="A44" s="120"/>
      <c r="B44" s="120"/>
      <c r="C44" s="120"/>
      <c r="D44" s="128"/>
      <c r="E44" s="128"/>
      <c r="F44" s="128"/>
      <c r="G44" s="128"/>
      <c r="H44" s="128"/>
      <c r="I44" s="494"/>
      <c r="J44" s="335"/>
      <c r="K44" s="335"/>
      <c r="L44" s="120"/>
    </row>
    <row r="45" spans="1:12" ht="17.25" customHeight="1">
      <c r="A45" s="120"/>
      <c r="B45" s="120"/>
      <c r="C45" s="120"/>
      <c r="D45" s="112"/>
      <c r="H45" s="114" t="str">
        <f>"Hal. - "&amp;B6</f>
        <v>Hal. - iii</v>
      </c>
      <c r="I45" s="647"/>
      <c r="J45" s="336"/>
      <c r="K45" s="336"/>
      <c r="L45" s="120"/>
    </row>
    <row r="46" spans="1:12" ht="24" customHeight="1">
      <c r="A46" s="120"/>
      <c r="B46" s="120"/>
      <c r="C46" s="120"/>
      <c r="D46" s="121"/>
      <c r="E46" s="121"/>
      <c r="F46" s="121"/>
      <c r="G46" s="121"/>
      <c r="H46" s="121"/>
      <c r="I46" s="121"/>
      <c r="J46" s="122"/>
      <c r="K46" s="122"/>
      <c r="L46" s="120"/>
    </row>
  </sheetData>
  <sheetProtection selectLockedCells="1"/>
  <mergeCells count="10">
    <mergeCell ref="I42:K42"/>
    <mergeCell ref="I40:K41"/>
    <mergeCell ref="E9:F9"/>
    <mergeCell ref="B2:B3"/>
    <mergeCell ref="E4:H4"/>
    <mergeCell ref="J32:J33"/>
    <mergeCell ref="I16:K16"/>
    <mergeCell ref="I10:K11"/>
    <mergeCell ref="I12:K13"/>
    <mergeCell ref="I14:K15"/>
  </mergeCells>
  <conditionalFormatting sqref="H8:H32">
    <cfRule type="cellIs" dxfId="184" priority="1" operator="equal">
      <formula>0</formula>
    </cfRule>
  </conditionalFormatting>
  <dataValidations count="1">
    <dataValidation type="list" allowBlank="1" showInputMessage="1" showErrorMessage="1" sqref="H3">
      <formula1>"TIDAK,=Data!$C$14"</formula1>
    </dataValidation>
  </dataValidations>
  <printOptions horizontalCentered="1"/>
  <pageMargins left="0.27559055118110237" right="0.23622047244094491" top="0.6692913385826772" bottom="0.55118110236220474" header="0.31496062992125984" footer="0.31496062992125984"/>
  <pageSetup paperSize="9" orientation="portrait" horizontalDpi="4294967293" verticalDpi="4294967293" r:id="rId1"/>
  <colBreaks count="1" manualBreakCount="1">
    <brk id="8"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24577" r:id="rId4" name="Spinner 1">
              <controlPr defaultSize="0" autoPict="0">
                <anchor moveWithCells="1" sizeWithCells="1">
                  <from>
                    <xdr:col>3</xdr:col>
                    <xdr:colOff>47625</xdr:colOff>
                    <xdr:row>1</xdr:row>
                    <xdr:rowOff>28575</xdr:rowOff>
                  </from>
                  <to>
                    <xdr:col>3</xdr:col>
                    <xdr:colOff>276225</xdr:colOff>
                    <xdr:row>2</xdr:row>
                    <xdr:rowOff>161925</xdr:rowOff>
                  </to>
                </anchor>
              </controlPr>
            </control>
          </mc:Choice>
        </mc:AlternateContent>
      </controls>
    </mc:Choice>
  </mc:AlternateConten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C00000"/>
  </sheetPr>
  <dimension ref="A1:BM78"/>
  <sheetViews>
    <sheetView showGridLines="0" showRowColHeaders="0" topLeftCell="D1" workbookViewId="0">
      <pane ySplit="10" topLeftCell="A35" activePane="bottomLeft" state="frozen"/>
      <selection pane="bottomLeft" activeCell="AO49" sqref="AO49"/>
    </sheetView>
  </sheetViews>
  <sheetFormatPr defaultColWidth="0" defaultRowHeight="11.25" zeroHeight="1"/>
  <cols>
    <col min="1" max="1" width="1.7109375" style="141" customWidth="1"/>
    <col min="2" max="2" width="3.7109375" style="141" customWidth="1"/>
    <col min="3" max="3" width="8.140625" style="150" customWidth="1"/>
    <col min="4" max="4" width="22.140625" style="141" customWidth="1"/>
    <col min="5" max="5" width="3.140625" style="141" customWidth="1"/>
    <col min="6" max="11" width="3.42578125" style="150" customWidth="1"/>
    <col min="12" max="17" width="3.42578125" style="141" customWidth="1"/>
    <col min="18" max="30" width="3.42578125" style="150" customWidth="1"/>
    <col min="31" max="32" width="3.42578125" style="141" customWidth="1"/>
    <col min="33" max="36" width="3.42578125" style="150" customWidth="1"/>
    <col min="37" max="45" width="3.42578125" style="141" customWidth="1"/>
    <col min="46" max="48" width="5.7109375" style="141" customWidth="1"/>
    <col min="49" max="49" width="3.7109375" style="141" customWidth="1"/>
    <col min="50" max="50" width="5.5703125" style="141" customWidth="1"/>
    <col min="51" max="65" width="0" style="141" hidden="1" customWidth="1"/>
    <col min="66" max="16384" width="9.140625" style="141" hidden="1"/>
  </cols>
  <sheetData>
    <row r="1" spans="1:50" s="142" customFormat="1" ht="33.950000000000003" customHeight="1">
      <c r="A1" s="155"/>
      <c r="B1" s="155"/>
      <c r="C1" s="155"/>
      <c r="D1" s="722" t="s">
        <v>494</v>
      </c>
      <c r="E1" s="2263" t="s">
        <v>290</v>
      </c>
      <c r="F1" s="2264"/>
      <c r="G1" s="157"/>
      <c r="H1" s="157"/>
      <c r="I1" s="157"/>
      <c r="J1" s="157"/>
      <c r="K1" s="156"/>
      <c r="L1" s="155"/>
      <c r="M1" s="156"/>
      <c r="N1" s="155"/>
      <c r="O1" s="155"/>
      <c r="P1" s="155"/>
      <c r="Q1" s="155"/>
      <c r="R1" s="157"/>
      <c r="S1" s="157"/>
      <c r="T1" s="157"/>
      <c r="U1" s="157"/>
      <c r="V1" s="157"/>
      <c r="W1" s="157"/>
      <c r="X1" s="157"/>
      <c r="Y1" s="157"/>
      <c r="Z1" s="157"/>
      <c r="AA1" s="157"/>
      <c r="AB1" s="157"/>
      <c r="AC1" s="157"/>
      <c r="AD1" s="157"/>
      <c r="AE1" s="155"/>
      <c r="AF1" s="155"/>
      <c r="AG1" s="157"/>
      <c r="AH1" s="157"/>
      <c r="AI1" s="157"/>
      <c r="AJ1" s="157"/>
      <c r="AK1" s="155"/>
      <c r="AL1" s="155"/>
      <c r="AM1" s="155"/>
      <c r="AN1" s="155"/>
      <c r="AO1" s="155"/>
      <c r="AP1" s="155"/>
      <c r="AQ1" s="155"/>
      <c r="AR1" s="155"/>
      <c r="AS1" s="155"/>
      <c r="AT1" s="155"/>
      <c r="AU1" s="155"/>
      <c r="AV1" s="155"/>
      <c r="AW1" s="155"/>
      <c r="AX1" s="155"/>
    </row>
    <row r="2" spans="1:50" s="142" customFormat="1" ht="17.100000000000001" customHeight="1">
      <c r="A2" s="155"/>
      <c r="C2" s="143"/>
      <c r="F2" s="143"/>
      <c r="G2" s="143"/>
      <c r="H2" s="143"/>
      <c r="I2" s="143"/>
      <c r="J2" s="143"/>
      <c r="K2" s="143"/>
      <c r="R2" s="143"/>
      <c r="S2" s="143"/>
      <c r="T2" s="143"/>
      <c r="U2" s="143"/>
      <c r="V2" s="143"/>
      <c r="W2" s="143"/>
      <c r="X2" s="143"/>
      <c r="Y2" s="314" t="s">
        <v>194</v>
      </c>
      <c r="Z2" s="143"/>
      <c r="AA2" s="143"/>
      <c r="AC2" s="143"/>
      <c r="AG2" s="143"/>
      <c r="AH2" s="143"/>
      <c r="AI2" s="143"/>
      <c r="AJ2" s="143"/>
      <c r="AX2" s="155"/>
    </row>
    <row r="3" spans="1:50" s="142" customFormat="1" ht="12.95" customHeight="1">
      <c r="A3" s="155"/>
      <c r="F3" s="143"/>
      <c r="G3" s="143"/>
      <c r="H3" s="143"/>
      <c r="I3" s="143"/>
      <c r="J3" s="143"/>
      <c r="K3" s="143"/>
      <c r="R3" s="143"/>
      <c r="S3" s="143"/>
      <c r="T3" s="143"/>
      <c r="U3" s="143"/>
      <c r="V3" s="143"/>
      <c r="W3" s="143"/>
      <c r="X3" s="143"/>
      <c r="Y3" s="143"/>
      <c r="Z3" s="143"/>
      <c r="AA3" s="143"/>
      <c r="AB3" s="143"/>
      <c r="AC3" s="143"/>
      <c r="AD3" s="143"/>
      <c r="AG3" s="143"/>
      <c r="AH3" s="143"/>
      <c r="AI3" s="143"/>
      <c r="AJ3" s="143"/>
      <c r="AX3" s="155"/>
    </row>
    <row r="4" spans="1:50" s="144" customFormat="1" ht="15" customHeight="1">
      <c r="A4" s="158"/>
      <c r="C4" s="145"/>
      <c r="D4" s="144" t="s">
        <v>193</v>
      </c>
      <c r="E4" s="147" t="s">
        <v>122</v>
      </c>
      <c r="F4" s="2269" t="str">
        <f>Data!C4</f>
        <v>SMA Negeri 1 Amabi Efeto</v>
      </c>
      <c r="G4" s="2269"/>
      <c r="H4" s="2269"/>
      <c r="I4" s="2269"/>
      <c r="J4" s="2269"/>
      <c r="K4" s="2269"/>
      <c r="L4" s="2269"/>
      <c r="M4" s="2269"/>
      <c r="N4" s="2269"/>
      <c r="O4" s="2269"/>
      <c r="P4" s="2269"/>
      <c r="Q4" s="2269"/>
      <c r="R4" s="2269"/>
      <c r="S4" s="2269"/>
      <c r="T4" s="2269"/>
      <c r="U4" s="2269"/>
      <c r="V4" s="2269"/>
      <c r="W4" s="976"/>
      <c r="X4" s="146"/>
      <c r="Y4" s="137" t="str">
        <f>IF(E1="YA","Semester","Kelas")</f>
        <v>Kelas</v>
      </c>
      <c r="AB4" s="138" t="s">
        <v>122</v>
      </c>
      <c r="AC4" s="315" t="str">
        <f>IF(E1="YA",SKS!S4&amp;" "&amp;CHOOSE(SKS!S4,SKS!T3,SKS!T4,SKS!T5,SKS!T6,SKS!T7,SKS!T8,SKS!U3,SKS!U4,SKS!U5,SKS!U6,SKS!U7,SKS!U8),MID(IF(Data2!L16="MULTI KKM",'Multi-KKM'!N6,'KKM-1'!M6),3,20))</f>
        <v>X IIS 2</v>
      </c>
      <c r="AL4" s="138"/>
      <c r="AM4" s="138"/>
      <c r="AN4" s="138"/>
      <c r="AO4" s="138"/>
      <c r="AP4" s="138"/>
      <c r="AQ4" s="298" t="s">
        <v>285</v>
      </c>
      <c r="AR4" s="315" t="str">
        <f>Data!C11</f>
        <v>2022-2023</v>
      </c>
      <c r="AS4" s="298"/>
      <c r="AX4" s="158"/>
    </row>
    <row r="5" spans="1:50" s="137" customFormat="1" ht="15" customHeight="1">
      <c r="A5" s="159"/>
      <c r="C5" s="138"/>
      <c r="D5" s="137" t="s">
        <v>9</v>
      </c>
      <c r="E5" s="138" t="s">
        <v>122</v>
      </c>
      <c r="F5" s="2270" t="str">
        <f>Data!C5</f>
        <v>Jl. Dusun V Hunaek Desa Fatukanutu</v>
      </c>
      <c r="G5" s="2270"/>
      <c r="H5" s="2270"/>
      <c r="I5" s="2270"/>
      <c r="J5" s="2270"/>
      <c r="K5" s="2270"/>
      <c r="L5" s="2270"/>
      <c r="M5" s="2270"/>
      <c r="N5" s="2270"/>
      <c r="O5" s="2270"/>
      <c r="P5" s="2270"/>
      <c r="Q5" s="2270"/>
      <c r="R5" s="2270"/>
      <c r="S5" s="2270"/>
      <c r="T5" s="2270"/>
      <c r="U5" s="2270"/>
      <c r="V5" s="2270"/>
      <c r="W5" s="977"/>
      <c r="X5" s="866"/>
      <c r="Y5" s="144" t="str">
        <f>IF(E1="ya","","Semester")</f>
        <v>Semester</v>
      </c>
      <c r="AB5" s="147" t="str">
        <f>IF(E1="ya","",":")</f>
        <v>:</v>
      </c>
      <c r="AC5" s="316" t="str">
        <f>IF(E1="ya","",IF(Data!C10=1,"1 (Satu)",IF(Data!C10=2,"2 (Dua)",Data!C10)))</f>
        <v>1 (Satu)</v>
      </c>
      <c r="AL5" s="315"/>
      <c r="AM5" s="315"/>
      <c r="AN5" s="315"/>
      <c r="AO5" s="315"/>
      <c r="AP5" s="315"/>
      <c r="AQ5" s="298" t="s">
        <v>286</v>
      </c>
      <c r="AR5" s="315" t="str">
        <f>Data!C12</f>
        <v>Sendi Laura Kee, S.Pd</v>
      </c>
      <c r="AS5" s="298"/>
      <c r="AX5" s="159"/>
    </row>
    <row r="6" spans="1:50" s="149" customFormat="1" ht="9" customHeight="1" thickBot="1">
      <c r="A6" s="160"/>
      <c r="B6" s="139"/>
      <c r="C6" s="139"/>
      <c r="D6" s="139"/>
      <c r="E6" s="140"/>
      <c r="F6" s="2271"/>
      <c r="G6" s="2271"/>
      <c r="H6" s="2271"/>
      <c r="I6" s="2271"/>
      <c r="J6" s="2271"/>
      <c r="K6" s="2271"/>
      <c r="L6" s="2271"/>
      <c r="M6" s="2271"/>
      <c r="N6" s="2271"/>
      <c r="O6" s="2271"/>
      <c r="P6" s="2271"/>
      <c r="Q6" s="2271"/>
      <c r="R6" s="2271"/>
      <c r="S6" s="2271"/>
      <c r="T6" s="2271"/>
      <c r="U6" s="2271"/>
      <c r="V6" s="2271"/>
      <c r="W6" s="978"/>
      <c r="X6" s="867"/>
      <c r="Y6" s="209"/>
      <c r="Z6" s="209"/>
      <c r="AA6" s="209"/>
      <c r="AB6" s="209"/>
      <c r="AC6" s="209"/>
      <c r="AD6" s="209"/>
      <c r="AE6" s="209"/>
      <c r="AF6" s="148"/>
      <c r="AG6" s="148"/>
      <c r="AH6" s="139"/>
      <c r="AI6" s="139"/>
      <c r="AJ6" s="139"/>
      <c r="AK6" s="139"/>
      <c r="AL6" s="139"/>
      <c r="AM6" s="139"/>
      <c r="AN6" s="139"/>
      <c r="AO6" s="139"/>
      <c r="AP6" s="139"/>
      <c r="AQ6" s="139"/>
      <c r="AR6" s="139"/>
      <c r="AS6" s="139"/>
      <c r="AX6" s="160"/>
    </row>
    <row r="7" spans="1:50" ht="15.95" customHeight="1">
      <c r="A7" s="161"/>
      <c r="B7" s="2257" t="s">
        <v>0</v>
      </c>
      <c r="C7" s="2248" t="s">
        <v>78</v>
      </c>
      <c r="D7" s="2251" t="s">
        <v>2</v>
      </c>
      <c r="E7" s="2254" t="s">
        <v>26</v>
      </c>
      <c r="F7" s="2265" t="s">
        <v>492</v>
      </c>
      <c r="G7" s="2266"/>
      <c r="H7" s="2266"/>
      <c r="I7" s="2266"/>
      <c r="J7" s="2266"/>
      <c r="K7" s="2266"/>
      <c r="L7" s="2266"/>
      <c r="M7" s="2266"/>
      <c r="N7" s="2266"/>
      <c r="O7" s="2266"/>
      <c r="P7" s="2266"/>
      <c r="Q7" s="2266"/>
      <c r="R7" s="2266"/>
      <c r="S7" s="2266"/>
      <c r="T7" s="2266"/>
      <c r="U7" s="2266"/>
      <c r="V7" s="2266"/>
      <c r="W7" s="2266"/>
      <c r="X7" s="2267"/>
      <c r="Y7" s="2265" t="s">
        <v>493</v>
      </c>
      <c r="Z7" s="2266"/>
      <c r="AA7" s="2266"/>
      <c r="AB7" s="2266"/>
      <c r="AC7" s="2266"/>
      <c r="AD7" s="2266"/>
      <c r="AE7" s="2266"/>
      <c r="AF7" s="2266"/>
      <c r="AG7" s="2266"/>
      <c r="AH7" s="2266"/>
      <c r="AI7" s="2266"/>
      <c r="AJ7" s="2266"/>
      <c r="AK7" s="2266"/>
      <c r="AL7" s="2266"/>
      <c r="AM7" s="2266"/>
      <c r="AN7" s="2266"/>
      <c r="AO7" s="2266"/>
      <c r="AP7" s="2266"/>
      <c r="AQ7" s="2267"/>
      <c r="AR7" s="2266" t="s">
        <v>356</v>
      </c>
      <c r="AS7" s="2267"/>
      <c r="AT7" s="2265" t="s">
        <v>277</v>
      </c>
      <c r="AU7" s="2266"/>
      <c r="AV7" s="2248" t="s">
        <v>195</v>
      </c>
      <c r="AW7" s="2272" t="s">
        <v>191</v>
      </c>
      <c r="AX7" s="161"/>
    </row>
    <row r="8" spans="1:50" ht="21" customHeight="1">
      <c r="A8" s="161"/>
      <c r="B8" s="2258"/>
      <c r="C8" s="2249"/>
      <c r="D8" s="2252"/>
      <c r="E8" s="2255"/>
      <c r="F8" s="2268" t="str">
        <f>Data2!F4</f>
        <v>PA</v>
      </c>
      <c r="G8" s="2243" t="str">
        <f>Data2!F5</f>
        <v>PPKn</v>
      </c>
      <c r="H8" s="2243" t="str">
        <f>Data2!F6</f>
        <v>BIND</v>
      </c>
      <c r="I8" s="2243" t="str">
        <f>Data2!F7</f>
        <v>MAT</v>
      </c>
      <c r="J8" s="2243" t="str">
        <f>Data2!F8</f>
        <v>SEJ</v>
      </c>
      <c r="K8" s="2243" t="str">
        <f>Data2!F9</f>
        <v>BING</v>
      </c>
      <c r="L8" s="2243" t="str">
        <f>Data2!F10</f>
        <v>SB</v>
      </c>
      <c r="M8" s="2243" t="str">
        <f>Data2!F11</f>
        <v>PJS</v>
      </c>
      <c r="N8" s="2243" t="str">
        <f>Data2!F12</f>
        <v>PKY</v>
      </c>
      <c r="O8" s="2243" t="str">
        <f>IF(Data2!F13="","",Data2!F13)</f>
        <v>TIK</v>
      </c>
      <c r="P8" s="2243" t="str">
        <f>IF(Data2!F14="","",Data2!F14)</f>
        <v/>
      </c>
      <c r="Q8" s="2243" t="str">
        <f>IF(Data2!F15="","",Data2!F15)</f>
        <v>SOS</v>
      </c>
      <c r="R8" s="2243" t="str">
        <f>IF(Data2!F16="","",Data2!F16)</f>
        <v>GEO</v>
      </c>
      <c r="S8" s="2243" t="str">
        <f>IF(Data2!F17="","",Data2!F17)</f>
        <v>EKO</v>
      </c>
      <c r="T8" s="2243" t="str">
        <f>IF(Data2!F18="","",Data2!F18)</f>
        <v>Sej.P</v>
      </c>
      <c r="U8" s="2243" t="str">
        <f>IF(Data2!F19="","",Data2!F19)</f>
        <v/>
      </c>
      <c r="V8" s="2243" t="str">
        <f>IF(Data2!F20="","",Data2!F20)</f>
        <v/>
      </c>
      <c r="W8" s="2243" t="str">
        <f>IF(Data2!F21="","",Data2!F21)</f>
        <v>BIO</v>
      </c>
      <c r="X8" s="2244" t="str">
        <f>IF(Data2!F22="","",Data2!F22)</f>
        <v>Fisika</v>
      </c>
      <c r="Y8" s="2288" t="str">
        <f t="shared" ref="Y8:AK8" si="0">F8</f>
        <v>PA</v>
      </c>
      <c r="Z8" s="2279" t="str">
        <f t="shared" si="0"/>
        <v>PPKn</v>
      </c>
      <c r="AA8" s="2279" t="str">
        <f t="shared" si="0"/>
        <v>BIND</v>
      </c>
      <c r="AB8" s="2279" t="str">
        <f t="shared" si="0"/>
        <v>MAT</v>
      </c>
      <c r="AC8" s="2279" t="str">
        <f t="shared" si="0"/>
        <v>SEJ</v>
      </c>
      <c r="AD8" s="2279" t="str">
        <f t="shared" si="0"/>
        <v>BING</v>
      </c>
      <c r="AE8" s="2279" t="str">
        <f t="shared" si="0"/>
        <v>SB</v>
      </c>
      <c r="AF8" s="2279" t="str">
        <f t="shared" si="0"/>
        <v>PJS</v>
      </c>
      <c r="AG8" s="2279" t="str">
        <f t="shared" si="0"/>
        <v>PKY</v>
      </c>
      <c r="AH8" s="2279" t="str">
        <f t="shared" si="0"/>
        <v>TIK</v>
      </c>
      <c r="AI8" s="2279" t="str">
        <f t="shared" si="0"/>
        <v/>
      </c>
      <c r="AJ8" s="2279" t="str">
        <f t="shared" si="0"/>
        <v>SOS</v>
      </c>
      <c r="AK8" s="2279" t="str">
        <f t="shared" si="0"/>
        <v>GEO</v>
      </c>
      <c r="AL8" s="2279" t="str">
        <f t="shared" ref="AL8" si="1">S8</f>
        <v>EKO</v>
      </c>
      <c r="AM8" s="2279" t="str">
        <f t="shared" ref="AM8" si="2">T8</f>
        <v>Sej.P</v>
      </c>
      <c r="AN8" s="2279" t="str">
        <f t="shared" ref="AN8" si="3">U8</f>
        <v/>
      </c>
      <c r="AO8" s="2279" t="str">
        <f>V8</f>
        <v/>
      </c>
      <c r="AP8" s="2279" t="str">
        <f>W8</f>
        <v>BIO</v>
      </c>
      <c r="AQ8" s="2280" t="str">
        <f t="shared" ref="AQ8" si="4">X8</f>
        <v>Fisika</v>
      </c>
      <c r="AR8" s="2281" t="s">
        <v>407</v>
      </c>
      <c r="AS8" s="2284" t="s">
        <v>408</v>
      </c>
      <c r="AT8" s="2275" t="s">
        <v>196</v>
      </c>
      <c r="AU8" s="2277" t="s">
        <v>190</v>
      </c>
      <c r="AV8" s="2249"/>
      <c r="AW8" s="2273"/>
      <c r="AX8" s="161"/>
    </row>
    <row r="9" spans="1:50" ht="12.95" customHeight="1">
      <c r="A9" s="161"/>
      <c r="B9" s="2258"/>
      <c r="C9" s="2249"/>
      <c r="D9" s="2252"/>
      <c r="E9" s="2255"/>
      <c r="F9" s="2268"/>
      <c r="G9" s="2243"/>
      <c r="H9" s="2243"/>
      <c r="I9" s="2243"/>
      <c r="J9" s="2243"/>
      <c r="K9" s="2243"/>
      <c r="L9" s="2243"/>
      <c r="M9" s="2243"/>
      <c r="N9" s="2243"/>
      <c r="O9" s="2243"/>
      <c r="P9" s="2243"/>
      <c r="Q9" s="2243"/>
      <c r="R9" s="2243"/>
      <c r="S9" s="2243"/>
      <c r="T9" s="2243"/>
      <c r="U9" s="2243"/>
      <c r="V9" s="2243"/>
      <c r="W9" s="2243"/>
      <c r="X9" s="2244"/>
      <c r="Y9" s="2288"/>
      <c r="Z9" s="2279"/>
      <c r="AA9" s="2279"/>
      <c r="AB9" s="2279"/>
      <c r="AC9" s="2279"/>
      <c r="AD9" s="2279"/>
      <c r="AE9" s="2279"/>
      <c r="AF9" s="2279"/>
      <c r="AG9" s="2279"/>
      <c r="AH9" s="2279"/>
      <c r="AI9" s="2279"/>
      <c r="AJ9" s="2279"/>
      <c r="AK9" s="2279"/>
      <c r="AL9" s="2279"/>
      <c r="AM9" s="2279"/>
      <c r="AN9" s="2279"/>
      <c r="AO9" s="2279"/>
      <c r="AP9" s="2279"/>
      <c r="AQ9" s="2280"/>
      <c r="AR9" s="2282"/>
      <c r="AS9" s="2285"/>
      <c r="AT9" s="2276"/>
      <c r="AU9" s="2278"/>
      <c r="AV9" s="2249"/>
      <c r="AW9" s="2273"/>
      <c r="AX9" s="161"/>
    </row>
    <row r="10" spans="1:50" ht="12.95" customHeight="1" thickBot="1">
      <c r="A10" s="161"/>
      <c r="B10" s="2259"/>
      <c r="C10" s="2250"/>
      <c r="D10" s="2253"/>
      <c r="E10" s="2256"/>
      <c r="F10" s="714">
        <f>IF(Data2!$L$16="MULTI KKM",Data2!G4,Data2!$L$3)</f>
        <v>76</v>
      </c>
      <c r="G10" s="715">
        <f>IF(Data2!$L$16="MULTI KKM",Data2!G5,Data2!$L$3)</f>
        <v>76</v>
      </c>
      <c r="H10" s="715">
        <f>IF(Data2!$L$16="MULTI KKM",Data2!G6,Data2!$L$3)</f>
        <v>76</v>
      </c>
      <c r="I10" s="715">
        <f>IF(Data2!$L$16="MULTI KKM",Data2!G7,Data2!$L$3)</f>
        <v>76</v>
      </c>
      <c r="J10" s="715">
        <f>IF(Data2!$L$16="MULTI KKM",Data2!G8,Data2!$L$3)</f>
        <v>76</v>
      </c>
      <c r="K10" s="715">
        <f>IF(Data2!$L$16="MULTI KKM",Data2!G9,Data2!$L$3)</f>
        <v>76</v>
      </c>
      <c r="L10" s="715">
        <f>IF(Data2!$L$16="MULTI KKM",Data2!G10,Data2!$L$3)</f>
        <v>76</v>
      </c>
      <c r="M10" s="715">
        <f>IF(Data2!$L$16="MULTI KKM",Data2!G11,Data2!$L$3)</f>
        <v>76</v>
      </c>
      <c r="N10" s="715">
        <f>IF(Data2!$L$16="MULTI KKM",Data2!G12,Data2!$L$3)</f>
        <v>76</v>
      </c>
      <c r="O10" s="715">
        <f>IF(Data2!$L$16="MULTI KKM",Data2!G13,Data2!$L$3)</f>
        <v>76</v>
      </c>
      <c r="P10" s="1124">
        <f>IF(Data2!$L$16="MULTI KKM",Data2!G14,Data2!$L$3)</f>
        <v>0</v>
      </c>
      <c r="Q10" s="715">
        <f>IF(Data2!$L$16="MULTI KKM",Data2!G15,Data2!$L$3)</f>
        <v>76</v>
      </c>
      <c r="R10" s="715">
        <f>IF(Data2!$L$16="MULTI KKM",Data2!G16,Data2!$L$3)</f>
        <v>76</v>
      </c>
      <c r="S10" s="715">
        <f>IF(Data2!$L$16="MULTI KKM",Data2!G17,Data2!$L$3)</f>
        <v>76</v>
      </c>
      <c r="T10" s="715">
        <f>IF(Data2!$L$16="MULTI KKM",Data2!G18,Data2!$L$3)</f>
        <v>76</v>
      </c>
      <c r="U10" s="715">
        <f>IF(Data2!$L$16="MULTI KKM",Data2!G19,Data2!$L$3)</f>
        <v>0</v>
      </c>
      <c r="V10" s="715">
        <f>IF(Data2!$L$16="MULTI KKM",Data2!G20,Data2!$L$3)</f>
        <v>0</v>
      </c>
      <c r="W10" s="715">
        <f>IF(Data2!$L$16="MULTI KKM",Data2!G21,Data2!$L$3)</f>
        <v>76</v>
      </c>
      <c r="X10" s="716">
        <f>IF(Data2!$L$16="MULTI KKM",Data2!G22,Data2!$L$3)</f>
        <v>76</v>
      </c>
      <c r="Y10" s="717">
        <f t="shared" ref="Y10:AP10" si="5">F10</f>
        <v>76</v>
      </c>
      <c r="Z10" s="718">
        <f t="shared" si="5"/>
        <v>76</v>
      </c>
      <c r="AA10" s="718">
        <f t="shared" si="5"/>
        <v>76</v>
      </c>
      <c r="AB10" s="718">
        <f t="shared" si="5"/>
        <v>76</v>
      </c>
      <c r="AC10" s="718">
        <f t="shared" si="5"/>
        <v>76</v>
      </c>
      <c r="AD10" s="718">
        <f t="shared" si="5"/>
        <v>76</v>
      </c>
      <c r="AE10" s="718">
        <f t="shared" si="5"/>
        <v>76</v>
      </c>
      <c r="AF10" s="718">
        <f t="shared" si="5"/>
        <v>76</v>
      </c>
      <c r="AG10" s="718">
        <f t="shared" si="5"/>
        <v>76</v>
      </c>
      <c r="AH10" s="718">
        <f t="shared" si="5"/>
        <v>76</v>
      </c>
      <c r="AI10" s="718">
        <f t="shared" si="5"/>
        <v>0</v>
      </c>
      <c r="AJ10" s="718">
        <f t="shared" si="5"/>
        <v>76</v>
      </c>
      <c r="AK10" s="718">
        <f t="shared" si="5"/>
        <v>76</v>
      </c>
      <c r="AL10" s="718">
        <f t="shared" si="5"/>
        <v>76</v>
      </c>
      <c r="AM10" s="718">
        <f t="shared" si="5"/>
        <v>76</v>
      </c>
      <c r="AN10" s="718">
        <f t="shared" si="5"/>
        <v>0</v>
      </c>
      <c r="AO10" s="718">
        <f t="shared" si="5"/>
        <v>0</v>
      </c>
      <c r="AP10" s="718">
        <f t="shared" si="5"/>
        <v>76</v>
      </c>
      <c r="AQ10" s="719">
        <f t="shared" ref="AQ10" si="6">X10</f>
        <v>76</v>
      </c>
      <c r="AR10" s="2283"/>
      <c r="AS10" s="2286"/>
      <c r="AT10" s="720" t="s">
        <v>192</v>
      </c>
      <c r="AU10" s="721" t="s">
        <v>192</v>
      </c>
      <c r="AV10" s="2250"/>
      <c r="AW10" s="2274"/>
      <c r="AX10" s="161"/>
    </row>
    <row r="11" spans="1:50" ht="12.95" customHeight="1">
      <c r="A11" s="161"/>
      <c r="B11" s="162">
        <v>1</v>
      </c>
      <c r="C11" s="598">
        <f>IF(Data!F5="","",Data!F5)</f>
        <v>0</v>
      </c>
      <c r="D11" s="599" t="str">
        <f>IF(Data!H5="","",Data!H5)</f>
        <v>Aldo Alfinus Pakae</v>
      </c>
      <c r="E11" s="600" t="str">
        <f>IF(Data!I5="","",Data!I5)</f>
        <v>L</v>
      </c>
      <c r="F11" s="311">
        <f>IF(PA!S14="","",PA!S14)</f>
        <v>95</v>
      </c>
      <c r="G11" s="312">
        <f>IF(PKn!S14="","",PKn!S14)</f>
        <v>87</v>
      </c>
      <c r="H11" s="312">
        <f>IF(BInd!S14="","",BInd!S14)</f>
        <v>79</v>
      </c>
      <c r="I11" s="312">
        <f>IF(Mat!S14="","",Mat!S14)</f>
        <v>83</v>
      </c>
      <c r="J11" s="312" t="str">
        <f>IF(SEJ!S14="","",SEJ!S14)</f>
        <v/>
      </c>
      <c r="K11" s="312">
        <f>IF(BIng!S14="","",BIng!S14)</f>
        <v>84</v>
      </c>
      <c r="L11" s="312">
        <f>IF(SB!S14="","",SB!S14)</f>
        <v>87</v>
      </c>
      <c r="M11" s="312">
        <f>IF(pjok!S14="","",pjok!S14)</f>
        <v>86</v>
      </c>
      <c r="N11" s="312">
        <f>IF(pkwu!S14="","",pkwu!S14)</f>
        <v>87</v>
      </c>
      <c r="O11" s="312" t="str">
        <f>IF('Mlk1'!S14="","",'Mlk1'!S14)</f>
        <v/>
      </c>
      <c r="P11" s="312" t="str">
        <f>IF('Ml2'!S14="","",'Ml2'!S14)</f>
        <v/>
      </c>
      <c r="Q11" s="312">
        <f>IF(sosio!S14="","",sosio!S14)</f>
        <v>90</v>
      </c>
      <c r="R11" s="312">
        <f>IF(geog!S14="","",geog!S14)</f>
        <v>85</v>
      </c>
      <c r="S11" s="532">
        <f>IF(ekonomi!S14="","",ekonomi!S14)</f>
        <v>88</v>
      </c>
      <c r="T11" s="532">
        <f>IF('sejarah peminatan'!S14="","",'sejarah peminatan'!S14)</f>
        <v>86</v>
      </c>
      <c r="U11" s="532" t="str">
        <f>IF('PM5'!S14="","",'PM5'!S14)</f>
        <v/>
      </c>
      <c r="V11" s="532" t="str">
        <f>IF('PM6'!S14="","",'PM6'!S14)</f>
        <v/>
      </c>
      <c r="W11" s="532">
        <f>IF(biologi!S14="","",biologi!S14)</f>
        <v>81</v>
      </c>
      <c r="X11" s="532">
        <f>IF(fissika!S14="","",fissika!S14)</f>
        <v>82</v>
      </c>
      <c r="Y11" s="311">
        <f>IF(PA!AV14="","",PA!AV14)</f>
        <v>95</v>
      </c>
      <c r="Z11" s="312">
        <f>IF(PKn!AV14="","",PKn!AV14)</f>
        <v>95</v>
      </c>
      <c r="AA11" s="312">
        <f>IF(BInd!AV14="","",BInd!AV14)</f>
        <v>88</v>
      </c>
      <c r="AB11" s="312">
        <f>IF(Mat!AV14="","",Mat!AV14)</f>
        <v>86</v>
      </c>
      <c r="AC11" s="312" t="str">
        <f>IF(SEJ!AV14="","",SEJ!AV14)</f>
        <v/>
      </c>
      <c r="AD11" s="312">
        <f>IF(BIng!AV14="","",BIng!AV14)</f>
        <v>86</v>
      </c>
      <c r="AE11" s="312">
        <f>IF(SB!AV14="","",SB!AV14)</f>
        <v>90</v>
      </c>
      <c r="AF11" s="312">
        <f>IF(pjok!AV14="","",pjok!AV14)</f>
        <v>90</v>
      </c>
      <c r="AG11" s="312">
        <f>IF(pkwu!AV14="","",pkwu!AV14)</f>
        <v>80</v>
      </c>
      <c r="AH11" s="312" t="str">
        <f>IF('Mlk1'!AV14="","",'Mlk1'!AV14)</f>
        <v/>
      </c>
      <c r="AI11" s="312" t="str">
        <f>IF('Ml2'!AV14="","",'Ml2'!AV14)</f>
        <v/>
      </c>
      <c r="AJ11" s="312">
        <f>IF(sosio!AV14="","",sosio!AV14)</f>
        <v>85</v>
      </c>
      <c r="AK11" s="312">
        <f>IF(geog!AV14="","",geog!AV14)</f>
        <v>95</v>
      </c>
      <c r="AL11" s="532">
        <f>IF(ekonomi!AV14="","",ekonomi!AV14)</f>
        <v>88</v>
      </c>
      <c r="AM11" s="532">
        <f>IF('sejarah peminatan'!AV14="","",'sejarah peminatan'!AV14)</f>
        <v>85</v>
      </c>
      <c r="AN11" s="532" t="str">
        <f>IF('PM5'!AV14="","",'PM5'!AV14)</f>
        <v/>
      </c>
      <c r="AO11" s="532" t="str">
        <f>IF('PM6'!AV14="","",'PM6'!AV14)</f>
        <v/>
      </c>
      <c r="AP11" s="532">
        <f>IF(biologi!AV14="","",biologi!AV14)</f>
        <v>81</v>
      </c>
      <c r="AQ11" s="532">
        <f>IF(fissika!AV14="","",fissika!AV14)</f>
        <v>88</v>
      </c>
      <c r="AR11" s="311" t="str">
        <f>IF(Sikap!F15="","",Sikap!F15)</f>
        <v>SB</v>
      </c>
      <c r="AS11" s="597" t="str">
        <f>IF(Sikap!M15="","",Sikap!M15)</f>
        <v>SB</v>
      </c>
      <c r="AT11" s="311">
        <f t="shared" ref="AT11:AT42" si="7">IF($AT$10="YA",IF(SUM(F11:X11)=0,"",SUM(F11:X11)),"")</f>
        <v>1200</v>
      </c>
      <c r="AU11" s="312">
        <f t="shared" ref="AU11:AU58" si="8">IF($AU$10="YA",IF(SUM(Y11:AQ11)=0,"",SUM(Y11:AQ11)),"")</f>
        <v>1232</v>
      </c>
      <c r="AV11" s="312">
        <f>IF(SUM(AT11:AU11)=0,"",SUM(AT11:AU11))</f>
        <v>2432</v>
      </c>
      <c r="AW11" s="313">
        <f>IFERROR(RANK(AV11,$AV$11:$AV$60,0),"")</f>
        <v>5</v>
      </c>
      <c r="AX11" s="292">
        <v>1</v>
      </c>
    </row>
    <row r="12" spans="1:50" ht="12.95" customHeight="1">
      <c r="A12" s="161"/>
      <c r="B12" s="163">
        <f>IF(D12="","",B11+1)</f>
        <v>2</v>
      </c>
      <c r="C12" s="164">
        <f>IF(Data!F6="","",Data!F6)</f>
        <v>0</v>
      </c>
      <c r="D12" s="165" t="str">
        <f>IF(Data!H6="","",Data!H6)</f>
        <v>Aprianus Bira</v>
      </c>
      <c r="E12" s="166" t="str">
        <f>IF(Data!I6="","",Data!I6)</f>
        <v>L</v>
      </c>
      <c r="F12" s="311">
        <f>IF(PA!S15="","",PA!S15)</f>
        <v>90</v>
      </c>
      <c r="G12" s="312">
        <f>IF(PKn!S15="","",PKn!S15)</f>
        <v>85</v>
      </c>
      <c r="H12" s="312">
        <f>IF(BInd!S15="","",BInd!S15)</f>
        <v>80</v>
      </c>
      <c r="I12" s="312">
        <f>IF(Mat!S15="","",Mat!S15)</f>
        <v>85</v>
      </c>
      <c r="J12" s="312" t="str">
        <f>IF(SEJ!S15="","",SEJ!S15)</f>
        <v/>
      </c>
      <c r="K12" s="312">
        <f>IF(BIng!S15="","",BIng!S15)</f>
        <v>85</v>
      </c>
      <c r="L12" s="312">
        <f>IF(SB!S15="","",SB!S15)</f>
        <v>86</v>
      </c>
      <c r="M12" s="312">
        <f>IF(pjok!S15="","",pjok!S15)</f>
        <v>85</v>
      </c>
      <c r="N12" s="312">
        <f>IF(pkwu!S15="","",pkwu!S15)</f>
        <v>82</v>
      </c>
      <c r="O12" s="312" t="str">
        <f>IF('Mlk1'!S15="","",'Mlk1'!S15)</f>
        <v/>
      </c>
      <c r="P12" s="312" t="str">
        <f>IF('Ml2'!S15="","",'Ml2'!S15)</f>
        <v/>
      </c>
      <c r="Q12" s="312">
        <f>IF(sosio!S15="","",sosio!S15)</f>
        <v>87</v>
      </c>
      <c r="R12" s="312">
        <f>IF(geog!S15="","",geog!S15)</f>
        <v>85</v>
      </c>
      <c r="S12" s="532">
        <f>IF(ekonomi!S15="","",ekonomi!S15)</f>
        <v>85</v>
      </c>
      <c r="T12" s="532">
        <f>IF('sejarah peminatan'!S15="","",'sejarah peminatan'!S15)</f>
        <v>86</v>
      </c>
      <c r="U12" s="532" t="str">
        <f>IF('PM5'!S15="","",'PM5'!S15)</f>
        <v/>
      </c>
      <c r="V12" s="532" t="str">
        <f>IF('PM6'!S15="","",'PM6'!S15)</f>
        <v/>
      </c>
      <c r="W12" s="532">
        <f>IF(biologi!S15="","",biologi!S15)</f>
        <v>79</v>
      </c>
      <c r="X12" s="532">
        <f>IF(fissika!S15="","",fissika!S15)</f>
        <v>82</v>
      </c>
      <c r="Y12" s="311">
        <f>IF(PA!AV15="","",PA!AV15)</f>
        <v>90</v>
      </c>
      <c r="Z12" s="312">
        <f>IF(PKn!AV15="","",PKn!AV15)</f>
        <v>95</v>
      </c>
      <c r="AA12" s="312">
        <f>IF(BInd!AV15="","",BInd!AV15)</f>
        <v>88</v>
      </c>
      <c r="AB12" s="312">
        <f>IF(Mat!AV15="","",Mat!AV15)</f>
        <v>90</v>
      </c>
      <c r="AC12" s="312" t="str">
        <f>IF(SEJ!AV15="","",SEJ!AV15)</f>
        <v/>
      </c>
      <c r="AD12" s="312">
        <f>IF(BIng!AV15="","",BIng!AV15)</f>
        <v>86</v>
      </c>
      <c r="AE12" s="312">
        <f>IF(SB!AV15="","",SB!AV15)</f>
        <v>90</v>
      </c>
      <c r="AF12" s="312">
        <f>IF(pjok!AV15="","",pjok!AV15)</f>
        <v>85</v>
      </c>
      <c r="AG12" s="312">
        <f>IF(pkwu!AV15="","",pkwu!AV15)</f>
        <v>80</v>
      </c>
      <c r="AH12" s="312" t="str">
        <f>IF('Mlk1'!AV15="","",'Mlk1'!AV15)</f>
        <v/>
      </c>
      <c r="AI12" s="312" t="str">
        <f>IF('Ml2'!AV15="","",'Ml2'!AV15)</f>
        <v/>
      </c>
      <c r="AJ12" s="312">
        <f>IF(sosio!AV15="","",sosio!AV15)</f>
        <v>85</v>
      </c>
      <c r="AK12" s="312">
        <f>IF(geog!AV15="","",geog!AV15)</f>
        <v>95</v>
      </c>
      <c r="AL12" s="532">
        <f>IF(ekonomi!AV15="","",ekonomi!AV15)</f>
        <v>88</v>
      </c>
      <c r="AM12" s="532">
        <f>IF('sejarah peminatan'!AV15="","",'sejarah peminatan'!AV15)</f>
        <v>85</v>
      </c>
      <c r="AN12" s="532" t="str">
        <f>IF('PM5'!AV15="","",'PM5'!AV15)</f>
        <v/>
      </c>
      <c r="AO12" s="532" t="str">
        <f>IF('PM6'!AV15="","",'PM6'!AV15)</f>
        <v/>
      </c>
      <c r="AP12" s="532">
        <f>IF(biologi!AV15="","",biologi!AV15)</f>
        <v>78</v>
      </c>
      <c r="AQ12" s="532">
        <f>IF(fissika!AV15="","",fissika!AV15)</f>
        <v>88</v>
      </c>
      <c r="AR12" s="311" t="str">
        <f>IF(Sikap!F16="","",Sikap!F16)</f>
        <v>SB</v>
      </c>
      <c r="AS12" s="597" t="str">
        <f>IF(Sikap!M16="","",Sikap!M16)</f>
        <v>SB</v>
      </c>
      <c r="AT12" s="311">
        <f>IF($AT$10="YA",IF(SUM(F12:X12)=0,"",SUM(F12:X12)),"")</f>
        <v>1182</v>
      </c>
      <c r="AU12" s="312">
        <f>IF($AU$10="YA",IF(SUM(Y12:AQ12)=0,"",SUM(Y12:AQ12)),"")</f>
        <v>1223</v>
      </c>
      <c r="AV12" s="312">
        <f t="shared" ref="AV12:AV42" si="9">IF(SUM(AT12:AU12)=0,"",SUM(AT12:AU12))</f>
        <v>2405</v>
      </c>
      <c r="AW12" s="313">
        <f>IFERROR(RANK(AV12,$AV$11:$AV$60,0),"")</f>
        <v>21</v>
      </c>
      <c r="AX12" s="291">
        <v>2</v>
      </c>
    </row>
    <row r="13" spans="1:50" ht="12.95" customHeight="1">
      <c r="A13" s="161"/>
      <c r="B13" s="163">
        <f t="shared" ref="B13:B39" si="10">IF(D13="","",B12+1)</f>
        <v>3</v>
      </c>
      <c r="C13" s="164">
        <f>IF(Data!F7="","",Data!F7)</f>
        <v>0</v>
      </c>
      <c r="D13" s="165" t="str">
        <f>IF(Data!H7="","",Data!H7)</f>
        <v>Asri Aldina Baksuni</v>
      </c>
      <c r="E13" s="166" t="str">
        <f>IF(Data!I7="","",Data!I7)</f>
        <v>P</v>
      </c>
      <c r="F13" s="311">
        <f>IF(PA!S16="","",PA!S16)</f>
        <v>95</v>
      </c>
      <c r="G13" s="312">
        <f>IF(PKn!S16="","",PKn!S16)</f>
        <v>84</v>
      </c>
      <c r="H13" s="312">
        <f>IF(BInd!S16="","",BInd!S16)</f>
        <v>80</v>
      </c>
      <c r="I13" s="312">
        <f>IF(Mat!S16="","",Mat!S16)</f>
        <v>86</v>
      </c>
      <c r="J13" s="312" t="str">
        <f>IF(SEJ!S16="","",SEJ!S16)</f>
        <v/>
      </c>
      <c r="K13" s="312">
        <f>IF(BIng!S16="","",BIng!S16)</f>
        <v>87</v>
      </c>
      <c r="L13" s="312">
        <f>IF(SB!S16="","",SB!S16)</f>
        <v>87</v>
      </c>
      <c r="M13" s="312">
        <f>IF(pjok!S16="","",pjok!S16)</f>
        <v>85</v>
      </c>
      <c r="N13" s="312">
        <f>IF(pkwu!S16="","",pkwu!S16)</f>
        <v>90</v>
      </c>
      <c r="O13" s="312" t="str">
        <f>IF('Mlk1'!S16="","",'Mlk1'!S16)</f>
        <v/>
      </c>
      <c r="P13" s="312" t="str">
        <f>IF('Ml2'!S16="","",'Ml2'!S16)</f>
        <v/>
      </c>
      <c r="Q13" s="312">
        <f>IF(sosio!S16="","",sosio!S16)</f>
        <v>93</v>
      </c>
      <c r="R13" s="312">
        <f>IF(geog!S16="","",geog!S16)</f>
        <v>87</v>
      </c>
      <c r="S13" s="532">
        <f>IF(ekonomi!S16="","",ekonomi!S16)</f>
        <v>92</v>
      </c>
      <c r="T13" s="532">
        <f>IF('sejarah peminatan'!S16="","",'sejarah peminatan'!S16)</f>
        <v>87</v>
      </c>
      <c r="U13" s="532" t="str">
        <f>IF('PM5'!S16="","",'PM5'!S16)</f>
        <v/>
      </c>
      <c r="V13" s="532" t="str">
        <f>IF('PM6'!S16="","",'PM6'!S16)</f>
        <v/>
      </c>
      <c r="W13" s="532">
        <f>IF(biologi!S16="","",biologi!S16)</f>
        <v>79</v>
      </c>
      <c r="X13" s="532">
        <f>IF(fissika!S16="","",fissika!S16)</f>
        <v>83</v>
      </c>
      <c r="Y13" s="311">
        <f>IF(PA!AV16="","",PA!AV16)</f>
        <v>95</v>
      </c>
      <c r="Z13" s="312">
        <f>IF(PKn!AV16="","",PKn!AV16)</f>
        <v>95</v>
      </c>
      <c r="AA13" s="312">
        <f>IF(BInd!AV16="","",BInd!AV16)</f>
        <v>88</v>
      </c>
      <c r="AB13" s="312">
        <f>IF(Mat!AV16="","",Mat!AV16)</f>
        <v>86</v>
      </c>
      <c r="AC13" s="312" t="str">
        <f>IF(SEJ!AV16="","",SEJ!AV16)</f>
        <v/>
      </c>
      <c r="AD13" s="312">
        <f>IF(BIng!AV16="","",BIng!AV16)</f>
        <v>86</v>
      </c>
      <c r="AE13" s="312">
        <f>IF(SB!AV16="","",SB!AV16)</f>
        <v>90</v>
      </c>
      <c r="AF13" s="312">
        <f>IF(pjok!AV16="","",pjok!AV16)</f>
        <v>85</v>
      </c>
      <c r="AG13" s="312">
        <f>IF(pkwu!AV16="","",pkwu!AV16)</f>
        <v>90</v>
      </c>
      <c r="AH13" s="312" t="str">
        <f>IF('Mlk1'!AV16="","",'Mlk1'!AV16)</f>
        <v/>
      </c>
      <c r="AI13" s="312" t="str">
        <f>IF('Ml2'!AV16="","",'Ml2'!AV16)</f>
        <v/>
      </c>
      <c r="AJ13" s="312">
        <f>IF(sosio!AV16="","",sosio!AV16)</f>
        <v>85</v>
      </c>
      <c r="AK13" s="312">
        <f>IF(geog!AV16="","",geog!AV16)</f>
        <v>95</v>
      </c>
      <c r="AL13" s="532">
        <f>IF(ekonomi!AV16="","",ekonomi!AV16)</f>
        <v>88</v>
      </c>
      <c r="AM13" s="532">
        <f>IF('sejarah peminatan'!AV16="","",'sejarah peminatan'!AV16)</f>
        <v>85</v>
      </c>
      <c r="AN13" s="532" t="str">
        <f>IF('PM5'!AV16="","",'PM5'!AV16)</f>
        <v/>
      </c>
      <c r="AO13" s="532" t="str">
        <f>IF('PM6'!AV16="","",'PM6'!AV16)</f>
        <v/>
      </c>
      <c r="AP13" s="532">
        <f>IF(biologi!AV16="","",biologi!AV16)</f>
        <v>79</v>
      </c>
      <c r="AQ13" s="532">
        <f>IF(fissika!AV16="","",fissika!AV16)</f>
        <v>89</v>
      </c>
      <c r="AR13" s="311" t="str">
        <f>IF(Sikap!F17="","",Sikap!F17)</f>
        <v>SB</v>
      </c>
      <c r="AS13" s="597" t="str">
        <f>IF(Sikap!M17="","",Sikap!M17)</f>
        <v>SB</v>
      </c>
      <c r="AT13" s="311">
        <f>IF($AT$10="YA",IF(SUM(F13:X13)=0,"",SUM(F13:X13)),"")</f>
        <v>1215</v>
      </c>
      <c r="AU13" s="312">
        <f>IF($AU$10="YA",IF(SUM(Y13:AQ13)=0,"",SUM(Y13:AQ13)),"")</f>
        <v>1236</v>
      </c>
      <c r="AV13" s="312">
        <f t="shared" si="9"/>
        <v>2451</v>
      </c>
      <c r="AW13" s="313">
        <f t="shared" ref="AW13:AW58" si="11">IFERROR(RANK(AV13,$AV$11:$AV$60,0),"")</f>
        <v>1</v>
      </c>
      <c r="AX13" s="293">
        <v>3</v>
      </c>
    </row>
    <row r="14" spans="1:50" ht="12.95" customHeight="1">
      <c r="A14" s="161"/>
      <c r="B14" s="163">
        <f t="shared" si="10"/>
        <v>4</v>
      </c>
      <c r="C14" s="164">
        <f>IF(Data!F8="","",Data!F8)</f>
        <v>0</v>
      </c>
      <c r="D14" s="165" t="str">
        <f>IF(Data!H8="","",Data!H8)</f>
        <v>Asti Welmince Welkis</v>
      </c>
      <c r="E14" s="166" t="str">
        <f>IF(Data!I8="","",Data!I8)</f>
        <v>P</v>
      </c>
      <c r="F14" s="311">
        <f>IF(PA!S17="","",PA!S17)</f>
        <v>90</v>
      </c>
      <c r="G14" s="312">
        <f>IF(PKn!S17="","",PKn!S17)</f>
        <v>85</v>
      </c>
      <c r="H14" s="312">
        <f>IF(BInd!S17="","",BInd!S17)</f>
        <v>79</v>
      </c>
      <c r="I14" s="312">
        <f>IF(Mat!S17="","",Mat!S17)</f>
        <v>85</v>
      </c>
      <c r="J14" s="312" t="str">
        <f>IF(SEJ!S17="","",SEJ!S17)</f>
        <v/>
      </c>
      <c r="K14" s="312">
        <f>IF(BIng!S17="","",BIng!S17)</f>
        <v>84</v>
      </c>
      <c r="L14" s="312">
        <f>IF(SB!S17="","",SB!S17)</f>
        <v>86</v>
      </c>
      <c r="M14" s="312">
        <f>IF(pjok!S17="","",pjok!S17)</f>
        <v>87</v>
      </c>
      <c r="N14" s="312">
        <f>IF(pkwu!S17="","",pkwu!S17)</f>
        <v>88</v>
      </c>
      <c r="O14" s="312" t="str">
        <f>IF('Mlk1'!S17="","",'Mlk1'!S17)</f>
        <v/>
      </c>
      <c r="P14" s="312" t="str">
        <f>IF('Ml2'!S17="","",'Ml2'!S17)</f>
        <v/>
      </c>
      <c r="Q14" s="312">
        <f>IF(sosio!S17="","",sosio!S17)</f>
        <v>88</v>
      </c>
      <c r="R14" s="312">
        <f>IF(geog!S17="","",geog!S17)</f>
        <v>87</v>
      </c>
      <c r="S14" s="532">
        <f>IF(ekonomi!S17="","",ekonomi!S17)</f>
        <v>86</v>
      </c>
      <c r="T14" s="532">
        <f>IF('sejarah peminatan'!S17="","",'sejarah peminatan'!S17)</f>
        <v>86</v>
      </c>
      <c r="U14" s="532" t="str">
        <f>IF('PM5'!S17="","",'PM5'!S17)</f>
        <v/>
      </c>
      <c r="V14" s="532" t="str">
        <f>IF('PM6'!S17="","",'PM6'!S17)</f>
        <v/>
      </c>
      <c r="W14" s="532">
        <f>IF(biologi!S17="","",biologi!S17)</f>
        <v>80</v>
      </c>
      <c r="X14" s="532">
        <f>IF(fissika!S17="","",fissika!S17)</f>
        <v>82</v>
      </c>
      <c r="Y14" s="311">
        <f>IF(PA!AV17="","",PA!AV17)</f>
        <v>90</v>
      </c>
      <c r="Z14" s="312">
        <f>IF(PKn!AV17="","",PKn!AV17)</f>
        <v>95</v>
      </c>
      <c r="AA14" s="312">
        <f>IF(BInd!AV17="","",BInd!AV17)</f>
        <v>88</v>
      </c>
      <c r="AB14" s="312">
        <f>IF(Mat!AV17="","",Mat!AV17)</f>
        <v>90</v>
      </c>
      <c r="AC14" s="312" t="str">
        <f>IF(SEJ!AV17="","",SEJ!AV17)</f>
        <v/>
      </c>
      <c r="AD14" s="312">
        <f>IF(BIng!AV17="","",BIng!AV17)</f>
        <v>86</v>
      </c>
      <c r="AE14" s="312">
        <f>IF(SB!AV17="","",SB!AV17)</f>
        <v>90</v>
      </c>
      <c r="AF14" s="312">
        <f>IF(pjok!AV17="","",pjok!AV17)</f>
        <v>89</v>
      </c>
      <c r="AG14" s="312">
        <f>IF(pkwu!AV17="","",pkwu!AV17)</f>
        <v>90</v>
      </c>
      <c r="AH14" s="312" t="str">
        <f>IF('Mlk1'!AV17="","",'Mlk1'!AV17)</f>
        <v/>
      </c>
      <c r="AI14" s="312" t="str">
        <f>IF('Ml2'!AV17="","",'Ml2'!AV17)</f>
        <v/>
      </c>
      <c r="AJ14" s="312">
        <f>IF(sosio!AV17="","",sosio!AV17)</f>
        <v>85</v>
      </c>
      <c r="AK14" s="312">
        <f>IF(geog!AV17="","",geog!AV17)</f>
        <v>95</v>
      </c>
      <c r="AL14" s="532">
        <f>IF(ekonomi!AV17="","",ekonomi!AV17)</f>
        <v>88</v>
      </c>
      <c r="AM14" s="532">
        <f>IF('sejarah peminatan'!AV17="","",'sejarah peminatan'!AV17)</f>
        <v>83</v>
      </c>
      <c r="AN14" s="532" t="str">
        <f>IF('PM5'!AV17="","",'PM5'!AV17)</f>
        <v/>
      </c>
      <c r="AO14" s="532" t="str">
        <f>IF('PM6'!AV17="","",'PM6'!AV17)</f>
        <v/>
      </c>
      <c r="AP14" s="532">
        <f>IF(biologi!AV17="","",biologi!AV17)</f>
        <v>79</v>
      </c>
      <c r="AQ14" s="532">
        <f>IF(fissika!AV17="","",fissika!AV17)</f>
        <v>88</v>
      </c>
      <c r="AR14" s="311" t="str">
        <f>IF(Sikap!F18="","",Sikap!F18)</f>
        <v>SB</v>
      </c>
      <c r="AS14" s="597" t="str">
        <f>IF(Sikap!M18="","",Sikap!M18)</f>
        <v>SB</v>
      </c>
      <c r="AT14" s="311">
        <f t="shared" si="7"/>
        <v>1193</v>
      </c>
      <c r="AU14" s="312">
        <f t="shared" si="8"/>
        <v>1236</v>
      </c>
      <c r="AV14" s="312">
        <f t="shared" si="9"/>
        <v>2429</v>
      </c>
      <c r="AW14" s="313">
        <f t="shared" si="11"/>
        <v>6</v>
      </c>
      <c r="AX14" s="291">
        <v>4</v>
      </c>
    </row>
    <row r="15" spans="1:50" ht="12.95" customHeight="1">
      <c r="A15" s="161"/>
      <c r="B15" s="163">
        <f t="shared" si="10"/>
        <v>5</v>
      </c>
      <c r="C15" s="164">
        <f>IF(Data!F9="","",Data!F9)</f>
        <v>0</v>
      </c>
      <c r="D15" s="165" t="str">
        <f>IF(Data!H9="","",Data!H9)</f>
        <v>Aulya Noviyanti Mbura</v>
      </c>
      <c r="E15" s="166" t="str">
        <f>IF(Data!I9="","",Data!I9)</f>
        <v>P</v>
      </c>
      <c r="F15" s="311">
        <f>IF(PA!S18="","",PA!S18)</f>
        <v>90</v>
      </c>
      <c r="G15" s="312">
        <f>IF(PKn!S18="","",PKn!S18)</f>
        <v>84</v>
      </c>
      <c r="H15" s="312">
        <f>IF(BInd!S18="","",BInd!S18)</f>
        <v>82</v>
      </c>
      <c r="I15" s="312">
        <f>IF(Mat!S18="","",Mat!S18)</f>
        <v>82</v>
      </c>
      <c r="J15" s="312" t="str">
        <f>IF(SEJ!S18="","",SEJ!S18)</f>
        <v/>
      </c>
      <c r="K15" s="312">
        <f>IF(BIng!S18="","",BIng!S18)</f>
        <v>86</v>
      </c>
      <c r="L15" s="312">
        <f>IF(SB!S18="","",SB!S18)</f>
        <v>86</v>
      </c>
      <c r="M15" s="312">
        <f>IF(pjok!S18="","",pjok!S18)</f>
        <v>86</v>
      </c>
      <c r="N15" s="312">
        <f>IF(pkwu!S18="","",pkwu!S18)</f>
        <v>86</v>
      </c>
      <c r="O15" s="312" t="str">
        <f>IF('Mlk1'!S18="","",'Mlk1'!S18)</f>
        <v/>
      </c>
      <c r="P15" s="312" t="str">
        <f>IF('Ml2'!S18="","",'Ml2'!S18)</f>
        <v/>
      </c>
      <c r="Q15" s="312">
        <f>IF(sosio!S18="","",sosio!S18)</f>
        <v>92</v>
      </c>
      <c r="R15" s="312">
        <f>IF(geog!S18="","",geog!S18)</f>
        <v>88</v>
      </c>
      <c r="S15" s="532">
        <f>IF(ekonomi!S18="","",ekonomi!S18)</f>
        <v>86</v>
      </c>
      <c r="T15" s="532">
        <f>IF('sejarah peminatan'!S18="","",'sejarah peminatan'!S18)</f>
        <v>86</v>
      </c>
      <c r="U15" s="532" t="str">
        <f>IF('PM5'!S18="","",'PM5'!S18)</f>
        <v/>
      </c>
      <c r="V15" s="532" t="str">
        <f>IF('PM6'!S18="","",'PM6'!S18)</f>
        <v/>
      </c>
      <c r="W15" s="532">
        <f>IF(biologi!S18="","",biologi!S18)</f>
        <v>81</v>
      </c>
      <c r="X15" s="532">
        <f>IF(fissika!S18="","",fissika!S18)</f>
        <v>86</v>
      </c>
      <c r="Y15" s="311">
        <f>IF(PA!AV18="","",PA!AV18)</f>
        <v>90</v>
      </c>
      <c r="Z15" s="312">
        <f>IF(PKn!AV18="","",PKn!AV18)</f>
        <v>95</v>
      </c>
      <c r="AA15" s="312">
        <f>IF(BInd!AV18="","",BInd!AV18)</f>
        <v>88</v>
      </c>
      <c r="AB15" s="312">
        <f>IF(Mat!AV18="","",Mat!AV18)</f>
        <v>88</v>
      </c>
      <c r="AC15" s="312" t="str">
        <f>IF(SEJ!AV18="","",SEJ!AV18)</f>
        <v/>
      </c>
      <c r="AD15" s="312">
        <f>IF(BIng!AV18="","",BIng!AV18)</f>
        <v>86</v>
      </c>
      <c r="AE15" s="312">
        <f>IF(SB!AV18="","",SB!AV18)</f>
        <v>90</v>
      </c>
      <c r="AF15" s="312">
        <f>IF(pjok!AV18="","",pjok!AV18)</f>
        <v>86</v>
      </c>
      <c r="AG15" s="312">
        <f>IF(pkwu!AV18="","",pkwu!AV18)</f>
        <v>90</v>
      </c>
      <c r="AH15" s="312" t="str">
        <f>IF('Mlk1'!AV18="","",'Mlk1'!AV18)</f>
        <v/>
      </c>
      <c r="AI15" s="312" t="str">
        <f>IF('Ml2'!AV18="","",'Ml2'!AV18)</f>
        <v/>
      </c>
      <c r="AJ15" s="312">
        <f>IF(sosio!AV18="","",sosio!AV18)</f>
        <v>85</v>
      </c>
      <c r="AK15" s="312">
        <f>IF(geog!AV18="","",geog!AV18)</f>
        <v>95</v>
      </c>
      <c r="AL15" s="532">
        <f>IF(ekonomi!AV18="","",ekonomi!AV18)</f>
        <v>88</v>
      </c>
      <c r="AM15" s="532">
        <f>IF('sejarah peminatan'!AV18="","",'sejarah peminatan'!AV18)</f>
        <v>85</v>
      </c>
      <c r="AN15" s="532" t="str">
        <f>IF('PM5'!AV18="","",'PM5'!AV18)</f>
        <v/>
      </c>
      <c r="AO15" s="532" t="str">
        <f>IF('PM6'!AV18="","",'PM6'!AV18)</f>
        <v/>
      </c>
      <c r="AP15" s="532">
        <f>IF(biologi!AV18="","",biologi!AV18)</f>
        <v>81</v>
      </c>
      <c r="AQ15" s="532">
        <f>IF(fissika!AV18="","",fissika!AV18)</f>
        <v>89</v>
      </c>
      <c r="AR15" s="311" t="str">
        <f>IF(Sikap!F19="","",Sikap!F19)</f>
        <v>SB</v>
      </c>
      <c r="AS15" s="597" t="str">
        <f>IF(Sikap!M19="","",Sikap!M19)</f>
        <v>SB</v>
      </c>
      <c r="AT15" s="311">
        <f t="shared" si="7"/>
        <v>1201</v>
      </c>
      <c r="AU15" s="312">
        <f t="shared" si="8"/>
        <v>1236</v>
      </c>
      <c r="AV15" s="312">
        <f t="shared" si="9"/>
        <v>2437</v>
      </c>
      <c r="AW15" s="313">
        <f t="shared" si="11"/>
        <v>3</v>
      </c>
      <c r="AX15" s="293">
        <v>5</v>
      </c>
    </row>
    <row r="16" spans="1:50" ht="12.95" customHeight="1">
      <c r="A16" s="161"/>
      <c r="B16" s="163">
        <f>IF(D16="","",B15+1)</f>
        <v>6</v>
      </c>
      <c r="C16" s="164">
        <f>IF(Data!F10="","",Data!F10)</f>
        <v>0</v>
      </c>
      <c r="D16" s="165" t="str">
        <f>IF(Data!H10="","",Data!H10)</f>
        <v>Ayu Oliberta Ranboki</v>
      </c>
      <c r="E16" s="166" t="str">
        <f>IF(Data!I10="","",Data!I10)</f>
        <v>P</v>
      </c>
      <c r="F16" s="311">
        <f>IF(PA!S19="","",PA!S19)</f>
        <v>95</v>
      </c>
      <c r="G16" s="312">
        <f>IF(PKn!S19="","",PKn!S19)</f>
        <v>85</v>
      </c>
      <c r="H16" s="312">
        <f>IF(BInd!S19="","",BInd!S19)</f>
        <v>79</v>
      </c>
      <c r="I16" s="312">
        <f>IF(Mat!S19="","",Mat!S19)</f>
        <v>83</v>
      </c>
      <c r="J16" s="312" t="str">
        <f>IF(SEJ!S19="","",SEJ!S19)</f>
        <v/>
      </c>
      <c r="K16" s="312">
        <f>IF(BIng!S19="","",BIng!S19)</f>
        <v>85</v>
      </c>
      <c r="L16" s="312">
        <f>IF(SB!S19="","",SB!S19)</f>
        <v>83</v>
      </c>
      <c r="M16" s="312">
        <f>IF(pjok!S19="","",pjok!S19)</f>
        <v>88</v>
      </c>
      <c r="N16" s="312">
        <f>IF(pkwu!S19="","",pkwu!S19)</f>
        <v>84</v>
      </c>
      <c r="O16" s="312" t="str">
        <f>IF('Mlk1'!S19="","",'Mlk1'!S19)</f>
        <v/>
      </c>
      <c r="P16" s="312" t="str">
        <f>IF('Ml2'!S19="","",'Ml2'!S19)</f>
        <v/>
      </c>
      <c r="Q16" s="312">
        <f>IF(sosio!S19="","",sosio!S19)</f>
        <v>92</v>
      </c>
      <c r="R16" s="312">
        <f>IF(geog!S19="","",geog!S19)</f>
        <v>89</v>
      </c>
      <c r="S16" s="532">
        <f>IF(ekonomi!S19="","",ekonomi!S19)</f>
        <v>92</v>
      </c>
      <c r="T16" s="532">
        <f>IF('sejarah peminatan'!S19="","",'sejarah peminatan'!S19)</f>
        <v>86</v>
      </c>
      <c r="U16" s="532" t="str">
        <f>IF('PM5'!S19="","",'PM5'!S19)</f>
        <v/>
      </c>
      <c r="V16" s="532" t="str">
        <f>IF('PM6'!S19="","",'PM6'!S19)</f>
        <v/>
      </c>
      <c r="W16" s="532">
        <f>IF(biologi!S19="","",biologi!S19)</f>
        <v>80</v>
      </c>
      <c r="X16" s="532">
        <f>IF(fissika!S19="","",fissika!S19)</f>
        <v>82</v>
      </c>
      <c r="Y16" s="311">
        <f>IF(PA!AV19="","",PA!AV19)</f>
        <v>95</v>
      </c>
      <c r="Z16" s="312">
        <f>IF(PKn!AV19="","",PKn!AV19)</f>
        <v>95</v>
      </c>
      <c r="AA16" s="312">
        <f>IF(BInd!AV19="","",BInd!AV19)</f>
        <v>88</v>
      </c>
      <c r="AB16" s="312">
        <f>IF(Mat!AV19="","",Mat!AV19)</f>
        <v>86</v>
      </c>
      <c r="AC16" s="312" t="str">
        <f>IF(SEJ!AV19="","",SEJ!AV19)</f>
        <v/>
      </c>
      <c r="AD16" s="312">
        <f>IF(BIng!AV19="","",BIng!AV19)</f>
        <v>86</v>
      </c>
      <c r="AE16" s="312">
        <f>IF(SB!AV19="","",SB!AV19)</f>
        <v>90</v>
      </c>
      <c r="AF16" s="312">
        <f>IF(pjok!AV19="","",pjok!AV19)</f>
        <v>87</v>
      </c>
      <c r="AG16" s="312">
        <f>IF(pkwu!AV19="","",pkwu!AV19)</f>
        <v>90</v>
      </c>
      <c r="AH16" s="312" t="str">
        <f>IF('Mlk1'!AV19="","",'Mlk1'!AV19)</f>
        <v/>
      </c>
      <c r="AI16" s="312" t="str">
        <f>IF('Ml2'!AV19="","",'Ml2'!AV19)</f>
        <v/>
      </c>
      <c r="AJ16" s="312">
        <f>IF(sosio!AV19="","",sosio!AV19)</f>
        <v>85</v>
      </c>
      <c r="AK16" s="312">
        <f>IF(geog!AV19="","",geog!AV19)</f>
        <v>95</v>
      </c>
      <c r="AL16" s="532">
        <f>IF(ekonomi!AV19="","",ekonomi!AV19)</f>
        <v>88</v>
      </c>
      <c r="AM16" s="532">
        <f>IF('sejarah peminatan'!AV19="","",'sejarah peminatan'!AV19)</f>
        <v>85</v>
      </c>
      <c r="AN16" s="532" t="str">
        <f>IF('PM5'!AV19="","",'PM5'!AV19)</f>
        <v/>
      </c>
      <c r="AO16" s="532" t="str">
        <f>IF('PM6'!AV19="","",'PM6'!AV19)</f>
        <v/>
      </c>
      <c r="AP16" s="532">
        <f>IF(biologi!AV19="","",biologi!AV19)</f>
        <v>81</v>
      </c>
      <c r="AQ16" s="532">
        <f>IF(fissika!AV19="","",fissika!AV19)</f>
        <v>88</v>
      </c>
      <c r="AR16" s="311" t="str">
        <f>IF(Sikap!F20="","",Sikap!F20)</f>
        <v>SB</v>
      </c>
      <c r="AS16" s="597" t="str">
        <f>IF(Sikap!M20="","",Sikap!M20)</f>
        <v>SB</v>
      </c>
      <c r="AT16" s="311">
        <f t="shared" si="7"/>
        <v>1203</v>
      </c>
      <c r="AU16" s="312">
        <f t="shared" si="8"/>
        <v>1239</v>
      </c>
      <c r="AV16" s="312">
        <f t="shared" si="9"/>
        <v>2442</v>
      </c>
      <c r="AW16" s="313">
        <f t="shared" si="11"/>
        <v>2</v>
      </c>
      <c r="AX16" s="291">
        <v>6</v>
      </c>
    </row>
    <row r="17" spans="1:50" ht="12.95" customHeight="1">
      <c r="A17" s="161"/>
      <c r="B17" s="163">
        <f t="shared" si="10"/>
        <v>7</v>
      </c>
      <c r="C17" s="164">
        <f>IF(Data!F11="","",Data!F11)</f>
        <v>0</v>
      </c>
      <c r="D17" s="165" t="str">
        <f>IF(Data!H11="","",Data!H11)</f>
        <v>Benediktus Faot</v>
      </c>
      <c r="E17" s="166" t="str">
        <f>IF(Data!I11="","",Data!I11)</f>
        <v>L</v>
      </c>
      <c r="F17" s="311">
        <f>IF(PA!S20="","",PA!S20)</f>
        <v>90</v>
      </c>
      <c r="G17" s="312">
        <f>IF(PKn!S20="","",PKn!S20)</f>
        <v>85</v>
      </c>
      <c r="H17" s="312">
        <f>IF(BInd!S20="","",BInd!S20)</f>
        <v>79</v>
      </c>
      <c r="I17" s="312">
        <f>IF(Mat!S20="","",Mat!S20)</f>
        <v>84</v>
      </c>
      <c r="J17" s="312" t="str">
        <f>IF(SEJ!S20="","",SEJ!S20)</f>
        <v/>
      </c>
      <c r="K17" s="312">
        <f>IF(BIng!S20="","",BIng!S20)</f>
        <v>84</v>
      </c>
      <c r="L17" s="312">
        <f>IF(SB!S20="","",SB!S20)</f>
        <v>82</v>
      </c>
      <c r="M17" s="312">
        <f>IF(pjok!S20="","",pjok!S20)</f>
        <v>85</v>
      </c>
      <c r="N17" s="312">
        <f>IF(pkwu!S20="","",pkwu!S20)</f>
        <v>89</v>
      </c>
      <c r="O17" s="312" t="str">
        <f>IF('Mlk1'!S20="","",'Mlk1'!S20)</f>
        <v/>
      </c>
      <c r="P17" s="312" t="str">
        <f>IF('Ml2'!S20="","",'Ml2'!S20)</f>
        <v/>
      </c>
      <c r="Q17" s="312">
        <f>IF(sosio!S20="","",sosio!S20)</f>
        <v>89</v>
      </c>
      <c r="R17" s="312">
        <f>IF(geog!S20="","",geog!S20)</f>
        <v>84</v>
      </c>
      <c r="S17" s="532">
        <f>IF(ekonomi!S20="","",ekonomi!S20)</f>
        <v>87</v>
      </c>
      <c r="T17" s="532">
        <f>IF('sejarah peminatan'!S20="","",'sejarah peminatan'!S20)</f>
        <v>81</v>
      </c>
      <c r="U17" s="532" t="str">
        <f>IF('PM5'!S20="","",'PM5'!S20)</f>
        <v/>
      </c>
      <c r="V17" s="532" t="str">
        <f>IF('PM6'!S20="","",'PM6'!S20)</f>
        <v/>
      </c>
      <c r="W17" s="532">
        <f>IF(biologi!S20="","",biologi!S20)</f>
        <v>79</v>
      </c>
      <c r="X17" s="532">
        <f>IF(fissika!S20="","",fissika!S20)</f>
        <v>82</v>
      </c>
      <c r="Y17" s="311">
        <f>IF(PA!AV20="","",PA!AV20)</f>
        <v>90</v>
      </c>
      <c r="Z17" s="312">
        <f>IF(PKn!AV20="","",PKn!AV20)</f>
        <v>95</v>
      </c>
      <c r="AA17" s="312">
        <f>IF(BInd!AV20="","",BInd!AV20)</f>
        <v>88</v>
      </c>
      <c r="AB17" s="312">
        <f>IF(Mat!AV20="","",Mat!AV20)</f>
        <v>90</v>
      </c>
      <c r="AC17" s="312" t="str">
        <f>IF(SEJ!AV20="","",SEJ!AV20)</f>
        <v/>
      </c>
      <c r="AD17" s="312">
        <f>IF(BIng!AV20="","",BIng!AV20)</f>
        <v>86</v>
      </c>
      <c r="AE17" s="312">
        <f>IF(SB!AV20="","",SB!AV20)</f>
        <v>90</v>
      </c>
      <c r="AF17" s="312">
        <f>IF(pjok!AV20="","",pjok!AV20)</f>
        <v>88</v>
      </c>
      <c r="AG17" s="312">
        <f>IF(pkwu!AV20="","",pkwu!AV20)</f>
        <v>80</v>
      </c>
      <c r="AH17" s="312" t="str">
        <f>IF('Mlk1'!AV20="","",'Mlk1'!AV20)</f>
        <v/>
      </c>
      <c r="AI17" s="312" t="str">
        <f>IF('Ml2'!AV20="","",'Ml2'!AV20)</f>
        <v/>
      </c>
      <c r="AJ17" s="312">
        <f>IF(sosio!AV20="","",sosio!AV20)</f>
        <v>85</v>
      </c>
      <c r="AK17" s="312">
        <f>IF(geog!AV20="","",geog!AV20)</f>
        <v>95</v>
      </c>
      <c r="AL17" s="532">
        <f>IF(ekonomi!AV20="","",ekonomi!AV20)</f>
        <v>88</v>
      </c>
      <c r="AM17" s="532">
        <f>IF('sejarah peminatan'!AV20="","",'sejarah peminatan'!AV20)</f>
        <v>85</v>
      </c>
      <c r="AN17" s="532" t="str">
        <f>IF('PM5'!AV20="","",'PM5'!AV20)</f>
        <v/>
      </c>
      <c r="AO17" s="532" t="str">
        <f>IF('PM6'!AV20="","",'PM6'!AV20)</f>
        <v/>
      </c>
      <c r="AP17" s="532">
        <f>IF(biologi!AV20="","",biologi!AV20)</f>
        <v>80</v>
      </c>
      <c r="AQ17" s="532">
        <f>IF(fissika!AV20="","",fissika!AV20)</f>
        <v>88</v>
      </c>
      <c r="AR17" s="311" t="str">
        <f>IF(Sikap!F21="","",Sikap!F21)</f>
        <v>SB</v>
      </c>
      <c r="AS17" s="597" t="str">
        <f>IF(Sikap!M21="","",Sikap!M21)</f>
        <v>SB</v>
      </c>
      <c r="AT17" s="311">
        <f t="shared" si="7"/>
        <v>1180</v>
      </c>
      <c r="AU17" s="312">
        <f t="shared" si="8"/>
        <v>1228</v>
      </c>
      <c r="AV17" s="312">
        <f t="shared" si="9"/>
        <v>2408</v>
      </c>
      <c r="AW17" s="313">
        <f t="shared" si="11"/>
        <v>18</v>
      </c>
      <c r="AX17" s="293">
        <v>7</v>
      </c>
    </row>
    <row r="18" spans="1:50" ht="12.95" customHeight="1">
      <c r="A18" s="161"/>
      <c r="B18" s="163">
        <f t="shared" si="10"/>
        <v>8</v>
      </c>
      <c r="C18" s="164">
        <f>IF(Data!F12="","",Data!F12)</f>
        <v>0</v>
      </c>
      <c r="D18" s="165" t="str">
        <f>IF(Data!H12="","",Data!H12)</f>
        <v>Betron Imanuel Kuni</v>
      </c>
      <c r="E18" s="166" t="str">
        <f>IF(Data!I12="","",Data!I12)</f>
        <v>L</v>
      </c>
      <c r="F18" s="311">
        <f>IF(PA!S21="","",PA!S21)</f>
        <v>76</v>
      </c>
      <c r="G18" s="312">
        <f>IF(PKn!S21="","",PKn!S21)</f>
        <v>83</v>
      </c>
      <c r="H18" s="312">
        <f>IF(BInd!S21="","",BInd!S21)</f>
        <v>65</v>
      </c>
      <c r="I18" s="312">
        <f>IF(Mat!S21="","",Mat!S21)</f>
        <v>77</v>
      </c>
      <c r="J18" s="312" t="str">
        <f>IF(SEJ!S21="","",SEJ!S21)</f>
        <v/>
      </c>
      <c r="K18" s="312">
        <f>IF(BIng!S21="","",BIng!S21)</f>
        <v>80</v>
      </c>
      <c r="L18" s="312">
        <f>IF(SB!S21="","",SB!S21)</f>
        <v>83</v>
      </c>
      <c r="M18" s="312">
        <f>IF(pjok!S21="","",pjok!S21)</f>
        <v>88</v>
      </c>
      <c r="N18" s="312">
        <f>IF(pkwu!S21="","",pkwu!S21)</f>
        <v>85</v>
      </c>
      <c r="O18" s="312" t="str">
        <f>IF('Mlk1'!S21="","",'Mlk1'!S21)</f>
        <v/>
      </c>
      <c r="P18" s="312" t="str">
        <f>IF('Ml2'!S21="","",'Ml2'!S21)</f>
        <v/>
      </c>
      <c r="Q18" s="312">
        <f>IF(sosio!S21="","",sosio!S21)</f>
        <v>79</v>
      </c>
      <c r="R18" s="312">
        <f>IF(geog!S21="","",geog!S21)</f>
        <v>79</v>
      </c>
      <c r="S18" s="532">
        <f>IF(ekonomi!S21="","",ekonomi!S21)</f>
        <v>86</v>
      </c>
      <c r="T18" s="532">
        <f>IF('sejarah peminatan'!S21="","",'sejarah peminatan'!S21)</f>
        <v>86</v>
      </c>
      <c r="U18" s="532" t="str">
        <f>IF('PM5'!S21="","",'PM5'!S21)</f>
        <v/>
      </c>
      <c r="V18" s="532" t="str">
        <f>IF('PM6'!S21="","",'PM6'!S21)</f>
        <v/>
      </c>
      <c r="W18" s="532">
        <f>IF(biologi!S21="","",biologi!S21)</f>
        <v>78</v>
      </c>
      <c r="X18" s="532">
        <f>IF(fissika!S21="","",fissika!S21)</f>
        <v>78</v>
      </c>
      <c r="Y18" s="311">
        <f>IF(PA!AV21="","",PA!AV21)</f>
        <v>80</v>
      </c>
      <c r="Z18" s="312">
        <f>IF(PKn!AV21="","",PKn!AV21)</f>
        <v>87</v>
      </c>
      <c r="AA18" s="312">
        <f>IF(BInd!AV21="","",BInd!AV21)</f>
        <v>88</v>
      </c>
      <c r="AB18" s="312">
        <f>IF(Mat!AV21="","",Mat!AV21)</f>
        <v>84</v>
      </c>
      <c r="AC18" s="312" t="str">
        <f>IF(SEJ!AV21="","",SEJ!AV21)</f>
        <v/>
      </c>
      <c r="AD18" s="312">
        <f>IF(BIng!AV21="","",BIng!AV21)</f>
        <v>86</v>
      </c>
      <c r="AE18" s="312">
        <f>IF(SB!AV21="","",SB!AV21)</f>
        <v>90</v>
      </c>
      <c r="AF18" s="312">
        <f>IF(pjok!AV21="","",pjok!AV21)</f>
        <v>84</v>
      </c>
      <c r="AG18" s="312">
        <f>IF(pkwu!AV21="","",pkwu!AV21)</f>
        <v>80</v>
      </c>
      <c r="AH18" s="312" t="str">
        <f>IF('Mlk1'!AV21="","",'Mlk1'!AV21)</f>
        <v/>
      </c>
      <c r="AI18" s="312" t="str">
        <f>IF('Ml2'!AV21="","",'Ml2'!AV21)</f>
        <v/>
      </c>
      <c r="AJ18" s="312">
        <f>IF(sosio!AV21="","",sosio!AV21)</f>
        <v>80</v>
      </c>
      <c r="AK18" s="312">
        <f>IF(geog!AV21="","",geog!AV21)</f>
        <v>87</v>
      </c>
      <c r="AL18" s="532">
        <f>IF(ekonomi!AV21="","",ekonomi!AV21)</f>
        <v>88</v>
      </c>
      <c r="AM18" s="532">
        <f>IF('sejarah peminatan'!AV21="","",'sejarah peminatan'!AV21)</f>
        <v>85</v>
      </c>
      <c r="AN18" s="532" t="str">
        <f>IF('PM5'!AV21="","",'PM5'!AV21)</f>
        <v/>
      </c>
      <c r="AO18" s="532" t="str">
        <f>IF('PM6'!AV21="","",'PM6'!AV21)</f>
        <v/>
      </c>
      <c r="AP18" s="532">
        <f>IF(biologi!AV21="","",biologi!AV21)</f>
        <v>73</v>
      </c>
      <c r="AQ18" s="532">
        <f>IF(fissika!AV21="","",fissika!AV21)</f>
        <v>88</v>
      </c>
      <c r="AR18" s="311" t="str">
        <f>IF(Sikap!F22="","",Sikap!F22)</f>
        <v>C</v>
      </c>
      <c r="AS18" s="597" t="str">
        <f>IF(Sikap!M22="","",Sikap!M22)</f>
        <v>C</v>
      </c>
      <c r="AT18" s="311">
        <f t="shared" si="7"/>
        <v>1123</v>
      </c>
      <c r="AU18" s="312">
        <f t="shared" si="8"/>
        <v>1180</v>
      </c>
      <c r="AV18" s="312">
        <f t="shared" si="9"/>
        <v>2303</v>
      </c>
      <c r="AW18" s="313">
        <f t="shared" si="11"/>
        <v>33</v>
      </c>
      <c r="AX18" s="291">
        <v>8</v>
      </c>
    </row>
    <row r="19" spans="1:50" ht="12.95" customHeight="1">
      <c r="A19" s="161"/>
      <c r="B19" s="163">
        <f t="shared" si="10"/>
        <v>9</v>
      </c>
      <c r="C19" s="164">
        <f>IF(Data!F13="","",Data!F13)</f>
        <v>0</v>
      </c>
      <c r="D19" s="165" t="str">
        <f>IF(Data!H13="","",Data!H13)</f>
        <v>Demrianus Ton</v>
      </c>
      <c r="E19" s="166" t="str">
        <f>IF(Data!I13="","",Data!I13)</f>
        <v>L</v>
      </c>
      <c r="F19" s="311">
        <f>IF(PA!S22="","",PA!S22)</f>
        <v>76</v>
      </c>
      <c r="G19" s="312">
        <f>IF(PKn!S22="","",PKn!S22)</f>
        <v>77</v>
      </c>
      <c r="H19" s="312">
        <f>IF(BInd!S22="","",BInd!S22)</f>
        <v>60</v>
      </c>
      <c r="I19" s="312">
        <f>IF(Mat!S22="","",Mat!S22)</f>
        <v>19</v>
      </c>
      <c r="J19" s="312" t="str">
        <f>IF(SEJ!S22="","",SEJ!S22)</f>
        <v/>
      </c>
      <c r="K19" s="312">
        <f>IF(BIng!S22="","",BIng!S22)</f>
        <v>80</v>
      </c>
      <c r="L19" s="312">
        <f>IF(SB!S22="","",SB!S22)</f>
        <v>86</v>
      </c>
      <c r="M19" s="312">
        <f>IF(pjok!S22="","",pjok!S22)</f>
        <v>84</v>
      </c>
      <c r="N19" s="312">
        <f>IF(pkwu!S22="","",pkwu!S22)</f>
        <v>81</v>
      </c>
      <c r="O19" s="312" t="str">
        <f>IF('Mlk1'!S22="","",'Mlk1'!S22)</f>
        <v/>
      </c>
      <c r="P19" s="312" t="str">
        <f>IF('Ml2'!S22="","",'Ml2'!S22)</f>
        <v/>
      </c>
      <c r="Q19" s="312">
        <f>IF(sosio!S22="","",sosio!S22)</f>
        <v>78</v>
      </c>
      <c r="R19" s="312">
        <f>IF(geog!S22="","",geog!S22)</f>
        <v>76</v>
      </c>
      <c r="S19" s="532">
        <f>IF(ekonomi!S22="","",ekonomi!S22)</f>
        <v>81</v>
      </c>
      <c r="T19" s="532">
        <f>IF('sejarah peminatan'!S22="","",'sejarah peminatan'!S22)</f>
        <v>82</v>
      </c>
      <c r="U19" s="532" t="str">
        <f>IF('PM5'!S22="","",'PM5'!S22)</f>
        <v/>
      </c>
      <c r="V19" s="532" t="str">
        <f>IF('PM6'!S22="","",'PM6'!S22)</f>
        <v/>
      </c>
      <c r="W19" s="532">
        <f>IF(biologi!S22="","",biologi!S22)</f>
        <v>75</v>
      </c>
      <c r="X19" s="532">
        <f>IF(fissika!S22="","",fissika!S22)</f>
        <v>77</v>
      </c>
      <c r="Y19" s="311">
        <f>IF(PA!AV22="","",PA!AV22)</f>
        <v>78</v>
      </c>
      <c r="Z19" s="312">
        <f>IF(PKn!AV22="","",PKn!AV22)</f>
        <v>80</v>
      </c>
      <c r="AA19" s="312">
        <f>IF(BInd!AV22="","",BInd!AV22)</f>
        <v>88</v>
      </c>
      <c r="AB19" s="312">
        <f>IF(Mat!AV22="","",Mat!AV22)</f>
        <v>0</v>
      </c>
      <c r="AC19" s="312" t="str">
        <f>IF(SEJ!AV22="","",SEJ!AV22)</f>
        <v/>
      </c>
      <c r="AD19" s="312">
        <f>IF(BIng!AV22="","",BIng!AV22)</f>
        <v>86</v>
      </c>
      <c r="AE19" s="312">
        <f>IF(SB!AV22="","",SB!AV22)</f>
        <v>90</v>
      </c>
      <c r="AF19" s="312">
        <f>IF(pjok!AV22="","",pjok!AV22)</f>
        <v>81</v>
      </c>
      <c r="AG19" s="312">
        <f>IF(pkwu!AV22="","",pkwu!AV22)</f>
        <v>80</v>
      </c>
      <c r="AH19" s="312" t="str">
        <f>IF('Mlk1'!AV22="","",'Mlk1'!AV22)</f>
        <v/>
      </c>
      <c r="AI19" s="312" t="str">
        <f>IF('Ml2'!AV22="","",'Ml2'!AV22)</f>
        <v/>
      </c>
      <c r="AJ19" s="312">
        <f>IF(sosio!AV22="","",sosio!AV22)</f>
        <v>78</v>
      </c>
      <c r="AK19" s="312">
        <f>IF(geog!AV22="","",geog!AV22)</f>
        <v>80</v>
      </c>
      <c r="AL19" s="532">
        <f>IF(ekonomi!AV22="","",ekonomi!AV22)</f>
        <v>88</v>
      </c>
      <c r="AM19" s="532">
        <f>IF('sejarah peminatan'!AV22="","",'sejarah peminatan'!AV22)</f>
        <v>83</v>
      </c>
      <c r="AN19" s="532" t="str">
        <f>IF('PM5'!AV22="","",'PM5'!AV22)</f>
        <v/>
      </c>
      <c r="AO19" s="532" t="str">
        <f>IF('PM6'!AV22="","",'PM6'!AV22)</f>
        <v/>
      </c>
      <c r="AP19" s="532">
        <f>IF(biologi!AV22="","",biologi!AV22)</f>
        <v>68</v>
      </c>
      <c r="AQ19" s="532">
        <f>IF(fissika!AV22="","",fissika!AV22)</f>
        <v>88</v>
      </c>
      <c r="AR19" s="311" t="str">
        <f>IF(Sikap!F23="","",Sikap!F23)</f>
        <v>C</v>
      </c>
      <c r="AS19" s="597" t="str">
        <f>IF(Sikap!M23="","",Sikap!M23)</f>
        <v>C</v>
      </c>
      <c r="AT19" s="311">
        <f t="shared" si="7"/>
        <v>1032</v>
      </c>
      <c r="AU19" s="312">
        <f t="shared" si="8"/>
        <v>1068</v>
      </c>
      <c r="AV19" s="312">
        <f t="shared" si="9"/>
        <v>2100</v>
      </c>
      <c r="AW19" s="313">
        <f t="shared" si="11"/>
        <v>36</v>
      </c>
      <c r="AX19" s="293">
        <v>9</v>
      </c>
    </row>
    <row r="20" spans="1:50" ht="12.95" customHeight="1">
      <c r="A20" s="161"/>
      <c r="B20" s="163">
        <f t="shared" si="10"/>
        <v>10</v>
      </c>
      <c r="C20" s="164">
        <f>IF(Data!F14="","",Data!F14)</f>
        <v>0</v>
      </c>
      <c r="D20" s="165" t="str">
        <f>IF(Data!H14="","",Data!H14)</f>
        <v>Desti Manggoa</v>
      </c>
      <c r="E20" s="166" t="str">
        <f>IF(Data!I14="","",Data!I14)</f>
        <v>P</v>
      </c>
      <c r="F20" s="311">
        <f>IF(PA!S23="","",PA!S23)</f>
        <v>84</v>
      </c>
      <c r="G20" s="312">
        <f>IF(PKn!S23="","",PKn!S23)</f>
        <v>85</v>
      </c>
      <c r="H20" s="312">
        <f>IF(BInd!S23="","",BInd!S23)</f>
        <v>76</v>
      </c>
      <c r="I20" s="312">
        <f>IF(Mat!S23="","",Mat!S23)</f>
        <v>78</v>
      </c>
      <c r="J20" s="312" t="str">
        <f>IF(SEJ!S23="","",SEJ!S23)</f>
        <v/>
      </c>
      <c r="K20" s="312">
        <f>IF(BIng!S23="","",BIng!S23)</f>
        <v>85</v>
      </c>
      <c r="L20" s="312">
        <f>IF(SB!S23="","",SB!S23)</f>
        <v>85</v>
      </c>
      <c r="M20" s="312">
        <f>IF(pjok!S23="","",pjok!S23)</f>
        <v>85</v>
      </c>
      <c r="N20" s="312">
        <f>IF(pkwu!S23="","",pkwu!S23)</f>
        <v>85</v>
      </c>
      <c r="O20" s="312" t="str">
        <f>IF('Mlk1'!S23="","",'Mlk1'!S23)</f>
        <v/>
      </c>
      <c r="P20" s="312" t="str">
        <f>IF('Ml2'!S23="","",'Ml2'!S23)</f>
        <v/>
      </c>
      <c r="Q20" s="312">
        <f>IF(sosio!S23="","",sosio!S23)</f>
        <v>88</v>
      </c>
      <c r="R20" s="312">
        <f>IF(geog!S23="","",geog!S23)</f>
        <v>86</v>
      </c>
      <c r="S20" s="532">
        <f>IF(ekonomi!S23="","",ekonomi!S23)</f>
        <v>87</v>
      </c>
      <c r="T20" s="532">
        <f>IF('sejarah peminatan'!S23="","",'sejarah peminatan'!S23)</f>
        <v>82</v>
      </c>
      <c r="U20" s="532" t="str">
        <f>IF('PM5'!S23="","",'PM5'!S23)</f>
        <v/>
      </c>
      <c r="V20" s="532" t="str">
        <f>IF('PM6'!S23="","",'PM6'!S23)</f>
        <v/>
      </c>
      <c r="W20" s="532">
        <f>IF(biologi!S23="","",biologi!S23)</f>
        <v>79</v>
      </c>
      <c r="X20" s="532">
        <f>IF(fissika!S23="","",fissika!S23)</f>
        <v>81</v>
      </c>
      <c r="Y20" s="311">
        <f>IF(PA!AV23="","",PA!AV23)</f>
        <v>85</v>
      </c>
      <c r="Z20" s="312">
        <f>IF(PKn!AV23="","",PKn!AV23)</f>
        <v>95</v>
      </c>
      <c r="AA20" s="312">
        <f>IF(BInd!AV23="","",BInd!AV23)</f>
        <v>88</v>
      </c>
      <c r="AB20" s="312">
        <f>IF(Mat!AV23="","",Mat!AV23)</f>
        <v>84</v>
      </c>
      <c r="AC20" s="312" t="str">
        <f>IF(SEJ!AV23="","",SEJ!AV23)</f>
        <v/>
      </c>
      <c r="AD20" s="312">
        <f>IF(BIng!AV23="","",BIng!AV23)</f>
        <v>86</v>
      </c>
      <c r="AE20" s="312">
        <f>IF(SB!AV23="","",SB!AV23)</f>
        <v>90</v>
      </c>
      <c r="AF20" s="312">
        <f>IF(pjok!AV23="","",pjok!AV23)</f>
        <v>89</v>
      </c>
      <c r="AG20" s="312">
        <f>IF(pkwu!AV23="","",pkwu!AV23)</f>
        <v>80</v>
      </c>
      <c r="AH20" s="312" t="str">
        <f>IF('Mlk1'!AV23="","",'Mlk1'!AV23)</f>
        <v/>
      </c>
      <c r="AI20" s="312" t="str">
        <f>IF('Ml2'!AV23="","",'Ml2'!AV23)</f>
        <v/>
      </c>
      <c r="AJ20" s="312">
        <f>IF(sosio!AV23="","",sosio!AV23)</f>
        <v>85</v>
      </c>
      <c r="AK20" s="312">
        <f>IF(geog!AV23="","",geog!AV23)</f>
        <v>95</v>
      </c>
      <c r="AL20" s="532">
        <f>IF(ekonomi!AV23="","",ekonomi!AV23)</f>
        <v>88</v>
      </c>
      <c r="AM20" s="532">
        <f>IF('sejarah peminatan'!AV23="","",'sejarah peminatan'!AV23)</f>
        <v>83</v>
      </c>
      <c r="AN20" s="532" t="str">
        <f>IF('PM5'!AV23="","",'PM5'!AV23)</f>
        <v/>
      </c>
      <c r="AO20" s="532" t="str">
        <f>IF('PM6'!AV23="","",'PM6'!AV23)</f>
        <v/>
      </c>
      <c r="AP20" s="532">
        <f>IF(biologi!AV23="","",biologi!AV23)</f>
        <v>78</v>
      </c>
      <c r="AQ20" s="532">
        <f>IF(fissika!AV23="","",fissika!AV23)</f>
        <v>88</v>
      </c>
      <c r="AR20" s="311" t="str">
        <f>IF(Sikap!F24="","",Sikap!F24)</f>
        <v>SB</v>
      </c>
      <c r="AS20" s="597" t="str">
        <f>IF(Sikap!M24="","",Sikap!M24)</f>
        <v>SB</v>
      </c>
      <c r="AT20" s="311">
        <f t="shared" si="7"/>
        <v>1166</v>
      </c>
      <c r="AU20" s="312">
        <f t="shared" si="8"/>
        <v>1214</v>
      </c>
      <c r="AV20" s="312">
        <f t="shared" si="9"/>
        <v>2380</v>
      </c>
      <c r="AW20" s="313">
        <f t="shared" si="11"/>
        <v>26</v>
      </c>
      <c r="AX20" s="291">
        <v>10</v>
      </c>
    </row>
    <row r="21" spans="1:50" ht="12.95" customHeight="1">
      <c r="A21" s="161"/>
      <c r="B21" s="163">
        <f t="shared" si="10"/>
        <v>11</v>
      </c>
      <c r="C21" s="164">
        <f>IF(Data!F15="","",Data!F15)</f>
        <v>0</v>
      </c>
      <c r="D21" s="165" t="str">
        <f>IF(Data!H15="","",Data!H15)</f>
        <v>Dorkas Meliana Talita Kesnay</v>
      </c>
      <c r="E21" s="166" t="str">
        <f>IF(Data!I15="","",Data!I15)</f>
        <v>P</v>
      </c>
      <c r="F21" s="311">
        <f>IF(PA!S24="","",PA!S24)</f>
        <v>90</v>
      </c>
      <c r="G21" s="312">
        <f>IF(PKn!S24="","",PKn!S24)</f>
        <v>85</v>
      </c>
      <c r="H21" s="312">
        <f>IF(BInd!S24="","",BInd!S24)</f>
        <v>77</v>
      </c>
      <c r="I21" s="312">
        <f>IF(Mat!S24="","",Mat!S24)</f>
        <v>83</v>
      </c>
      <c r="J21" s="312" t="str">
        <f>IF(SEJ!S24="","",SEJ!S24)</f>
        <v/>
      </c>
      <c r="K21" s="312">
        <f>IF(BIng!S24="","",BIng!S24)</f>
        <v>86</v>
      </c>
      <c r="L21" s="312">
        <f>IF(SB!S24="","",SB!S24)</f>
        <v>82</v>
      </c>
      <c r="M21" s="312">
        <f>IF(pjok!S24="","",pjok!S24)</f>
        <v>87</v>
      </c>
      <c r="N21" s="312">
        <f>IF(pkwu!S24="","",pkwu!S24)</f>
        <v>85</v>
      </c>
      <c r="O21" s="312" t="str">
        <f>IF('Mlk1'!S24="","",'Mlk1'!S24)</f>
        <v/>
      </c>
      <c r="P21" s="312" t="str">
        <f>IF('Ml2'!S24="","",'Ml2'!S24)</f>
        <v/>
      </c>
      <c r="Q21" s="312">
        <f>IF(sosio!S24="","",sosio!S24)</f>
        <v>89</v>
      </c>
      <c r="R21" s="312">
        <f>IF(geog!S24="","",geog!S24)</f>
        <v>87</v>
      </c>
      <c r="S21" s="532">
        <f>IF(ekonomi!S24="","",ekonomi!S24)</f>
        <v>88</v>
      </c>
      <c r="T21" s="532">
        <f>IF('sejarah peminatan'!S24="","",'sejarah peminatan'!S24)</f>
        <v>85</v>
      </c>
      <c r="U21" s="532" t="str">
        <f>IF('PM5'!S24="","",'PM5'!S24)</f>
        <v/>
      </c>
      <c r="V21" s="532" t="str">
        <f>IF('PM6'!S24="","",'PM6'!S24)</f>
        <v/>
      </c>
      <c r="W21" s="532">
        <f>IF(biologi!S24="","",biologi!S24)</f>
        <v>79</v>
      </c>
      <c r="X21" s="532">
        <f>IF(fissika!S24="","",fissika!S24)</f>
        <v>82</v>
      </c>
      <c r="Y21" s="311">
        <f>IF(PA!AV24="","",PA!AV24)</f>
        <v>90</v>
      </c>
      <c r="Z21" s="312">
        <f>IF(PKn!AV24="","",PKn!AV24)</f>
        <v>95</v>
      </c>
      <c r="AA21" s="312">
        <f>IF(BInd!AV24="","",BInd!AV24)</f>
        <v>88</v>
      </c>
      <c r="AB21" s="312">
        <f>IF(Mat!AV24="","",Mat!AV24)</f>
        <v>86</v>
      </c>
      <c r="AC21" s="312" t="str">
        <f>IF(SEJ!AV24="","",SEJ!AV24)</f>
        <v/>
      </c>
      <c r="AD21" s="312">
        <f>IF(BIng!AV24="","",BIng!AV24)</f>
        <v>86</v>
      </c>
      <c r="AE21" s="312">
        <f>IF(SB!AV24="","",SB!AV24)</f>
        <v>90</v>
      </c>
      <c r="AF21" s="312">
        <f>IF(pjok!AV24="","",pjok!AV24)</f>
        <v>87</v>
      </c>
      <c r="AG21" s="312">
        <f>IF(pkwu!AV24="","",pkwu!AV24)</f>
        <v>80</v>
      </c>
      <c r="AH21" s="312" t="str">
        <f>IF('Mlk1'!AV24="","",'Mlk1'!AV24)</f>
        <v/>
      </c>
      <c r="AI21" s="312" t="str">
        <f>IF('Ml2'!AV24="","",'Ml2'!AV24)</f>
        <v/>
      </c>
      <c r="AJ21" s="312">
        <f>IF(sosio!AV24="","",sosio!AV24)</f>
        <v>85</v>
      </c>
      <c r="AK21" s="312">
        <f>IF(geog!AV24="","",geog!AV24)</f>
        <v>95</v>
      </c>
      <c r="AL21" s="532">
        <f>IF(ekonomi!AV24="","",ekonomi!AV24)</f>
        <v>88</v>
      </c>
      <c r="AM21" s="532">
        <f>IF('sejarah peminatan'!AV24="","",'sejarah peminatan'!AV24)</f>
        <v>85</v>
      </c>
      <c r="AN21" s="532" t="str">
        <f>IF('PM5'!AV24="","",'PM5'!AV24)</f>
        <v/>
      </c>
      <c r="AO21" s="532" t="str">
        <f>IF('PM6'!AV24="","",'PM6'!AV24)</f>
        <v/>
      </c>
      <c r="AP21" s="532">
        <f>IF(biologi!AV24="","",biologi!AV24)</f>
        <v>79</v>
      </c>
      <c r="AQ21" s="532">
        <f>IF(fissika!AV24="","",fissika!AV24)</f>
        <v>88</v>
      </c>
      <c r="AR21" s="311" t="str">
        <f>IF(Sikap!F25="","",Sikap!F25)</f>
        <v>SB</v>
      </c>
      <c r="AS21" s="597" t="str">
        <f>IF(Sikap!M25="","",Sikap!M25)</f>
        <v>SB</v>
      </c>
      <c r="AT21" s="311">
        <f t="shared" si="7"/>
        <v>1185</v>
      </c>
      <c r="AU21" s="312">
        <f t="shared" si="8"/>
        <v>1222</v>
      </c>
      <c r="AV21" s="312">
        <f t="shared" si="9"/>
        <v>2407</v>
      </c>
      <c r="AW21" s="313">
        <f t="shared" si="11"/>
        <v>20</v>
      </c>
      <c r="AX21" s="293">
        <v>11</v>
      </c>
    </row>
    <row r="22" spans="1:50" ht="12.95" customHeight="1">
      <c r="A22" s="161"/>
      <c r="B22" s="163">
        <f t="shared" si="10"/>
        <v>12</v>
      </c>
      <c r="C22" s="164">
        <f>IF(Data!F16="","",Data!F16)</f>
        <v>0</v>
      </c>
      <c r="D22" s="165" t="str">
        <f>IF(Data!H16="","",Data!H16)</f>
        <v>Erto Seprianto Leukune</v>
      </c>
      <c r="E22" s="166" t="str">
        <f>IF(Data!I16="","",Data!I16)</f>
        <v>L</v>
      </c>
      <c r="F22" s="311">
        <f>IF(PA!S25="","",PA!S25)</f>
        <v>80</v>
      </c>
      <c r="G22" s="312">
        <f>IF(PKn!S25="","",PKn!S25)</f>
        <v>87</v>
      </c>
      <c r="H22" s="312">
        <f>IF(BInd!S25="","",BInd!S25)</f>
        <v>79</v>
      </c>
      <c r="I22" s="312">
        <f>IF(Mat!S25="","",Mat!S25)</f>
        <v>83</v>
      </c>
      <c r="J22" s="312" t="str">
        <f>IF(SEJ!S25="","",SEJ!S25)</f>
        <v/>
      </c>
      <c r="K22" s="312">
        <f>IF(BIng!S25="","",BIng!S25)</f>
        <v>85</v>
      </c>
      <c r="L22" s="312">
        <f>IF(SB!S25="","",SB!S25)</f>
        <v>82</v>
      </c>
      <c r="M22" s="312">
        <f>IF(pjok!S25="","",pjok!S25)</f>
        <v>87</v>
      </c>
      <c r="N22" s="312">
        <f>IF(pkwu!S25="","",pkwu!S25)</f>
        <v>84</v>
      </c>
      <c r="O22" s="312" t="str">
        <f>IF('Mlk1'!S25="","",'Mlk1'!S25)</f>
        <v/>
      </c>
      <c r="P22" s="312" t="str">
        <f>IF('Ml2'!S25="","",'Ml2'!S25)</f>
        <v/>
      </c>
      <c r="Q22" s="312">
        <f>IF(sosio!S25="","",sosio!S25)</f>
        <v>89</v>
      </c>
      <c r="R22" s="312">
        <f>IF(geog!S25="","",geog!S25)</f>
        <v>80</v>
      </c>
      <c r="S22" s="532">
        <f>IF(ekonomi!S25="","",ekonomi!S25)</f>
        <v>82</v>
      </c>
      <c r="T22" s="532">
        <f>IF('sejarah peminatan'!S25="","",'sejarah peminatan'!S25)</f>
        <v>81</v>
      </c>
      <c r="U22" s="532" t="str">
        <f>IF('PM5'!S25="","",'PM5'!S25)</f>
        <v/>
      </c>
      <c r="V22" s="532" t="str">
        <f>IF('PM6'!S25="","",'PM6'!S25)</f>
        <v/>
      </c>
      <c r="W22" s="532">
        <f>IF(biologi!S25="","",biologi!S25)</f>
        <v>79</v>
      </c>
      <c r="X22" s="532">
        <f>IF(fissika!S25="","",fissika!S25)</f>
        <v>78</v>
      </c>
      <c r="Y22" s="311">
        <f>IF(PA!AV25="","",PA!AV25)</f>
        <v>80</v>
      </c>
      <c r="Z22" s="312">
        <f>IF(PKn!AV25="","",PKn!AV25)</f>
        <v>85</v>
      </c>
      <c r="AA22" s="312">
        <f>IF(BInd!AV25="","",BInd!AV25)</f>
        <v>88</v>
      </c>
      <c r="AB22" s="312">
        <f>IF(Mat!AV25="","",Mat!AV25)</f>
        <v>86</v>
      </c>
      <c r="AC22" s="312" t="str">
        <f>IF(SEJ!AV25="","",SEJ!AV25)</f>
        <v/>
      </c>
      <c r="AD22" s="312">
        <f>IF(BIng!AV25="","",BIng!AV25)</f>
        <v>86</v>
      </c>
      <c r="AE22" s="312">
        <f>IF(SB!AV25="","",SB!AV25)</f>
        <v>90</v>
      </c>
      <c r="AF22" s="312">
        <f>IF(pjok!AV25="","",pjok!AV25)</f>
        <v>87</v>
      </c>
      <c r="AG22" s="312">
        <f>IF(pkwu!AV25="","",pkwu!AV25)</f>
        <v>80</v>
      </c>
      <c r="AH22" s="312" t="str">
        <f>IF('Mlk1'!AV25="","",'Mlk1'!AV25)</f>
        <v/>
      </c>
      <c r="AI22" s="312" t="str">
        <f>IF('Ml2'!AV25="","",'Ml2'!AV25)</f>
        <v/>
      </c>
      <c r="AJ22" s="312">
        <f>IF(sosio!AV25="","",sosio!AV25)</f>
        <v>85</v>
      </c>
      <c r="AK22" s="312">
        <f>IF(geog!AV25="","",geog!AV25)</f>
        <v>85</v>
      </c>
      <c r="AL22" s="532">
        <f>IF(ekonomi!AV25="","",ekonomi!AV25)</f>
        <v>88</v>
      </c>
      <c r="AM22" s="532">
        <f>IF('sejarah peminatan'!AV25="","",'sejarah peminatan'!AV25)</f>
        <v>83</v>
      </c>
      <c r="AN22" s="532" t="str">
        <f>IF('PM5'!AV25="","",'PM5'!AV25)</f>
        <v/>
      </c>
      <c r="AO22" s="532" t="str">
        <f>IF('PM6'!AV25="","",'PM6'!AV25)</f>
        <v/>
      </c>
      <c r="AP22" s="532">
        <f>IF(biologi!AV25="","",biologi!AV25)</f>
        <v>78</v>
      </c>
      <c r="AQ22" s="532">
        <f>IF(fissika!AV25="","",fissika!AV25)</f>
        <v>88</v>
      </c>
      <c r="AR22" s="311" t="str">
        <f>IF(Sikap!F26="","",Sikap!F26)</f>
        <v>SB</v>
      </c>
      <c r="AS22" s="597" t="str">
        <f>IF(Sikap!M26="","",Sikap!M26)</f>
        <v>SB</v>
      </c>
      <c r="AT22" s="311">
        <f t="shared" si="7"/>
        <v>1156</v>
      </c>
      <c r="AU22" s="312">
        <f t="shared" si="8"/>
        <v>1189</v>
      </c>
      <c r="AV22" s="312">
        <f t="shared" si="9"/>
        <v>2345</v>
      </c>
      <c r="AW22" s="313">
        <f t="shared" si="11"/>
        <v>29</v>
      </c>
      <c r="AX22" s="291">
        <v>12</v>
      </c>
    </row>
    <row r="23" spans="1:50" ht="12.95" customHeight="1">
      <c r="A23" s="161"/>
      <c r="B23" s="163">
        <f t="shared" si="10"/>
        <v>13</v>
      </c>
      <c r="C23" s="164">
        <f>IF(Data!F17="","",Data!F17)</f>
        <v>0</v>
      </c>
      <c r="D23" s="165" t="str">
        <f>IF(Data!H17="","",Data!H17)</f>
        <v>Feli Tipnoni</v>
      </c>
      <c r="E23" s="166" t="str">
        <f>IF(Data!I17="","",Data!I17)</f>
        <v>P</v>
      </c>
      <c r="F23" s="311">
        <f>IF(PA!S26="","",PA!S26)</f>
        <v>85</v>
      </c>
      <c r="G23" s="312">
        <f>IF(PKn!S26="","",PKn!S26)</f>
        <v>88</v>
      </c>
      <c r="H23" s="312">
        <f>IF(BInd!S26="","",BInd!S26)</f>
        <v>79</v>
      </c>
      <c r="I23" s="312">
        <f>IF(Mat!S26="","",Mat!S26)</f>
        <v>83</v>
      </c>
      <c r="J23" s="312" t="str">
        <f>IF(SEJ!S26="","",SEJ!S26)</f>
        <v/>
      </c>
      <c r="K23" s="312">
        <f>IF(BIng!S26="","",BIng!S26)</f>
        <v>85</v>
      </c>
      <c r="L23" s="312">
        <f>IF(SB!S26="","",SB!S26)</f>
        <v>86</v>
      </c>
      <c r="M23" s="312">
        <f>IF(pjok!S26="","",pjok!S26)</f>
        <v>85</v>
      </c>
      <c r="N23" s="312">
        <f>IF(pkwu!S26="","",pkwu!S26)</f>
        <v>88</v>
      </c>
      <c r="O23" s="312" t="str">
        <f>IF('Mlk1'!S26="","",'Mlk1'!S26)</f>
        <v/>
      </c>
      <c r="P23" s="312" t="str">
        <f>IF('Ml2'!S26="","",'Ml2'!S26)</f>
        <v/>
      </c>
      <c r="Q23" s="312">
        <f>IF(sosio!S26="","",sosio!S26)</f>
        <v>89</v>
      </c>
      <c r="R23" s="312">
        <f>IF(geog!S26="","",geog!S26)</f>
        <v>87</v>
      </c>
      <c r="S23" s="532">
        <f>IF(ekonomi!S26="","",ekonomi!S26)</f>
        <v>85</v>
      </c>
      <c r="T23" s="532">
        <f>IF('sejarah peminatan'!S26="","",'sejarah peminatan'!S26)</f>
        <v>82</v>
      </c>
      <c r="U23" s="532" t="str">
        <f>IF('PM5'!S26="","",'PM5'!S26)</f>
        <v/>
      </c>
      <c r="V23" s="532" t="str">
        <f>IF('PM6'!S26="","",'PM6'!S26)</f>
        <v/>
      </c>
      <c r="W23" s="532">
        <f>IF(biologi!S26="","",biologi!S26)</f>
        <v>78</v>
      </c>
      <c r="X23" s="532">
        <f>IF(fissika!S26="","",fissika!S26)</f>
        <v>79</v>
      </c>
      <c r="Y23" s="311">
        <f>IF(PA!AV26="","",PA!AV26)</f>
        <v>85</v>
      </c>
      <c r="Z23" s="312">
        <f>IF(PKn!AV26="","",PKn!AV26)</f>
        <v>95</v>
      </c>
      <c r="AA23" s="312">
        <f>IF(BInd!AV26="","",BInd!AV26)</f>
        <v>88</v>
      </c>
      <c r="AB23" s="312">
        <f>IF(Mat!AV26="","",Mat!AV26)</f>
        <v>90</v>
      </c>
      <c r="AC23" s="312" t="str">
        <f>IF(SEJ!AV26="","",SEJ!AV26)</f>
        <v/>
      </c>
      <c r="AD23" s="312">
        <f>IF(BIng!AV26="","",BIng!AV26)</f>
        <v>86</v>
      </c>
      <c r="AE23" s="312">
        <f>IF(SB!AV26="","",SB!AV26)</f>
        <v>90</v>
      </c>
      <c r="AF23" s="312">
        <f>IF(pjok!AV26="","",pjok!AV26)</f>
        <v>87</v>
      </c>
      <c r="AG23" s="312">
        <f>IF(pkwu!AV26="","",pkwu!AV26)</f>
        <v>80</v>
      </c>
      <c r="AH23" s="312" t="str">
        <f>IF('Mlk1'!AV26="","",'Mlk1'!AV26)</f>
        <v/>
      </c>
      <c r="AI23" s="312" t="str">
        <f>IF('Ml2'!AV26="","",'Ml2'!AV26)</f>
        <v/>
      </c>
      <c r="AJ23" s="312">
        <f>IF(sosio!AV26="","",sosio!AV26)</f>
        <v>85</v>
      </c>
      <c r="AK23" s="312">
        <f>IF(geog!AV26="","",geog!AV26)</f>
        <v>95</v>
      </c>
      <c r="AL23" s="532">
        <f>IF(ekonomi!AV26="","",ekonomi!AV26)</f>
        <v>88</v>
      </c>
      <c r="AM23" s="532">
        <f>IF('sejarah peminatan'!AV26="","",'sejarah peminatan'!AV26)</f>
        <v>83</v>
      </c>
      <c r="AN23" s="532" t="str">
        <f>IF('PM5'!AV26="","",'PM5'!AV26)</f>
        <v/>
      </c>
      <c r="AO23" s="532" t="str">
        <f>IF('PM6'!AV26="","",'PM6'!AV26)</f>
        <v/>
      </c>
      <c r="AP23" s="532">
        <f>IF(biologi!AV26="","",biologi!AV26)</f>
        <v>79</v>
      </c>
      <c r="AQ23" s="532">
        <f>IF(fissika!AV26="","",fissika!AV26)</f>
        <v>88</v>
      </c>
      <c r="AR23" s="311" t="str">
        <f>IF(Sikap!F27="","",Sikap!F27)</f>
        <v>SB</v>
      </c>
      <c r="AS23" s="597" t="str">
        <f>IF(Sikap!M27="","",Sikap!M27)</f>
        <v>SB</v>
      </c>
      <c r="AT23" s="311">
        <f t="shared" si="7"/>
        <v>1179</v>
      </c>
      <c r="AU23" s="312">
        <f t="shared" si="8"/>
        <v>1219</v>
      </c>
      <c r="AV23" s="312">
        <f t="shared" si="9"/>
        <v>2398</v>
      </c>
      <c r="AW23" s="313">
        <f t="shared" si="11"/>
        <v>23</v>
      </c>
      <c r="AX23" s="293">
        <v>13</v>
      </c>
    </row>
    <row r="24" spans="1:50" ht="12.95" customHeight="1">
      <c r="A24" s="161"/>
      <c r="B24" s="163">
        <f t="shared" si="10"/>
        <v>14</v>
      </c>
      <c r="C24" s="164">
        <f>IF(Data!F18="","",Data!F18)</f>
        <v>0</v>
      </c>
      <c r="D24" s="165" t="str">
        <f>IF(Data!H18="","",Data!H18)</f>
        <v xml:space="preserve">Ferdinandes Sakbana </v>
      </c>
      <c r="E24" s="166" t="str">
        <f>IF(Data!I18="","",Data!I18)</f>
        <v>L</v>
      </c>
      <c r="F24" s="311">
        <f>IF(PA!S27="","",PA!S27)</f>
        <v>86</v>
      </c>
      <c r="G24" s="312">
        <f>IF(PKn!S27="","",PKn!S27)</f>
        <v>87</v>
      </c>
      <c r="H24" s="312">
        <f>IF(BInd!S27="","",BInd!S27)</f>
        <v>77</v>
      </c>
      <c r="I24" s="312">
        <f>IF(Mat!S27="","",Mat!S27)</f>
        <v>75</v>
      </c>
      <c r="J24" s="312" t="str">
        <f>IF(SEJ!S27="","",SEJ!S27)</f>
        <v/>
      </c>
      <c r="K24" s="312">
        <f>IF(BIng!S27="","",BIng!S27)</f>
        <v>81</v>
      </c>
      <c r="L24" s="312">
        <f>IF(SB!S27="","",SB!S27)</f>
        <v>82</v>
      </c>
      <c r="M24" s="312">
        <f>IF(pjok!S27="","",pjok!S27)</f>
        <v>86</v>
      </c>
      <c r="N24" s="312">
        <f>IF(pkwu!S27="","",pkwu!S27)</f>
        <v>88</v>
      </c>
      <c r="O24" s="312" t="str">
        <f>IF('Mlk1'!S27="","",'Mlk1'!S27)</f>
        <v/>
      </c>
      <c r="P24" s="312" t="str">
        <f>IF('Ml2'!S27="","",'Ml2'!S27)</f>
        <v/>
      </c>
      <c r="Q24" s="312">
        <f>IF(sosio!S27="","",sosio!S27)</f>
        <v>87</v>
      </c>
      <c r="R24" s="312">
        <f>IF(geog!S27="","",geog!S27)</f>
        <v>80</v>
      </c>
      <c r="S24" s="532">
        <f>IF(ekonomi!S27="","",ekonomi!S27)</f>
        <v>87</v>
      </c>
      <c r="T24" s="532">
        <f>IF('sejarah peminatan'!S27="","",'sejarah peminatan'!S27)</f>
        <v>81</v>
      </c>
      <c r="U24" s="532" t="str">
        <f>IF('PM5'!S27="","",'PM5'!S27)</f>
        <v/>
      </c>
      <c r="V24" s="532" t="str">
        <f>IF('PM6'!S27="","",'PM6'!S27)</f>
        <v/>
      </c>
      <c r="W24" s="532">
        <f>IF(biologi!S27="","",biologi!S27)</f>
        <v>74</v>
      </c>
      <c r="X24" s="532">
        <f>IF(fissika!S27="","",fissika!S27)</f>
        <v>80</v>
      </c>
      <c r="Y24" s="311">
        <f>IF(PA!AV27="","",PA!AV27)</f>
        <v>85</v>
      </c>
      <c r="Z24" s="312">
        <f>IF(PKn!AV27="","",PKn!AV27)</f>
        <v>80</v>
      </c>
      <c r="AA24" s="312">
        <f>IF(BInd!AV27="","",BInd!AV27)</f>
        <v>88</v>
      </c>
      <c r="AB24" s="312">
        <f>IF(Mat!AV27="","",Mat!AV27)</f>
        <v>79</v>
      </c>
      <c r="AC24" s="312" t="str">
        <f>IF(SEJ!AV27="","",SEJ!AV27)</f>
        <v/>
      </c>
      <c r="AD24" s="312">
        <f>IF(BIng!AV27="","",BIng!AV27)</f>
        <v>86</v>
      </c>
      <c r="AE24" s="312">
        <f>IF(SB!AV27="","",SB!AV27)</f>
        <v>90</v>
      </c>
      <c r="AF24" s="312">
        <f>IF(pjok!AV27="","",pjok!AV27)</f>
        <v>86</v>
      </c>
      <c r="AG24" s="312">
        <f>IF(pkwu!AV27="","",pkwu!AV27)</f>
        <v>90</v>
      </c>
      <c r="AH24" s="312" t="str">
        <f>IF('Mlk1'!AV27="","",'Mlk1'!AV27)</f>
        <v/>
      </c>
      <c r="AI24" s="312" t="str">
        <f>IF('Ml2'!AV27="","",'Ml2'!AV27)</f>
        <v/>
      </c>
      <c r="AJ24" s="312">
        <f>IF(sosio!AV27="","",sosio!AV27)</f>
        <v>80</v>
      </c>
      <c r="AK24" s="312">
        <f>IF(geog!AV27="","",geog!AV27)</f>
        <v>80</v>
      </c>
      <c r="AL24" s="532">
        <f>IF(ekonomi!AV27="","",ekonomi!AV27)</f>
        <v>88</v>
      </c>
      <c r="AM24" s="532">
        <f>IF('sejarah peminatan'!AV27="","",'sejarah peminatan'!AV27)</f>
        <v>83</v>
      </c>
      <c r="AN24" s="532" t="str">
        <f>IF('PM5'!AV27="","",'PM5'!AV27)</f>
        <v/>
      </c>
      <c r="AO24" s="532" t="str">
        <f>IF('PM6'!AV27="","",'PM6'!AV27)</f>
        <v/>
      </c>
      <c r="AP24" s="532">
        <f>IF(biologi!AV27="","",biologi!AV27)</f>
        <v>75</v>
      </c>
      <c r="AQ24" s="532">
        <f>IF(fissika!AV27="","",fissika!AV27)</f>
        <v>88</v>
      </c>
      <c r="AR24" s="311" t="str">
        <f>IF(Sikap!F28="","",Sikap!F28)</f>
        <v>B</v>
      </c>
      <c r="AS24" s="597" t="str">
        <f>IF(Sikap!M28="","",Sikap!M28)</f>
        <v>B</v>
      </c>
      <c r="AT24" s="311">
        <f t="shared" si="7"/>
        <v>1151</v>
      </c>
      <c r="AU24" s="312">
        <f t="shared" si="8"/>
        <v>1178</v>
      </c>
      <c r="AV24" s="312">
        <f t="shared" si="9"/>
        <v>2329</v>
      </c>
      <c r="AW24" s="313">
        <f t="shared" si="11"/>
        <v>32</v>
      </c>
      <c r="AX24" s="291">
        <v>14</v>
      </c>
    </row>
    <row r="25" spans="1:50" ht="12.95" customHeight="1">
      <c r="A25" s="161"/>
      <c r="B25" s="163">
        <f t="shared" si="10"/>
        <v>15</v>
      </c>
      <c r="C25" s="164">
        <f>IF(Data!F19="","",Data!F19)</f>
        <v>0</v>
      </c>
      <c r="D25" s="165" t="str">
        <f>IF(Data!H19="","",Data!H19)</f>
        <v>Fitri Novani Nitbani</v>
      </c>
      <c r="E25" s="166" t="str">
        <f>IF(Data!I19="","",Data!I19)</f>
        <v>P</v>
      </c>
      <c r="F25" s="311">
        <f>IF(PA!S28="","",PA!S28)</f>
        <v>90</v>
      </c>
      <c r="G25" s="312">
        <f>IF(PKn!S28="","",PKn!S28)</f>
        <v>83</v>
      </c>
      <c r="H25" s="312">
        <f>IF(BInd!S28="","",BInd!S28)</f>
        <v>79</v>
      </c>
      <c r="I25" s="312">
        <f>IF(Mat!S28="","",Mat!S28)</f>
        <v>81</v>
      </c>
      <c r="J25" s="312" t="str">
        <f>IF(SEJ!S28="","",SEJ!S28)</f>
        <v/>
      </c>
      <c r="K25" s="312">
        <f>IF(BIng!S28="","",BIng!S28)</f>
        <v>85</v>
      </c>
      <c r="L25" s="312">
        <f>IF(SB!S28="","",SB!S28)</f>
        <v>83</v>
      </c>
      <c r="M25" s="312">
        <f>IF(pjok!S28="","",pjok!S28)</f>
        <v>88</v>
      </c>
      <c r="N25" s="312">
        <f>IF(pkwu!S28="","",pkwu!S28)</f>
        <v>86</v>
      </c>
      <c r="O25" s="312" t="str">
        <f>IF('Mlk1'!S28="","",'Mlk1'!S28)</f>
        <v/>
      </c>
      <c r="P25" s="312" t="str">
        <f>IF('Ml2'!S28="","",'Ml2'!S28)</f>
        <v/>
      </c>
      <c r="Q25" s="312">
        <f>IF(sosio!S28="","",sosio!S28)</f>
        <v>89</v>
      </c>
      <c r="R25" s="312">
        <f>IF(geog!S28="","",geog!S28)</f>
        <v>87</v>
      </c>
      <c r="S25" s="532">
        <f>IF(ekonomi!S28="","",ekonomi!S28)</f>
        <v>84</v>
      </c>
      <c r="T25" s="532">
        <f>IF('sejarah peminatan'!S28="","",'sejarah peminatan'!S28)</f>
        <v>81</v>
      </c>
      <c r="U25" s="532" t="str">
        <f>IF('PM5'!S28="","",'PM5'!S28)</f>
        <v/>
      </c>
      <c r="V25" s="532" t="str">
        <f>IF('PM6'!S28="","",'PM6'!S28)</f>
        <v/>
      </c>
      <c r="W25" s="532">
        <f>IF(biologi!S28="","",biologi!S28)</f>
        <v>80</v>
      </c>
      <c r="X25" s="532">
        <f>IF(fissika!S28="","",fissika!S28)</f>
        <v>82</v>
      </c>
      <c r="Y25" s="311">
        <f>IF(PA!AV28="","",PA!AV28)</f>
        <v>90</v>
      </c>
      <c r="Z25" s="312">
        <f>IF(PKn!AV28="","",PKn!AV28)</f>
        <v>95</v>
      </c>
      <c r="AA25" s="312">
        <f>IF(BInd!AV28="","",BInd!AV28)</f>
        <v>88</v>
      </c>
      <c r="AB25" s="312">
        <f>IF(Mat!AV28="","",Mat!AV28)</f>
        <v>86</v>
      </c>
      <c r="AC25" s="312" t="str">
        <f>IF(SEJ!AV28="","",SEJ!AV28)</f>
        <v/>
      </c>
      <c r="AD25" s="312">
        <f>IF(BIng!AV28="","",BIng!AV28)</f>
        <v>86</v>
      </c>
      <c r="AE25" s="312">
        <f>IF(SB!AV28="","",SB!AV28)</f>
        <v>90</v>
      </c>
      <c r="AF25" s="312">
        <f>IF(pjok!AV28="","",pjok!AV28)</f>
        <v>87</v>
      </c>
      <c r="AG25" s="312">
        <f>IF(pkwu!AV28="","",pkwu!AV28)</f>
        <v>90</v>
      </c>
      <c r="AH25" s="312" t="str">
        <f>IF('Mlk1'!AV28="","",'Mlk1'!AV28)</f>
        <v/>
      </c>
      <c r="AI25" s="312" t="str">
        <f>IF('Ml2'!AV28="","",'Ml2'!AV28)</f>
        <v/>
      </c>
      <c r="AJ25" s="312">
        <f>IF(sosio!AV28="","",sosio!AV28)</f>
        <v>85</v>
      </c>
      <c r="AK25" s="312">
        <f>IF(geog!AV28="","",geog!AV28)</f>
        <v>95</v>
      </c>
      <c r="AL25" s="532">
        <f>IF(ekonomi!AV28="","",ekonomi!AV28)</f>
        <v>88</v>
      </c>
      <c r="AM25" s="532">
        <f>IF('sejarah peminatan'!AV28="","",'sejarah peminatan'!AV28)</f>
        <v>83</v>
      </c>
      <c r="AN25" s="532" t="str">
        <f>IF('PM5'!AV28="","",'PM5'!AV28)</f>
        <v/>
      </c>
      <c r="AO25" s="532" t="str">
        <f>IF('PM6'!AV28="","",'PM6'!AV28)</f>
        <v/>
      </c>
      <c r="AP25" s="532">
        <f>IF(biologi!AV28="","",biologi!AV28)</f>
        <v>79</v>
      </c>
      <c r="AQ25" s="532">
        <f>IF(fissika!AV28="","",fissika!AV28)</f>
        <v>88</v>
      </c>
      <c r="AR25" s="311" t="str">
        <f>IF(Sikap!F29="","",Sikap!F29)</f>
        <v>B</v>
      </c>
      <c r="AS25" s="597" t="str">
        <f>IF(Sikap!M29="","",Sikap!M29)</f>
        <v>B</v>
      </c>
      <c r="AT25" s="311">
        <f t="shared" si="7"/>
        <v>1178</v>
      </c>
      <c r="AU25" s="312">
        <f t="shared" si="8"/>
        <v>1230</v>
      </c>
      <c r="AV25" s="312">
        <f t="shared" si="9"/>
        <v>2408</v>
      </c>
      <c r="AW25" s="313">
        <f t="shared" si="11"/>
        <v>18</v>
      </c>
      <c r="AX25" s="293">
        <v>15</v>
      </c>
    </row>
    <row r="26" spans="1:50" ht="12.95" customHeight="1">
      <c r="A26" s="161"/>
      <c r="B26" s="163">
        <f t="shared" si="10"/>
        <v>16</v>
      </c>
      <c r="C26" s="164">
        <f>IF(Data!F20="","",Data!F20)</f>
        <v>0</v>
      </c>
      <c r="D26" s="165" t="str">
        <f>IF(Data!H20="","",Data!H20)</f>
        <v>Helsina Benu</v>
      </c>
      <c r="E26" s="166" t="str">
        <f>IF(Data!I20="","",Data!I20)</f>
        <v>P</v>
      </c>
      <c r="F26" s="311">
        <f>IF(PA!S29="","",PA!S29)</f>
        <v>95</v>
      </c>
      <c r="G26" s="312">
        <f>IF(PKn!S29="","",PKn!S29)</f>
        <v>83</v>
      </c>
      <c r="H26" s="312">
        <f>IF(BInd!S29="","",BInd!S29)</f>
        <v>81</v>
      </c>
      <c r="I26" s="312">
        <f>IF(Mat!S29="","",Mat!S29)</f>
        <v>81</v>
      </c>
      <c r="J26" s="312" t="str">
        <f>IF(SEJ!S29="","",SEJ!S29)</f>
        <v/>
      </c>
      <c r="K26" s="312">
        <f>IF(BIng!S29="","",BIng!S29)</f>
        <v>85</v>
      </c>
      <c r="L26" s="312">
        <f>IF(SB!S29="","",SB!S29)</f>
        <v>84</v>
      </c>
      <c r="M26" s="312">
        <f>IF(pjok!S29="","",pjok!S29)</f>
        <v>88</v>
      </c>
      <c r="N26" s="312">
        <f>IF(pkwu!S29="","",pkwu!S29)</f>
        <v>89</v>
      </c>
      <c r="O26" s="312" t="str">
        <f>IF('Mlk1'!S29="","",'Mlk1'!S29)</f>
        <v/>
      </c>
      <c r="P26" s="312" t="str">
        <f>IF('Ml2'!S29="","",'Ml2'!S29)</f>
        <v/>
      </c>
      <c r="Q26" s="312">
        <f>IF(sosio!S29="","",sosio!S29)</f>
        <v>89</v>
      </c>
      <c r="R26" s="312">
        <f>IF(geog!S29="","",geog!S29)</f>
        <v>87</v>
      </c>
      <c r="S26" s="532">
        <f>IF(ekonomi!S29="","",ekonomi!S29)</f>
        <v>88</v>
      </c>
      <c r="T26" s="532">
        <f>IF('sejarah peminatan'!S29="","",'sejarah peminatan'!S29)</f>
        <v>81</v>
      </c>
      <c r="U26" s="532" t="str">
        <f>IF('PM5'!S29="","",'PM5'!S29)</f>
        <v/>
      </c>
      <c r="V26" s="532" t="str">
        <f>IF('PM6'!S29="","",'PM6'!S29)</f>
        <v/>
      </c>
      <c r="W26" s="532">
        <f>IF(biologi!S29="","",biologi!S29)</f>
        <v>80</v>
      </c>
      <c r="X26" s="532">
        <f>IF(fissika!S29="","",fissika!S29)</f>
        <v>82</v>
      </c>
      <c r="Y26" s="311">
        <f>IF(PA!AV29="","",PA!AV29)</f>
        <v>95</v>
      </c>
      <c r="Z26" s="312">
        <f>IF(PKn!AV29="","",PKn!AV29)</f>
        <v>95</v>
      </c>
      <c r="AA26" s="312">
        <f>IF(BInd!AV29="","",BInd!AV29)</f>
        <v>88</v>
      </c>
      <c r="AB26" s="312">
        <f>IF(Mat!AV29="","",Mat!AV29)</f>
        <v>86</v>
      </c>
      <c r="AC26" s="312" t="str">
        <f>IF(SEJ!AV29="","",SEJ!AV29)</f>
        <v/>
      </c>
      <c r="AD26" s="312">
        <f>IF(BIng!AV29="","",BIng!AV29)</f>
        <v>86</v>
      </c>
      <c r="AE26" s="312">
        <f>IF(SB!AV29="","",SB!AV29)</f>
        <v>90</v>
      </c>
      <c r="AF26" s="312">
        <f>IF(pjok!AV29="","",pjok!AV29)</f>
        <v>85</v>
      </c>
      <c r="AG26" s="312">
        <f>IF(pkwu!AV29="","",pkwu!AV29)</f>
        <v>90</v>
      </c>
      <c r="AH26" s="312" t="str">
        <f>IF('Mlk1'!AV29="","",'Mlk1'!AV29)</f>
        <v/>
      </c>
      <c r="AI26" s="312" t="str">
        <f>IF('Ml2'!AV29="","",'Ml2'!AV29)</f>
        <v/>
      </c>
      <c r="AJ26" s="312">
        <f>IF(sosio!AV29="","",sosio!AV29)</f>
        <v>85</v>
      </c>
      <c r="AK26" s="312">
        <f>IF(geog!AV29="","",geog!AV29)</f>
        <v>95</v>
      </c>
      <c r="AL26" s="532">
        <f>IF(ekonomi!AV29="","",ekonomi!AV29)</f>
        <v>88</v>
      </c>
      <c r="AM26" s="532">
        <f>IF('sejarah peminatan'!AV29="","",'sejarah peminatan'!AV29)</f>
        <v>82</v>
      </c>
      <c r="AN26" s="532" t="str">
        <f>IF('PM5'!AV29="","",'PM5'!AV29)</f>
        <v/>
      </c>
      <c r="AO26" s="532" t="str">
        <f>IF('PM6'!AV29="","",'PM6'!AV29)</f>
        <v/>
      </c>
      <c r="AP26" s="532">
        <f>IF(biologi!AV29="","",biologi!AV29)</f>
        <v>80</v>
      </c>
      <c r="AQ26" s="532">
        <f>IF(fissika!AV29="","",fissika!AV29)</f>
        <v>88</v>
      </c>
      <c r="AR26" s="311" t="str">
        <f>IF(Sikap!F30="","",Sikap!F30)</f>
        <v>SB</v>
      </c>
      <c r="AS26" s="597" t="str">
        <f>IF(Sikap!M30="","",Sikap!M30)</f>
        <v>SB</v>
      </c>
      <c r="AT26" s="311">
        <f t="shared" si="7"/>
        <v>1193</v>
      </c>
      <c r="AU26" s="312">
        <f t="shared" si="8"/>
        <v>1233</v>
      </c>
      <c r="AV26" s="312">
        <f t="shared" si="9"/>
        <v>2426</v>
      </c>
      <c r="AW26" s="313">
        <f t="shared" si="11"/>
        <v>7</v>
      </c>
      <c r="AX26" s="291">
        <v>16</v>
      </c>
    </row>
    <row r="27" spans="1:50" ht="12.95" customHeight="1">
      <c r="A27" s="161"/>
      <c r="B27" s="163">
        <f t="shared" si="10"/>
        <v>17</v>
      </c>
      <c r="C27" s="164">
        <f>IF(Data!F21="","",Data!F21)</f>
        <v>0</v>
      </c>
      <c r="D27" s="165" t="str">
        <f>IF(Data!H21="","",Data!H21)</f>
        <v xml:space="preserve">Hezron Nubatonis </v>
      </c>
      <c r="E27" s="166" t="str">
        <f>IF(Data!I21="","",Data!I21)</f>
        <v>L</v>
      </c>
      <c r="F27" s="311">
        <f>IF(PA!S30="","",PA!S30)</f>
        <v>70</v>
      </c>
      <c r="G27" s="312">
        <f>IF(PKn!S30="","",PKn!S30)</f>
        <v>77</v>
      </c>
      <c r="H27" s="312">
        <f>IF(BInd!S30="","",BInd!S30)</f>
        <v>76</v>
      </c>
      <c r="I27" s="312">
        <f>IF(Mat!S30="","",Mat!S30)</f>
        <v>79</v>
      </c>
      <c r="J27" s="312" t="str">
        <f>IF(SEJ!S30="","",SEJ!S30)</f>
        <v/>
      </c>
      <c r="K27" s="312">
        <f>IF(BIng!S30="","",BIng!S30)</f>
        <v>80</v>
      </c>
      <c r="L27" s="312">
        <f>IF(SB!S30="","",SB!S30)</f>
        <v>80</v>
      </c>
      <c r="M27" s="312">
        <f>IF(pjok!S30="","",pjok!S30)</f>
        <v>87</v>
      </c>
      <c r="N27" s="312">
        <f>IF(pkwu!S30="","",pkwu!S30)</f>
        <v>81</v>
      </c>
      <c r="O27" s="312" t="str">
        <f>IF('Mlk1'!S30="","",'Mlk1'!S30)</f>
        <v/>
      </c>
      <c r="P27" s="312" t="str">
        <f>IF('Ml2'!S30="","",'Ml2'!S30)</f>
        <v/>
      </c>
      <c r="Q27" s="312">
        <f>IF(sosio!S30="","",sosio!S30)</f>
        <v>79</v>
      </c>
      <c r="R27" s="312">
        <f>IF(geog!S30="","",geog!S30)</f>
        <v>76</v>
      </c>
      <c r="S27" s="532">
        <f>IF(ekonomi!S30="","",ekonomi!S30)</f>
        <v>79</v>
      </c>
      <c r="T27" s="532">
        <f>IF('sejarah peminatan'!S30="","",'sejarah peminatan'!S30)</f>
        <v>81</v>
      </c>
      <c r="U27" s="532" t="str">
        <f>IF('PM5'!S30="","",'PM5'!S30)</f>
        <v/>
      </c>
      <c r="V27" s="532" t="str">
        <f>IF('PM6'!S30="","",'PM6'!S30)</f>
        <v/>
      </c>
      <c r="W27" s="532">
        <f>IF(biologi!S30="","",biologi!S30)</f>
        <v>76</v>
      </c>
      <c r="X27" s="532">
        <f>IF(fissika!S30="","",fissika!S30)</f>
        <v>76</v>
      </c>
      <c r="Y27" s="311">
        <f>IF(PA!AV30="","",PA!AV30)</f>
        <v>70</v>
      </c>
      <c r="Z27" s="312">
        <f>IF(PKn!AV30="","",PKn!AV30)</f>
        <v>79</v>
      </c>
      <c r="AA27" s="312">
        <f>IF(BInd!AV30="","",BInd!AV30)</f>
        <v>88</v>
      </c>
      <c r="AB27" s="312">
        <f>IF(Mat!AV30="","",Mat!AV30)</f>
        <v>81</v>
      </c>
      <c r="AC27" s="312" t="str">
        <f>IF(SEJ!AV30="","",SEJ!AV30)</f>
        <v/>
      </c>
      <c r="AD27" s="312">
        <f>IF(BIng!AV30="","",BIng!AV30)</f>
        <v>86</v>
      </c>
      <c r="AE27" s="312">
        <f>IF(SB!AV30="","",SB!AV30)</f>
        <v>90</v>
      </c>
      <c r="AF27" s="312">
        <f>IF(pjok!AV30="","",pjok!AV30)</f>
        <v>84</v>
      </c>
      <c r="AG27" s="312">
        <f>IF(pkwu!AV30="","",pkwu!AV30)</f>
        <v>80</v>
      </c>
      <c r="AH27" s="312" t="str">
        <f>IF('Mlk1'!AV30="","",'Mlk1'!AV30)</f>
        <v/>
      </c>
      <c r="AI27" s="312" t="str">
        <f>IF('Ml2'!AV30="","",'Ml2'!AV30)</f>
        <v/>
      </c>
      <c r="AJ27" s="312">
        <f>IF(sosio!AV30="","",sosio!AV30)</f>
        <v>80</v>
      </c>
      <c r="AK27" s="312">
        <f>IF(geog!AV30="","",geog!AV30)</f>
        <v>79</v>
      </c>
      <c r="AL27" s="532">
        <f>IF(ekonomi!AV30="","",ekonomi!AV30)</f>
        <v>88</v>
      </c>
      <c r="AM27" s="532">
        <f>IF('sejarah peminatan'!AV30="","",'sejarah peminatan'!AV30)</f>
        <v>83</v>
      </c>
      <c r="AN27" s="532" t="str">
        <f>IF('PM5'!AV30="","",'PM5'!AV30)</f>
        <v/>
      </c>
      <c r="AO27" s="532" t="str">
        <f>IF('PM6'!AV30="","",'PM6'!AV30)</f>
        <v/>
      </c>
      <c r="AP27" s="532">
        <f>IF(biologi!AV30="","",biologi!AV30)</f>
        <v>74</v>
      </c>
      <c r="AQ27" s="532">
        <f>IF(fissika!AV30="","",fissika!AV30)</f>
        <v>76</v>
      </c>
      <c r="AR27" s="311" t="str">
        <f>IF(Sikap!F31="","",Sikap!F31)</f>
        <v>C</v>
      </c>
      <c r="AS27" s="597" t="str">
        <f>IF(Sikap!M31="","",Sikap!M31)</f>
        <v>C</v>
      </c>
      <c r="AT27" s="311">
        <f t="shared" si="7"/>
        <v>1097</v>
      </c>
      <c r="AU27" s="312">
        <f t="shared" si="8"/>
        <v>1138</v>
      </c>
      <c r="AV27" s="312">
        <f t="shared" si="9"/>
        <v>2235</v>
      </c>
      <c r="AW27" s="313">
        <f t="shared" si="11"/>
        <v>34</v>
      </c>
      <c r="AX27" s="293">
        <v>17</v>
      </c>
    </row>
    <row r="28" spans="1:50" ht="12.95" customHeight="1">
      <c r="A28" s="161"/>
      <c r="B28" s="163">
        <f t="shared" si="10"/>
        <v>18</v>
      </c>
      <c r="C28" s="164">
        <f>IF(Data!F22="","",Data!F22)</f>
        <v>0</v>
      </c>
      <c r="D28" s="165" t="str">
        <f>IF(Data!H22="","",Data!H22)</f>
        <v>Jelita Anita Boimau</v>
      </c>
      <c r="E28" s="166" t="str">
        <f>IF(Data!I22="","",Data!I22)</f>
        <v>P</v>
      </c>
      <c r="F28" s="311">
        <f>IF(PA!S31="","",PA!S31)</f>
        <v>95</v>
      </c>
      <c r="G28" s="312">
        <f>IF(PKn!S31="","",PKn!S31)</f>
        <v>85</v>
      </c>
      <c r="H28" s="312">
        <f>IF(BInd!S31="","",BInd!S31)</f>
        <v>79</v>
      </c>
      <c r="I28" s="312">
        <f>IF(Mat!S31="","",Mat!S31)</f>
        <v>83</v>
      </c>
      <c r="J28" s="312" t="str">
        <f>IF(SEJ!S31="","",SEJ!S31)</f>
        <v/>
      </c>
      <c r="K28" s="312">
        <f>IF(BIng!S31="","",BIng!S31)</f>
        <v>85</v>
      </c>
      <c r="L28" s="312">
        <f>IF(SB!S31="","",SB!S31)</f>
        <v>83</v>
      </c>
      <c r="M28" s="312">
        <f>IF(pjok!S31="","",pjok!S31)</f>
        <v>88</v>
      </c>
      <c r="N28" s="312">
        <f>IF(pkwu!S31="","",pkwu!S31)</f>
        <v>89</v>
      </c>
      <c r="O28" s="312" t="str">
        <f>IF('Mlk1'!S31="","",'Mlk1'!S31)</f>
        <v/>
      </c>
      <c r="P28" s="312" t="str">
        <f>IF('Ml2'!S31="","",'Ml2'!S31)</f>
        <v/>
      </c>
      <c r="Q28" s="312">
        <f>IF(sosio!S31="","",sosio!S31)</f>
        <v>89</v>
      </c>
      <c r="R28" s="312">
        <f>IF(geog!S31="","",geog!S31)</f>
        <v>84</v>
      </c>
      <c r="S28" s="532">
        <f>IF(ekonomi!S31="","",ekonomi!S31)</f>
        <v>86</v>
      </c>
      <c r="T28" s="532">
        <f>IF('sejarah peminatan'!S31="","",'sejarah peminatan'!S31)</f>
        <v>82</v>
      </c>
      <c r="U28" s="532" t="str">
        <f>IF('PM5'!S31="","",'PM5'!S31)</f>
        <v/>
      </c>
      <c r="V28" s="532" t="str">
        <f>IF('PM6'!S31="","",'PM6'!S31)</f>
        <v/>
      </c>
      <c r="W28" s="532">
        <f>IF(biologi!S31="","",biologi!S31)</f>
        <v>80</v>
      </c>
      <c r="X28" s="532">
        <f>IF(fissika!S31="","",fissika!S31)</f>
        <v>81</v>
      </c>
      <c r="Y28" s="311">
        <f>IF(PA!AV31="","",PA!AV31)</f>
        <v>95</v>
      </c>
      <c r="Z28" s="312">
        <f>IF(PKn!AV31="","",PKn!AV31)</f>
        <v>95</v>
      </c>
      <c r="AA28" s="312">
        <f>IF(BInd!AV31="","",BInd!AV31)</f>
        <v>88</v>
      </c>
      <c r="AB28" s="312">
        <f>IF(Mat!AV31="","",Mat!AV31)</f>
        <v>86</v>
      </c>
      <c r="AC28" s="312" t="str">
        <f>IF(SEJ!AV31="","",SEJ!AV31)</f>
        <v/>
      </c>
      <c r="AD28" s="312">
        <f>IF(BIng!AV31="","",BIng!AV31)</f>
        <v>86</v>
      </c>
      <c r="AE28" s="312">
        <f>IF(SB!AV31="","",SB!AV31)</f>
        <v>90</v>
      </c>
      <c r="AF28" s="312">
        <f>IF(pjok!AV31="","",pjok!AV31)</f>
        <v>87</v>
      </c>
      <c r="AG28" s="312">
        <f>IF(pkwu!AV31="","",pkwu!AV31)</f>
        <v>80</v>
      </c>
      <c r="AH28" s="312" t="str">
        <f>IF('Mlk1'!AV31="","",'Mlk1'!AV31)</f>
        <v/>
      </c>
      <c r="AI28" s="312" t="str">
        <f>IF('Ml2'!AV31="","",'Ml2'!AV31)</f>
        <v/>
      </c>
      <c r="AJ28" s="312">
        <f>IF(sosio!AV31="","",sosio!AV31)</f>
        <v>85</v>
      </c>
      <c r="AK28" s="312">
        <f>IF(geog!AV31="","",geog!AV31)</f>
        <v>95</v>
      </c>
      <c r="AL28" s="532">
        <f>IF(ekonomi!AV31="","",ekonomi!AV31)</f>
        <v>88</v>
      </c>
      <c r="AM28" s="532">
        <f>IF('sejarah peminatan'!AV31="","",'sejarah peminatan'!AV31)</f>
        <v>83</v>
      </c>
      <c r="AN28" s="532" t="str">
        <f>IF('PM5'!AV31="","",'PM5'!AV31)</f>
        <v/>
      </c>
      <c r="AO28" s="532" t="str">
        <f>IF('PM6'!AV31="","",'PM6'!AV31)</f>
        <v/>
      </c>
      <c r="AP28" s="532">
        <f>IF(biologi!AV31="","",biologi!AV31)</f>
        <v>80</v>
      </c>
      <c r="AQ28" s="532">
        <f>IF(fissika!AV31="","",fissika!AV31)</f>
        <v>88</v>
      </c>
      <c r="AR28" s="311" t="str">
        <f>IF(Sikap!F32="","",Sikap!F32)</f>
        <v>SB</v>
      </c>
      <c r="AS28" s="597" t="str">
        <f>IF(Sikap!M32="","",Sikap!M32)</f>
        <v>SB</v>
      </c>
      <c r="AT28" s="311">
        <f t="shared" si="7"/>
        <v>1189</v>
      </c>
      <c r="AU28" s="312">
        <f t="shared" si="8"/>
        <v>1226</v>
      </c>
      <c r="AV28" s="312">
        <f t="shared" si="9"/>
        <v>2415</v>
      </c>
      <c r="AW28" s="313">
        <f t="shared" si="11"/>
        <v>14</v>
      </c>
      <c r="AX28" s="291">
        <v>18</v>
      </c>
    </row>
    <row r="29" spans="1:50" ht="12.95" customHeight="1">
      <c r="A29" s="161"/>
      <c r="B29" s="163">
        <f t="shared" si="10"/>
        <v>19</v>
      </c>
      <c r="C29" s="164">
        <f>IF(Data!F23="","",Data!F23)</f>
        <v>0</v>
      </c>
      <c r="D29" s="165" t="str">
        <f>IF(Data!H23="","",Data!H23)</f>
        <v>Jidon Nubatonis</v>
      </c>
      <c r="E29" s="166" t="str">
        <f>IF(Data!I23="","",Data!I23)</f>
        <v>L</v>
      </c>
      <c r="F29" s="311">
        <f>IF(PA!S32="","",PA!S32)</f>
        <v>85</v>
      </c>
      <c r="G29" s="312">
        <f>IF(PKn!S32="","",PKn!S32)</f>
        <v>83</v>
      </c>
      <c r="H29" s="312">
        <f>IF(BInd!S32="","",BInd!S32)</f>
        <v>81</v>
      </c>
      <c r="I29" s="312">
        <f>IF(Mat!S32="","",Mat!S32)</f>
        <v>83</v>
      </c>
      <c r="J29" s="312" t="str">
        <f>IF(SEJ!S32="","",SEJ!S32)</f>
        <v/>
      </c>
      <c r="K29" s="312">
        <f>IF(BIng!S32="","",BIng!S32)</f>
        <v>80</v>
      </c>
      <c r="L29" s="312">
        <f>IF(SB!S32="","",SB!S32)</f>
        <v>80</v>
      </c>
      <c r="M29" s="312">
        <f>IF(pjok!S32="","",pjok!S32)</f>
        <v>83</v>
      </c>
      <c r="N29" s="312">
        <f>IF(pkwu!S32="","",pkwu!S32)</f>
        <v>84</v>
      </c>
      <c r="O29" s="312" t="str">
        <f>IF('Mlk1'!S32="","",'Mlk1'!S32)</f>
        <v/>
      </c>
      <c r="P29" s="312" t="str">
        <f>IF('Ml2'!S32="","",'Ml2'!S32)</f>
        <v/>
      </c>
      <c r="Q29" s="312">
        <f>IF(sosio!S32="","",sosio!S32)</f>
        <v>84</v>
      </c>
      <c r="R29" s="312">
        <f>IF(geog!S32="","",geog!S32)</f>
        <v>80</v>
      </c>
      <c r="S29" s="532">
        <f>IF(ekonomi!S32="","",ekonomi!S32)</f>
        <v>88</v>
      </c>
      <c r="T29" s="532">
        <f>IF('sejarah peminatan'!S32="","",'sejarah peminatan'!S32)</f>
        <v>81</v>
      </c>
      <c r="U29" s="532" t="str">
        <f>IF('PM5'!S32="","",'PM5'!S32)</f>
        <v/>
      </c>
      <c r="V29" s="532" t="str">
        <f>IF('PM6'!S32="","",'PM6'!S32)</f>
        <v/>
      </c>
      <c r="W29" s="532">
        <f>IF(biologi!S32="","",biologi!S32)</f>
        <v>77</v>
      </c>
      <c r="X29" s="532">
        <f>IF(fissika!S32="","",fissika!S32)</f>
        <v>82</v>
      </c>
      <c r="Y29" s="311">
        <f>IF(PA!AV32="","",PA!AV32)</f>
        <v>80</v>
      </c>
      <c r="Z29" s="312">
        <f>IF(PKn!AV32="","",PKn!AV32)</f>
        <v>95</v>
      </c>
      <c r="AA29" s="312">
        <f>IF(BInd!AV32="","",BInd!AV32)</f>
        <v>88</v>
      </c>
      <c r="AB29" s="312">
        <f>IF(Mat!AV32="","",Mat!AV32)</f>
        <v>86</v>
      </c>
      <c r="AC29" s="312" t="str">
        <f>IF(SEJ!AV32="","",SEJ!AV32)</f>
        <v/>
      </c>
      <c r="AD29" s="312">
        <f>IF(BIng!AV32="","",BIng!AV32)</f>
        <v>86</v>
      </c>
      <c r="AE29" s="312">
        <f>IF(SB!AV32="","",SB!AV32)</f>
        <v>90</v>
      </c>
      <c r="AF29" s="312">
        <f>IF(pjok!AV32="","",pjok!AV32)</f>
        <v>88</v>
      </c>
      <c r="AG29" s="312">
        <f>IF(pkwu!AV32="","",pkwu!AV32)</f>
        <v>90</v>
      </c>
      <c r="AH29" s="312" t="str">
        <f>IF('Mlk1'!AV32="","",'Mlk1'!AV32)</f>
        <v/>
      </c>
      <c r="AI29" s="312" t="str">
        <f>IF('Ml2'!AV32="","",'Ml2'!AV32)</f>
        <v/>
      </c>
      <c r="AJ29" s="312">
        <f>IF(sosio!AV32="","",sosio!AV32)</f>
        <v>80</v>
      </c>
      <c r="AK29" s="312">
        <f>IF(geog!AV32="","",geog!AV32)</f>
        <v>95</v>
      </c>
      <c r="AL29" s="532">
        <f>IF(ekonomi!AV32="","",ekonomi!AV32)</f>
        <v>88</v>
      </c>
      <c r="AM29" s="532">
        <f>IF('sejarah peminatan'!AV32="","",'sejarah peminatan'!AV32)</f>
        <v>83</v>
      </c>
      <c r="AN29" s="532" t="str">
        <f>IF('PM5'!AV32="","",'PM5'!AV32)</f>
        <v/>
      </c>
      <c r="AO29" s="532" t="str">
        <f>IF('PM6'!AV32="","",'PM6'!AV32)</f>
        <v/>
      </c>
      <c r="AP29" s="532">
        <f>IF(biologi!AV32="","",biologi!AV32)</f>
        <v>78</v>
      </c>
      <c r="AQ29" s="532">
        <f>IF(fissika!AV32="","",fissika!AV32)</f>
        <v>88</v>
      </c>
      <c r="AR29" s="311" t="str">
        <f>IF(Sikap!F33="","",Sikap!F33)</f>
        <v>C</v>
      </c>
      <c r="AS29" s="597" t="str">
        <f>IF(Sikap!M33="","",Sikap!M33)</f>
        <v>C</v>
      </c>
      <c r="AT29" s="311">
        <f t="shared" si="7"/>
        <v>1151</v>
      </c>
      <c r="AU29" s="312">
        <f t="shared" si="8"/>
        <v>1215</v>
      </c>
      <c r="AV29" s="312">
        <f t="shared" si="9"/>
        <v>2366</v>
      </c>
      <c r="AW29" s="313">
        <f t="shared" si="11"/>
        <v>28</v>
      </c>
      <c r="AX29" s="293">
        <v>19</v>
      </c>
    </row>
    <row r="30" spans="1:50" ht="12.95" customHeight="1">
      <c r="A30" s="161"/>
      <c r="B30" s="163">
        <f t="shared" si="10"/>
        <v>20</v>
      </c>
      <c r="C30" s="164">
        <f>IF(Data!F24="","",Data!F24)</f>
        <v>0</v>
      </c>
      <c r="D30" s="165" t="str">
        <f>IF(Data!H24="","",Data!H24)</f>
        <v>Jitro Andro Baran</v>
      </c>
      <c r="E30" s="166" t="str">
        <f>IF(Data!I24="","",Data!I24)</f>
        <v>L</v>
      </c>
      <c r="F30" s="311">
        <f>IF(PA!S33="","",PA!S33)</f>
        <v>80</v>
      </c>
      <c r="G30" s="312">
        <f>IF(PKn!S33="","",PKn!S33)</f>
        <v>85</v>
      </c>
      <c r="H30" s="312">
        <f>IF(BInd!S33="","",BInd!S33)</f>
        <v>76</v>
      </c>
      <c r="I30" s="312">
        <f>IF(Mat!S33="","",Mat!S33)</f>
        <v>80</v>
      </c>
      <c r="J30" s="312" t="str">
        <f>IF(SEJ!S33="","",SEJ!S33)</f>
        <v/>
      </c>
      <c r="K30" s="312">
        <f>IF(BIng!S33="","",BIng!S33)</f>
        <v>80</v>
      </c>
      <c r="L30" s="312">
        <f>IF(SB!S33="","",SB!S33)</f>
        <v>79</v>
      </c>
      <c r="M30" s="312">
        <f>IF(pjok!S33="","",pjok!S33)</f>
        <v>83</v>
      </c>
      <c r="N30" s="312">
        <f>IF(pkwu!S33="","",pkwu!S33)</f>
        <v>80</v>
      </c>
      <c r="O30" s="312" t="str">
        <f>IF('Mlk1'!S33="","",'Mlk1'!S33)</f>
        <v/>
      </c>
      <c r="P30" s="312" t="str">
        <f>IF('Ml2'!S33="","",'Ml2'!S33)</f>
        <v/>
      </c>
      <c r="Q30" s="312">
        <f>IF(sosio!S33="","",sosio!S33)</f>
        <v>88</v>
      </c>
      <c r="R30" s="312">
        <f>IF(geog!S33="","",geog!S33)</f>
        <v>82</v>
      </c>
      <c r="S30" s="532">
        <f>IF(ekonomi!S33="","",ekonomi!S33)</f>
        <v>80</v>
      </c>
      <c r="T30" s="532">
        <f>IF('sejarah peminatan'!S33="","",'sejarah peminatan'!S33)</f>
        <v>81</v>
      </c>
      <c r="U30" s="532" t="str">
        <f>IF('PM5'!S33="","",'PM5'!S33)</f>
        <v/>
      </c>
      <c r="V30" s="532" t="str">
        <f>IF('PM6'!S33="","",'PM6'!S33)</f>
        <v/>
      </c>
      <c r="W30" s="532">
        <f>IF(biologi!S33="","",biologi!S33)</f>
        <v>79</v>
      </c>
      <c r="X30" s="532">
        <f>IF(fissika!S33="","",fissika!S33)</f>
        <v>81</v>
      </c>
      <c r="Y30" s="311">
        <f>IF(PA!AV33="","",PA!AV33)</f>
        <v>85</v>
      </c>
      <c r="Z30" s="312">
        <f>IF(PKn!AV33="","",PKn!AV33)</f>
        <v>95</v>
      </c>
      <c r="AA30" s="312">
        <f>IF(BInd!AV33="","",BInd!AV33)</f>
        <v>88</v>
      </c>
      <c r="AB30" s="312">
        <f>IF(Mat!AV33="","",Mat!AV33)</f>
        <v>82</v>
      </c>
      <c r="AC30" s="312" t="str">
        <f>IF(SEJ!AV33="","",SEJ!AV33)</f>
        <v/>
      </c>
      <c r="AD30" s="312">
        <f>IF(BIng!AV33="","",BIng!AV33)</f>
        <v>86</v>
      </c>
      <c r="AE30" s="312">
        <f>IF(SB!AV33="","",SB!AV33)</f>
        <v>90</v>
      </c>
      <c r="AF30" s="312">
        <f>IF(pjok!AV33="","",pjok!AV33)</f>
        <v>84</v>
      </c>
      <c r="AG30" s="312">
        <f>IF(pkwu!AV33="","",pkwu!AV33)</f>
        <v>80</v>
      </c>
      <c r="AH30" s="312" t="str">
        <f>IF('Mlk1'!AV33="","",'Mlk1'!AV33)</f>
        <v/>
      </c>
      <c r="AI30" s="312" t="str">
        <f>IF('Ml2'!AV33="","",'Ml2'!AV33)</f>
        <v/>
      </c>
      <c r="AJ30" s="312">
        <f>IF(sosio!AV33="","",sosio!AV33)</f>
        <v>85</v>
      </c>
      <c r="AK30" s="312">
        <f>IF(geog!AV33="","",geog!AV33)</f>
        <v>95</v>
      </c>
      <c r="AL30" s="532">
        <f>IF(ekonomi!AV33="","",ekonomi!AV33)</f>
        <v>88</v>
      </c>
      <c r="AM30" s="532">
        <f>IF('sejarah peminatan'!AV33="","",'sejarah peminatan'!AV33)</f>
        <v>82</v>
      </c>
      <c r="AN30" s="532" t="str">
        <f>IF('PM5'!AV33="","",'PM5'!AV33)</f>
        <v/>
      </c>
      <c r="AO30" s="532" t="str">
        <f>IF('PM6'!AV33="","",'PM6'!AV33)</f>
        <v/>
      </c>
      <c r="AP30" s="532">
        <f>IF(biologi!AV33="","",biologi!AV33)</f>
        <v>77</v>
      </c>
      <c r="AQ30" s="532">
        <f>IF(fissika!AV33="","",fissika!AV33)</f>
        <v>88</v>
      </c>
      <c r="AR30" s="311" t="str">
        <f>IF(Sikap!F34="","",Sikap!F34)</f>
        <v>B</v>
      </c>
      <c r="AS30" s="597" t="str">
        <f>IF(Sikap!M34="","",Sikap!M34)</f>
        <v>B</v>
      </c>
      <c r="AT30" s="311">
        <f t="shared" si="7"/>
        <v>1134</v>
      </c>
      <c r="AU30" s="312">
        <f t="shared" si="8"/>
        <v>1205</v>
      </c>
      <c r="AV30" s="312">
        <f t="shared" si="9"/>
        <v>2339</v>
      </c>
      <c r="AW30" s="313">
        <f t="shared" si="11"/>
        <v>30</v>
      </c>
      <c r="AX30" s="291">
        <v>20</v>
      </c>
    </row>
    <row r="31" spans="1:50" ht="12.95" customHeight="1">
      <c r="A31" s="161"/>
      <c r="B31" s="163">
        <f t="shared" si="10"/>
        <v>21</v>
      </c>
      <c r="C31" s="164">
        <f>IF(Data!F25="","",Data!F25)</f>
        <v>0</v>
      </c>
      <c r="D31" s="165" t="str">
        <f>IF(Data!H25="","",Data!H25)</f>
        <v>Juan Manuel Boys</v>
      </c>
      <c r="E31" s="166" t="str">
        <f>IF(Data!I25="","",Data!I25)</f>
        <v>L</v>
      </c>
      <c r="F31" s="311">
        <f>IF(PA!S34="","",PA!S34)</f>
        <v>80</v>
      </c>
      <c r="G31" s="312">
        <f>IF(PKn!S34="","",PKn!S34)</f>
        <v>89</v>
      </c>
      <c r="H31" s="312">
        <f>IF(BInd!S34="","",BInd!S34)</f>
        <v>80</v>
      </c>
      <c r="I31" s="312">
        <f>IF(Mat!S34="","",Mat!S34)</f>
        <v>80</v>
      </c>
      <c r="J31" s="312" t="str">
        <f>IF(SEJ!S34="","",SEJ!S34)</f>
        <v/>
      </c>
      <c r="K31" s="312">
        <f>IF(BIng!S34="","",BIng!S34)</f>
        <v>80</v>
      </c>
      <c r="L31" s="312">
        <f>IF(SB!S34="","",SB!S34)</f>
        <v>80</v>
      </c>
      <c r="M31" s="312">
        <f>IF(pjok!S34="","",pjok!S34)</f>
        <v>83</v>
      </c>
      <c r="N31" s="312">
        <f>IF(pkwu!S34="","",pkwu!S34)</f>
        <v>88</v>
      </c>
      <c r="O31" s="312" t="str">
        <f>IF('Mlk1'!S34="","",'Mlk1'!S34)</f>
        <v/>
      </c>
      <c r="P31" s="312" t="str">
        <f>IF('Ml2'!S34="","",'Ml2'!S34)</f>
        <v/>
      </c>
      <c r="Q31" s="312">
        <f>IF(sosio!S34="","",sosio!S34)</f>
        <v>89</v>
      </c>
      <c r="R31" s="312">
        <f>IF(geog!S34="","",geog!S34)</f>
        <v>80</v>
      </c>
      <c r="S31" s="532">
        <f>IF(ekonomi!S34="","",ekonomi!S34)</f>
        <v>82</v>
      </c>
      <c r="T31" s="532">
        <f>IF('sejarah peminatan'!S34="","",'sejarah peminatan'!S34)</f>
        <v>81</v>
      </c>
      <c r="U31" s="532" t="str">
        <f>IF('PM5'!S34="","",'PM5'!S34)</f>
        <v/>
      </c>
      <c r="V31" s="532" t="str">
        <f>IF('PM6'!S34="","",'PM6'!S34)</f>
        <v/>
      </c>
      <c r="W31" s="532">
        <f>IF(biologi!S34="","",biologi!S34)</f>
        <v>79</v>
      </c>
      <c r="X31" s="532">
        <f>IF(fissika!S34="","",fissika!S34)</f>
        <v>82</v>
      </c>
      <c r="Y31" s="311">
        <f>IF(PA!AV34="","",PA!AV34)</f>
        <v>85</v>
      </c>
      <c r="Z31" s="312">
        <f>IF(PKn!AV34="","",PKn!AV34)</f>
        <v>80</v>
      </c>
      <c r="AA31" s="312">
        <f>IF(BInd!AV34="","",BInd!AV34)</f>
        <v>88</v>
      </c>
      <c r="AB31" s="312">
        <f>IF(Mat!AV34="","",Mat!AV34)</f>
        <v>82</v>
      </c>
      <c r="AC31" s="312" t="str">
        <f>IF(SEJ!AV34="","",SEJ!AV34)</f>
        <v/>
      </c>
      <c r="AD31" s="312">
        <f>IF(BIng!AV34="","",BIng!AV34)</f>
        <v>86</v>
      </c>
      <c r="AE31" s="312">
        <f>IF(SB!AV34="","",SB!AV34)</f>
        <v>90</v>
      </c>
      <c r="AF31" s="312">
        <f>IF(pjok!AV34="","",pjok!AV34)</f>
        <v>87</v>
      </c>
      <c r="AG31" s="312">
        <f>IF(pkwu!AV34="","",pkwu!AV34)</f>
        <v>80</v>
      </c>
      <c r="AH31" s="312" t="str">
        <f>IF('Mlk1'!AV34="","",'Mlk1'!AV34)</f>
        <v/>
      </c>
      <c r="AI31" s="312" t="str">
        <f>IF('Ml2'!AV34="","",'Ml2'!AV34)</f>
        <v/>
      </c>
      <c r="AJ31" s="312">
        <f>IF(sosio!AV34="","",sosio!AV34)</f>
        <v>85</v>
      </c>
      <c r="AK31" s="312">
        <f>IF(geog!AV34="","",geog!AV34)</f>
        <v>80</v>
      </c>
      <c r="AL31" s="532">
        <f>IF(ekonomi!AV34="","",ekonomi!AV34)</f>
        <v>88</v>
      </c>
      <c r="AM31" s="532">
        <f>IF('sejarah peminatan'!AV34="","",'sejarah peminatan'!AV34)</f>
        <v>82</v>
      </c>
      <c r="AN31" s="532" t="str">
        <f>IF('PM5'!AV34="","",'PM5'!AV34)</f>
        <v/>
      </c>
      <c r="AO31" s="532" t="str">
        <f>IF('PM6'!AV34="","",'PM6'!AV34)</f>
        <v/>
      </c>
      <c r="AP31" s="532">
        <f>IF(biologi!AV34="","",biologi!AV34)</f>
        <v>77</v>
      </c>
      <c r="AQ31" s="532">
        <f>IF(fissika!AV34="","",fissika!AV34)</f>
        <v>88</v>
      </c>
      <c r="AR31" s="311" t="str">
        <f>IF(Sikap!F35="","",Sikap!F35)</f>
        <v>B</v>
      </c>
      <c r="AS31" s="597" t="str">
        <f>IF(Sikap!M35="","",Sikap!M35)</f>
        <v>B</v>
      </c>
      <c r="AT31" s="311">
        <f t="shared" si="7"/>
        <v>1153</v>
      </c>
      <c r="AU31" s="312">
        <f t="shared" si="8"/>
        <v>1178</v>
      </c>
      <c r="AV31" s="312">
        <f t="shared" si="9"/>
        <v>2331</v>
      </c>
      <c r="AW31" s="313">
        <f t="shared" si="11"/>
        <v>31</v>
      </c>
      <c r="AX31" s="293">
        <v>21</v>
      </c>
    </row>
    <row r="32" spans="1:50" ht="12.95" customHeight="1">
      <c r="A32" s="161"/>
      <c r="B32" s="163">
        <f t="shared" si="10"/>
        <v>22</v>
      </c>
      <c r="C32" s="164">
        <f>IF(Data!F26="","",Data!F26)</f>
        <v>0</v>
      </c>
      <c r="D32" s="165" t="str">
        <f>IF(Data!H26="","",Data!H26)</f>
        <v>Krisyanti Ernela Kesnay</v>
      </c>
      <c r="E32" s="166" t="str">
        <f>IF(Data!I26="","",Data!I26)</f>
        <v>P</v>
      </c>
      <c r="F32" s="311">
        <f>IF(PA!S35="","",PA!S35)</f>
        <v>95</v>
      </c>
      <c r="G32" s="312">
        <f>IF(PKn!S35="","",PKn!S35)</f>
        <v>84</v>
      </c>
      <c r="H32" s="312">
        <f>IF(BInd!S35="","",BInd!S35)</f>
        <v>79</v>
      </c>
      <c r="I32" s="312">
        <f>IF(Mat!S35="","",Mat!S35)</f>
        <v>83</v>
      </c>
      <c r="J32" s="312" t="str">
        <f>IF(SEJ!S35="","",SEJ!S35)</f>
        <v/>
      </c>
      <c r="K32" s="312">
        <f>IF(BIng!S35="","",BIng!S35)</f>
        <v>85</v>
      </c>
      <c r="L32" s="312">
        <f>IF(SB!S35="","",SB!S35)</f>
        <v>81</v>
      </c>
      <c r="M32" s="312">
        <f>IF(pjok!S35="","",pjok!S35)</f>
        <v>88</v>
      </c>
      <c r="N32" s="312">
        <f>IF(pkwu!S35="","",pkwu!S35)</f>
        <v>86</v>
      </c>
      <c r="O32" s="312" t="str">
        <f>IF('Mlk1'!S35="","",'Mlk1'!S35)</f>
        <v/>
      </c>
      <c r="P32" s="312" t="str">
        <f>IF('Ml2'!S35="","",'Ml2'!S35)</f>
        <v/>
      </c>
      <c r="Q32" s="312">
        <f>IF(sosio!S35="","",sosio!S35)</f>
        <v>89</v>
      </c>
      <c r="R32" s="312">
        <f>IF(geog!S35="","",geog!S35)</f>
        <v>87</v>
      </c>
      <c r="S32" s="532">
        <f>IF(ekonomi!S35="","",ekonomi!S35)</f>
        <v>88</v>
      </c>
      <c r="T32" s="532">
        <f>IF('sejarah peminatan'!S35="","",'sejarah peminatan'!S35)</f>
        <v>81</v>
      </c>
      <c r="U32" s="532" t="str">
        <f>IF('PM5'!S35="","",'PM5'!S35)</f>
        <v/>
      </c>
      <c r="V32" s="532" t="str">
        <f>IF('PM6'!S35="","",'PM6'!S35)</f>
        <v/>
      </c>
      <c r="W32" s="532">
        <f>IF(biologi!S35="","",biologi!S35)</f>
        <v>79</v>
      </c>
      <c r="X32" s="532">
        <f>IF(fissika!S35="","",fissika!S35)</f>
        <v>82</v>
      </c>
      <c r="Y32" s="311">
        <f>IF(PA!AV35="","",PA!AV35)</f>
        <v>95</v>
      </c>
      <c r="Z32" s="312">
        <f>IF(PKn!AV35="","",PKn!AV35)</f>
        <v>95</v>
      </c>
      <c r="AA32" s="312">
        <f>IF(BInd!AV35="","",BInd!AV35)</f>
        <v>88</v>
      </c>
      <c r="AB32" s="312">
        <f>IF(Mat!AV35="","",Mat!AV35)</f>
        <v>90</v>
      </c>
      <c r="AC32" s="312" t="str">
        <f>IF(SEJ!AV35="","",SEJ!AV35)</f>
        <v/>
      </c>
      <c r="AD32" s="312">
        <f>IF(BIng!AV35="","",BIng!AV35)</f>
        <v>86</v>
      </c>
      <c r="AE32" s="312">
        <f>IF(SB!AV35="","",SB!AV35)</f>
        <v>90</v>
      </c>
      <c r="AF32" s="312">
        <f>IF(pjok!AV35="","",pjok!AV35)</f>
        <v>86</v>
      </c>
      <c r="AG32" s="312">
        <f>IF(pkwu!AV35="","",pkwu!AV35)</f>
        <v>80</v>
      </c>
      <c r="AH32" s="312" t="str">
        <f>IF('Mlk1'!AV35="","",'Mlk1'!AV35)</f>
        <v/>
      </c>
      <c r="AI32" s="312" t="str">
        <f>IF('Ml2'!AV35="","",'Ml2'!AV35)</f>
        <v/>
      </c>
      <c r="AJ32" s="312">
        <f>IF(sosio!AV35="","",sosio!AV35)</f>
        <v>85</v>
      </c>
      <c r="AK32" s="312">
        <f>IF(geog!AV35="","",geog!AV35)</f>
        <v>95</v>
      </c>
      <c r="AL32" s="532">
        <f>IF(ekonomi!AV35="","",ekonomi!AV35)</f>
        <v>88</v>
      </c>
      <c r="AM32" s="532">
        <f>IF('sejarah peminatan'!AV35="","",'sejarah peminatan'!AV35)</f>
        <v>82</v>
      </c>
      <c r="AN32" s="532" t="str">
        <f>IF('PM5'!AV35="","",'PM5'!AV35)</f>
        <v/>
      </c>
      <c r="AO32" s="532" t="str">
        <f>IF('PM6'!AV35="","",'PM6'!AV35)</f>
        <v/>
      </c>
      <c r="AP32" s="532">
        <f>IF(biologi!AV35="","",biologi!AV35)</f>
        <v>79</v>
      </c>
      <c r="AQ32" s="532">
        <f>IF(fissika!AV35="","",fissika!AV35)</f>
        <v>88</v>
      </c>
      <c r="AR32" s="311" t="str">
        <f>IF(Sikap!F36="","",Sikap!F36)</f>
        <v>SB</v>
      </c>
      <c r="AS32" s="597" t="str">
        <f>IF(Sikap!M36="","",Sikap!M36)</f>
        <v>SB</v>
      </c>
      <c r="AT32" s="311">
        <f t="shared" si="7"/>
        <v>1187</v>
      </c>
      <c r="AU32" s="312">
        <f t="shared" si="8"/>
        <v>1227</v>
      </c>
      <c r="AV32" s="312">
        <f t="shared" si="9"/>
        <v>2414</v>
      </c>
      <c r="AW32" s="313">
        <f t="shared" si="11"/>
        <v>15</v>
      </c>
      <c r="AX32" s="291">
        <v>22</v>
      </c>
    </row>
    <row r="33" spans="1:50" ht="12.95" customHeight="1">
      <c r="A33" s="161"/>
      <c r="B33" s="163">
        <f t="shared" si="10"/>
        <v>23</v>
      </c>
      <c r="C33" s="164">
        <f>IF(Data!F27="","",Data!F27)</f>
        <v>0</v>
      </c>
      <c r="D33" s="165" t="str">
        <f>IF(Data!H27="","",Data!H27)</f>
        <v>Leni Aknesia Knoan</v>
      </c>
      <c r="E33" s="166" t="str">
        <f>IF(Data!I27="","",Data!I27)</f>
        <v>P</v>
      </c>
      <c r="F33" s="311">
        <f>IF(PA!S36="","",PA!S36)</f>
        <v>59</v>
      </c>
      <c r="G33" s="312">
        <f>IF(PKn!S36="","",PKn!S36)</f>
        <v>0</v>
      </c>
      <c r="H33" s="312">
        <f>IF(BInd!S36="","",BInd!S36)</f>
        <v>79</v>
      </c>
      <c r="I33" s="312">
        <f>IF(Mat!S36="","",Mat!S36)</f>
        <v>15</v>
      </c>
      <c r="J33" s="312" t="str">
        <f>IF(SEJ!S36="","",SEJ!S36)</f>
        <v/>
      </c>
      <c r="K33" s="312">
        <f>IF(BIng!S36="","",BIng!S36)</f>
        <v>84</v>
      </c>
      <c r="L33" s="312">
        <f>IF(SB!S36="","",SB!S36)</f>
        <v>80</v>
      </c>
      <c r="M33" s="312">
        <f>IF(pjok!S36="","",pjok!S36)</f>
        <v>38</v>
      </c>
      <c r="N33" s="312">
        <f>IF(pkwu!S36="","",pkwu!S36)</f>
        <v>64</v>
      </c>
      <c r="O33" s="312" t="str">
        <f>IF('Mlk1'!S36="","",'Mlk1'!S36)</f>
        <v/>
      </c>
      <c r="P33" s="312" t="str">
        <f>IF('Ml2'!S36="","",'Ml2'!S36)</f>
        <v/>
      </c>
      <c r="Q33" s="312">
        <f>IF(sosio!S36="","",sosio!S36)</f>
        <v>59</v>
      </c>
      <c r="R33" s="312">
        <f>IF(geog!S36="","",geog!S36)</f>
        <v>0</v>
      </c>
      <c r="S33" s="532">
        <f>IF(ekonomi!S36="","",ekonomi!S36)</f>
        <v>88</v>
      </c>
      <c r="T33" s="532">
        <f>IF('sejarah peminatan'!S36="","",'sejarah peminatan'!S36)</f>
        <v>81</v>
      </c>
      <c r="U33" s="532" t="str">
        <f>IF('PM5'!S36="","",'PM5'!S36)</f>
        <v/>
      </c>
      <c r="V33" s="532" t="str">
        <f>IF('PM6'!S36="","",'PM6'!S36)</f>
        <v/>
      </c>
      <c r="W33" s="532">
        <f>IF(biologi!S36="","",biologi!S36)</f>
        <v>79</v>
      </c>
      <c r="X33" s="532">
        <f>IF(fissika!S36="","",fissika!S36)</f>
        <v>82</v>
      </c>
      <c r="Y33" s="311">
        <f>IF(PA!AV36="","",PA!AV36)</f>
        <v>0</v>
      </c>
      <c r="Z33" s="312">
        <f>IF(PKn!AV36="","",PKn!AV36)</f>
        <v>0</v>
      </c>
      <c r="AA33" s="312">
        <f>IF(BInd!AV36="","",BInd!AV36)</f>
        <v>88</v>
      </c>
      <c r="AB33" s="312">
        <f>IF(Mat!AV36="","",Mat!AV36)</f>
        <v>30</v>
      </c>
      <c r="AC33" s="312" t="str">
        <f>IF(SEJ!AV36="","",SEJ!AV36)</f>
        <v/>
      </c>
      <c r="AD33" s="312">
        <f>IF(BIng!AV36="","",BIng!AV36)</f>
        <v>86</v>
      </c>
      <c r="AE33" s="312">
        <f>IF(SB!AV36="","",SB!AV36)</f>
        <v>90</v>
      </c>
      <c r="AF33" s="312">
        <f>IF(pjok!AV36="","",pjok!AV36)</f>
        <v>34</v>
      </c>
      <c r="AG33" s="312">
        <f>IF(pkwu!AV36="","",pkwu!AV36)</f>
        <v>90</v>
      </c>
      <c r="AH33" s="312" t="str">
        <f>IF('Mlk1'!AV36="","",'Mlk1'!AV36)</f>
        <v/>
      </c>
      <c r="AI33" s="312" t="str">
        <f>IF('Ml2'!AV36="","",'Ml2'!AV36)</f>
        <v/>
      </c>
      <c r="AJ33" s="312">
        <f>IF(sosio!AV36="","",sosio!AV36)</f>
        <v>0</v>
      </c>
      <c r="AK33" s="312">
        <f>IF(geog!AV36="","",geog!AV36)</f>
        <v>0</v>
      </c>
      <c r="AL33" s="532">
        <f>IF(ekonomi!AV36="","",ekonomi!AV36)</f>
        <v>88</v>
      </c>
      <c r="AM33" s="532">
        <f>IF('sejarah peminatan'!AV36="","",'sejarah peminatan'!AV36)</f>
        <v>82</v>
      </c>
      <c r="AN33" s="532" t="str">
        <f>IF('PM5'!AV36="","",'PM5'!AV36)</f>
        <v/>
      </c>
      <c r="AO33" s="532" t="str">
        <f>IF('PM6'!AV36="","",'PM6'!AV36)</f>
        <v/>
      </c>
      <c r="AP33" s="532">
        <f>IF(biologi!AV36="","",biologi!AV36)</f>
        <v>78</v>
      </c>
      <c r="AQ33" s="532">
        <f>IF(fissika!AV36="","",fissika!AV36)</f>
        <v>88</v>
      </c>
      <c r="AR33" s="311" t="str">
        <f>IF(Sikap!F37="","",Sikap!F37)</f>
        <v>SB</v>
      </c>
      <c r="AS33" s="597" t="str">
        <f>IF(Sikap!M37="","",Sikap!M37)</f>
        <v>SB</v>
      </c>
      <c r="AT33" s="311">
        <f t="shared" si="7"/>
        <v>808</v>
      </c>
      <c r="AU33" s="312">
        <f t="shared" si="8"/>
        <v>754</v>
      </c>
      <c r="AV33" s="312">
        <f t="shared" si="9"/>
        <v>1562</v>
      </c>
      <c r="AW33" s="313">
        <f t="shared" si="11"/>
        <v>37</v>
      </c>
      <c r="AX33" s="293">
        <v>23</v>
      </c>
    </row>
    <row r="34" spans="1:50" ht="12.95" customHeight="1">
      <c r="A34" s="161"/>
      <c r="B34" s="163">
        <f t="shared" si="10"/>
        <v>24</v>
      </c>
      <c r="C34" s="164">
        <f>IF(Data!F28="","",Data!F28)</f>
        <v>0</v>
      </c>
      <c r="D34" s="165" t="str">
        <f>IF(Data!H28="","",Data!H28)</f>
        <v>Marlon Dioninsius Lalus</v>
      </c>
      <c r="E34" s="166" t="str">
        <f>IF(Data!I28="","",Data!I28)</f>
        <v>L</v>
      </c>
      <c r="F34" s="311">
        <f>IF(PA!S37="","",PA!S37)</f>
        <v>90</v>
      </c>
      <c r="G34" s="312">
        <f>IF(PKn!S37="","",PKn!S37)</f>
        <v>84</v>
      </c>
      <c r="H34" s="312">
        <f>IF(BInd!S37="","",BInd!S37)</f>
        <v>79</v>
      </c>
      <c r="I34" s="312">
        <f>IF(Mat!S37="","",Mat!S37)</f>
        <v>85</v>
      </c>
      <c r="J34" s="312" t="str">
        <f>IF(SEJ!S37="","",SEJ!S37)</f>
        <v/>
      </c>
      <c r="K34" s="312">
        <f>IF(BIng!S37="","",BIng!S37)</f>
        <v>85</v>
      </c>
      <c r="L34" s="312">
        <f>IF(SB!S37="","",SB!S37)</f>
        <v>82</v>
      </c>
      <c r="M34" s="312">
        <f>IF(pjok!S37="","",pjok!S37)</f>
        <v>86</v>
      </c>
      <c r="N34" s="312">
        <f>IF(pkwu!S37="","",pkwu!S37)</f>
        <v>85</v>
      </c>
      <c r="O34" s="312" t="str">
        <f>IF('Mlk1'!S37="","",'Mlk1'!S37)</f>
        <v/>
      </c>
      <c r="P34" s="312" t="str">
        <f>IF('Ml2'!S37="","",'Ml2'!S37)</f>
        <v/>
      </c>
      <c r="Q34" s="312">
        <f>IF(sosio!S37="","",sosio!S37)</f>
        <v>89</v>
      </c>
      <c r="R34" s="312">
        <f>IF(geog!S37="","",geog!S37)</f>
        <v>83</v>
      </c>
      <c r="S34" s="532">
        <f>IF(ekonomi!S37="","",ekonomi!S37)</f>
        <v>84</v>
      </c>
      <c r="T34" s="532">
        <f>IF('sejarah peminatan'!S37="","",'sejarah peminatan'!S37)</f>
        <v>81</v>
      </c>
      <c r="U34" s="532" t="str">
        <f>IF('PM5'!S37="","",'PM5'!S37)</f>
        <v/>
      </c>
      <c r="V34" s="532" t="str">
        <f>IF('PM6'!S37="","",'PM6'!S37)</f>
        <v/>
      </c>
      <c r="W34" s="532">
        <f>IF(biologi!S37="","",biologi!S37)</f>
        <v>77</v>
      </c>
      <c r="X34" s="532">
        <f>IF(fissika!S37="","",fissika!S37)</f>
        <v>82</v>
      </c>
      <c r="Y34" s="311">
        <f>IF(PA!AV37="","",PA!AV37)</f>
        <v>85</v>
      </c>
      <c r="Z34" s="312">
        <f>IF(PKn!AV37="","",PKn!AV37)</f>
        <v>95</v>
      </c>
      <c r="AA34" s="312">
        <f>IF(BInd!AV37="","",BInd!AV37)</f>
        <v>88</v>
      </c>
      <c r="AB34" s="312">
        <f>IF(Mat!AV37="","",Mat!AV37)</f>
        <v>90</v>
      </c>
      <c r="AC34" s="312" t="str">
        <f>IF(SEJ!AV37="","",SEJ!AV37)</f>
        <v/>
      </c>
      <c r="AD34" s="312">
        <f>IF(BIng!AV37="","",BIng!AV37)</f>
        <v>86</v>
      </c>
      <c r="AE34" s="312">
        <f>IF(SB!AV37="","",SB!AV37)</f>
        <v>90</v>
      </c>
      <c r="AF34" s="312">
        <f>IF(pjok!AV37="","",pjok!AV37)</f>
        <v>87</v>
      </c>
      <c r="AG34" s="312">
        <f>IF(pkwu!AV37="","",pkwu!AV37)</f>
        <v>90</v>
      </c>
      <c r="AH34" s="312" t="str">
        <f>IF('Mlk1'!AV37="","",'Mlk1'!AV37)</f>
        <v/>
      </c>
      <c r="AI34" s="312" t="str">
        <f>IF('Ml2'!AV37="","",'Ml2'!AV37)</f>
        <v/>
      </c>
      <c r="AJ34" s="312">
        <f>IF(sosio!AV37="","",sosio!AV37)</f>
        <v>85</v>
      </c>
      <c r="AK34" s="312">
        <f>IF(geog!AV37="","",geog!AV37)</f>
        <v>95</v>
      </c>
      <c r="AL34" s="532">
        <f>IF(ekonomi!AV37="","",ekonomi!AV37)</f>
        <v>88</v>
      </c>
      <c r="AM34" s="532">
        <f>IF('sejarah peminatan'!AV37="","",'sejarah peminatan'!AV37)</f>
        <v>82</v>
      </c>
      <c r="AN34" s="532" t="str">
        <f>IF('PM5'!AV37="","",'PM5'!AV37)</f>
        <v/>
      </c>
      <c r="AO34" s="532" t="str">
        <f>IF('PM6'!AV37="","",'PM6'!AV37)</f>
        <v/>
      </c>
      <c r="AP34" s="532">
        <f>IF(biologi!AV37="","",biologi!AV37)</f>
        <v>80</v>
      </c>
      <c r="AQ34" s="532">
        <f>IF(fissika!AV37="","",fissika!AV37)</f>
        <v>88</v>
      </c>
      <c r="AR34" s="311" t="str">
        <f>IF(Sikap!F38="","",Sikap!F38)</f>
        <v>SB</v>
      </c>
      <c r="AS34" s="597" t="str">
        <f>IF(Sikap!M38="","",Sikap!M38)</f>
        <v>SB</v>
      </c>
      <c r="AT34" s="311">
        <f t="shared" si="7"/>
        <v>1172</v>
      </c>
      <c r="AU34" s="312">
        <f t="shared" si="8"/>
        <v>1229</v>
      </c>
      <c r="AV34" s="312">
        <f t="shared" si="9"/>
        <v>2401</v>
      </c>
      <c r="AW34" s="313">
        <f t="shared" si="11"/>
        <v>22</v>
      </c>
      <c r="AX34" s="291">
        <v>24</v>
      </c>
    </row>
    <row r="35" spans="1:50" ht="12.95" customHeight="1">
      <c r="A35" s="161"/>
      <c r="B35" s="163">
        <f t="shared" si="10"/>
        <v>25</v>
      </c>
      <c r="C35" s="164">
        <f>IF(Data!F29="","",Data!F29)</f>
        <v>0</v>
      </c>
      <c r="D35" s="165" t="str">
        <f>IF(Data!H29="","",Data!H29)</f>
        <v>Maya Trifena Niobe</v>
      </c>
      <c r="E35" s="166" t="str">
        <f>IF(Data!I29="","",Data!I29)</f>
        <v>P</v>
      </c>
      <c r="F35" s="311">
        <f>IF(PA!S38="","",PA!S38)</f>
        <v>84</v>
      </c>
      <c r="G35" s="312">
        <f>IF(PKn!S38="","",PKn!S38)</f>
        <v>85</v>
      </c>
      <c r="H35" s="312">
        <f>IF(BInd!S38="","",BInd!S38)</f>
        <v>79</v>
      </c>
      <c r="I35" s="312">
        <f>IF(Mat!S38="","",Mat!S38)</f>
        <v>84</v>
      </c>
      <c r="J35" s="312" t="str">
        <f>IF(SEJ!S38="","",SEJ!S38)</f>
        <v/>
      </c>
      <c r="K35" s="312">
        <f>IF(BIng!S38="","",BIng!S38)</f>
        <v>86</v>
      </c>
      <c r="L35" s="312">
        <f>IF(SB!S38="","",SB!S38)</f>
        <v>81</v>
      </c>
      <c r="M35" s="312">
        <f>IF(pjok!S38="","",pjok!S38)</f>
        <v>86</v>
      </c>
      <c r="N35" s="312">
        <f>IF(pkwu!S38="","",pkwu!S38)</f>
        <v>85</v>
      </c>
      <c r="O35" s="312" t="str">
        <f>IF('Mlk1'!S38="","",'Mlk1'!S38)</f>
        <v/>
      </c>
      <c r="P35" s="312" t="str">
        <f>IF('Ml2'!S38="","",'Ml2'!S38)</f>
        <v/>
      </c>
      <c r="Q35" s="312">
        <f>IF(sosio!S38="","",sosio!S38)</f>
        <v>84</v>
      </c>
      <c r="R35" s="312">
        <f>IF(geog!S38="","",geog!S38)</f>
        <v>87</v>
      </c>
      <c r="S35" s="532">
        <f>IF(ekonomi!S38="","",ekonomi!S38)</f>
        <v>88</v>
      </c>
      <c r="T35" s="532">
        <f>IF('sejarah peminatan'!S38="","",'sejarah peminatan'!S38)</f>
        <v>81</v>
      </c>
      <c r="U35" s="532" t="str">
        <f>IF('PM5'!S38="","",'PM5'!S38)</f>
        <v/>
      </c>
      <c r="V35" s="532" t="str">
        <f>IF('PM6'!S38="","",'PM6'!S38)</f>
        <v/>
      </c>
      <c r="W35" s="532">
        <f>IF(biologi!S38="","",biologi!S38)</f>
        <v>78</v>
      </c>
      <c r="X35" s="532">
        <f>IF(fissika!S38="","",fissika!S38)</f>
        <v>83</v>
      </c>
      <c r="Y35" s="311">
        <f>IF(PA!AV38="","",PA!AV38)</f>
        <v>80</v>
      </c>
      <c r="Z35" s="312">
        <f>IF(PKn!AV38="","",PKn!AV38)</f>
        <v>95</v>
      </c>
      <c r="AA35" s="312">
        <f>IF(BInd!AV38="","",BInd!AV38)</f>
        <v>88</v>
      </c>
      <c r="AB35" s="312">
        <f>IF(Mat!AV38="","",Mat!AV38)</f>
        <v>90</v>
      </c>
      <c r="AC35" s="312" t="str">
        <f>IF(SEJ!AV38="","",SEJ!AV38)</f>
        <v/>
      </c>
      <c r="AD35" s="312">
        <f>IF(BIng!AV38="","",BIng!AV38)</f>
        <v>86</v>
      </c>
      <c r="AE35" s="312">
        <f>IF(SB!AV38="","",SB!AV38)</f>
        <v>90</v>
      </c>
      <c r="AF35" s="312">
        <f>IF(pjok!AV38="","",pjok!AV38)</f>
        <v>86</v>
      </c>
      <c r="AG35" s="312">
        <f>IF(pkwu!AV38="","",pkwu!AV38)</f>
        <v>80</v>
      </c>
      <c r="AH35" s="312" t="str">
        <f>IF('Mlk1'!AV38="","",'Mlk1'!AV38)</f>
        <v/>
      </c>
      <c r="AI35" s="312" t="str">
        <f>IF('Ml2'!AV38="","",'Ml2'!AV38)</f>
        <v/>
      </c>
      <c r="AJ35" s="312">
        <f>IF(sosio!AV38="","",sosio!AV38)</f>
        <v>80</v>
      </c>
      <c r="AK35" s="312">
        <f>IF(geog!AV38="","",geog!AV38)</f>
        <v>95</v>
      </c>
      <c r="AL35" s="532">
        <f>IF(ekonomi!AV38="","",ekonomi!AV38)</f>
        <v>88</v>
      </c>
      <c r="AM35" s="532">
        <f>IF('sejarah peminatan'!AV38="","",'sejarah peminatan'!AV38)</f>
        <v>82</v>
      </c>
      <c r="AN35" s="532" t="str">
        <f>IF('PM5'!AV38="","",'PM5'!AV38)</f>
        <v/>
      </c>
      <c r="AO35" s="532" t="str">
        <f>IF('PM6'!AV38="","",'PM6'!AV38)</f>
        <v/>
      </c>
      <c r="AP35" s="532">
        <f>IF(biologi!AV38="","",biologi!AV38)</f>
        <v>79</v>
      </c>
      <c r="AQ35" s="532">
        <f>IF(fissika!AV38="","",fissika!AV38)</f>
        <v>88</v>
      </c>
      <c r="AR35" s="311" t="str">
        <f>IF(Sikap!F39="","",Sikap!F39)</f>
        <v>C</v>
      </c>
      <c r="AS35" s="597" t="str">
        <f>IF(Sikap!M39="","",Sikap!M39)</f>
        <v>C</v>
      </c>
      <c r="AT35" s="311">
        <f t="shared" si="7"/>
        <v>1171</v>
      </c>
      <c r="AU35" s="312">
        <f t="shared" si="8"/>
        <v>1207</v>
      </c>
      <c r="AV35" s="312">
        <f t="shared" si="9"/>
        <v>2378</v>
      </c>
      <c r="AW35" s="313">
        <f t="shared" si="11"/>
        <v>27</v>
      </c>
      <c r="AX35" s="293">
        <v>25</v>
      </c>
    </row>
    <row r="36" spans="1:50" ht="12.95" customHeight="1">
      <c r="A36" s="161"/>
      <c r="B36" s="163">
        <f t="shared" si="10"/>
        <v>26</v>
      </c>
      <c r="C36" s="164">
        <f>IF(Data!F30="","",Data!F30)</f>
        <v>0</v>
      </c>
      <c r="D36" s="165" t="str">
        <f>IF(Data!H30="","",Data!H30)</f>
        <v>Misel Miranda Sora</v>
      </c>
      <c r="E36" s="166" t="str">
        <f>IF(Data!I30="","",Data!I30)</f>
        <v>P</v>
      </c>
      <c r="F36" s="311">
        <f>IF(PA!S39="","",PA!S39)</f>
        <v>95</v>
      </c>
      <c r="G36" s="312">
        <f>IF(PKn!S39="","",PKn!S39)</f>
        <v>85</v>
      </c>
      <c r="H36" s="312">
        <f>IF(BInd!S39="","",BInd!S39)</f>
        <v>79</v>
      </c>
      <c r="I36" s="312">
        <f>IF(Mat!S39="","",Mat!S39)</f>
        <v>83</v>
      </c>
      <c r="J36" s="312" t="str">
        <f>IF(SEJ!S39="","",SEJ!S39)</f>
        <v/>
      </c>
      <c r="K36" s="312">
        <f>IF(BIng!S39="","",BIng!S39)</f>
        <v>85</v>
      </c>
      <c r="L36" s="312">
        <f>IF(SB!S39="","",SB!S39)</f>
        <v>81</v>
      </c>
      <c r="M36" s="312">
        <f>IF(pjok!S39="","",pjok!S39)</f>
        <v>87</v>
      </c>
      <c r="N36" s="312">
        <f>IF(pkwu!S39="","",pkwu!S39)</f>
        <v>89</v>
      </c>
      <c r="O36" s="312" t="str">
        <f>IF('Mlk1'!S39="","",'Mlk1'!S39)</f>
        <v/>
      </c>
      <c r="P36" s="312" t="str">
        <f>IF('Ml2'!S39="","",'Ml2'!S39)</f>
        <v/>
      </c>
      <c r="Q36" s="312">
        <f>IF(sosio!S39="","",sosio!S39)</f>
        <v>88</v>
      </c>
      <c r="R36" s="312">
        <f>IF(geog!S39="","",geog!S39)</f>
        <v>88</v>
      </c>
      <c r="S36" s="532">
        <f>IF(ekonomi!S39="","",ekonomi!S39)</f>
        <v>85</v>
      </c>
      <c r="T36" s="532">
        <f>IF('sejarah peminatan'!S39="","",'sejarah peminatan'!S39)</f>
        <v>81</v>
      </c>
      <c r="U36" s="532" t="str">
        <f>IF('PM5'!S39="","",'PM5'!S39)</f>
        <v/>
      </c>
      <c r="V36" s="532" t="str">
        <f>IF('PM6'!S39="","",'PM6'!S39)</f>
        <v/>
      </c>
      <c r="W36" s="532">
        <f>IF(biologi!S39="","",biologi!S39)</f>
        <v>80</v>
      </c>
      <c r="X36" s="532">
        <f>IF(fissika!S39="","",fissika!S39)</f>
        <v>82</v>
      </c>
      <c r="Y36" s="311">
        <f>IF(PA!AV39="","",PA!AV39)</f>
        <v>95</v>
      </c>
      <c r="Z36" s="312">
        <f>IF(PKn!AV39="","",PKn!AV39)</f>
        <v>95</v>
      </c>
      <c r="AA36" s="312">
        <f>IF(BInd!AV39="","",BInd!AV39)</f>
        <v>88</v>
      </c>
      <c r="AB36" s="312">
        <f>IF(Mat!AV39="","",Mat!AV39)</f>
        <v>86</v>
      </c>
      <c r="AC36" s="312" t="str">
        <f>IF(SEJ!AV39="","",SEJ!AV39)</f>
        <v/>
      </c>
      <c r="AD36" s="312">
        <f>IF(BIng!AV39="","",BIng!AV39)</f>
        <v>86</v>
      </c>
      <c r="AE36" s="312">
        <f>IF(SB!AV39="","",SB!AV39)</f>
        <v>90</v>
      </c>
      <c r="AF36" s="312">
        <f>IF(pjok!AV39="","",pjok!AV39)</f>
        <v>87</v>
      </c>
      <c r="AG36" s="312">
        <f>IF(pkwu!AV39="","",pkwu!AV39)</f>
        <v>80</v>
      </c>
      <c r="AH36" s="312" t="str">
        <f>IF('Mlk1'!AV39="","",'Mlk1'!AV39)</f>
        <v/>
      </c>
      <c r="AI36" s="312" t="str">
        <f>IF('Ml2'!AV39="","",'Ml2'!AV39)</f>
        <v/>
      </c>
      <c r="AJ36" s="312">
        <f>IF(sosio!AV39="","",sosio!AV39)</f>
        <v>85</v>
      </c>
      <c r="AK36" s="312">
        <f>IF(geog!AV39="","",geog!AV39)</f>
        <v>95</v>
      </c>
      <c r="AL36" s="532">
        <f>IF(ekonomi!AV39="","",ekonomi!AV39)</f>
        <v>88</v>
      </c>
      <c r="AM36" s="532">
        <f>IF('sejarah peminatan'!AV39="","",'sejarah peminatan'!AV39)</f>
        <v>82</v>
      </c>
      <c r="AN36" s="532" t="str">
        <f>IF('PM5'!AV39="","",'PM5'!AV39)</f>
        <v/>
      </c>
      <c r="AO36" s="532" t="str">
        <f>IF('PM6'!AV39="","",'PM6'!AV39)</f>
        <v/>
      </c>
      <c r="AP36" s="532">
        <f>IF(biologi!AV39="","",biologi!AV39)</f>
        <v>80</v>
      </c>
      <c r="AQ36" s="532">
        <f>IF(fissika!AV39="","",fissika!AV39)</f>
        <v>88</v>
      </c>
      <c r="AR36" s="311" t="str">
        <f>IF(Sikap!F40="","",Sikap!F40)</f>
        <v>SB</v>
      </c>
      <c r="AS36" s="597" t="str">
        <f>IF(Sikap!M40="","",Sikap!M40)</f>
        <v>SB</v>
      </c>
      <c r="AT36" s="311">
        <f t="shared" si="7"/>
        <v>1188</v>
      </c>
      <c r="AU36" s="312">
        <f t="shared" si="8"/>
        <v>1225</v>
      </c>
      <c r="AV36" s="312">
        <f t="shared" si="9"/>
        <v>2413</v>
      </c>
      <c r="AW36" s="313">
        <f t="shared" si="11"/>
        <v>16</v>
      </c>
      <c r="AX36" s="291">
        <v>26</v>
      </c>
    </row>
    <row r="37" spans="1:50" ht="12.95" customHeight="1">
      <c r="A37" s="161"/>
      <c r="B37" s="163">
        <f t="shared" si="10"/>
        <v>27</v>
      </c>
      <c r="C37" s="164">
        <f>IF(Data!F31="","",Data!F31)</f>
        <v>0</v>
      </c>
      <c r="D37" s="165" t="str">
        <f>IF(Data!H31="","",Data!H31)</f>
        <v>Nofianti Tainmeta</v>
      </c>
      <c r="E37" s="166" t="str">
        <f>IF(Data!I31="","",Data!I31)</f>
        <v>P</v>
      </c>
      <c r="F37" s="311">
        <f>IF(PA!S40="","",PA!S40)</f>
        <v>90</v>
      </c>
      <c r="G37" s="312">
        <f>IF(PKn!S40="","",PKn!S40)</f>
        <v>84</v>
      </c>
      <c r="H37" s="312">
        <f>IF(BInd!S40="","",BInd!S40)</f>
        <v>77</v>
      </c>
      <c r="I37" s="312">
        <f>IF(Mat!S40="","",Mat!S40)</f>
        <v>83</v>
      </c>
      <c r="J37" s="312" t="str">
        <f>IF(SEJ!S40="","",SEJ!S40)</f>
        <v/>
      </c>
      <c r="K37" s="312">
        <f>IF(BIng!S40="","",BIng!S40)</f>
        <v>81</v>
      </c>
      <c r="L37" s="312">
        <f>IF(SB!S40="","",SB!S40)</f>
        <v>83</v>
      </c>
      <c r="M37" s="312">
        <f>IF(pjok!S40="","",pjok!S40)</f>
        <v>87</v>
      </c>
      <c r="N37" s="312">
        <f>IF(pkwu!S40="","",pkwu!S40)</f>
        <v>88</v>
      </c>
      <c r="O37" s="312" t="str">
        <f>IF('Mlk1'!S40="","",'Mlk1'!S40)</f>
        <v/>
      </c>
      <c r="P37" s="312" t="str">
        <f>IF('Ml2'!S40="","",'Ml2'!S40)</f>
        <v/>
      </c>
      <c r="Q37" s="312">
        <f>IF(sosio!S40="","",sosio!S40)</f>
        <v>90</v>
      </c>
      <c r="R37" s="312">
        <f>IF(geog!S40="","",geog!S40)</f>
        <v>89</v>
      </c>
      <c r="S37" s="532">
        <f>IF(ekonomi!S40="","",ekonomi!S40)</f>
        <v>87</v>
      </c>
      <c r="T37" s="532">
        <f>IF('sejarah peminatan'!S40="","",'sejarah peminatan'!S40)</f>
        <v>81</v>
      </c>
      <c r="U37" s="532" t="str">
        <f>IF('PM5'!S40="","",'PM5'!S40)</f>
        <v/>
      </c>
      <c r="V37" s="532" t="str">
        <f>IF('PM6'!S40="","",'PM6'!S40)</f>
        <v/>
      </c>
      <c r="W37" s="532">
        <f>IF(biologi!S40="","",biologi!S40)</f>
        <v>80</v>
      </c>
      <c r="X37" s="532">
        <f>IF(fissika!S40="","",fissika!S40)</f>
        <v>83</v>
      </c>
      <c r="Y37" s="311">
        <f>IF(PA!AV40="","",PA!AV40)</f>
        <v>90</v>
      </c>
      <c r="Z37" s="312">
        <f>IF(PKn!AV40="","",PKn!AV40)</f>
        <v>95</v>
      </c>
      <c r="AA37" s="312">
        <f>IF(BInd!AV40="","",BInd!AV40)</f>
        <v>88</v>
      </c>
      <c r="AB37" s="312">
        <f>IF(Mat!AV40="","",Mat!AV40)</f>
        <v>86</v>
      </c>
      <c r="AC37" s="312" t="str">
        <f>IF(SEJ!AV40="","",SEJ!AV40)</f>
        <v/>
      </c>
      <c r="AD37" s="312">
        <f>IF(BIng!AV40="","",BIng!AV40)</f>
        <v>86</v>
      </c>
      <c r="AE37" s="312">
        <f>IF(SB!AV40="","",SB!AV40)</f>
        <v>90</v>
      </c>
      <c r="AF37" s="312">
        <f>IF(pjok!AV40="","",pjok!AV40)</f>
        <v>86</v>
      </c>
      <c r="AG37" s="312">
        <f>IF(pkwu!AV40="","",pkwu!AV40)</f>
        <v>90</v>
      </c>
      <c r="AH37" s="312" t="str">
        <f>IF('Mlk1'!AV40="","",'Mlk1'!AV40)</f>
        <v/>
      </c>
      <c r="AI37" s="312" t="str">
        <f>IF('Ml2'!AV40="","",'Ml2'!AV40)</f>
        <v/>
      </c>
      <c r="AJ37" s="312">
        <f>IF(sosio!AV40="","",sosio!AV40)</f>
        <v>85</v>
      </c>
      <c r="AK37" s="312">
        <f>IF(geog!AV40="","",geog!AV40)</f>
        <v>95</v>
      </c>
      <c r="AL37" s="532">
        <f>IF(ekonomi!AV40="","",ekonomi!AV40)</f>
        <v>88</v>
      </c>
      <c r="AM37" s="532">
        <f>IF('sejarah peminatan'!AV40="","",'sejarah peminatan'!AV40)</f>
        <v>82</v>
      </c>
      <c r="AN37" s="532" t="str">
        <f>IF('PM5'!AV40="","",'PM5'!AV40)</f>
        <v/>
      </c>
      <c r="AO37" s="532" t="str">
        <f>IF('PM6'!AV40="","",'PM6'!AV40)</f>
        <v/>
      </c>
      <c r="AP37" s="532">
        <f>IF(biologi!AV40="","",biologi!AV40)</f>
        <v>80</v>
      </c>
      <c r="AQ37" s="532">
        <f>IF(fissika!AV40="","",fissika!AV40)</f>
        <v>88</v>
      </c>
      <c r="AR37" s="311" t="str">
        <f>IF(Sikap!F41="","",Sikap!F41)</f>
        <v>SB</v>
      </c>
      <c r="AS37" s="597" t="str">
        <f>IF(Sikap!M41="","",Sikap!M41)</f>
        <v>SB</v>
      </c>
      <c r="AT37" s="311">
        <f t="shared" si="7"/>
        <v>1183</v>
      </c>
      <c r="AU37" s="312">
        <f t="shared" si="8"/>
        <v>1229</v>
      </c>
      <c r="AV37" s="312">
        <f t="shared" si="9"/>
        <v>2412</v>
      </c>
      <c r="AW37" s="313">
        <f t="shared" si="11"/>
        <v>17</v>
      </c>
      <c r="AX37" s="293">
        <v>27</v>
      </c>
    </row>
    <row r="38" spans="1:50" ht="12.95" customHeight="1">
      <c r="A38" s="161"/>
      <c r="B38" s="163">
        <f t="shared" si="10"/>
        <v>28</v>
      </c>
      <c r="C38" s="164">
        <f>IF(Data!F32="","",Data!F32)</f>
        <v>0</v>
      </c>
      <c r="D38" s="165" t="str">
        <f>IF(Data!H32="","",Data!H32)</f>
        <v>Ofni Antrikus Banun</v>
      </c>
      <c r="E38" s="166" t="str">
        <f>IF(Data!I32="","",Data!I32)</f>
        <v>L</v>
      </c>
      <c r="F38" s="311">
        <f>IF(PA!S41="","",PA!S41)</f>
        <v>70</v>
      </c>
      <c r="G38" s="312">
        <f>IF(PKn!S41="","",PKn!S41)</f>
        <v>85</v>
      </c>
      <c r="H38" s="312">
        <f>IF(BInd!S41="","",BInd!S41)</f>
        <v>77</v>
      </c>
      <c r="I38" s="312">
        <f>IF(Mat!S41="","",Mat!S41)</f>
        <v>19</v>
      </c>
      <c r="J38" s="312" t="str">
        <f>IF(SEJ!S41="","",SEJ!S41)</f>
        <v/>
      </c>
      <c r="K38" s="312">
        <f>IF(BIng!S41="","",BIng!S41)</f>
        <v>80</v>
      </c>
      <c r="L38" s="312">
        <f>IF(SB!S41="","",SB!S41)</f>
        <v>78</v>
      </c>
      <c r="M38" s="312">
        <f>IF(pjok!S41="","",pjok!S41)</f>
        <v>81</v>
      </c>
      <c r="N38" s="312">
        <f>IF(pkwu!S41="","",pkwu!S41)</f>
        <v>80</v>
      </c>
      <c r="O38" s="312" t="str">
        <f>IF('Mlk1'!S41="","",'Mlk1'!S41)</f>
        <v/>
      </c>
      <c r="P38" s="312" t="str">
        <f>IF('Ml2'!S41="","",'Ml2'!S41)</f>
        <v/>
      </c>
      <c r="Q38" s="312">
        <f>IF(sosio!S41="","",sosio!S41)</f>
        <v>79</v>
      </c>
      <c r="R38" s="312">
        <f>IF(geog!S41="","",geog!S41)</f>
        <v>80</v>
      </c>
      <c r="S38" s="532">
        <f>IF(ekonomi!S41="","",ekonomi!S41)</f>
        <v>83</v>
      </c>
      <c r="T38" s="532">
        <f>IF('sejarah peminatan'!S41="","",'sejarah peminatan'!S41)</f>
        <v>81</v>
      </c>
      <c r="U38" s="532" t="str">
        <f>IF('PM5'!S41="","",'PM5'!S41)</f>
        <v/>
      </c>
      <c r="V38" s="532" t="str">
        <f>IF('PM6'!S41="","",'PM6'!S41)</f>
        <v/>
      </c>
      <c r="W38" s="532">
        <f>IF(biologi!S41="","",biologi!S41)</f>
        <v>75</v>
      </c>
      <c r="X38" s="532">
        <f>IF(fissika!S41="","",fissika!S41)</f>
        <v>77</v>
      </c>
      <c r="Y38" s="311">
        <f>IF(PA!AV41="","",PA!AV41)</f>
        <v>70</v>
      </c>
      <c r="Z38" s="312">
        <f>IF(PKn!AV41="","",PKn!AV41)</f>
        <v>95</v>
      </c>
      <c r="AA38" s="312">
        <f>IF(BInd!AV41="","",BInd!AV41)</f>
        <v>88</v>
      </c>
      <c r="AB38" s="312">
        <f>IF(Mat!AV41="","",Mat!AV41)</f>
        <v>0</v>
      </c>
      <c r="AC38" s="312" t="str">
        <f>IF(SEJ!AV41="","",SEJ!AV41)</f>
        <v/>
      </c>
      <c r="AD38" s="312">
        <f>IF(BIng!AV41="","",BIng!AV41)</f>
        <v>86</v>
      </c>
      <c r="AE38" s="312">
        <f>IF(SB!AV41="","",SB!AV41)</f>
        <v>90</v>
      </c>
      <c r="AF38" s="312">
        <f>IF(pjok!AV41="","",pjok!AV41)</f>
        <v>84</v>
      </c>
      <c r="AG38" s="312">
        <f>IF(pkwu!AV41="","",pkwu!AV41)</f>
        <v>80</v>
      </c>
      <c r="AH38" s="312" t="str">
        <f>IF('Mlk1'!AV41="","",'Mlk1'!AV41)</f>
        <v/>
      </c>
      <c r="AI38" s="312" t="str">
        <f>IF('Ml2'!AV41="","",'Ml2'!AV41)</f>
        <v/>
      </c>
      <c r="AJ38" s="312">
        <f>IF(sosio!AV41="","",sosio!AV41)</f>
        <v>78</v>
      </c>
      <c r="AK38" s="312">
        <f>IF(geog!AV41="","",geog!AV41)</f>
        <v>95</v>
      </c>
      <c r="AL38" s="532">
        <f>IF(ekonomi!AV41="","",ekonomi!AV41)</f>
        <v>88</v>
      </c>
      <c r="AM38" s="532">
        <f>IF('sejarah peminatan'!AV41="","",'sejarah peminatan'!AV41)</f>
        <v>82</v>
      </c>
      <c r="AN38" s="532" t="str">
        <f>IF('PM5'!AV41="","",'PM5'!AV41)</f>
        <v/>
      </c>
      <c r="AO38" s="532" t="str">
        <f>IF('PM6'!AV41="","",'PM6'!AV41)</f>
        <v/>
      </c>
      <c r="AP38" s="532">
        <f>IF(biologi!AV41="","",biologi!AV41)</f>
        <v>75</v>
      </c>
      <c r="AQ38" s="532">
        <f>IF(fissika!AV41="","",fissika!AV41)</f>
        <v>76</v>
      </c>
      <c r="AR38" s="311" t="str">
        <f>IF(Sikap!F42="","",Sikap!F42)</f>
        <v>C</v>
      </c>
      <c r="AS38" s="597" t="str">
        <f>IF(Sikap!M42="","",Sikap!M42)</f>
        <v>C</v>
      </c>
      <c r="AT38" s="311">
        <f t="shared" si="7"/>
        <v>1045</v>
      </c>
      <c r="AU38" s="312">
        <f t="shared" si="8"/>
        <v>1087</v>
      </c>
      <c r="AV38" s="312">
        <f t="shared" si="9"/>
        <v>2132</v>
      </c>
      <c r="AW38" s="313">
        <f t="shared" si="11"/>
        <v>35</v>
      </c>
      <c r="AX38" s="291">
        <v>28</v>
      </c>
    </row>
    <row r="39" spans="1:50" ht="12.95" customHeight="1">
      <c r="A39" s="161"/>
      <c r="B39" s="163">
        <f t="shared" si="10"/>
        <v>29</v>
      </c>
      <c r="C39" s="164">
        <f>IF(Data!F33="","",Data!F33)</f>
        <v>0</v>
      </c>
      <c r="D39" s="165" t="str">
        <f>IF(Data!H33="","",Data!H33)</f>
        <v>Roiyandi Saebesi</v>
      </c>
      <c r="E39" s="166" t="str">
        <f>IF(Data!I33="","",Data!I33)</f>
        <v>L</v>
      </c>
      <c r="F39" s="311">
        <f>IF(PA!S42="","",PA!S42)</f>
        <v>90</v>
      </c>
      <c r="G39" s="312">
        <f>IF(PKn!S42="","",PKn!S42)</f>
        <v>83</v>
      </c>
      <c r="H39" s="312">
        <f>IF(BInd!S42="","",BInd!S42)</f>
        <v>79</v>
      </c>
      <c r="I39" s="312">
        <f>IF(Mat!S42="","",Mat!S42)</f>
        <v>81</v>
      </c>
      <c r="J39" s="312" t="str">
        <f>IF(SEJ!S42="","",SEJ!S42)</f>
        <v/>
      </c>
      <c r="K39" s="312">
        <f>IF(BIng!S42="","",BIng!S42)</f>
        <v>80</v>
      </c>
      <c r="L39" s="312">
        <f>IF(SB!S42="","",SB!S42)</f>
        <v>79</v>
      </c>
      <c r="M39" s="312">
        <f>IF(pjok!S42="","",pjok!S42)</f>
        <v>88</v>
      </c>
      <c r="N39" s="312">
        <f>IF(pkwu!S42="","",pkwu!S42)</f>
        <v>85</v>
      </c>
      <c r="O39" s="312" t="str">
        <f>IF('Mlk1'!S42="","",'Mlk1'!S42)</f>
        <v/>
      </c>
      <c r="P39" s="312" t="str">
        <f>IF('Ml2'!S42="","",'Ml2'!S42)</f>
        <v/>
      </c>
      <c r="Q39" s="312">
        <f>IF(sosio!S42="","",sosio!S42)</f>
        <v>89</v>
      </c>
      <c r="R39" s="312">
        <f>IF(geog!S42="","",geog!S42)</f>
        <v>83</v>
      </c>
      <c r="S39" s="532">
        <f>IF(ekonomi!S42="","",ekonomi!S42)</f>
        <v>85</v>
      </c>
      <c r="T39" s="532">
        <f>IF('sejarah peminatan'!S42="","",'sejarah peminatan'!S42)</f>
        <v>81</v>
      </c>
      <c r="U39" s="532" t="str">
        <f>IF('PM5'!S42="","",'PM5'!S42)</f>
        <v/>
      </c>
      <c r="V39" s="532" t="str">
        <f>IF('PM6'!S42="","",'PM6'!S42)</f>
        <v/>
      </c>
      <c r="W39" s="532">
        <f>IF(biologi!S42="","",biologi!S42)</f>
        <v>79</v>
      </c>
      <c r="X39" s="532">
        <f>IF(fissika!S42="","",fissika!S42)</f>
        <v>82</v>
      </c>
      <c r="Y39" s="311">
        <f>IF(PA!AV42="","",PA!AV42)</f>
        <v>90</v>
      </c>
      <c r="Z39" s="312">
        <f>IF(PKn!AV42="","",PKn!AV42)</f>
        <v>95</v>
      </c>
      <c r="AA39" s="312">
        <f>IF(BInd!AV42="","",BInd!AV42)</f>
        <v>88</v>
      </c>
      <c r="AB39" s="312">
        <f>IF(Mat!AV42="","",Mat!AV42)</f>
        <v>86</v>
      </c>
      <c r="AC39" s="312" t="str">
        <f>IF(SEJ!AV42="","",SEJ!AV42)</f>
        <v/>
      </c>
      <c r="AD39" s="312">
        <f>IF(BIng!AV42="","",BIng!AV42)</f>
        <v>86</v>
      </c>
      <c r="AE39" s="312">
        <f>IF(SB!AV42="","",SB!AV42)</f>
        <v>90</v>
      </c>
      <c r="AF39" s="312">
        <f>IF(pjok!AV42="","",pjok!AV42)</f>
        <v>82</v>
      </c>
      <c r="AG39" s="312">
        <f>IF(pkwu!AV42="","",pkwu!AV42)</f>
        <v>90</v>
      </c>
      <c r="AH39" s="312" t="str">
        <f>IF('Mlk1'!AV42="","",'Mlk1'!AV42)</f>
        <v/>
      </c>
      <c r="AI39" s="312" t="str">
        <f>IF('Ml2'!AV42="","",'Ml2'!AV42)</f>
        <v/>
      </c>
      <c r="AJ39" s="312">
        <f>IF(sosio!AV42="","",sosio!AV42)</f>
        <v>85</v>
      </c>
      <c r="AK39" s="312">
        <f>IF(geog!AV42="","",geog!AV42)</f>
        <v>95</v>
      </c>
      <c r="AL39" s="532">
        <f>IF(ekonomi!AV42="","",ekonomi!AV42)</f>
        <v>88</v>
      </c>
      <c r="AM39" s="532">
        <f>IF('sejarah peminatan'!AV42="","",'sejarah peminatan'!AV42)</f>
        <v>82</v>
      </c>
      <c r="AN39" s="532" t="str">
        <f>IF('PM5'!AV42="","",'PM5'!AV42)</f>
        <v/>
      </c>
      <c r="AO39" s="532" t="str">
        <f>IF('PM6'!AV42="","",'PM6'!AV42)</f>
        <v/>
      </c>
      <c r="AP39" s="532">
        <f>IF(biologi!AV42="","",biologi!AV42)</f>
        <v>79</v>
      </c>
      <c r="AQ39" s="532">
        <f>IF(fissika!AV42="","",fissika!AV42)</f>
        <v>88</v>
      </c>
      <c r="AR39" s="311" t="str">
        <f>IF(Sikap!F43="","",Sikap!F43)</f>
        <v>B</v>
      </c>
      <c r="AS39" s="597" t="str">
        <f>IF(Sikap!M43="","",Sikap!M43)</f>
        <v>B</v>
      </c>
      <c r="AT39" s="311">
        <f t="shared" si="7"/>
        <v>1164</v>
      </c>
      <c r="AU39" s="312">
        <f t="shared" si="8"/>
        <v>1224</v>
      </c>
      <c r="AV39" s="312">
        <f t="shared" si="9"/>
        <v>2388</v>
      </c>
      <c r="AW39" s="313">
        <f t="shared" si="11"/>
        <v>25</v>
      </c>
      <c r="AX39" s="293">
        <v>29</v>
      </c>
    </row>
    <row r="40" spans="1:50" ht="12.95" customHeight="1">
      <c r="A40" s="161"/>
      <c r="B40" s="163">
        <f t="shared" ref="B40:B58" si="12">IF(D40="","",B39+1)</f>
        <v>30</v>
      </c>
      <c r="C40" s="164">
        <f>IF(Data!F34="","",Data!F34)</f>
        <v>0</v>
      </c>
      <c r="D40" s="165" t="str">
        <f>IF(Data!H34="","",Data!H34)</f>
        <v>Roni Yohanis Bira</v>
      </c>
      <c r="E40" s="166" t="str">
        <f>IF(Data!I34="","",Data!I34)</f>
        <v>L</v>
      </c>
      <c r="F40" s="311">
        <f>IF(PA!S43="","",PA!S43)</f>
        <v>94</v>
      </c>
      <c r="G40" s="312">
        <f>IF(PKn!S43="","",PKn!S43)</f>
        <v>85</v>
      </c>
      <c r="H40" s="312">
        <f>IF(BInd!S43="","",BInd!S43)</f>
        <v>79</v>
      </c>
      <c r="I40" s="312">
        <f>IF(Mat!S43="","",Mat!S43)</f>
        <v>83</v>
      </c>
      <c r="J40" s="312" t="str">
        <f>IF(SEJ!S43="","",SEJ!S43)</f>
        <v/>
      </c>
      <c r="K40" s="312">
        <f>IF(BIng!S43="","",BIng!S43)</f>
        <v>86</v>
      </c>
      <c r="L40" s="312">
        <f>IF(SB!S43="","",SB!S43)</f>
        <v>80</v>
      </c>
      <c r="M40" s="312">
        <f>IF(pjok!S43="","",pjok!S43)</f>
        <v>88</v>
      </c>
      <c r="N40" s="312">
        <f>IF(pkwu!S43="","",pkwu!S43)</f>
        <v>85</v>
      </c>
      <c r="O40" s="312" t="str">
        <f>IF('Mlk1'!S43="","",'Mlk1'!S43)</f>
        <v/>
      </c>
      <c r="P40" s="312" t="str">
        <f>IF('Ml2'!S43="","",'Ml2'!S43)</f>
        <v/>
      </c>
      <c r="Q40" s="312">
        <f>IF(sosio!S43="","",sosio!S43)</f>
        <v>89</v>
      </c>
      <c r="R40" s="312">
        <f>IF(geog!S43="","",geog!S43)</f>
        <v>83</v>
      </c>
      <c r="S40" s="532">
        <f>IF(ekonomi!S43="","",ekonomi!S43)</f>
        <v>87</v>
      </c>
      <c r="T40" s="532">
        <f>IF('sejarah peminatan'!S43="","",'sejarah peminatan'!S43)</f>
        <v>81</v>
      </c>
      <c r="U40" s="532" t="str">
        <f>IF('PM5'!S43="","",'PM5'!S43)</f>
        <v/>
      </c>
      <c r="V40" s="532" t="str">
        <f>IF('PM6'!S43="","",'PM6'!S43)</f>
        <v/>
      </c>
      <c r="W40" s="532">
        <f>IF(biologi!S43="","",biologi!S43)</f>
        <v>80</v>
      </c>
      <c r="X40" s="532">
        <f>IF(fissika!S43="","",fissika!S43)</f>
        <v>82</v>
      </c>
      <c r="Y40" s="311">
        <f>IF(PA!AV43="","",PA!AV43)</f>
        <v>95</v>
      </c>
      <c r="Z40" s="312">
        <f>IF(PKn!AV43="","",PKn!AV43)</f>
        <v>95</v>
      </c>
      <c r="AA40" s="312">
        <f>IF(BInd!AV43="","",BInd!AV43)</f>
        <v>88</v>
      </c>
      <c r="AB40" s="312">
        <f>IF(Mat!AV43="","",Mat!AV43)</f>
        <v>90</v>
      </c>
      <c r="AC40" s="312" t="str">
        <f>IF(SEJ!AV43="","",SEJ!AV43)</f>
        <v/>
      </c>
      <c r="AD40" s="312">
        <f>IF(BIng!AV43="","",BIng!AV43)</f>
        <v>86</v>
      </c>
      <c r="AE40" s="312">
        <f>IF(SB!AV43="","",SB!AV43)</f>
        <v>90</v>
      </c>
      <c r="AF40" s="312">
        <f>IF(pjok!AV43="","",pjok!AV43)</f>
        <v>86</v>
      </c>
      <c r="AG40" s="312">
        <f>IF(pkwu!AV43="","",pkwu!AV43)</f>
        <v>90</v>
      </c>
      <c r="AH40" s="312" t="str">
        <f>IF('Mlk1'!AV43="","",'Mlk1'!AV43)</f>
        <v/>
      </c>
      <c r="AI40" s="312" t="str">
        <f>IF('Ml2'!AV43="","",'Ml2'!AV43)</f>
        <v/>
      </c>
      <c r="AJ40" s="312">
        <f>IF(sosio!AV43="","",sosio!AV43)</f>
        <v>85</v>
      </c>
      <c r="AK40" s="312">
        <f>IF(geog!AV43="","",geog!AV43)</f>
        <v>95</v>
      </c>
      <c r="AL40" s="532">
        <f>IF(ekonomi!AV43="","",ekonomi!AV43)</f>
        <v>88</v>
      </c>
      <c r="AM40" s="532">
        <f>IF('sejarah peminatan'!AV43="","",'sejarah peminatan'!AV43)</f>
        <v>83</v>
      </c>
      <c r="AN40" s="532" t="str">
        <f>IF('PM5'!AV43="","",'PM5'!AV43)</f>
        <v/>
      </c>
      <c r="AO40" s="532" t="str">
        <f>IF('PM6'!AV43="","",'PM6'!AV43)</f>
        <v/>
      </c>
      <c r="AP40" s="532">
        <f>IF(biologi!AV43="","",biologi!AV43)</f>
        <v>78</v>
      </c>
      <c r="AQ40" s="532">
        <f>IF(fissika!AV43="","",fissika!AV43)</f>
        <v>88</v>
      </c>
      <c r="AR40" s="311" t="str">
        <f>IF(Sikap!F44="","",Sikap!F44)</f>
        <v>B</v>
      </c>
      <c r="AS40" s="597" t="str">
        <f>IF(Sikap!M44="","",Sikap!M44)</f>
        <v>B</v>
      </c>
      <c r="AT40" s="311">
        <f t="shared" si="7"/>
        <v>1182</v>
      </c>
      <c r="AU40" s="312">
        <f t="shared" si="8"/>
        <v>1237</v>
      </c>
      <c r="AV40" s="312">
        <f t="shared" si="9"/>
        <v>2419</v>
      </c>
      <c r="AW40" s="313">
        <f t="shared" si="11"/>
        <v>12</v>
      </c>
      <c r="AX40" s="291">
        <v>30</v>
      </c>
    </row>
    <row r="41" spans="1:50" ht="12.95" customHeight="1">
      <c r="A41" s="161"/>
      <c r="B41" s="163">
        <f t="shared" si="12"/>
        <v>31</v>
      </c>
      <c r="C41" s="164">
        <f>IF(Data!F35="","",Data!F35)</f>
        <v>0</v>
      </c>
      <c r="D41" s="165" t="str">
        <f>IF(Data!H35="","",Data!H35)</f>
        <v>Sinta Norliana Funan</v>
      </c>
      <c r="E41" s="166" t="str">
        <f>IF(Data!I35="","",Data!I35)</f>
        <v>P</v>
      </c>
      <c r="F41" s="311">
        <f>IF(PA!S44="","",PA!S44)</f>
        <v>95</v>
      </c>
      <c r="G41" s="312">
        <f>IF(PKn!S44="","",PKn!S44)</f>
        <v>85</v>
      </c>
      <c r="H41" s="312">
        <f>IF(BInd!S44="","",BInd!S44)</f>
        <v>79</v>
      </c>
      <c r="I41" s="312">
        <f>IF(Mat!S44="","",Mat!S44)</f>
        <v>83</v>
      </c>
      <c r="J41" s="312" t="str">
        <f>IF(SEJ!S44="","",SEJ!S44)</f>
        <v/>
      </c>
      <c r="K41" s="312">
        <f>IF(BIng!S44="","",BIng!S44)</f>
        <v>85</v>
      </c>
      <c r="L41" s="312">
        <f>IF(SB!S44="","",SB!S44)</f>
        <v>85</v>
      </c>
      <c r="M41" s="312">
        <f>IF(pjok!S44="","",pjok!S44)</f>
        <v>86</v>
      </c>
      <c r="N41" s="312">
        <f>IF(pkwu!S44="","",pkwu!S44)</f>
        <v>86</v>
      </c>
      <c r="O41" s="312" t="str">
        <f>IF('Mlk1'!S44="","",'Mlk1'!S44)</f>
        <v/>
      </c>
      <c r="P41" s="312" t="str">
        <f>IF('Ml2'!S44="","",'Ml2'!S44)</f>
        <v/>
      </c>
      <c r="Q41" s="312">
        <f>IF(sosio!S44="","",sosio!S44)</f>
        <v>89</v>
      </c>
      <c r="R41" s="312">
        <f>IF(geog!S44="","",geog!S44)</f>
        <v>88</v>
      </c>
      <c r="S41" s="532">
        <f>IF(ekonomi!S44="","",ekonomi!S44)</f>
        <v>88</v>
      </c>
      <c r="T41" s="532">
        <f>IF('sejarah peminatan'!S44="","",'sejarah peminatan'!S44)</f>
        <v>81</v>
      </c>
      <c r="U41" s="532" t="str">
        <f>IF('PM5'!S44="","",'PM5'!S44)</f>
        <v/>
      </c>
      <c r="V41" s="532" t="str">
        <f>IF('PM6'!S44="","",'PM6'!S44)</f>
        <v/>
      </c>
      <c r="W41" s="532">
        <f>IF(biologi!S44="","",biologi!S44)</f>
        <v>80</v>
      </c>
      <c r="X41" s="532">
        <f>IF(fissika!S44="","",fissika!S44)</f>
        <v>81</v>
      </c>
      <c r="Y41" s="311">
        <f>IF(PA!AV44="","",PA!AV44)</f>
        <v>95</v>
      </c>
      <c r="Z41" s="312">
        <f>IF(PKn!AV44="","",PKn!AV44)</f>
        <v>95</v>
      </c>
      <c r="AA41" s="312">
        <f>IF(BInd!AV44="","",BInd!AV44)</f>
        <v>88</v>
      </c>
      <c r="AB41" s="312">
        <f>IF(Mat!AV44="","",Mat!AV44)</f>
        <v>86</v>
      </c>
      <c r="AC41" s="312" t="str">
        <f>IF(SEJ!AV44="","",SEJ!AV44)</f>
        <v/>
      </c>
      <c r="AD41" s="312">
        <f>IF(BIng!AV44="","",BIng!AV44)</f>
        <v>86</v>
      </c>
      <c r="AE41" s="312">
        <f>IF(SB!AV44="","",SB!AV44)</f>
        <v>90</v>
      </c>
      <c r="AF41" s="312">
        <f>IF(pjok!AV44="","",pjok!AV44)</f>
        <v>86</v>
      </c>
      <c r="AG41" s="312">
        <f>IF(pkwu!AV44="","",pkwu!AV44)</f>
        <v>90</v>
      </c>
      <c r="AH41" s="312" t="str">
        <f>IF('Mlk1'!AV44="","",'Mlk1'!AV44)</f>
        <v/>
      </c>
      <c r="AI41" s="312" t="str">
        <f>IF('Ml2'!AV44="","",'Ml2'!AV44)</f>
        <v/>
      </c>
      <c r="AJ41" s="312">
        <f>IF(sosio!AV44="","",sosio!AV44)</f>
        <v>85</v>
      </c>
      <c r="AK41" s="312">
        <f>IF(geog!AV44="","",geog!AV44)</f>
        <v>95</v>
      </c>
      <c r="AL41" s="532">
        <f>IF(ekonomi!AV44="","",ekonomi!AV44)</f>
        <v>88</v>
      </c>
      <c r="AM41" s="532">
        <f>IF('sejarah peminatan'!AV44="","",'sejarah peminatan'!AV44)</f>
        <v>83</v>
      </c>
      <c r="AN41" s="532" t="str">
        <f>IF('PM5'!AV44="","",'PM5'!AV44)</f>
        <v/>
      </c>
      <c r="AO41" s="532" t="str">
        <f>IF('PM6'!AV44="","",'PM6'!AV44)</f>
        <v/>
      </c>
      <c r="AP41" s="532">
        <f>IF(biologi!AV44="","",biologi!AV44)</f>
        <v>80</v>
      </c>
      <c r="AQ41" s="532">
        <f>IF(fissika!AV44="","",fissika!AV44)</f>
        <v>88</v>
      </c>
      <c r="AR41" s="311" t="str">
        <f>IF(Sikap!F45="","",Sikap!F45)</f>
        <v>SB</v>
      </c>
      <c r="AS41" s="597" t="str">
        <f>IF(Sikap!M45="","",Sikap!M45)</f>
        <v>SB</v>
      </c>
      <c r="AT41" s="311">
        <f t="shared" si="7"/>
        <v>1191</v>
      </c>
      <c r="AU41" s="312">
        <f t="shared" si="8"/>
        <v>1235</v>
      </c>
      <c r="AV41" s="312">
        <f t="shared" si="9"/>
        <v>2426</v>
      </c>
      <c r="AW41" s="313">
        <f t="shared" si="11"/>
        <v>7</v>
      </c>
      <c r="AX41" s="293">
        <v>31</v>
      </c>
    </row>
    <row r="42" spans="1:50" ht="12.95" customHeight="1">
      <c r="A42" s="161"/>
      <c r="B42" s="163">
        <f t="shared" si="12"/>
        <v>32</v>
      </c>
      <c r="C42" s="164">
        <f>IF(Data!F36="","",Data!F36)</f>
        <v>0</v>
      </c>
      <c r="D42" s="165" t="str">
        <f>IF(Data!H36="","",Data!H36)</f>
        <v>Stevi Otnial Loemnanu</v>
      </c>
      <c r="E42" s="166" t="str">
        <f>IF(Data!I36="","",Data!I36)</f>
        <v>L</v>
      </c>
      <c r="F42" s="311">
        <f>IF(PA!S45="","",PA!S45)</f>
        <v>90</v>
      </c>
      <c r="G42" s="312">
        <f>IF(PKn!S45="","",PKn!S45)</f>
        <v>87</v>
      </c>
      <c r="H42" s="312">
        <f>IF(BInd!S45="","",BInd!S45)</f>
        <v>81</v>
      </c>
      <c r="I42" s="312">
        <f>IF(Mat!S45="","",Mat!S45)</f>
        <v>82</v>
      </c>
      <c r="J42" s="312" t="str">
        <f>IF(SEJ!S45="","",SEJ!S45)</f>
        <v/>
      </c>
      <c r="K42" s="312">
        <f>IF(BIng!S45="","",BIng!S45)</f>
        <v>85</v>
      </c>
      <c r="L42" s="312">
        <f>IF(SB!S45="","",SB!S45)</f>
        <v>85</v>
      </c>
      <c r="M42" s="312">
        <f>IF(pjok!S45="","",pjok!S45)</f>
        <v>85</v>
      </c>
      <c r="N42" s="312">
        <f>IF(pkwu!S45="","",pkwu!S45)</f>
        <v>85</v>
      </c>
      <c r="O42" s="312" t="str">
        <f>IF('Mlk1'!S45="","",'Mlk1'!S45)</f>
        <v/>
      </c>
      <c r="P42" s="312" t="str">
        <f>IF('Ml2'!S45="","",'Ml2'!S45)</f>
        <v/>
      </c>
      <c r="Q42" s="312">
        <f>IF(sosio!S45="","",sosio!S45)</f>
        <v>89</v>
      </c>
      <c r="R42" s="312">
        <f>IF(geog!S45="","",geog!S45)</f>
        <v>85</v>
      </c>
      <c r="S42" s="532">
        <f>IF(ekonomi!S45="","",ekonomi!S45)</f>
        <v>86</v>
      </c>
      <c r="T42" s="532">
        <f>IF('sejarah peminatan'!S45="","",'sejarah peminatan'!S45)</f>
        <v>81</v>
      </c>
      <c r="U42" s="532" t="str">
        <f>IF('PM5'!S45="","",'PM5'!S45)</f>
        <v/>
      </c>
      <c r="V42" s="532" t="str">
        <f>IF('PM6'!S45="","",'PM6'!S45)</f>
        <v/>
      </c>
      <c r="W42" s="532">
        <f>IF(biologi!S45="","",biologi!S45)</f>
        <v>79</v>
      </c>
      <c r="X42" s="532">
        <f>IF(fissika!S45="","",fissika!S45)</f>
        <v>82</v>
      </c>
      <c r="Y42" s="311">
        <f>IF(PA!AV45="","",PA!AV45)</f>
        <v>95</v>
      </c>
      <c r="Z42" s="312">
        <f>IF(PKn!AV45="","",PKn!AV45)</f>
        <v>95</v>
      </c>
      <c r="AA42" s="312">
        <f>IF(BInd!AV45="","",BInd!AV45)</f>
        <v>88</v>
      </c>
      <c r="AB42" s="312">
        <f>IF(Mat!AV45="","",Mat!AV45)</f>
        <v>83</v>
      </c>
      <c r="AC42" s="312" t="str">
        <f>IF(SEJ!AV45="","",SEJ!AV45)</f>
        <v/>
      </c>
      <c r="AD42" s="312">
        <f>IF(BIng!AV45="","",BIng!AV45)</f>
        <v>86</v>
      </c>
      <c r="AE42" s="312">
        <f>IF(SB!AV45="","",SB!AV45)</f>
        <v>90</v>
      </c>
      <c r="AF42" s="312">
        <f>IF(pjok!AV45="","",pjok!AV45)</f>
        <v>83</v>
      </c>
      <c r="AG42" s="312">
        <f>IF(pkwu!AV45="","",pkwu!AV45)</f>
        <v>80</v>
      </c>
      <c r="AH42" s="312" t="str">
        <f>IF('Mlk1'!AV45="","",'Mlk1'!AV45)</f>
        <v/>
      </c>
      <c r="AI42" s="312" t="str">
        <f>IF('Ml2'!AV45="","",'Ml2'!AV45)</f>
        <v/>
      </c>
      <c r="AJ42" s="312">
        <f>IF(sosio!AV45="","",sosio!AV45)</f>
        <v>85</v>
      </c>
      <c r="AK42" s="312">
        <f>IF(geog!AV45="","",geog!AV45)</f>
        <v>95</v>
      </c>
      <c r="AL42" s="532">
        <f>IF(ekonomi!AV45="","",ekonomi!AV45)</f>
        <v>88</v>
      </c>
      <c r="AM42" s="532">
        <f>IF('sejarah peminatan'!AV45="","",'sejarah peminatan'!AV45)</f>
        <v>82</v>
      </c>
      <c r="AN42" s="532" t="str">
        <f>IF('PM5'!AV45="","",'PM5'!AV45)</f>
        <v/>
      </c>
      <c r="AO42" s="532" t="str">
        <f>IF('PM6'!AV45="","",'PM6'!AV45)</f>
        <v/>
      </c>
      <c r="AP42" s="532">
        <f>IF(biologi!AV45="","",biologi!AV45)</f>
        <v>78</v>
      </c>
      <c r="AQ42" s="532">
        <f>IF(fissika!AV45="","",fissika!AV45)</f>
        <v>88</v>
      </c>
      <c r="AR42" s="311" t="str">
        <f>IF(Sikap!F46="","",Sikap!F46)</f>
        <v>SB</v>
      </c>
      <c r="AS42" s="597" t="str">
        <f>IF(Sikap!M46="","",Sikap!M46)</f>
        <v>SB</v>
      </c>
      <c r="AT42" s="311">
        <f t="shared" si="7"/>
        <v>1182</v>
      </c>
      <c r="AU42" s="312">
        <f t="shared" si="8"/>
        <v>1216</v>
      </c>
      <c r="AV42" s="312">
        <f t="shared" si="9"/>
        <v>2398</v>
      </c>
      <c r="AW42" s="313">
        <f t="shared" si="11"/>
        <v>23</v>
      </c>
      <c r="AX42" s="291">
        <v>32</v>
      </c>
    </row>
    <row r="43" spans="1:50" ht="12.95" customHeight="1">
      <c r="A43" s="161"/>
      <c r="B43" s="163">
        <f t="shared" si="12"/>
        <v>33</v>
      </c>
      <c r="C43" s="164">
        <f>IF(Data!F37="","",Data!F37)</f>
        <v>0</v>
      </c>
      <c r="D43" s="165" t="str">
        <f>IF(Data!H37="","",Data!H37)</f>
        <v>Venciani Sefrianti Sufnera</v>
      </c>
      <c r="E43" s="166" t="str">
        <f>IF(Data!I37="","",Data!I37)</f>
        <v>P</v>
      </c>
      <c r="F43" s="311">
        <f>IF(PA!S46="","",PA!S46)</f>
        <v>95</v>
      </c>
      <c r="G43" s="312">
        <f>IF(PKn!S46="","",PKn!S46)</f>
        <v>86</v>
      </c>
      <c r="H43" s="312">
        <f>IF(BInd!S46="","",BInd!S46)</f>
        <v>79</v>
      </c>
      <c r="I43" s="312">
        <f>IF(Mat!S46="","",Mat!S46)</f>
        <v>82</v>
      </c>
      <c r="J43" s="312" t="str">
        <f>IF(SEJ!S46="","",SEJ!S46)</f>
        <v/>
      </c>
      <c r="K43" s="312">
        <f>IF(BIng!S46="","",BIng!S46)</f>
        <v>85</v>
      </c>
      <c r="L43" s="312">
        <f>IF(SB!S46="","",SB!S46)</f>
        <v>82</v>
      </c>
      <c r="M43" s="312">
        <f>IF(pjok!S46="","",pjok!S46)</f>
        <v>88</v>
      </c>
      <c r="N43" s="312">
        <f>IF(pkwu!S46="","",pkwu!S46)</f>
        <v>88</v>
      </c>
      <c r="O43" s="312" t="str">
        <f>IF('Mlk1'!S46="","",'Mlk1'!S46)</f>
        <v/>
      </c>
      <c r="P43" s="312" t="str">
        <f>IF('Ml2'!S46="","",'Ml2'!S46)</f>
        <v/>
      </c>
      <c r="Q43" s="312">
        <f>IF(sosio!S46="","",sosio!S46)</f>
        <v>89</v>
      </c>
      <c r="R43" s="312">
        <f>IF(geog!S46="","",geog!S46)</f>
        <v>87</v>
      </c>
      <c r="S43" s="532">
        <f>IF(ekonomi!S46="","",ekonomi!S46)</f>
        <v>86</v>
      </c>
      <c r="T43" s="532">
        <f>IF('sejarah peminatan'!S46="","",'sejarah peminatan'!S46)</f>
        <v>81</v>
      </c>
      <c r="U43" s="532" t="str">
        <f>IF('PM5'!S46="","",'PM5'!S46)</f>
        <v/>
      </c>
      <c r="V43" s="532" t="str">
        <f>IF('PM6'!S46="","",'PM6'!S46)</f>
        <v/>
      </c>
      <c r="W43" s="532">
        <f>IF(biologi!S46="","",biologi!S46)</f>
        <v>79</v>
      </c>
      <c r="X43" s="532">
        <f>IF(fissika!S46="","",fissika!S46)</f>
        <v>82</v>
      </c>
      <c r="Y43" s="311">
        <f>IF(PA!AV46="","",PA!AV46)</f>
        <v>95</v>
      </c>
      <c r="Z43" s="312">
        <f>IF(PKn!AV46="","",PKn!AV46)</f>
        <v>95</v>
      </c>
      <c r="AA43" s="312">
        <f>IF(BInd!AV46="","",BInd!AV46)</f>
        <v>88</v>
      </c>
      <c r="AB43" s="312">
        <f>IF(Mat!AV46="","",Mat!AV46)</f>
        <v>86</v>
      </c>
      <c r="AC43" s="312" t="str">
        <f>IF(SEJ!AV46="","",SEJ!AV46)</f>
        <v/>
      </c>
      <c r="AD43" s="312">
        <f>IF(BIng!AV46="","",BIng!AV46)</f>
        <v>86</v>
      </c>
      <c r="AE43" s="312">
        <f>IF(SB!AV46="","",SB!AV46)</f>
        <v>90</v>
      </c>
      <c r="AF43" s="312">
        <f>IF(pjok!AV46="","",pjok!AV46)</f>
        <v>88</v>
      </c>
      <c r="AG43" s="312">
        <f>IF(pkwu!AV46="","",pkwu!AV46)</f>
        <v>90</v>
      </c>
      <c r="AH43" s="312" t="str">
        <f>IF('Mlk1'!AV46="","",'Mlk1'!AV46)</f>
        <v/>
      </c>
      <c r="AI43" s="312" t="str">
        <f>IF('Ml2'!AV46="","",'Ml2'!AV46)</f>
        <v/>
      </c>
      <c r="AJ43" s="312">
        <f>IF(sosio!AV46="","",sosio!AV46)</f>
        <v>85</v>
      </c>
      <c r="AK43" s="312">
        <f>IF(geog!AV46="","",geog!AV46)</f>
        <v>95</v>
      </c>
      <c r="AL43" s="532">
        <f>IF(ekonomi!AV46="","",ekonomi!AV46)</f>
        <v>88</v>
      </c>
      <c r="AM43" s="532">
        <f>IF('sejarah peminatan'!AV46="","",'sejarah peminatan'!AV46)</f>
        <v>82</v>
      </c>
      <c r="AN43" s="532" t="str">
        <f>IF('PM5'!AV46="","",'PM5'!AV46)</f>
        <v/>
      </c>
      <c r="AO43" s="532" t="str">
        <f>IF('PM6'!AV46="","",'PM6'!AV46)</f>
        <v/>
      </c>
      <c r="AP43" s="532">
        <f>IF(biologi!AV46="","",biologi!AV46)</f>
        <v>79</v>
      </c>
      <c r="AQ43" s="532">
        <f>IF(fissika!AV46="","",fissika!AV46)</f>
        <v>88</v>
      </c>
      <c r="AR43" s="311" t="str">
        <f>IF(Sikap!F47="","",Sikap!F47)</f>
        <v>SB</v>
      </c>
      <c r="AS43" s="597" t="str">
        <f>IF(Sikap!M47="","",Sikap!M47)</f>
        <v>SB</v>
      </c>
      <c r="AT43" s="311">
        <f t="shared" ref="AT43:AT60" si="13">IF($AT$10="YA",IF(SUM(F43:X43)=0,"",SUM(F43:X43)),"")</f>
        <v>1189</v>
      </c>
      <c r="AU43" s="312">
        <f t="shared" si="8"/>
        <v>1235</v>
      </c>
      <c r="AV43" s="312">
        <f t="shared" ref="AV43:AV58" si="14">IF(SUM(AT43:AU43)=0,"",SUM(AT43:AU43))</f>
        <v>2424</v>
      </c>
      <c r="AW43" s="313">
        <f t="shared" si="11"/>
        <v>10</v>
      </c>
      <c r="AX43" s="293">
        <v>33</v>
      </c>
    </row>
    <row r="44" spans="1:50" ht="12.95" customHeight="1">
      <c r="A44" s="161"/>
      <c r="B44" s="163">
        <f t="shared" si="12"/>
        <v>34</v>
      </c>
      <c r="C44" s="164">
        <f>IF(Data!F38="","",Data!F38)</f>
        <v>0</v>
      </c>
      <c r="D44" s="165" t="str">
        <f>IF(Data!H38="","",Data!H38)</f>
        <v>Yangres Nitti</v>
      </c>
      <c r="E44" s="166" t="str">
        <f>IF(Data!I38="","",Data!I38)</f>
        <v>L</v>
      </c>
      <c r="F44" s="311">
        <f>IF(PA!S47="","",PA!S47)</f>
        <v>95</v>
      </c>
      <c r="G44" s="312">
        <f>IF(PKn!S47="","",PKn!S47)</f>
        <v>85</v>
      </c>
      <c r="H44" s="312">
        <f>IF(BInd!S47="","",BInd!S47)</f>
        <v>79</v>
      </c>
      <c r="I44" s="312">
        <f>IF(Mat!S47="","",Mat!S47)</f>
        <v>85</v>
      </c>
      <c r="J44" s="312" t="str">
        <f>IF(SEJ!S47="","",SEJ!S47)</f>
        <v/>
      </c>
      <c r="K44" s="312">
        <f>IF(BIng!S47="","",BIng!S47)</f>
        <v>85</v>
      </c>
      <c r="L44" s="312">
        <f>IF(SB!S47="","",SB!S47)</f>
        <v>80</v>
      </c>
      <c r="M44" s="312">
        <f>IF(pjok!S47="","",pjok!S47)</f>
        <v>87</v>
      </c>
      <c r="N44" s="312">
        <f>IF(pkwu!S47="","",pkwu!S47)</f>
        <v>85</v>
      </c>
      <c r="O44" s="312" t="str">
        <f>IF('Mlk1'!S47="","",'Mlk1'!S47)</f>
        <v/>
      </c>
      <c r="P44" s="312" t="str">
        <f>IF('Ml2'!S47="","",'Ml2'!S47)</f>
        <v/>
      </c>
      <c r="Q44" s="312">
        <f>IF(sosio!S47="","",sosio!S47)</f>
        <v>89</v>
      </c>
      <c r="R44" s="312">
        <f>IF(geog!S47="","",geog!S47)</f>
        <v>87</v>
      </c>
      <c r="S44" s="532">
        <f>IF(ekonomi!S47="","",ekonomi!S47)</f>
        <v>88</v>
      </c>
      <c r="T44" s="532">
        <f>IF('sejarah peminatan'!S47="","",'sejarah peminatan'!S47)</f>
        <v>81</v>
      </c>
      <c r="U44" s="532" t="str">
        <f>IF('PM5'!S47="","",'PM5'!S47)</f>
        <v/>
      </c>
      <c r="V44" s="532" t="str">
        <f>IF('PM6'!S47="","",'PM6'!S47)</f>
        <v/>
      </c>
      <c r="W44" s="532">
        <f>IF(biologi!S47="","",biologi!S47)</f>
        <v>79</v>
      </c>
      <c r="X44" s="532">
        <f>IF(fissika!S47="","",fissika!S47)</f>
        <v>82</v>
      </c>
      <c r="Y44" s="311">
        <f>IF(PA!AV47="","",PA!AV47)</f>
        <v>95</v>
      </c>
      <c r="Z44" s="312">
        <f>IF(PKn!AV47="","",PKn!AV47)</f>
        <v>95</v>
      </c>
      <c r="AA44" s="312">
        <f>IF(BInd!AV47="","",BInd!AV47)</f>
        <v>88</v>
      </c>
      <c r="AB44" s="312">
        <f>IF(Mat!AV47="","",Mat!AV47)</f>
        <v>90</v>
      </c>
      <c r="AC44" s="312" t="str">
        <f>IF(SEJ!AV47="","",SEJ!AV47)</f>
        <v/>
      </c>
      <c r="AD44" s="312">
        <f>IF(BIng!AV47="","",BIng!AV47)</f>
        <v>86</v>
      </c>
      <c r="AE44" s="312">
        <f>IF(SB!AV47="","",SB!AV47)</f>
        <v>90</v>
      </c>
      <c r="AF44" s="312">
        <f>IF(pjok!AV47="","",pjok!AV47)</f>
        <v>88</v>
      </c>
      <c r="AG44" s="312">
        <f>IF(pkwu!AV47="","",pkwu!AV47)</f>
        <v>90</v>
      </c>
      <c r="AH44" s="312" t="str">
        <f>IF('Mlk1'!AV47="","",'Mlk1'!AV47)</f>
        <v/>
      </c>
      <c r="AI44" s="312" t="str">
        <f>IF('Ml2'!AV47="","",'Ml2'!AV47)</f>
        <v/>
      </c>
      <c r="AJ44" s="312">
        <f>IF(sosio!AV47="","",sosio!AV47)</f>
        <v>85</v>
      </c>
      <c r="AK44" s="312">
        <f>IF(geog!AV47="","",geog!AV47)</f>
        <v>95</v>
      </c>
      <c r="AL44" s="532">
        <f>IF(ekonomi!AV47="","",ekonomi!AV47)</f>
        <v>88</v>
      </c>
      <c r="AM44" s="532">
        <f>IF('sejarah peminatan'!AV47="","",'sejarah peminatan'!AV47)</f>
        <v>82</v>
      </c>
      <c r="AN44" s="532" t="str">
        <f>IF('PM5'!AV47="","",'PM5'!AV47)</f>
        <v/>
      </c>
      <c r="AO44" s="532" t="str">
        <f>IF('PM6'!AV47="","",'PM6'!AV47)</f>
        <v/>
      </c>
      <c r="AP44" s="532">
        <f>IF(biologi!AV47="","",biologi!AV47)</f>
        <v>78</v>
      </c>
      <c r="AQ44" s="532">
        <f>IF(fissika!AV47="","",fissika!AV47)</f>
        <v>88</v>
      </c>
      <c r="AR44" s="311" t="str">
        <f>IF(Sikap!F48="","",Sikap!F48)</f>
        <v>SB</v>
      </c>
      <c r="AS44" s="597" t="str">
        <f>IF(Sikap!M48="","",Sikap!M48)</f>
        <v>SB</v>
      </c>
      <c r="AT44" s="311">
        <f t="shared" si="13"/>
        <v>1187</v>
      </c>
      <c r="AU44" s="312">
        <f t="shared" si="8"/>
        <v>1238</v>
      </c>
      <c r="AV44" s="312">
        <f t="shared" si="14"/>
        <v>2425</v>
      </c>
      <c r="AW44" s="313">
        <f t="shared" si="11"/>
        <v>9</v>
      </c>
      <c r="AX44" s="291">
        <v>34</v>
      </c>
    </row>
    <row r="45" spans="1:50" ht="12.95" customHeight="1">
      <c r="A45" s="161"/>
      <c r="B45" s="163">
        <f t="shared" si="12"/>
        <v>35</v>
      </c>
      <c r="C45" s="164">
        <f>IF(Data!F39="","",Data!F39)</f>
        <v>0</v>
      </c>
      <c r="D45" s="165" t="str">
        <f>IF(Data!H39="","",Data!H39)</f>
        <v>Yefta Trianus Mau</v>
      </c>
      <c r="E45" s="166" t="str">
        <f>IF(Data!I39="","",Data!I39)</f>
        <v>L</v>
      </c>
      <c r="F45" s="311">
        <f>IF(PA!S48="","",PA!S48)</f>
        <v>95</v>
      </c>
      <c r="G45" s="312">
        <f>IF(PKn!S48="","",PKn!S48)</f>
        <v>86</v>
      </c>
      <c r="H45" s="312">
        <f>IF(BInd!S48="","",BInd!S48)</f>
        <v>81</v>
      </c>
      <c r="I45" s="312">
        <f>IF(Mat!S48="","",Mat!S48)</f>
        <v>85</v>
      </c>
      <c r="J45" s="312" t="str">
        <f>IF(SEJ!S48="","",SEJ!S48)</f>
        <v/>
      </c>
      <c r="K45" s="312">
        <f>IF(BIng!S48="","",BIng!S48)</f>
        <v>85</v>
      </c>
      <c r="L45" s="312">
        <f>IF(SB!S48="","",SB!S48)</f>
        <v>85</v>
      </c>
      <c r="M45" s="312">
        <f>IF(pjok!S48="","",pjok!S48)</f>
        <v>86</v>
      </c>
      <c r="N45" s="312">
        <f>IF(pkwu!S48="","",pkwu!S48)</f>
        <v>86</v>
      </c>
      <c r="O45" s="312" t="str">
        <f>IF('Mlk1'!S48="","",'Mlk1'!S48)</f>
        <v/>
      </c>
      <c r="P45" s="312" t="str">
        <f>IF('Ml2'!S48="","",'Ml2'!S48)</f>
        <v/>
      </c>
      <c r="Q45" s="312">
        <f>IF(sosio!S48="","",sosio!S48)</f>
        <v>89</v>
      </c>
      <c r="R45" s="312">
        <f>IF(geog!S48="","",geog!S48)</f>
        <v>86</v>
      </c>
      <c r="S45" s="532">
        <f>IF(ekonomi!S48="","",ekonomi!S48)</f>
        <v>88</v>
      </c>
      <c r="T45" s="532">
        <f>IF('sejarah peminatan'!S48="","",'sejarah peminatan'!S48)</f>
        <v>82</v>
      </c>
      <c r="U45" s="532" t="str">
        <f>IF('PM5'!S48="","",'PM5'!S48)</f>
        <v/>
      </c>
      <c r="V45" s="532" t="str">
        <f>IF('PM6'!S48="","",'PM6'!S48)</f>
        <v/>
      </c>
      <c r="W45" s="532">
        <f>IF(biologi!S48="","",biologi!S48)</f>
        <v>80</v>
      </c>
      <c r="X45" s="532">
        <f>IF(fissika!S48="","",fissika!S48)</f>
        <v>82</v>
      </c>
      <c r="Y45" s="311">
        <f>IF(PA!AV48="","",PA!AV48)</f>
        <v>95</v>
      </c>
      <c r="Z45" s="312">
        <f>IF(PKn!AV48="","",PKn!AV48)</f>
        <v>95</v>
      </c>
      <c r="AA45" s="312">
        <f>IF(BInd!AV48="","",BInd!AV48)</f>
        <v>88</v>
      </c>
      <c r="AB45" s="312">
        <f>IF(Mat!AV48="","",Mat!AV48)</f>
        <v>90</v>
      </c>
      <c r="AC45" s="312" t="str">
        <f>IF(SEJ!AV48="","",SEJ!AV48)</f>
        <v/>
      </c>
      <c r="AD45" s="312">
        <f>IF(BIng!AV48="","",BIng!AV48)</f>
        <v>86</v>
      </c>
      <c r="AE45" s="312">
        <f>IF(SB!AV48="","",SB!AV48)</f>
        <v>90</v>
      </c>
      <c r="AF45" s="312">
        <f>IF(pjok!AV48="","",pjok!AV48)</f>
        <v>85</v>
      </c>
      <c r="AG45" s="312">
        <f>IF(pkwu!AV48="","",pkwu!AV48)</f>
        <v>90</v>
      </c>
      <c r="AH45" s="312" t="str">
        <f>IF('Mlk1'!AV48="","",'Mlk1'!AV48)</f>
        <v/>
      </c>
      <c r="AI45" s="312" t="str">
        <f>IF('Ml2'!AV48="","",'Ml2'!AV48)</f>
        <v/>
      </c>
      <c r="AJ45" s="312">
        <f>IF(sosio!AV48="","",sosio!AV48)</f>
        <v>85</v>
      </c>
      <c r="AK45" s="312">
        <f>IF(geog!AV48="","",geog!AV48)</f>
        <v>95</v>
      </c>
      <c r="AL45" s="532">
        <f>IF(ekonomi!AV48="","",ekonomi!AV48)</f>
        <v>88</v>
      </c>
      <c r="AM45" s="532">
        <f>IF('sejarah peminatan'!AV48="","",'sejarah peminatan'!AV48)</f>
        <v>82</v>
      </c>
      <c r="AN45" s="532" t="str">
        <f>IF('PM5'!AV48="","",'PM5'!AV48)</f>
        <v/>
      </c>
      <c r="AO45" s="532" t="str">
        <f>IF('PM6'!AV48="","",'PM6'!AV48)</f>
        <v/>
      </c>
      <c r="AP45" s="532">
        <f>IF(biologi!AV48="","",biologi!AV48)</f>
        <v>80</v>
      </c>
      <c r="AQ45" s="532">
        <f>IF(fissika!AV48="","",fissika!AV48)</f>
        <v>88</v>
      </c>
      <c r="AR45" s="311" t="str">
        <f>IF(Sikap!F49="","",Sikap!F49)</f>
        <v>SB</v>
      </c>
      <c r="AS45" s="597" t="str">
        <f>IF(Sikap!M49="","",Sikap!M49)</f>
        <v>SB</v>
      </c>
      <c r="AT45" s="311">
        <f t="shared" si="13"/>
        <v>1196</v>
      </c>
      <c r="AU45" s="312">
        <f t="shared" si="8"/>
        <v>1237</v>
      </c>
      <c r="AV45" s="312">
        <f t="shared" si="14"/>
        <v>2433</v>
      </c>
      <c r="AW45" s="313">
        <f t="shared" si="11"/>
        <v>4</v>
      </c>
      <c r="AX45" s="293">
        <v>35</v>
      </c>
    </row>
    <row r="46" spans="1:50" ht="12.95" customHeight="1">
      <c r="A46" s="161"/>
      <c r="B46" s="163">
        <f t="shared" si="12"/>
        <v>36</v>
      </c>
      <c r="C46" s="164">
        <f>IF(Data!F40="","",Data!F40)</f>
        <v>0</v>
      </c>
      <c r="D46" s="165" t="str">
        <f>IF(Data!H40="","",Data!H40)</f>
        <v>Yuliana Febriyanti Nggeon</v>
      </c>
      <c r="E46" s="166" t="str">
        <f>IF(Data!I40="","",Data!I40)</f>
        <v>P</v>
      </c>
      <c r="F46" s="311">
        <f>IF(PA!S49="","",PA!S49)</f>
        <v>90</v>
      </c>
      <c r="G46" s="312">
        <f>IF(PKn!S49="","",PKn!S49)</f>
        <v>83</v>
      </c>
      <c r="H46" s="312">
        <f>IF(BInd!S49="","",BInd!S49)</f>
        <v>80</v>
      </c>
      <c r="I46" s="312">
        <f>IF(Mat!S49="","",Mat!S49)</f>
        <v>96</v>
      </c>
      <c r="J46" s="312" t="str">
        <f>IF(SEJ!S49="","",SEJ!S49)</f>
        <v/>
      </c>
      <c r="K46" s="312">
        <f>IF(BIng!S49="","",BIng!S49)</f>
        <v>85</v>
      </c>
      <c r="L46" s="312">
        <f>IF(SB!S49="","",SB!S49)</f>
        <v>87</v>
      </c>
      <c r="M46" s="312">
        <f>IF(pjok!S49="","",pjok!S49)</f>
        <v>85</v>
      </c>
      <c r="N46" s="312">
        <f>IF(pkwu!S49="","",pkwu!S49)</f>
        <v>86</v>
      </c>
      <c r="O46" s="312" t="str">
        <f>IF('Mlk1'!S49="","",'Mlk1'!S49)</f>
        <v/>
      </c>
      <c r="P46" s="312" t="str">
        <f>IF('Ml2'!S49="","",'Ml2'!S49)</f>
        <v/>
      </c>
      <c r="Q46" s="312">
        <f>IF(sosio!S49="","",sosio!S49)</f>
        <v>90</v>
      </c>
      <c r="R46" s="312">
        <f>IF(geog!S49="","",geog!S49)</f>
        <v>86</v>
      </c>
      <c r="S46" s="532">
        <f>IF(ekonomi!S49="","",ekonomi!S49)</f>
        <v>83</v>
      </c>
      <c r="T46" s="532">
        <f>IF('sejarah peminatan'!S49="","",'sejarah peminatan'!S49)</f>
        <v>85</v>
      </c>
      <c r="U46" s="532" t="str">
        <f>IF('PM5'!S49="","",'PM5'!S49)</f>
        <v/>
      </c>
      <c r="V46" s="532" t="str">
        <f>IF('PM6'!S49="","",'PM6'!S49)</f>
        <v/>
      </c>
      <c r="W46" s="532">
        <f>IF(biologi!S49="","",biologi!S49)</f>
        <v>80</v>
      </c>
      <c r="X46" s="532">
        <f>IF(fissika!S49="","",fissika!S49)</f>
        <v>82</v>
      </c>
      <c r="Y46" s="311">
        <f>IF(PA!AV49="","",PA!AV49)</f>
        <v>90</v>
      </c>
      <c r="Z46" s="312">
        <f>IF(PKn!AV49="","",PKn!AV49)</f>
        <v>95</v>
      </c>
      <c r="AA46" s="312">
        <f>IF(BInd!AV49="","",BInd!AV49)</f>
        <v>88</v>
      </c>
      <c r="AB46" s="312">
        <f>IF(Mat!AV49="","",Mat!AV49)</f>
        <v>94</v>
      </c>
      <c r="AC46" s="312" t="str">
        <f>IF(SEJ!AV49="","",SEJ!AV49)</f>
        <v/>
      </c>
      <c r="AD46" s="312">
        <f>IF(BIng!AV49="","",BIng!AV49)</f>
        <v>86</v>
      </c>
      <c r="AE46" s="312">
        <f>IF(SB!AV49="","",SB!AV49)</f>
        <v>90</v>
      </c>
      <c r="AF46" s="312">
        <f>IF(pjok!AV49="","",pjok!AV49)</f>
        <v>83</v>
      </c>
      <c r="AG46" s="312">
        <f>IF(pkwu!AV49="","",pkwu!AV49)</f>
        <v>80</v>
      </c>
      <c r="AH46" s="312" t="str">
        <f>IF('Mlk1'!AV49="","",'Mlk1'!AV49)</f>
        <v/>
      </c>
      <c r="AI46" s="312" t="str">
        <f>IF('Ml2'!AV49="","",'Ml2'!AV49)</f>
        <v/>
      </c>
      <c r="AJ46" s="312">
        <f>IF(sosio!AV49="","",sosio!AV49)</f>
        <v>85</v>
      </c>
      <c r="AK46" s="312">
        <f>IF(geog!AV49="","",geog!AV49)</f>
        <v>95</v>
      </c>
      <c r="AL46" s="532">
        <f>IF(ekonomi!AV49="","",ekonomi!AV49)</f>
        <v>88</v>
      </c>
      <c r="AM46" s="532">
        <f>IF('sejarah peminatan'!AV49="","",'sejarah peminatan'!AV49)</f>
        <v>83</v>
      </c>
      <c r="AN46" s="532" t="str">
        <f>IF('PM5'!AV49="","",'PM5'!AV49)</f>
        <v/>
      </c>
      <c r="AO46" s="532" t="str">
        <f>IF('PM6'!AV49="","",'PM6'!AV49)</f>
        <v/>
      </c>
      <c r="AP46" s="532">
        <f>IF(biologi!AV49="","",biologi!AV49)</f>
        <v>79</v>
      </c>
      <c r="AQ46" s="532">
        <f>IF(fissika!AV49="","",fissika!AV49)</f>
        <v>88</v>
      </c>
      <c r="AR46" s="311" t="str">
        <f>IF(Sikap!F50="","",Sikap!F50)</f>
        <v>SB</v>
      </c>
      <c r="AS46" s="597" t="str">
        <f>IF(Sikap!M50="","",Sikap!M50)</f>
        <v>SB</v>
      </c>
      <c r="AT46" s="311">
        <f t="shared" si="13"/>
        <v>1198</v>
      </c>
      <c r="AU46" s="312">
        <f t="shared" si="8"/>
        <v>1224</v>
      </c>
      <c r="AV46" s="312">
        <f t="shared" si="14"/>
        <v>2422</v>
      </c>
      <c r="AW46" s="313">
        <f t="shared" si="11"/>
        <v>11</v>
      </c>
      <c r="AX46" s="291">
        <v>36</v>
      </c>
    </row>
    <row r="47" spans="1:50" ht="12.95" customHeight="1">
      <c r="A47" s="161"/>
      <c r="B47" s="163">
        <f t="shared" si="12"/>
        <v>37</v>
      </c>
      <c r="C47" s="164">
        <f>IF(Data!F41="","",Data!F41)</f>
        <v>0</v>
      </c>
      <c r="D47" s="165" t="str">
        <f>IF(Data!H41="","",Data!H41)</f>
        <v>Yuninda Pono</v>
      </c>
      <c r="E47" s="166" t="str">
        <f>IF(Data!I41="","",Data!I41)</f>
        <v>P</v>
      </c>
      <c r="F47" s="311">
        <f>IF(PA!S50="","",PA!S50)</f>
        <v>95</v>
      </c>
      <c r="G47" s="312">
        <f>IF(PKn!S50="","",PKn!S50)</f>
        <v>85</v>
      </c>
      <c r="H47" s="312">
        <f>IF(BInd!S50="","",BInd!S50)</f>
        <v>81</v>
      </c>
      <c r="I47" s="312">
        <f>IF(Mat!S50="","",Mat!S50)</f>
        <v>82</v>
      </c>
      <c r="J47" s="312" t="str">
        <f>IF(SEJ!S50="","",SEJ!S50)</f>
        <v/>
      </c>
      <c r="K47" s="312">
        <f>IF(BIng!S50="","",BIng!S50)</f>
        <v>86</v>
      </c>
      <c r="L47" s="312">
        <f>IF(SB!S50="","",SB!S50)</f>
        <v>86</v>
      </c>
      <c r="M47" s="312">
        <f>IF(pjok!S50="","",pjok!S50)</f>
        <v>87</v>
      </c>
      <c r="N47" s="312">
        <f>IF(pkwu!S50="","",pkwu!S50)</f>
        <v>86</v>
      </c>
      <c r="O47" s="312" t="str">
        <f>IF('Mlk1'!S50="","",'Mlk1'!S50)</f>
        <v/>
      </c>
      <c r="P47" s="312" t="str">
        <f>IF('Ml2'!S50="","",'Ml2'!S50)</f>
        <v/>
      </c>
      <c r="Q47" s="312">
        <f>IF(sosio!S50="","",sosio!S50)</f>
        <v>89</v>
      </c>
      <c r="R47" s="312">
        <f>IF(geog!S50="","",geog!S50)</f>
        <v>87</v>
      </c>
      <c r="S47" s="532">
        <f>IF(ekonomi!S50="","",ekonomi!S50)</f>
        <v>88</v>
      </c>
      <c r="T47" s="532">
        <f>IF('sejarah peminatan'!S50="","",'sejarah peminatan'!S50)</f>
        <v>81</v>
      </c>
      <c r="U47" s="532" t="str">
        <f>IF('PM5'!S50="","",'PM5'!S50)</f>
        <v/>
      </c>
      <c r="V47" s="532" t="str">
        <f>IF('PM6'!S50="","",'PM6'!S50)</f>
        <v/>
      </c>
      <c r="W47" s="532">
        <f>IF(biologi!S50="","",biologi!S50)</f>
        <v>79</v>
      </c>
      <c r="X47" s="532">
        <f>IF(fissika!S50="","",fissika!S50)</f>
        <v>82</v>
      </c>
      <c r="Y47" s="311">
        <f>IF(PA!AV50="","",PA!AV50)</f>
        <v>85</v>
      </c>
      <c r="Z47" s="312">
        <f>IF(PKn!AV50="","",PKn!AV50)</f>
        <v>95</v>
      </c>
      <c r="AA47" s="312">
        <f>IF(BInd!AV50="","",BInd!AV50)</f>
        <v>88</v>
      </c>
      <c r="AB47" s="312">
        <f>IF(Mat!AV50="","",Mat!AV50)</f>
        <v>86</v>
      </c>
      <c r="AC47" s="312" t="str">
        <f>IF(SEJ!AV50="","",SEJ!AV50)</f>
        <v/>
      </c>
      <c r="AD47" s="312">
        <f>IF(BIng!AV50="","",BIng!AV50)</f>
        <v>86</v>
      </c>
      <c r="AE47" s="312">
        <f>IF(SB!AV50="","",SB!AV50)</f>
        <v>90</v>
      </c>
      <c r="AF47" s="312">
        <f>IF(pjok!AV50="","",pjok!AV50)</f>
        <v>89</v>
      </c>
      <c r="AG47" s="312">
        <f>IF(pkwu!AV50="","",pkwu!AV50)</f>
        <v>90</v>
      </c>
      <c r="AH47" s="312" t="str">
        <f>IF('Mlk1'!AV50="","",'Mlk1'!AV50)</f>
        <v/>
      </c>
      <c r="AI47" s="312" t="str">
        <f>IF('Ml2'!AV50="","",'Ml2'!AV50)</f>
        <v/>
      </c>
      <c r="AJ47" s="312">
        <f>IF(sosio!AV50="","",sosio!AV50)</f>
        <v>85</v>
      </c>
      <c r="AK47" s="312">
        <f>IF(geog!AV50="","",geog!AV50)</f>
        <v>95</v>
      </c>
      <c r="AL47" s="532">
        <f>IF(ekonomi!AV50="","",ekonomi!AV50)</f>
        <v>88</v>
      </c>
      <c r="AM47" s="532">
        <f>IF('sejarah peminatan'!AV50="","",'sejarah peminatan'!AV50)</f>
        <v>82</v>
      </c>
      <c r="AN47" s="532" t="str">
        <f>IF('PM5'!AV50="","",'PM5'!AV50)</f>
        <v/>
      </c>
      <c r="AO47" s="532" t="str">
        <f>IF('PM6'!AV50="","",'PM6'!AV50)</f>
        <v/>
      </c>
      <c r="AP47" s="532">
        <f>IF(biologi!AV50="","",biologi!AV50)</f>
        <v>78</v>
      </c>
      <c r="AQ47" s="532">
        <f>IF(fissika!AV50="","",fissika!AV50)</f>
        <v>88</v>
      </c>
      <c r="AR47" s="311" t="str">
        <f>IF(Sikap!F51="","",Sikap!F51)</f>
        <v>SB</v>
      </c>
      <c r="AS47" s="597" t="str">
        <f>IF(Sikap!M51="","",Sikap!M51)</f>
        <v>SB</v>
      </c>
      <c r="AT47" s="311">
        <f t="shared" si="13"/>
        <v>1194</v>
      </c>
      <c r="AU47" s="312">
        <f t="shared" si="8"/>
        <v>1225</v>
      </c>
      <c r="AV47" s="312">
        <f t="shared" si="14"/>
        <v>2419</v>
      </c>
      <c r="AW47" s="313">
        <f t="shared" si="11"/>
        <v>12</v>
      </c>
      <c r="AX47" s="293">
        <v>37</v>
      </c>
    </row>
    <row r="48" spans="1:50" ht="12.95" customHeight="1">
      <c r="A48" s="161"/>
      <c r="B48" s="163" t="str">
        <f t="shared" si="12"/>
        <v/>
      </c>
      <c r="C48" s="164" t="str">
        <f>IF(Data!F42="","",Data!F42)</f>
        <v/>
      </c>
      <c r="D48" s="165" t="str">
        <f>IF(Data!H42="","",Data!H42)</f>
        <v/>
      </c>
      <c r="E48" s="166" t="str">
        <f>IF(Data!I42="","",Data!I42)</f>
        <v/>
      </c>
      <c r="F48" s="311" t="str">
        <f>IF(PA!S51="","",PA!S51)</f>
        <v/>
      </c>
      <c r="G48" s="312" t="str">
        <f>IF(PKn!S51="","",PKn!S51)</f>
        <v/>
      </c>
      <c r="H48" s="312" t="str">
        <f>IF(BInd!S51="","",BInd!S51)</f>
        <v/>
      </c>
      <c r="I48" s="312" t="str">
        <f>IF(Mat!S51="","",Mat!S51)</f>
        <v/>
      </c>
      <c r="J48" s="312" t="str">
        <f>IF(SEJ!S51="","",SEJ!S51)</f>
        <v/>
      </c>
      <c r="K48" s="312" t="str">
        <f>IF(BIng!S51="","",BIng!S51)</f>
        <v/>
      </c>
      <c r="L48" s="312" t="str">
        <f>IF(SB!S51="","",SB!S51)</f>
        <v/>
      </c>
      <c r="M48" s="312" t="str">
        <f>IF(pjok!S51="","",pjok!S51)</f>
        <v/>
      </c>
      <c r="N48" s="312" t="str">
        <f>IF(pkwu!S51="","",pkwu!S51)</f>
        <v/>
      </c>
      <c r="O48" s="312" t="str">
        <f>IF('Mlk1'!S51="","",'Mlk1'!S51)</f>
        <v/>
      </c>
      <c r="P48" s="312" t="str">
        <f>IF('Ml2'!S51="","",'Ml2'!S51)</f>
        <v/>
      </c>
      <c r="Q48" s="312" t="str">
        <f>IF(sosio!S51="","",sosio!S51)</f>
        <v/>
      </c>
      <c r="R48" s="312" t="str">
        <f>IF(geog!S51="","",geog!S51)</f>
        <v/>
      </c>
      <c r="S48" s="532" t="str">
        <f>IF(ekonomi!S51="","",ekonomi!S51)</f>
        <v/>
      </c>
      <c r="T48" s="532" t="str">
        <f>IF('sejarah peminatan'!S51="","",'sejarah peminatan'!S51)</f>
        <v/>
      </c>
      <c r="U48" s="532" t="str">
        <f>IF('PM5'!S51="","",'PM5'!S51)</f>
        <v/>
      </c>
      <c r="V48" s="532" t="str">
        <f>IF('PM6'!S51="","",'PM6'!S51)</f>
        <v/>
      </c>
      <c r="W48" s="532" t="str">
        <f>IF(biologi!S51="","",biologi!S51)</f>
        <v/>
      </c>
      <c r="X48" s="532" t="str">
        <f>IF(fissika!S51="","",fissika!S51)</f>
        <v/>
      </c>
      <c r="Y48" s="311" t="str">
        <f>IF(PA!AV51="","",PA!AV51)</f>
        <v/>
      </c>
      <c r="Z48" s="312" t="str">
        <f>IF(PKn!AV51="","",PKn!AV51)</f>
        <v/>
      </c>
      <c r="AA48" s="312" t="str">
        <f>IF(BInd!AV51="","",BInd!AV51)</f>
        <v/>
      </c>
      <c r="AB48" s="312" t="str">
        <f>IF(Mat!AV51="","",Mat!AV51)</f>
        <v/>
      </c>
      <c r="AC48" s="312" t="str">
        <f>IF(SEJ!AV51="","",SEJ!AV51)</f>
        <v/>
      </c>
      <c r="AD48" s="312" t="str">
        <f>IF(BIng!AV51="","",BIng!AV51)</f>
        <v/>
      </c>
      <c r="AE48" s="312" t="str">
        <f>IF(SB!AV51="","",SB!AV51)</f>
        <v/>
      </c>
      <c r="AF48" s="312" t="str">
        <f>IF(pjok!AV51="","",pjok!AV51)</f>
        <v/>
      </c>
      <c r="AG48" s="312" t="str">
        <f>IF(pkwu!AV51="","",pkwu!AV51)</f>
        <v/>
      </c>
      <c r="AH48" s="312" t="str">
        <f>IF('Mlk1'!AV51="","",'Mlk1'!AV51)</f>
        <v/>
      </c>
      <c r="AI48" s="312" t="str">
        <f>IF('Ml2'!AV51="","",'Ml2'!AV51)</f>
        <v/>
      </c>
      <c r="AJ48" s="312" t="str">
        <f>IF(sosio!AV51="","",sosio!AV51)</f>
        <v/>
      </c>
      <c r="AK48" s="312" t="str">
        <f>IF(geog!AV51="","",geog!AV51)</f>
        <v/>
      </c>
      <c r="AL48" s="532" t="str">
        <f>IF(ekonomi!AV51="","",ekonomi!AV51)</f>
        <v/>
      </c>
      <c r="AM48" s="532" t="str">
        <f>IF('sejarah peminatan'!AV51="","",'sejarah peminatan'!AV51)</f>
        <v/>
      </c>
      <c r="AN48" s="532" t="str">
        <f>IF('PM5'!AV51="","",'PM5'!AV51)</f>
        <v/>
      </c>
      <c r="AO48" s="532" t="str">
        <f>IF('PM6'!AV51="","",'PM6'!AV51)</f>
        <v/>
      </c>
      <c r="AP48" s="532" t="str">
        <f>IF(biologi!AV51="","",biologi!AV51)</f>
        <v/>
      </c>
      <c r="AQ48" s="532" t="str">
        <f>IF(fissika!AV51="","",fissika!AV51)</f>
        <v/>
      </c>
      <c r="AR48" s="311" t="str">
        <f>IF(Sikap!F52="","",Sikap!F52)</f>
        <v/>
      </c>
      <c r="AS48" s="597" t="str">
        <f>IF(Sikap!M52="","",Sikap!M52)</f>
        <v/>
      </c>
      <c r="AT48" s="311" t="str">
        <f t="shared" si="13"/>
        <v/>
      </c>
      <c r="AU48" s="312" t="str">
        <f t="shared" si="8"/>
        <v/>
      </c>
      <c r="AV48" s="312" t="str">
        <f t="shared" si="14"/>
        <v/>
      </c>
      <c r="AW48" s="313" t="str">
        <f t="shared" si="11"/>
        <v/>
      </c>
      <c r="AX48" s="291">
        <v>38</v>
      </c>
    </row>
    <row r="49" spans="1:50" ht="12.95" customHeight="1">
      <c r="A49" s="161"/>
      <c r="B49" s="163" t="str">
        <f t="shared" si="12"/>
        <v/>
      </c>
      <c r="C49" s="164" t="str">
        <f>IF(Data!F43="","",Data!F43)</f>
        <v/>
      </c>
      <c r="D49" s="165" t="str">
        <f>IF(Data!H43="","",Data!H43)</f>
        <v/>
      </c>
      <c r="E49" s="166" t="str">
        <f>IF(Data!I43="","",Data!I43)</f>
        <v/>
      </c>
      <c r="F49" s="311" t="str">
        <f>IF(PA!S52="","",PA!S52)</f>
        <v/>
      </c>
      <c r="G49" s="312" t="str">
        <f>IF(PKn!S52="","",PKn!S52)</f>
        <v/>
      </c>
      <c r="H49" s="312" t="str">
        <f>IF(BInd!S52="","",BInd!S52)</f>
        <v/>
      </c>
      <c r="I49" s="312" t="str">
        <f>IF(Mat!S52="","",Mat!S52)</f>
        <v/>
      </c>
      <c r="J49" s="312" t="str">
        <f>IF(SEJ!S52="","",SEJ!S52)</f>
        <v/>
      </c>
      <c r="K49" s="312" t="str">
        <f>IF(BIng!S52="","",BIng!S52)</f>
        <v/>
      </c>
      <c r="L49" s="312" t="str">
        <f>IF(SB!S52="","",SB!S52)</f>
        <v/>
      </c>
      <c r="M49" s="312" t="str">
        <f>IF(pjok!S52="","",pjok!S52)</f>
        <v/>
      </c>
      <c r="N49" s="312" t="str">
        <f>IF(pkwu!S52="","",pkwu!S52)</f>
        <v/>
      </c>
      <c r="O49" s="312" t="str">
        <f>IF('Mlk1'!S52="","",'Mlk1'!S52)</f>
        <v/>
      </c>
      <c r="P49" s="312" t="str">
        <f>IF('Ml2'!S52="","",'Ml2'!S52)</f>
        <v/>
      </c>
      <c r="Q49" s="312" t="str">
        <f>IF(sosio!S52="","",sosio!S52)</f>
        <v/>
      </c>
      <c r="R49" s="312" t="str">
        <f>IF(geog!S52="","",geog!S52)</f>
        <v/>
      </c>
      <c r="S49" s="532" t="str">
        <f>IF(ekonomi!S52="","",ekonomi!S52)</f>
        <v/>
      </c>
      <c r="T49" s="532" t="str">
        <f>IF('sejarah peminatan'!S52="","",'sejarah peminatan'!S52)</f>
        <v/>
      </c>
      <c r="U49" s="532" t="str">
        <f>IF('PM5'!S52="","",'PM5'!S52)</f>
        <v/>
      </c>
      <c r="V49" s="532" t="str">
        <f>IF('PM6'!S52="","",'PM6'!S52)</f>
        <v/>
      </c>
      <c r="W49" s="532" t="str">
        <f>IF(biologi!S52="","",biologi!S52)</f>
        <v/>
      </c>
      <c r="X49" s="532" t="str">
        <f>IF(fissika!S52="","",fissika!S52)</f>
        <v/>
      </c>
      <c r="Y49" s="311" t="str">
        <f>IF(PA!AV52="","",PA!AV52)</f>
        <v/>
      </c>
      <c r="Z49" s="312" t="str">
        <f>IF(PKn!AV52="","",PKn!AV52)</f>
        <v/>
      </c>
      <c r="AA49" s="312" t="str">
        <f>IF(BInd!AV52="","",BInd!AV52)</f>
        <v/>
      </c>
      <c r="AB49" s="312" t="str">
        <f>IF(Mat!AV52="","",Mat!AV52)</f>
        <v/>
      </c>
      <c r="AC49" s="312" t="str">
        <f>IF(SEJ!AV52="","",SEJ!AV52)</f>
        <v/>
      </c>
      <c r="AD49" s="312" t="str">
        <f>IF(BIng!AV52="","",BIng!AV52)</f>
        <v/>
      </c>
      <c r="AE49" s="312" t="str">
        <f>IF(SB!AV52="","",SB!AV52)</f>
        <v/>
      </c>
      <c r="AF49" s="312" t="str">
        <f>IF(pjok!AV52="","",pjok!AV52)</f>
        <v/>
      </c>
      <c r="AG49" s="312" t="str">
        <f>IF(pkwu!AV52="","",pkwu!AV52)</f>
        <v/>
      </c>
      <c r="AH49" s="312" t="str">
        <f>IF('Mlk1'!AV52="","",'Mlk1'!AV52)</f>
        <v/>
      </c>
      <c r="AI49" s="312" t="str">
        <f>IF('Ml2'!AV52="","",'Ml2'!AV52)</f>
        <v/>
      </c>
      <c r="AJ49" s="312" t="str">
        <f>IF(sosio!AV52="","",sosio!AV52)</f>
        <v/>
      </c>
      <c r="AK49" s="312" t="str">
        <f>IF(geog!AV52="","",geog!AV52)</f>
        <v/>
      </c>
      <c r="AL49" s="532" t="str">
        <f>IF(ekonomi!AV52="","",ekonomi!AV52)</f>
        <v/>
      </c>
      <c r="AM49" s="532" t="str">
        <f>IF('sejarah peminatan'!AV52="","",'sejarah peminatan'!AV52)</f>
        <v/>
      </c>
      <c r="AN49" s="532" t="str">
        <f>IF('PM5'!AV52="","",'PM5'!AV52)</f>
        <v/>
      </c>
      <c r="AO49" s="532" t="str">
        <f>IF('PM6'!AV52="","",'PM6'!AV52)</f>
        <v/>
      </c>
      <c r="AP49" s="532" t="str">
        <f>IF(biologi!AV52="","",biologi!AV52)</f>
        <v/>
      </c>
      <c r="AQ49" s="532" t="str">
        <f>IF(fissika!AV52="","",fissika!AV52)</f>
        <v/>
      </c>
      <c r="AR49" s="311" t="str">
        <f>IF(Sikap!F53="","",Sikap!F53)</f>
        <v/>
      </c>
      <c r="AS49" s="597" t="str">
        <f>IF(Sikap!M53="","",Sikap!M53)</f>
        <v/>
      </c>
      <c r="AT49" s="311" t="str">
        <f t="shared" si="13"/>
        <v/>
      </c>
      <c r="AU49" s="312" t="str">
        <f t="shared" si="8"/>
        <v/>
      </c>
      <c r="AV49" s="312" t="str">
        <f t="shared" si="14"/>
        <v/>
      </c>
      <c r="AW49" s="313" t="str">
        <f t="shared" si="11"/>
        <v/>
      </c>
      <c r="AX49" s="293">
        <v>39</v>
      </c>
    </row>
    <row r="50" spans="1:50" ht="12.95" customHeight="1">
      <c r="A50" s="161"/>
      <c r="B50" s="163" t="str">
        <f t="shared" si="12"/>
        <v/>
      </c>
      <c r="C50" s="164" t="str">
        <f>IF(Data!F44="","",Data!F44)</f>
        <v/>
      </c>
      <c r="D50" s="165" t="str">
        <f>IF(Data!H44="","",Data!H44)</f>
        <v/>
      </c>
      <c r="E50" s="166" t="str">
        <f>IF(Data!I44="","",Data!I44)</f>
        <v/>
      </c>
      <c r="F50" s="311" t="str">
        <f>IF(PA!S53="","",PA!S53)</f>
        <v/>
      </c>
      <c r="G50" s="312" t="str">
        <f>IF(PKn!S53="","",PKn!S53)</f>
        <v/>
      </c>
      <c r="H50" s="312" t="str">
        <f>IF(BInd!S53="","",BInd!S53)</f>
        <v/>
      </c>
      <c r="I50" s="312" t="str">
        <f>IF(Mat!S53="","",Mat!S53)</f>
        <v/>
      </c>
      <c r="J50" s="312" t="str">
        <f>IF(SEJ!S53="","",SEJ!S53)</f>
        <v/>
      </c>
      <c r="K50" s="312" t="str">
        <f>IF(BIng!S53="","",BIng!S53)</f>
        <v/>
      </c>
      <c r="L50" s="312" t="str">
        <f>IF(SB!S53="","",SB!S53)</f>
        <v/>
      </c>
      <c r="M50" s="312" t="str">
        <f>IF(pjok!S53="","",pjok!S53)</f>
        <v/>
      </c>
      <c r="N50" s="312" t="str">
        <f>IF(pkwu!S53="","",pkwu!S53)</f>
        <v/>
      </c>
      <c r="O50" s="312" t="str">
        <f>IF('Mlk1'!S53="","",'Mlk1'!S53)</f>
        <v/>
      </c>
      <c r="P50" s="312" t="str">
        <f>IF('Ml2'!S53="","",'Ml2'!S53)</f>
        <v/>
      </c>
      <c r="Q50" s="312" t="str">
        <f>IF(sosio!S53="","",sosio!S53)</f>
        <v/>
      </c>
      <c r="R50" s="312" t="str">
        <f>IF(geog!S53="","",geog!S53)</f>
        <v/>
      </c>
      <c r="S50" s="532" t="str">
        <f>IF(ekonomi!S53="","",ekonomi!S53)</f>
        <v/>
      </c>
      <c r="T50" s="532" t="str">
        <f>IF('sejarah peminatan'!S53="","",'sejarah peminatan'!S53)</f>
        <v/>
      </c>
      <c r="U50" s="532" t="str">
        <f>IF('PM5'!S53="","",'PM5'!S53)</f>
        <v/>
      </c>
      <c r="V50" s="532" t="str">
        <f>IF('PM6'!S53="","",'PM6'!S53)</f>
        <v/>
      </c>
      <c r="W50" s="532" t="str">
        <f>IF(biologi!S53="","",biologi!S53)</f>
        <v/>
      </c>
      <c r="X50" s="532" t="str">
        <f>IF(fissika!S53="","",fissika!S53)</f>
        <v/>
      </c>
      <c r="Y50" s="311" t="str">
        <f>IF(PA!AV53="","",PA!AV53)</f>
        <v/>
      </c>
      <c r="Z50" s="312" t="str">
        <f>IF(PKn!AV53="","",PKn!AV53)</f>
        <v/>
      </c>
      <c r="AA50" s="312" t="str">
        <f>IF(BInd!AV53="","",BInd!AV53)</f>
        <v/>
      </c>
      <c r="AB50" s="312" t="str">
        <f>IF(Mat!AV53="","",Mat!AV53)</f>
        <v/>
      </c>
      <c r="AC50" s="312" t="str">
        <f>IF(SEJ!AV53="","",SEJ!AV53)</f>
        <v/>
      </c>
      <c r="AD50" s="312" t="str">
        <f>IF(BIng!AV53="","",BIng!AV53)</f>
        <v/>
      </c>
      <c r="AE50" s="312" t="str">
        <f>IF(SB!AV53="","",SB!AV53)</f>
        <v/>
      </c>
      <c r="AF50" s="312" t="str">
        <f>IF(pjok!AV53="","",pjok!AV53)</f>
        <v/>
      </c>
      <c r="AG50" s="312" t="str">
        <f>IF(pkwu!AV53="","",pkwu!AV53)</f>
        <v/>
      </c>
      <c r="AH50" s="312" t="str">
        <f>IF('Mlk1'!AV53="","",'Mlk1'!AV53)</f>
        <v/>
      </c>
      <c r="AI50" s="312" t="str">
        <f>IF('Ml2'!AV53="","",'Ml2'!AV53)</f>
        <v/>
      </c>
      <c r="AJ50" s="312" t="str">
        <f>IF(sosio!AV53="","",sosio!AV53)</f>
        <v/>
      </c>
      <c r="AK50" s="312" t="str">
        <f>IF(geog!AV53="","",geog!AV53)</f>
        <v/>
      </c>
      <c r="AL50" s="532" t="str">
        <f>IF(ekonomi!AV53="","",ekonomi!AV53)</f>
        <v/>
      </c>
      <c r="AM50" s="532" t="str">
        <f>IF('sejarah peminatan'!AV53="","",'sejarah peminatan'!AV53)</f>
        <v/>
      </c>
      <c r="AN50" s="532" t="str">
        <f>IF('PM5'!AV53="","",'PM5'!AV53)</f>
        <v/>
      </c>
      <c r="AO50" s="532" t="str">
        <f>IF('PM6'!AV53="","",'PM6'!AV53)</f>
        <v/>
      </c>
      <c r="AP50" s="532" t="str">
        <f>IF(biologi!AV53="","",biologi!AV53)</f>
        <v/>
      </c>
      <c r="AQ50" s="532" t="str">
        <f>IF(fissika!AV53="","",fissika!AV53)</f>
        <v/>
      </c>
      <c r="AR50" s="311" t="str">
        <f>IF(Sikap!F54="","",Sikap!F54)</f>
        <v/>
      </c>
      <c r="AS50" s="597" t="str">
        <f>IF(Sikap!M54="","",Sikap!M54)</f>
        <v/>
      </c>
      <c r="AT50" s="311" t="str">
        <f t="shared" si="13"/>
        <v/>
      </c>
      <c r="AU50" s="312" t="str">
        <f t="shared" si="8"/>
        <v/>
      </c>
      <c r="AV50" s="312" t="str">
        <f t="shared" si="14"/>
        <v/>
      </c>
      <c r="AW50" s="313" t="str">
        <f t="shared" si="11"/>
        <v/>
      </c>
      <c r="AX50" s="291">
        <v>40</v>
      </c>
    </row>
    <row r="51" spans="1:50" ht="12.95" customHeight="1">
      <c r="A51" s="161"/>
      <c r="B51" s="163" t="str">
        <f t="shared" si="12"/>
        <v/>
      </c>
      <c r="C51" s="164" t="str">
        <f>IF(Data!F45="","",Data!F45)</f>
        <v/>
      </c>
      <c r="D51" s="165" t="str">
        <f>IF(Data!H45="","",Data!H45)</f>
        <v/>
      </c>
      <c r="E51" s="166" t="str">
        <f>IF(Data!I45="","",Data!I45)</f>
        <v/>
      </c>
      <c r="F51" s="311" t="str">
        <f>IF(PA!S54="","",PA!S54)</f>
        <v/>
      </c>
      <c r="G51" s="312" t="str">
        <f>IF(PKn!S54="","",PKn!S54)</f>
        <v/>
      </c>
      <c r="H51" s="312" t="str">
        <f>IF(BInd!S54="","",BInd!S54)</f>
        <v/>
      </c>
      <c r="I51" s="312" t="str">
        <f>IF(Mat!S54="","",Mat!S54)</f>
        <v/>
      </c>
      <c r="J51" s="312" t="str">
        <f>IF(SEJ!S54="","",SEJ!S54)</f>
        <v/>
      </c>
      <c r="K51" s="312" t="str">
        <f>IF(BIng!S54="","",BIng!S54)</f>
        <v/>
      </c>
      <c r="L51" s="312" t="str">
        <f>IF(SB!S54="","",SB!S54)</f>
        <v/>
      </c>
      <c r="M51" s="312" t="str">
        <f>IF(pjok!S54="","",pjok!S54)</f>
        <v/>
      </c>
      <c r="N51" s="312" t="str">
        <f>IF(pkwu!S54="","",pkwu!S54)</f>
        <v/>
      </c>
      <c r="O51" s="312" t="str">
        <f>IF('Mlk1'!S54="","",'Mlk1'!S54)</f>
        <v/>
      </c>
      <c r="P51" s="312" t="str">
        <f>IF('Ml2'!S54="","",'Ml2'!S54)</f>
        <v/>
      </c>
      <c r="Q51" s="312" t="str">
        <f>IF(sosio!S54="","",sosio!S54)</f>
        <v/>
      </c>
      <c r="R51" s="312" t="str">
        <f>IF(geog!S54="","",geog!S54)</f>
        <v/>
      </c>
      <c r="S51" s="532" t="str">
        <f>IF(ekonomi!S54="","",ekonomi!S54)</f>
        <v/>
      </c>
      <c r="T51" s="532" t="str">
        <f>IF('sejarah peminatan'!S54="","",'sejarah peminatan'!S54)</f>
        <v/>
      </c>
      <c r="U51" s="532" t="str">
        <f>IF('PM5'!S54="","",'PM5'!S54)</f>
        <v/>
      </c>
      <c r="V51" s="532" t="str">
        <f>IF('PM6'!S54="","",'PM6'!S54)</f>
        <v/>
      </c>
      <c r="W51" s="532" t="str">
        <f>IF(biologi!S54="","",biologi!S54)</f>
        <v/>
      </c>
      <c r="X51" s="532" t="str">
        <f>IF(fissika!S54="","",fissika!S54)</f>
        <v/>
      </c>
      <c r="Y51" s="311" t="str">
        <f>IF(PA!AV54="","",PA!AV54)</f>
        <v/>
      </c>
      <c r="Z51" s="312" t="str">
        <f>IF(PKn!AV54="","",PKn!AV54)</f>
        <v/>
      </c>
      <c r="AA51" s="312" t="str">
        <f>IF(BInd!AV54="","",BInd!AV54)</f>
        <v/>
      </c>
      <c r="AB51" s="312" t="str">
        <f>IF(Mat!AV54="","",Mat!AV54)</f>
        <v/>
      </c>
      <c r="AC51" s="312" t="str">
        <f>IF(SEJ!AV54="","",SEJ!AV54)</f>
        <v/>
      </c>
      <c r="AD51" s="312" t="str">
        <f>IF(BIng!AV54="","",BIng!AV54)</f>
        <v/>
      </c>
      <c r="AE51" s="312" t="str">
        <f>IF(SB!AV54="","",SB!AV54)</f>
        <v/>
      </c>
      <c r="AF51" s="312" t="str">
        <f>IF(pjok!AV54="","",pjok!AV54)</f>
        <v/>
      </c>
      <c r="AG51" s="312" t="str">
        <f>IF(pkwu!AV54="","",pkwu!AV54)</f>
        <v/>
      </c>
      <c r="AH51" s="312" t="str">
        <f>IF('Mlk1'!AV54="","",'Mlk1'!AV54)</f>
        <v/>
      </c>
      <c r="AI51" s="312" t="str">
        <f>IF('Ml2'!AV54="","",'Ml2'!AV54)</f>
        <v/>
      </c>
      <c r="AJ51" s="312" t="str">
        <f>IF(sosio!AV54="","",sosio!AV54)</f>
        <v/>
      </c>
      <c r="AK51" s="312" t="str">
        <f>IF(geog!AV54="","",geog!AV54)</f>
        <v/>
      </c>
      <c r="AL51" s="532" t="str">
        <f>IF(ekonomi!AV54="","",ekonomi!AV54)</f>
        <v/>
      </c>
      <c r="AM51" s="532" t="str">
        <f>IF('sejarah peminatan'!AV54="","",'sejarah peminatan'!AV54)</f>
        <v/>
      </c>
      <c r="AN51" s="532" t="str">
        <f>IF('PM5'!AV54="","",'PM5'!AV54)</f>
        <v/>
      </c>
      <c r="AO51" s="532" t="str">
        <f>IF('PM6'!AV54="","",'PM6'!AV54)</f>
        <v/>
      </c>
      <c r="AP51" s="532" t="str">
        <f>IF(biologi!AV54="","",biologi!AV54)</f>
        <v/>
      </c>
      <c r="AQ51" s="532" t="str">
        <f>IF(fissika!AV54="","",fissika!AV54)</f>
        <v/>
      </c>
      <c r="AR51" s="311" t="str">
        <f>IF(Sikap!F55="","",Sikap!F55)</f>
        <v/>
      </c>
      <c r="AS51" s="597" t="str">
        <f>IF(Sikap!M55="","",Sikap!M55)</f>
        <v/>
      </c>
      <c r="AT51" s="311" t="str">
        <f t="shared" si="13"/>
        <v/>
      </c>
      <c r="AU51" s="312" t="str">
        <f t="shared" si="8"/>
        <v/>
      </c>
      <c r="AV51" s="312" t="str">
        <f t="shared" si="14"/>
        <v/>
      </c>
      <c r="AW51" s="313" t="str">
        <f t="shared" si="11"/>
        <v/>
      </c>
      <c r="AX51" s="293">
        <v>41</v>
      </c>
    </row>
    <row r="52" spans="1:50" ht="12.95" customHeight="1">
      <c r="A52" s="161"/>
      <c r="B52" s="163" t="str">
        <f t="shared" si="12"/>
        <v/>
      </c>
      <c r="C52" s="164" t="str">
        <f>IF(Data!F46="","",Data!F46)</f>
        <v/>
      </c>
      <c r="D52" s="165" t="str">
        <f>IF(Data!H46="","",Data!H46)</f>
        <v/>
      </c>
      <c r="E52" s="166" t="str">
        <f>IF(Data!I46="","",Data!I46)</f>
        <v/>
      </c>
      <c r="F52" s="311" t="str">
        <f>IF(PA!S55="","",PA!S55)</f>
        <v/>
      </c>
      <c r="G52" s="312" t="str">
        <f>IF(PKn!S55="","",PKn!S55)</f>
        <v/>
      </c>
      <c r="H52" s="312" t="str">
        <f>IF(BInd!S55="","",BInd!S55)</f>
        <v/>
      </c>
      <c r="I52" s="312" t="str">
        <f>IF(Mat!S55="","",Mat!S55)</f>
        <v/>
      </c>
      <c r="J52" s="312" t="str">
        <f>IF(SEJ!S55="","",SEJ!S55)</f>
        <v/>
      </c>
      <c r="K52" s="312" t="str">
        <f>IF(BIng!S55="","",BIng!S55)</f>
        <v/>
      </c>
      <c r="L52" s="312" t="str">
        <f>IF(SB!S55="","",SB!S55)</f>
        <v/>
      </c>
      <c r="M52" s="312" t="str">
        <f>IF(pjok!S55="","",pjok!S55)</f>
        <v/>
      </c>
      <c r="N52" s="312" t="str">
        <f>IF(pkwu!S55="","",pkwu!S55)</f>
        <v/>
      </c>
      <c r="O52" s="312" t="str">
        <f>IF('Mlk1'!S55="","",'Mlk1'!S55)</f>
        <v/>
      </c>
      <c r="P52" s="312" t="str">
        <f>IF('Ml2'!S55="","",'Ml2'!S55)</f>
        <v/>
      </c>
      <c r="Q52" s="312" t="str">
        <f>IF(sosio!S55="","",sosio!S55)</f>
        <v/>
      </c>
      <c r="R52" s="312" t="str">
        <f>IF(geog!S55="","",geog!S55)</f>
        <v/>
      </c>
      <c r="S52" s="532" t="str">
        <f>IF(ekonomi!S55="","",ekonomi!S55)</f>
        <v/>
      </c>
      <c r="T52" s="532" t="str">
        <f>IF('sejarah peminatan'!S55="","",'sejarah peminatan'!S55)</f>
        <v/>
      </c>
      <c r="U52" s="532" t="str">
        <f>IF('PM5'!S55="","",'PM5'!S55)</f>
        <v/>
      </c>
      <c r="V52" s="532" t="str">
        <f>IF('PM6'!S55="","",'PM6'!S55)</f>
        <v/>
      </c>
      <c r="W52" s="532" t="str">
        <f>IF(biologi!S55="","",biologi!S55)</f>
        <v/>
      </c>
      <c r="X52" s="532" t="str">
        <f>IF(fissika!S55="","",fissika!S55)</f>
        <v/>
      </c>
      <c r="Y52" s="311" t="str">
        <f>IF(PA!AV55="","",PA!AV55)</f>
        <v/>
      </c>
      <c r="Z52" s="312" t="str">
        <f>IF(PKn!AV55="","",PKn!AV55)</f>
        <v/>
      </c>
      <c r="AA52" s="312" t="str">
        <f>IF(BInd!AV55="","",BInd!AV55)</f>
        <v/>
      </c>
      <c r="AB52" s="312" t="str">
        <f>IF(Mat!AV55="","",Mat!AV55)</f>
        <v/>
      </c>
      <c r="AC52" s="312" t="str">
        <f>IF(SEJ!AV55="","",SEJ!AV55)</f>
        <v/>
      </c>
      <c r="AD52" s="312" t="str">
        <f>IF(BIng!AV55="","",BIng!AV55)</f>
        <v/>
      </c>
      <c r="AE52" s="312" t="str">
        <f>IF(SB!AV55="","",SB!AV55)</f>
        <v/>
      </c>
      <c r="AF52" s="312" t="str">
        <f>IF(pjok!AV55="","",pjok!AV55)</f>
        <v/>
      </c>
      <c r="AG52" s="312" t="str">
        <f>IF(pkwu!AV55="","",pkwu!AV55)</f>
        <v/>
      </c>
      <c r="AH52" s="312" t="str">
        <f>IF('Mlk1'!AV55="","",'Mlk1'!AV55)</f>
        <v/>
      </c>
      <c r="AI52" s="312" t="str">
        <f>IF('Ml2'!AV55="","",'Ml2'!AV55)</f>
        <v/>
      </c>
      <c r="AJ52" s="312" t="str">
        <f>IF(sosio!AV55="","",sosio!AV55)</f>
        <v/>
      </c>
      <c r="AK52" s="312" t="str">
        <f>IF(geog!AV55="","",geog!AV55)</f>
        <v/>
      </c>
      <c r="AL52" s="532" t="str">
        <f>IF(ekonomi!AV55="","",ekonomi!AV55)</f>
        <v/>
      </c>
      <c r="AM52" s="532" t="str">
        <f>IF('sejarah peminatan'!AV55="","",'sejarah peminatan'!AV55)</f>
        <v/>
      </c>
      <c r="AN52" s="532" t="str">
        <f>IF('PM5'!AV55="","",'PM5'!AV55)</f>
        <v/>
      </c>
      <c r="AO52" s="532" t="str">
        <f>IF('PM6'!AV55="","",'PM6'!AV55)</f>
        <v/>
      </c>
      <c r="AP52" s="532" t="str">
        <f>IF(biologi!AV55="","",biologi!AV55)</f>
        <v/>
      </c>
      <c r="AQ52" s="532" t="str">
        <f>IF(fissika!AV55="","",fissika!AV55)</f>
        <v/>
      </c>
      <c r="AR52" s="311" t="str">
        <f>IF(Sikap!F56="","",Sikap!F56)</f>
        <v/>
      </c>
      <c r="AS52" s="597" t="str">
        <f>IF(Sikap!M56="","",Sikap!M56)</f>
        <v/>
      </c>
      <c r="AT52" s="311" t="str">
        <f t="shared" si="13"/>
        <v/>
      </c>
      <c r="AU52" s="312" t="str">
        <f t="shared" si="8"/>
        <v/>
      </c>
      <c r="AV52" s="312" t="str">
        <f t="shared" si="14"/>
        <v/>
      </c>
      <c r="AW52" s="313" t="str">
        <f t="shared" si="11"/>
        <v/>
      </c>
      <c r="AX52" s="291">
        <v>42</v>
      </c>
    </row>
    <row r="53" spans="1:50" ht="12.95" customHeight="1">
      <c r="A53" s="161"/>
      <c r="B53" s="163" t="str">
        <f t="shared" si="12"/>
        <v/>
      </c>
      <c r="C53" s="164" t="str">
        <f>IF(Data!F47="","",Data!F47)</f>
        <v/>
      </c>
      <c r="D53" s="165" t="str">
        <f>IF(Data!H47="","",Data!H47)</f>
        <v/>
      </c>
      <c r="E53" s="166" t="str">
        <f>IF(Data!I47="","",Data!I47)</f>
        <v/>
      </c>
      <c r="F53" s="311" t="str">
        <f>IF(PA!S56="","",PA!S56)</f>
        <v/>
      </c>
      <c r="G53" s="312" t="str">
        <f>IF(PKn!S56="","",PKn!S56)</f>
        <v/>
      </c>
      <c r="H53" s="312" t="str">
        <f>IF(BInd!S56="","",BInd!S56)</f>
        <v/>
      </c>
      <c r="I53" s="312" t="str">
        <f>IF(Mat!S56="","",Mat!S56)</f>
        <v/>
      </c>
      <c r="J53" s="312" t="str">
        <f>IF(SEJ!S56="","",SEJ!S56)</f>
        <v/>
      </c>
      <c r="K53" s="312" t="str">
        <f>IF(BIng!S56="","",BIng!S56)</f>
        <v/>
      </c>
      <c r="L53" s="312" t="str">
        <f>IF(SB!S56="","",SB!S56)</f>
        <v/>
      </c>
      <c r="M53" s="312" t="str">
        <f>IF(pjok!S56="","",pjok!S56)</f>
        <v/>
      </c>
      <c r="N53" s="312" t="str">
        <f>IF(pkwu!S56="","",pkwu!S56)</f>
        <v/>
      </c>
      <c r="O53" s="312" t="str">
        <f>IF('Mlk1'!S56="","",'Mlk1'!S56)</f>
        <v/>
      </c>
      <c r="P53" s="312" t="str">
        <f>IF('Ml2'!S56="","",'Ml2'!S56)</f>
        <v/>
      </c>
      <c r="Q53" s="312" t="str">
        <f>IF(sosio!S56="","",sosio!S56)</f>
        <v/>
      </c>
      <c r="R53" s="312" t="str">
        <f>IF(geog!S56="","",geog!S56)</f>
        <v/>
      </c>
      <c r="S53" s="532" t="str">
        <f>IF(ekonomi!S56="","",ekonomi!S56)</f>
        <v/>
      </c>
      <c r="T53" s="532" t="str">
        <f>IF('sejarah peminatan'!S56="","",'sejarah peminatan'!S56)</f>
        <v/>
      </c>
      <c r="U53" s="532" t="str">
        <f>IF('PM5'!S56="","",'PM5'!S56)</f>
        <v/>
      </c>
      <c r="V53" s="532" t="str">
        <f>IF('PM6'!S56="","",'PM6'!S56)</f>
        <v/>
      </c>
      <c r="W53" s="532" t="str">
        <f>IF(biologi!S56="","",biologi!S56)</f>
        <v/>
      </c>
      <c r="X53" s="532" t="str">
        <f>IF(fissika!S56="","",fissika!S56)</f>
        <v/>
      </c>
      <c r="Y53" s="311" t="str">
        <f>IF(PA!AV56="","",PA!AV56)</f>
        <v/>
      </c>
      <c r="Z53" s="312" t="str">
        <f>IF(PKn!AV56="","",PKn!AV56)</f>
        <v/>
      </c>
      <c r="AA53" s="312" t="str">
        <f>IF(BInd!AV56="","",BInd!AV56)</f>
        <v/>
      </c>
      <c r="AB53" s="312" t="str">
        <f>IF(Mat!AV56="","",Mat!AV56)</f>
        <v/>
      </c>
      <c r="AC53" s="312" t="str">
        <f>IF(SEJ!AV56="","",SEJ!AV56)</f>
        <v/>
      </c>
      <c r="AD53" s="312" t="str">
        <f>IF(BIng!AV56="","",BIng!AV56)</f>
        <v/>
      </c>
      <c r="AE53" s="312" t="str">
        <f>IF(SB!AV56="","",SB!AV56)</f>
        <v/>
      </c>
      <c r="AF53" s="312" t="str">
        <f>IF(pjok!AV56="","",pjok!AV56)</f>
        <v/>
      </c>
      <c r="AG53" s="312" t="str">
        <f>IF(pkwu!AV56="","",pkwu!AV56)</f>
        <v/>
      </c>
      <c r="AH53" s="312" t="str">
        <f>IF('Mlk1'!AV56="","",'Mlk1'!AV56)</f>
        <v/>
      </c>
      <c r="AI53" s="312" t="str">
        <f>IF('Ml2'!AV56="","",'Ml2'!AV56)</f>
        <v/>
      </c>
      <c r="AJ53" s="312" t="str">
        <f>IF(sosio!AV56="","",sosio!AV56)</f>
        <v/>
      </c>
      <c r="AK53" s="312" t="str">
        <f>IF(geog!AV56="","",geog!AV56)</f>
        <v/>
      </c>
      <c r="AL53" s="532" t="str">
        <f>IF(ekonomi!AV56="","",ekonomi!AV56)</f>
        <v/>
      </c>
      <c r="AM53" s="532" t="str">
        <f>IF('sejarah peminatan'!AV56="","",'sejarah peminatan'!AV56)</f>
        <v/>
      </c>
      <c r="AN53" s="532" t="str">
        <f>IF('PM5'!AV56="","",'PM5'!AV56)</f>
        <v/>
      </c>
      <c r="AO53" s="532" t="str">
        <f>IF('PM6'!AV56="","",'PM6'!AV56)</f>
        <v/>
      </c>
      <c r="AP53" s="532" t="str">
        <f>IF(biologi!AV56="","",biologi!AV56)</f>
        <v/>
      </c>
      <c r="AQ53" s="532" t="str">
        <f>IF(fissika!AV56="","",fissika!AV56)</f>
        <v/>
      </c>
      <c r="AR53" s="311" t="str">
        <f>IF(Sikap!F57="","",Sikap!F57)</f>
        <v/>
      </c>
      <c r="AS53" s="597" t="str">
        <f>IF(Sikap!M57="","",Sikap!M57)</f>
        <v/>
      </c>
      <c r="AT53" s="311" t="str">
        <f t="shared" si="13"/>
        <v/>
      </c>
      <c r="AU53" s="312" t="str">
        <f t="shared" si="8"/>
        <v/>
      </c>
      <c r="AV53" s="312" t="str">
        <f t="shared" si="14"/>
        <v/>
      </c>
      <c r="AW53" s="313" t="str">
        <f t="shared" si="11"/>
        <v/>
      </c>
      <c r="AX53" s="293">
        <v>43</v>
      </c>
    </row>
    <row r="54" spans="1:50" ht="12.95" customHeight="1">
      <c r="A54" s="161"/>
      <c r="B54" s="163" t="str">
        <f t="shared" si="12"/>
        <v/>
      </c>
      <c r="C54" s="164" t="str">
        <f>IF(Data!F48="","",Data!F48)</f>
        <v/>
      </c>
      <c r="D54" s="165" t="str">
        <f>IF(Data!H48="","",Data!H48)</f>
        <v/>
      </c>
      <c r="E54" s="166" t="str">
        <f>IF(Data!I48="","",Data!I48)</f>
        <v/>
      </c>
      <c r="F54" s="311" t="str">
        <f>IF(PA!S57="","",PA!S57)</f>
        <v/>
      </c>
      <c r="G54" s="312" t="str">
        <f>IF(PKn!S57="","",PKn!S57)</f>
        <v/>
      </c>
      <c r="H54" s="312" t="str">
        <f>IF(BInd!S57="","",BInd!S57)</f>
        <v/>
      </c>
      <c r="I54" s="312" t="str">
        <f>IF(Mat!S57="","",Mat!S57)</f>
        <v/>
      </c>
      <c r="J54" s="312" t="str">
        <f>IF(SEJ!S57="","",SEJ!S57)</f>
        <v/>
      </c>
      <c r="K54" s="312" t="str">
        <f>IF(BIng!S57="","",BIng!S57)</f>
        <v/>
      </c>
      <c r="L54" s="312" t="str">
        <f>IF(SB!S57="","",SB!S57)</f>
        <v/>
      </c>
      <c r="M54" s="312" t="str">
        <f>IF(pjok!S57="","",pjok!S57)</f>
        <v/>
      </c>
      <c r="N54" s="312" t="str">
        <f>IF(pkwu!S57="","",pkwu!S57)</f>
        <v/>
      </c>
      <c r="O54" s="312" t="str">
        <f>IF('Mlk1'!S57="","",'Mlk1'!S57)</f>
        <v/>
      </c>
      <c r="P54" s="312" t="str">
        <f>IF('Ml2'!S57="","",'Ml2'!S57)</f>
        <v/>
      </c>
      <c r="Q54" s="312" t="str">
        <f>IF(sosio!S57="","",sosio!S57)</f>
        <v/>
      </c>
      <c r="R54" s="312" t="str">
        <f>IF(geog!S57="","",geog!S57)</f>
        <v/>
      </c>
      <c r="S54" s="532" t="str">
        <f>IF(ekonomi!S57="","",ekonomi!S57)</f>
        <v/>
      </c>
      <c r="T54" s="532" t="str">
        <f>IF('sejarah peminatan'!S57="","",'sejarah peminatan'!S57)</f>
        <v/>
      </c>
      <c r="U54" s="532" t="str">
        <f>IF('PM5'!S57="","",'PM5'!S57)</f>
        <v/>
      </c>
      <c r="V54" s="532" t="str">
        <f>IF('PM6'!S57="","",'PM6'!S57)</f>
        <v/>
      </c>
      <c r="W54" s="532" t="str">
        <f>IF(biologi!S57="","",biologi!S57)</f>
        <v/>
      </c>
      <c r="X54" s="532" t="str">
        <f>IF(fissika!S57="","",fissika!S57)</f>
        <v/>
      </c>
      <c r="Y54" s="311" t="str">
        <f>IF(PA!AV57="","",PA!AV57)</f>
        <v/>
      </c>
      <c r="Z54" s="312" t="str">
        <f>IF(PKn!AV57="","",PKn!AV57)</f>
        <v/>
      </c>
      <c r="AA54" s="312" t="str">
        <f>IF(BInd!AV57="","",BInd!AV57)</f>
        <v/>
      </c>
      <c r="AB54" s="312" t="str">
        <f>IF(Mat!AV57="","",Mat!AV57)</f>
        <v/>
      </c>
      <c r="AC54" s="312" t="str">
        <f>IF(SEJ!AV57="","",SEJ!AV57)</f>
        <v/>
      </c>
      <c r="AD54" s="312" t="str">
        <f>IF(BIng!AV57="","",BIng!AV57)</f>
        <v/>
      </c>
      <c r="AE54" s="312" t="str">
        <f>IF(SB!AV57="","",SB!AV57)</f>
        <v/>
      </c>
      <c r="AF54" s="312" t="str">
        <f>IF(pjok!AV57="","",pjok!AV57)</f>
        <v/>
      </c>
      <c r="AG54" s="312" t="str">
        <f>IF(pkwu!AV57="","",pkwu!AV57)</f>
        <v/>
      </c>
      <c r="AH54" s="312" t="str">
        <f>IF('Mlk1'!AV57="","",'Mlk1'!AV57)</f>
        <v/>
      </c>
      <c r="AI54" s="312" t="str">
        <f>IF('Ml2'!AV57="","",'Ml2'!AV57)</f>
        <v/>
      </c>
      <c r="AJ54" s="312" t="str">
        <f>IF(sosio!AV57="","",sosio!AV57)</f>
        <v/>
      </c>
      <c r="AK54" s="312" t="str">
        <f>IF(geog!AV57="","",geog!AV57)</f>
        <v/>
      </c>
      <c r="AL54" s="532" t="str">
        <f>IF(ekonomi!AV57="","",ekonomi!AV57)</f>
        <v/>
      </c>
      <c r="AM54" s="532" t="str">
        <f>IF('sejarah peminatan'!AV57="","",'sejarah peminatan'!AV57)</f>
        <v/>
      </c>
      <c r="AN54" s="532" t="str">
        <f>IF('PM5'!AV57="","",'PM5'!AV57)</f>
        <v/>
      </c>
      <c r="AO54" s="532" t="str">
        <f>IF('PM6'!AV57="","",'PM6'!AV57)</f>
        <v/>
      </c>
      <c r="AP54" s="532" t="str">
        <f>IF(biologi!AV57="","",biologi!AV57)</f>
        <v/>
      </c>
      <c r="AQ54" s="532" t="str">
        <f>IF(fissika!AV57="","",fissika!AV57)</f>
        <v/>
      </c>
      <c r="AR54" s="311" t="str">
        <f>IF(Sikap!F58="","",Sikap!F58)</f>
        <v/>
      </c>
      <c r="AS54" s="597" t="str">
        <f>IF(Sikap!M58="","",Sikap!M58)</f>
        <v/>
      </c>
      <c r="AT54" s="311" t="str">
        <f t="shared" si="13"/>
        <v/>
      </c>
      <c r="AU54" s="312" t="str">
        <f t="shared" si="8"/>
        <v/>
      </c>
      <c r="AV54" s="312" t="str">
        <f t="shared" si="14"/>
        <v/>
      </c>
      <c r="AW54" s="313" t="str">
        <f t="shared" si="11"/>
        <v/>
      </c>
      <c r="AX54" s="291">
        <v>44</v>
      </c>
    </row>
    <row r="55" spans="1:50" ht="12.95" customHeight="1">
      <c r="A55" s="161"/>
      <c r="B55" s="163" t="str">
        <f t="shared" si="12"/>
        <v/>
      </c>
      <c r="C55" s="164" t="str">
        <f>IF(Data!F49="","",Data!F49)</f>
        <v/>
      </c>
      <c r="D55" s="165" t="str">
        <f>IF(Data!H49="","",Data!H49)</f>
        <v/>
      </c>
      <c r="E55" s="166" t="str">
        <f>IF(Data!I49="","",Data!I49)</f>
        <v/>
      </c>
      <c r="F55" s="311" t="str">
        <f>IF(PA!S58="","",PA!S58)</f>
        <v/>
      </c>
      <c r="G55" s="312" t="str">
        <f>IF(PKn!S58="","",PKn!S58)</f>
        <v/>
      </c>
      <c r="H55" s="312" t="str">
        <f>IF(BInd!S58="","",BInd!S58)</f>
        <v/>
      </c>
      <c r="I55" s="312" t="str">
        <f>IF(Mat!S58="","",Mat!S58)</f>
        <v/>
      </c>
      <c r="J55" s="312" t="str">
        <f>IF(SEJ!S58="","",SEJ!S58)</f>
        <v/>
      </c>
      <c r="K55" s="312" t="str">
        <f>IF(BIng!S58="","",BIng!S58)</f>
        <v/>
      </c>
      <c r="L55" s="312" t="str">
        <f>IF(SB!S58="","",SB!S58)</f>
        <v/>
      </c>
      <c r="M55" s="312" t="str">
        <f>IF(pjok!S58="","",pjok!S58)</f>
        <v/>
      </c>
      <c r="N55" s="312" t="str">
        <f>IF(pkwu!S58="","",pkwu!S58)</f>
        <v/>
      </c>
      <c r="O55" s="312" t="str">
        <f>IF('Mlk1'!S58="","",'Mlk1'!S58)</f>
        <v/>
      </c>
      <c r="P55" s="312" t="str">
        <f>IF('Ml2'!S58="","",'Ml2'!S58)</f>
        <v/>
      </c>
      <c r="Q55" s="312" t="str">
        <f>IF(sosio!S58="","",sosio!S58)</f>
        <v/>
      </c>
      <c r="R55" s="312" t="str">
        <f>IF(geog!S58="","",geog!S58)</f>
        <v/>
      </c>
      <c r="S55" s="532" t="str">
        <f>IF(ekonomi!S58="","",ekonomi!S58)</f>
        <v/>
      </c>
      <c r="T55" s="532" t="str">
        <f>IF('sejarah peminatan'!S58="","",'sejarah peminatan'!S58)</f>
        <v/>
      </c>
      <c r="U55" s="532" t="str">
        <f>IF('PM5'!S58="","",'PM5'!S58)</f>
        <v/>
      </c>
      <c r="V55" s="532" t="str">
        <f>IF('PM6'!S58="","",'PM6'!S58)</f>
        <v/>
      </c>
      <c r="W55" s="532" t="str">
        <f>IF(biologi!S58="","",biologi!S58)</f>
        <v/>
      </c>
      <c r="X55" s="532" t="str">
        <f>IF(fissika!S58="","",fissika!S58)</f>
        <v/>
      </c>
      <c r="Y55" s="311" t="str">
        <f>IF(PA!AV58="","",PA!AV58)</f>
        <v/>
      </c>
      <c r="Z55" s="312" t="str">
        <f>IF(PKn!AV58="","",PKn!AV58)</f>
        <v/>
      </c>
      <c r="AA55" s="312" t="str">
        <f>IF(BInd!AV58="","",BInd!AV58)</f>
        <v/>
      </c>
      <c r="AB55" s="312" t="str">
        <f>IF(Mat!AV58="","",Mat!AV58)</f>
        <v/>
      </c>
      <c r="AC55" s="312" t="str">
        <f>IF(SEJ!AV58="","",SEJ!AV58)</f>
        <v/>
      </c>
      <c r="AD55" s="312" t="str">
        <f>IF(BIng!AV58="","",BIng!AV58)</f>
        <v/>
      </c>
      <c r="AE55" s="312" t="str">
        <f>IF(SB!AV58="","",SB!AV58)</f>
        <v/>
      </c>
      <c r="AF55" s="312" t="str">
        <f>IF(pjok!AV58="","",pjok!AV58)</f>
        <v/>
      </c>
      <c r="AG55" s="312" t="str">
        <f>IF(pkwu!AV58="","",pkwu!AV58)</f>
        <v/>
      </c>
      <c r="AH55" s="312" t="str">
        <f>IF('Mlk1'!AV58="","",'Mlk1'!AV58)</f>
        <v/>
      </c>
      <c r="AI55" s="312" t="str">
        <f>IF('Ml2'!AV58="","",'Ml2'!AV58)</f>
        <v/>
      </c>
      <c r="AJ55" s="312" t="str">
        <f>IF(sosio!AV58="","",sosio!AV58)</f>
        <v/>
      </c>
      <c r="AK55" s="312" t="str">
        <f>IF(geog!AV58="","",geog!AV58)</f>
        <v/>
      </c>
      <c r="AL55" s="532" t="str">
        <f>IF(ekonomi!AV58="","",ekonomi!AV58)</f>
        <v/>
      </c>
      <c r="AM55" s="532" t="str">
        <f>IF('sejarah peminatan'!AV58="","",'sejarah peminatan'!AV58)</f>
        <v/>
      </c>
      <c r="AN55" s="532" t="str">
        <f>IF('PM5'!AV58="","",'PM5'!AV58)</f>
        <v/>
      </c>
      <c r="AO55" s="532" t="str">
        <f>IF('PM6'!AV58="","",'PM6'!AV58)</f>
        <v/>
      </c>
      <c r="AP55" s="532" t="str">
        <f>IF(biologi!AV58="","",biologi!AV58)</f>
        <v/>
      </c>
      <c r="AQ55" s="532" t="str">
        <f>IF(fissika!AV58="","",fissika!AV58)</f>
        <v/>
      </c>
      <c r="AR55" s="311" t="str">
        <f>IF(Sikap!F59="","",Sikap!F59)</f>
        <v/>
      </c>
      <c r="AS55" s="597" t="str">
        <f>IF(Sikap!M59="","",Sikap!M59)</f>
        <v/>
      </c>
      <c r="AT55" s="311" t="str">
        <f t="shared" si="13"/>
        <v/>
      </c>
      <c r="AU55" s="312" t="str">
        <f t="shared" si="8"/>
        <v/>
      </c>
      <c r="AV55" s="312" t="str">
        <f t="shared" si="14"/>
        <v/>
      </c>
      <c r="AW55" s="313" t="str">
        <f t="shared" si="11"/>
        <v/>
      </c>
      <c r="AX55" s="293">
        <v>45</v>
      </c>
    </row>
    <row r="56" spans="1:50" ht="12.95" customHeight="1">
      <c r="A56" s="161"/>
      <c r="B56" s="163" t="str">
        <f t="shared" si="12"/>
        <v/>
      </c>
      <c r="C56" s="164" t="str">
        <f>IF(Data!F50="","",Data!F50)</f>
        <v/>
      </c>
      <c r="D56" s="165" t="str">
        <f>IF(Data!H50="","",Data!H50)</f>
        <v/>
      </c>
      <c r="E56" s="166" t="str">
        <f>IF(Data!I50="","",Data!I50)</f>
        <v/>
      </c>
      <c r="F56" s="311" t="str">
        <f>IF(PA!S59="","",PA!S59)</f>
        <v/>
      </c>
      <c r="G56" s="312" t="str">
        <f>IF(PKn!S59="","",PKn!S59)</f>
        <v/>
      </c>
      <c r="H56" s="312" t="str">
        <f>IF(BInd!S59="","",BInd!S59)</f>
        <v/>
      </c>
      <c r="I56" s="312" t="str">
        <f>IF(Mat!S59="","",Mat!S59)</f>
        <v/>
      </c>
      <c r="J56" s="312" t="str">
        <f>IF(SEJ!S59="","",SEJ!S59)</f>
        <v/>
      </c>
      <c r="K56" s="312" t="str">
        <f>IF(BIng!S59="","",BIng!S59)</f>
        <v/>
      </c>
      <c r="L56" s="312" t="str">
        <f>IF(SB!S59="","",SB!S59)</f>
        <v/>
      </c>
      <c r="M56" s="312" t="str">
        <f>IF(pjok!S59="","",pjok!S59)</f>
        <v/>
      </c>
      <c r="N56" s="312" t="str">
        <f>IF(pkwu!S59="","",pkwu!S59)</f>
        <v/>
      </c>
      <c r="O56" s="312" t="str">
        <f>IF('Mlk1'!S59="","",'Mlk1'!S59)</f>
        <v/>
      </c>
      <c r="P56" s="312" t="str">
        <f>IF('Ml2'!S59="","",'Ml2'!S59)</f>
        <v/>
      </c>
      <c r="Q56" s="312" t="str">
        <f>IF(sosio!S59="","",sosio!S59)</f>
        <v/>
      </c>
      <c r="R56" s="312" t="str">
        <f>IF(geog!S59="","",geog!S59)</f>
        <v/>
      </c>
      <c r="S56" s="532" t="str">
        <f>IF(ekonomi!S59="","",ekonomi!S59)</f>
        <v/>
      </c>
      <c r="T56" s="532" t="str">
        <f>IF('sejarah peminatan'!S59="","",'sejarah peminatan'!S59)</f>
        <v/>
      </c>
      <c r="U56" s="532" t="str">
        <f>IF('PM5'!S59="","",'PM5'!S59)</f>
        <v/>
      </c>
      <c r="V56" s="532" t="str">
        <f>IF('PM6'!S59="","",'PM6'!S59)</f>
        <v/>
      </c>
      <c r="W56" s="532" t="str">
        <f>IF(biologi!S59="","",biologi!S59)</f>
        <v/>
      </c>
      <c r="X56" s="532" t="str">
        <f>IF(fissika!S59="","",fissika!S59)</f>
        <v/>
      </c>
      <c r="Y56" s="311" t="str">
        <f>IF(PA!AV59="","",PA!AV59)</f>
        <v/>
      </c>
      <c r="Z56" s="312" t="str">
        <f>IF(PKn!AV59="","",PKn!AV59)</f>
        <v/>
      </c>
      <c r="AA56" s="312" t="str">
        <f>IF(BInd!AV59="","",BInd!AV59)</f>
        <v/>
      </c>
      <c r="AB56" s="312" t="str">
        <f>IF(Mat!AV59="","",Mat!AV59)</f>
        <v/>
      </c>
      <c r="AC56" s="312" t="str">
        <f>IF(SEJ!AV59="","",SEJ!AV59)</f>
        <v/>
      </c>
      <c r="AD56" s="312" t="str">
        <f>IF(BIng!AV59="","",BIng!AV59)</f>
        <v/>
      </c>
      <c r="AE56" s="312" t="str">
        <f>IF(SB!AV59="","",SB!AV59)</f>
        <v/>
      </c>
      <c r="AF56" s="312" t="str">
        <f>IF(pjok!AV59="","",pjok!AV59)</f>
        <v/>
      </c>
      <c r="AG56" s="312" t="str">
        <f>IF(pkwu!AV59="","",pkwu!AV59)</f>
        <v/>
      </c>
      <c r="AH56" s="312" t="str">
        <f>IF('Mlk1'!AV59="","",'Mlk1'!AV59)</f>
        <v/>
      </c>
      <c r="AI56" s="312" t="str">
        <f>IF('Ml2'!AV59="","",'Ml2'!AV59)</f>
        <v/>
      </c>
      <c r="AJ56" s="312" t="str">
        <f>IF(sosio!AV59="","",sosio!AV59)</f>
        <v/>
      </c>
      <c r="AK56" s="312" t="str">
        <f>IF(geog!AV59="","",geog!AV59)</f>
        <v/>
      </c>
      <c r="AL56" s="532" t="str">
        <f>IF(ekonomi!AV59="","",ekonomi!AV59)</f>
        <v/>
      </c>
      <c r="AM56" s="532" t="str">
        <f>IF('sejarah peminatan'!AV59="","",'sejarah peminatan'!AV59)</f>
        <v/>
      </c>
      <c r="AN56" s="532" t="str">
        <f>IF('PM5'!AV59="","",'PM5'!AV59)</f>
        <v/>
      </c>
      <c r="AO56" s="532" t="str">
        <f>IF('PM6'!AV59="","",'PM6'!AV59)</f>
        <v/>
      </c>
      <c r="AP56" s="532" t="str">
        <f>IF(biologi!AV59="","",biologi!AV59)</f>
        <v/>
      </c>
      <c r="AQ56" s="532" t="str">
        <f>IF(fissika!AV59="","",fissika!AV59)</f>
        <v/>
      </c>
      <c r="AR56" s="311" t="str">
        <f>IF(Sikap!F60="","",Sikap!F60)</f>
        <v/>
      </c>
      <c r="AS56" s="597" t="str">
        <f>IF(Sikap!M60="","",Sikap!M60)</f>
        <v/>
      </c>
      <c r="AT56" s="311" t="str">
        <f t="shared" si="13"/>
        <v/>
      </c>
      <c r="AU56" s="312" t="str">
        <f t="shared" si="8"/>
        <v/>
      </c>
      <c r="AV56" s="312" t="str">
        <f t="shared" si="14"/>
        <v/>
      </c>
      <c r="AW56" s="313" t="str">
        <f t="shared" si="11"/>
        <v/>
      </c>
      <c r="AX56" s="291">
        <v>46</v>
      </c>
    </row>
    <row r="57" spans="1:50" ht="12.95" customHeight="1">
      <c r="A57" s="161"/>
      <c r="B57" s="163" t="str">
        <f t="shared" si="12"/>
        <v/>
      </c>
      <c r="C57" s="164" t="str">
        <f>IF(Data!F51="","",Data!F51)</f>
        <v/>
      </c>
      <c r="D57" s="165" t="str">
        <f>IF(Data!H51="","",Data!H51)</f>
        <v/>
      </c>
      <c r="E57" s="166" t="str">
        <f>IF(Data!I51="","",Data!I51)</f>
        <v/>
      </c>
      <c r="F57" s="311" t="str">
        <f>IF(PA!S60="","",PA!S60)</f>
        <v/>
      </c>
      <c r="G57" s="312" t="str">
        <f>IF(PKn!S60="","",PKn!S60)</f>
        <v/>
      </c>
      <c r="H57" s="312" t="str">
        <f>IF(BInd!S60="","",BInd!S60)</f>
        <v/>
      </c>
      <c r="I57" s="312" t="str">
        <f>IF(Mat!S60="","",Mat!S60)</f>
        <v/>
      </c>
      <c r="J57" s="312" t="str">
        <f>IF(SEJ!S60="","",SEJ!S60)</f>
        <v/>
      </c>
      <c r="K57" s="312" t="str">
        <f>IF(BIng!S60="","",BIng!S60)</f>
        <v/>
      </c>
      <c r="L57" s="312" t="str">
        <f>IF(SB!S60="","",SB!S60)</f>
        <v/>
      </c>
      <c r="M57" s="312" t="str">
        <f>IF(pjok!S60="","",pjok!S60)</f>
        <v/>
      </c>
      <c r="N57" s="312" t="str">
        <f>IF(pkwu!S60="","",pkwu!S60)</f>
        <v/>
      </c>
      <c r="O57" s="312" t="str">
        <f>IF('Mlk1'!S60="","",'Mlk1'!S60)</f>
        <v/>
      </c>
      <c r="P57" s="312" t="str">
        <f>IF('Ml2'!S60="","",'Ml2'!S60)</f>
        <v/>
      </c>
      <c r="Q57" s="312" t="str">
        <f>IF(sosio!S60="","",sosio!S60)</f>
        <v/>
      </c>
      <c r="R57" s="312" t="str">
        <f>IF(geog!S60="","",geog!S60)</f>
        <v/>
      </c>
      <c r="S57" s="532" t="str">
        <f>IF(ekonomi!S60="","",ekonomi!S60)</f>
        <v/>
      </c>
      <c r="T57" s="532" t="str">
        <f>IF('sejarah peminatan'!S60="","",'sejarah peminatan'!S60)</f>
        <v/>
      </c>
      <c r="U57" s="532" t="str">
        <f>IF('PM5'!S60="","",'PM5'!S60)</f>
        <v/>
      </c>
      <c r="V57" s="532" t="str">
        <f>IF('PM6'!S60="","",'PM6'!S60)</f>
        <v/>
      </c>
      <c r="W57" s="532" t="str">
        <f>IF(biologi!S60="","",biologi!S60)</f>
        <v/>
      </c>
      <c r="X57" s="532" t="str">
        <f>IF(fissika!S60="","",fissika!S60)</f>
        <v/>
      </c>
      <c r="Y57" s="311" t="str">
        <f>IF(PA!AV60="","",PA!AV60)</f>
        <v/>
      </c>
      <c r="Z57" s="312" t="str">
        <f>IF(PKn!AV60="","",PKn!AV60)</f>
        <v/>
      </c>
      <c r="AA57" s="312" t="str">
        <f>IF(BInd!AV60="","",BInd!AV60)</f>
        <v/>
      </c>
      <c r="AB57" s="312" t="str">
        <f>IF(Mat!AV60="","",Mat!AV60)</f>
        <v/>
      </c>
      <c r="AC57" s="312" t="str">
        <f>IF(SEJ!AV60="","",SEJ!AV60)</f>
        <v/>
      </c>
      <c r="AD57" s="312" t="str">
        <f>IF(BIng!AV60="","",BIng!AV60)</f>
        <v/>
      </c>
      <c r="AE57" s="312" t="str">
        <f>IF(SB!AV60="","",SB!AV60)</f>
        <v/>
      </c>
      <c r="AF57" s="312" t="str">
        <f>IF(pjok!AV60="","",pjok!AV60)</f>
        <v/>
      </c>
      <c r="AG57" s="312" t="str">
        <f>IF(pkwu!AV60="","",pkwu!AV60)</f>
        <v/>
      </c>
      <c r="AH57" s="312" t="str">
        <f>IF('Mlk1'!AV60="","",'Mlk1'!AV60)</f>
        <v/>
      </c>
      <c r="AI57" s="312" t="str">
        <f>IF('Ml2'!AV60="","",'Ml2'!AV60)</f>
        <v/>
      </c>
      <c r="AJ57" s="312" t="str">
        <f>IF(sosio!AV60="","",sosio!AV60)</f>
        <v/>
      </c>
      <c r="AK57" s="312" t="str">
        <f>IF(geog!AV60="","",geog!AV60)</f>
        <v/>
      </c>
      <c r="AL57" s="532" t="str">
        <f>IF(ekonomi!AV60="","",ekonomi!AV60)</f>
        <v/>
      </c>
      <c r="AM57" s="532" t="str">
        <f>IF('sejarah peminatan'!AV60="","",'sejarah peminatan'!AV60)</f>
        <v/>
      </c>
      <c r="AN57" s="532" t="str">
        <f>IF('PM5'!AV60="","",'PM5'!AV60)</f>
        <v/>
      </c>
      <c r="AO57" s="532" t="str">
        <f>IF('PM6'!AV60="","",'PM6'!AV60)</f>
        <v/>
      </c>
      <c r="AP57" s="532" t="str">
        <f>IF(biologi!AV60="","",biologi!AV60)</f>
        <v/>
      </c>
      <c r="AQ57" s="532" t="str">
        <f>IF(fissika!AV60="","",fissika!AV60)</f>
        <v/>
      </c>
      <c r="AR57" s="311" t="str">
        <f>IF(Sikap!F61="","",Sikap!F61)</f>
        <v/>
      </c>
      <c r="AS57" s="597" t="str">
        <f>IF(Sikap!M61="","",Sikap!M61)</f>
        <v/>
      </c>
      <c r="AT57" s="311" t="str">
        <f t="shared" si="13"/>
        <v/>
      </c>
      <c r="AU57" s="312" t="str">
        <f t="shared" si="8"/>
        <v/>
      </c>
      <c r="AV57" s="312" t="str">
        <f t="shared" si="14"/>
        <v/>
      </c>
      <c r="AW57" s="313" t="str">
        <f t="shared" si="11"/>
        <v/>
      </c>
      <c r="AX57" s="293">
        <v>47</v>
      </c>
    </row>
    <row r="58" spans="1:50" ht="12.95" customHeight="1">
      <c r="A58" s="161"/>
      <c r="B58" s="163" t="str">
        <f t="shared" si="12"/>
        <v/>
      </c>
      <c r="C58" s="164" t="str">
        <f>IF(Data!F52="","",Data!F52)</f>
        <v/>
      </c>
      <c r="D58" s="165" t="str">
        <f>IF(Data!H52="","",Data!H52)</f>
        <v/>
      </c>
      <c r="E58" s="166" t="str">
        <f>IF(Data!I52="","",Data!I52)</f>
        <v/>
      </c>
      <c r="F58" s="311" t="str">
        <f>IF(PA!S61="","",PA!S61)</f>
        <v/>
      </c>
      <c r="G58" s="312" t="str">
        <f>IF(PKn!S61="","",PKn!S61)</f>
        <v/>
      </c>
      <c r="H58" s="312" t="str">
        <f>IF(BInd!S61="","",BInd!S61)</f>
        <v/>
      </c>
      <c r="I58" s="312" t="str">
        <f>IF(Mat!S61="","",Mat!S61)</f>
        <v/>
      </c>
      <c r="J58" s="312" t="str">
        <f>IF(SEJ!S61="","",SEJ!S61)</f>
        <v/>
      </c>
      <c r="K58" s="312" t="str">
        <f>IF(BIng!S61="","",BIng!S61)</f>
        <v/>
      </c>
      <c r="L58" s="312" t="str">
        <f>IF(SB!S61="","",SB!S61)</f>
        <v/>
      </c>
      <c r="M58" s="312" t="str">
        <f>IF(pjok!S61="","",pjok!S61)</f>
        <v/>
      </c>
      <c r="N58" s="312" t="str">
        <f>IF(pkwu!S61="","",pkwu!S61)</f>
        <v/>
      </c>
      <c r="O58" s="312" t="str">
        <f>IF('Mlk1'!S61="","",'Mlk1'!S61)</f>
        <v/>
      </c>
      <c r="P58" s="312" t="str">
        <f>IF('Ml2'!S61="","",'Ml2'!S61)</f>
        <v/>
      </c>
      <c r="Q58" s="312" t="str">
        <f>IF(sosio!S61="","",sosio!S61)</f>
        <v/>
      </c>
      <c r="R58" s="312" t="str">
        <f>IF(geog!S61="","",geog!S61)</f>
        <v/>
      </c>
      <c r="S58" s="532" t="str">
        <f>IF(ekonomi!S61="","",ekonomi!S61)</f>
        <v/>
      </c>
      <c r="T58" s="532" t="str">
        <f>IF('sejarah peminatan'!S61="","",'sejarah peminatan'!S61)</f>
        <v/>
      </c>
      <c r="U58" s="532" t="str">
        <f>IF('PM5'!S61="","",'PM5'!S61)</f>
        <v/>
      </c>
      <c r="V58" s="532" t="str">
        <f>IF('PM6'!S61="","",'PM6'!S61)</f>
        <v/>
      </c>
      <c r="W58" s="532" t="str">
        <f>IF(biologi!S61="","",biologi!S61)</f>
        <v/>
      </c>
      <c r="X58" s="532" t="str">
        <f>IF(fissika!S61="","",fissika!S61)</f>
        <v/>
      </c>
      <c r="Y58" s="311" t="str">
        <f>IF(PA!AV61="","",PA!AV61)</f>
        <v/>
      </c>
      <c r="Z58" s="312" t="str">
        <f>IF(PKn!AV61="","",PKn!AV61)</f>
        <v/>
      </c>
      <c r="AA58" s="312" t="str">
        <f>IF(BInd!AV61="","",BInd!AV61)</f>
        <v/>
      </c>
      <c r="AB58" s="312" t="str">
        <f>IF(Mat!AV61="","",Mat!AV61)</f>
        <v/>
      </c>
      <c r="AC58" s="312" t="str">
        <f>IF(SEJ!AV61="","",SEJ!AV61)</f>
        <v/>
      </c>
      <c r="AD58" s="312" t="str">
        <f>IF(BIng!AV61="","",BIng!AV61)</f>
        <v/>
      </c>
      <c r="AE58" s="312" t="str">
        <f>IF(SB!AV61="","",SB!AV61)</f>
        <v/>
      </c>
      <c r="AF58" s="312" t="str">
        <f>IF(pjok!AV61="","",pjok!AV61)</f>
        <v/>
      </c>
      <c r="AG58" s="312" t="str">
        <f>IF(pkwu!AV61="","",pkwu!AV61)</f>
        <v/>
      </c>
      <c r="AH58" s="312" t="str">
        <f>IF('Mlk1'!AV61="","",'Mlk1'!AV61)</f>
        <v/>
      </c>
      <c r="AI58" s="312" t="str">
        <f>IF('Ml2'!AV61="","",'Ml2'!AV61)</f>
        <v/>
      </c>
      <c r="AJ58" s="312" t="str">
        <f>IF(sosio!AV61="","",sosio!AV61)</f>
        <v/>
      </c>
      <c r="AK58" s="312" t="str">
        <f>IF(geog!AV61="","",geog!AV61)</f>
        <v/>
      </c>
      <c r="AL58" s="532" t="str">
        <f>IF(ekonomi!AV61="","",ekonomi!AV61)</f>
        <v/>
      </c>
      <c r="AM58" s="532" t="str">
        <f>IF('sejarah peminatan'!AV61="","",'sejarah peminatan'!AV61)</f>
        <v/>
      </c>
      <c r="AN58" s="532" t="str">
        <f>IF('PM5'!AV61="","",'PM5'!AV61)</f>
        <v/>
      </c>
      <c r="AO58" s="532" t="str">
        <f>IF('PM6'!AV61="","",'PM6'!AV61)</f>
        <v/>
      </c>
      <c r="AP58" s="532" t="str">
        <f>IF(biologi!AV61="","",biologi!AV61)</f>
        <v/>
      </c>
      <c r="AQ58" s="532" t="str">
        <f>IF(fissika!AV61="","",fissika!AV61)</f>
        <v/>
      </c>
      <c r="AR58" s="311" t="str">
        <f>IF(Sikap!F62="","",Sikap!F62)</f>
        <v/>
      </c>
      <c r="AS58" s="597" t="str">
        <f>IF(Sikap!M62="","",Sikap!M62)</f>
        <v/>
      </c>
      <c r="AT58" s="311" t="str">
        <f t="shared" si="13"/>
        <v/>
      </c>
      <c r="AU58" s="312" t="str">
        <f t="shared" si="8"/>
        <v/>
      </c>
      <c r="AV58" s="312" t="str">
        <f t="shared" si="14"/>
        <v/>
      </c>
      <c r="AW58" s="313" t="str">
        <f t="shared" si="11"/>
        <v/>
      </c>
      <c r="AX58" s="291">
        <v>48</v>
      </c>
    </row>
    <row r="59" spans="1:50" ht="12.95" customHeight="1">
      <c r="A59" s="161"/>
      <c r="B59" s="163" t="str">
        <f t="shared" ref="B59:B60" si="15">IF(D59="","",B58+1)</f>
        <v/>
      </c>
      <c r="C59" s="164" t="str">
        <f>IF(Data!F53="","",Data!F53)</f>
        <v/>
      </c>
      <c r="D59" s="165" t="str">
        <f>IF(Data!H53="","",Data!H53)</f>
        <v/>
      </c>
      <c r="E59" s="166" t="str">
        <f>IF(Data!I53="","",Data!I53)</f>
        <v/>
      </c>
      <c r="F59" s="311" t="str">
        <f>IF(PA!S62="","",PA!S62)</f>
        <v/>
      </c>
      <c r="G59" s="312" t="str">
        <f>IF(PKn!S62="","",PKn!S62)</f>
        <v/>
      </c>
      <c r="H59" s="312" t="str">
        <f>IF(BInd!S62="","",BInd!S62)</f>
        <v/>
      </c>
      <c r="I59" s="312" t="str">
        <f>IF(Mat!S62="","",Mat!S62)</f>
        <v/>
      </c>
      <c r="J59" s="312" t="str">
        <f>IF(SEJ!S62="","",SEJ!S62)</f>
        <v/>
      </c>
      <c r="K59" s="312" t="str">
        <f>IF(BIng!S62="","",BIng!S62)</f>
        <v/>
      </c>
      <c r="L59" s="312" t="str">
        <f>IF(SB!S62="","",SB!S62)</f>
        <v/>
      </c>
      <c r="M59" s="312" t="str">
        <f>IF(pjok!S62="","",pjok!S62)</f>
        <v/>
      </c>
      <c r="N59" s="312" t="str">
        <f>IF(pkwu!S62="","",pkwu!S62)</f>
        <v/>
      </c>
      <c r="O59" s="312" t="str">
        <f>IF('Mlk1'!S62="","",'Mlk1'!S62)</f>
        <v/>
      </c>
      <c r="P59" s="312" t="str">
        <f>IF('Ml2'!S62="","",'Ml2'!S62)</f>
        <v/>
      </c>
      <c r="Q59" s="312" t="str">
        <f>IF(sosio!S62="","",sosio!S62)</f>
        <v/>
      </c>
      <c r="R59" s="312" t="str">
        <f>IF(geog!S62="","",geog!S62)</f>
        <v/>
      </c>
      <c r="S59" s="532" t="str">
        <f>IF(ekonomi!S62="","",ekonomi!S62)</f>
        <v/>
      </c>
      <c r="T59" s="532" t="str">
        <f>IF('sejarah peminatan'!S62="","",'sejarah peminatan'!S62)</f>
        <v/>
      </c>
      <c r="U59" s="532" t="str">
        <f>IF('PM5'!S62="","",'PM5'!S62)</f>
        <v/>
      </c>
      <c r="V59" s="532" t="str">
        <f>IF('PM6'!S62="","",'PM6'!S62)</f>
        <v/>
      </c>
      <c r="W59" s="532" t="str">
        <f>IF(biologi!S62="","",biologi!S62)</f>
        <v/>
      </c>
      <c r="X59" s="532" t="str">
        <f>IF(fissika!S62="","",fissika!S62)</f>
        <v/>
      </c>
      <c r="Y59" s="311" t="str">
        <f>IF(PA!AV62="","",PA!AV62)</f>
        <v/>
      </c>
      <c r="Z59" s="312" t="str">
        <f>IF(PKn!AV62="","",PKn!AV62)</f>
        <v/>
      </c>
      <c r="AA59" s="312" t="str">
        <f>IF(BInd!AV62="","",BInd!AV62)</f>
        <v/>
      </c>
      <c r="AB59" s="312" t="str">
        <f>IF(Mat!AV62="","",Mat!AV62)</f>
        <v/>
      </c>
      <c r="AC59" s="312" t="str">
        <f>IF(SEJ!AV62="","",SEJ!AV62)</f>
        <v/>
      </c>
      <c r="AD59" s="312" t="str">
        <f>IF(BIng!AV62="","",BIng!AV62)</f>
        <v/>
      </c>
      <c r="AE59" s="312" t="str">
        <f>IF(SB!AV62="","",SB!AV62)</f>
        <v/>
      </c>
      <c r="AF59" s="312" t="str">
        <f>IF(pjok!AV62="","",pjok!AV62)</f>
        <v/>
      </c>
      <c r="AG59" s="312" t="str">
        <f>IF(pkwu!AV62="","",pkwu!AV62)</f>
        <v/>
      </c>
      <c r="AH59" s="312" t="str">
        <f>IF('Mlk1'!AV62="","",'Mlk1'!AV62)</f>
        <v/>
      </c>
      <c r="AI59" s="312" t="str">
        <f>IF('Ml2'!AV62="","",'Ml2'!AV62)</f>
        <v/>
      </c>
      <c r="AJ59" s="312" t="str">
        <f>IF(sosio!AV62="","",sosio!AV62)</f>
        <v/>
      </c>
      <c r="AK59" s="312" t="str">
        <f>IF(geog!AV62="","",geog!AV62)</f>
        <v/>
      </c>
      <c r="AL59" s="532" t="str">
        <f>IF(ekonomi!AV62="","",ekonomi!AV62)</f>
        <v/>
      </c>
      <c r="AM59" s="532" t="str">
        <f>IF('sejarah peminatan'!AV62="","",'sejarah peminatan'!AV62)</f>
        <v/>
      </c>
      <c r="AN59" s="532" t="str">
        <f>IF('PM5'!AV62="","",'PM5'!AV62)</f>
        <v/>
      </c>
      <c r="AO59" s="532" t="str">
        <f>IF('PM6'!AV62="","",'PM6'!AV62)</f>
        <v/>
      </c>
      <c r="AP59" s="532" t="str">
        <f>IF(biologi!AV62="","",biologi!AV62)</f>
        <v/>
      </c>
      <c r="AQ59" s="532" t="str">
        <f>IF(fissika!AV62="","",fissika!AV62)</f>
        <v/>
      </c>
      <c r="AR59" s="311" t="str">
        <f>IF(Sikap!F63="","",Sikap!F63)</f>
        <v/>
      </c>
      <c r="AS59" s="597" t="str">
        <f>IF(Sikap!M63="","",Sikap!M63)</f>
        <v/>
      </c>
      <c r="AT59" s="311" t="str">
        <f t="shared" si="13"/>
        <v/>
      </c>
      <c r="AU59" s="312" t="str">
        <f t="shared" ref="AU59:AU60" si="16">IF($AU$10="YA",IF(SUM(Y59:AQ59)=0,"",SUM(Y59:AQ59)),"")</f>
        <v/>
      </c>
      <c r="AV59" s="312" t="str">
        <f t="shared" ref="AV59:AV60" si="17">IF(SUM(AT59:AU59)=0,"",SUM(AT59:AU59))</f>
        <v/>
      </c>
      <c r="AW59" s="313" t="str">
        <f t="shared" ref="AW59:AW60" si="18">IFERROR(RANK(AV59,$AV$11:$AV$60,0),"")</f>
        <v/>
      </c>
      <c r="AX59" s="293">
        <v>49</v>
      </c>
    </row>
    <row r="60" spans="1:50" ht="12.95" customHeight="1">
      <c r="A60" s="161"/>
      <c r="B60" s="726" t="str">
        <f t="shared" si="15"/>
        <v/>
      </c>
      <c r="C60" s="727" t="str">
        <f>IF(Data!F54="","",Data!F54)</f>
        <v/>
      </c>
      <c r="D60" s="728" t="str">
        <f>IF(Data!H54="","",Data!H54)</f>
        <v/>
      </c>
      <c r="E60" s="729" t="str">
        <f>IF(Data!I54="","",Data!I54)</f>
        <v/>
      </c>
      <c r="F60" s="730" t="str">
        <f>IF(PA!S63="","",PA!S63)</f>
        <v/>
      </c>
      <c r="G60" s="731" t="str">
        <f>IF(PKn!S63="","",PKn!S63)</f>
        <v/>
      </c>
      <c r="H60" s="731" t="str">
        <f>IF(BInd!S63="","",BInd!S63)</f>
        <v/>
      </c>
      <c r="I60" s="731" t="str">
        <f>IF(Mat!S63="","",Mat!S63)</f>
        <v/>
      </c>
      <c r="J60" s="731" t="str">
        <f>IF(SEJ!S63="","",SEJ!S63)</f>
        <v/>
      </c>
      <c r="K60" s="731" t="str">
        <f>IF(BIng!S63="","",BIng!S63)</f>
        <v/>
      </c>
      <c r="L60" s="731" t="str">
        <f>IF(SB!S63="","",SB!S63)</f>
        <v/>
      </c>
      <c r="M60" s="731" t="str">
        <f>IF(pjok!S63="","",pjok!S63)</f>
        <v/>
      </c>
      <c r="N60" s="731" t="str">
        <f>IF(pkwu!S63="","",pkwu!S63)</f>
        <v/>
      </c>
      <c r="O60" s="731" t="str">
        <f>IF('Mlk1'!S63="","",'Mlk1'!S63)</f>
        <v/>
      </c>
      <c r="P60" s="731" t="str">
        <f>IF('Mlk1'!T63="","",'Mlk1'!T63)</f>
        <v/>
      </c>
      <c r="Q60" s="731" t="str">
        <f>IF('Mlk1'!T63="","",'Mlk1'!T63)</f>
        <v/>
      </c>
      <c r="R60" s="731" t="str">
        <f>IF(geog!S63="","",geog!S63)</f>
        <v/>
      </c>
      <c r="S60" s="732" t="str">
        <f>IF(ekonomi!S63="","",ekonomi!S63)</f>
        <v/>
      </c>
      <c r="T60" s="732" t="str">
        <f>IF('sejarah peminatan'!S63="","",'sejarah peminatan'!S63)</f>
        <v/>
      </c>
      <c r="U60" s="732" t="str">
        <f>IF('PM5'!S63="","",'PM5'!S63)</f>
        <v/>
      </c>
      <c r="V60" s="732" t="str">
        <f>IF('PM6'!S63="","",'PM6'!S63)</f>
        <v/>
      </c>
      <c r="W60" s="532" t="str">
        <f>IF(biologi!S63="","",biologi!S63)</f>
        <v/>
      </c>
      <c r="X60" s="732" t="str">
        <f>IF(fissika!S63="","",fissika!S63)</f>
        <v/>
      </c>
      <c r="Y60" s="730" t="str">
        <f>IF(PA!AV63="","",PA!AV63)</f>
        <v/>
      </c>
      <c r="Z60" s="731" t="str">
        <f>IF(PKn!AV63="","",PKn!AV63)</f>
        <v/>
      </c>
      <c r="AA60" s="731" t="str">
        <f>IF(BInd!AV63="","",BInd!AV63)</f>
        <v/>
      </c>
      <c r="AB60" s="731" t="str">
        <f>IF(Mat!AV63="","",Mat!AV63)</f>
        <v/>
      </c>
      <c r="AC60" s="731" t="str">
        <f>IF(SEJ!AV63="","",SEJ!AV63)</f>
        <v/>
      </c>
      <c r="AD60" s="731" t="str">
        <f>IF(BIng!AV63="","",BIng!AV63)</f>
        <v/>
      </c>
      <c r="AE60" s="731" t="str">
        <f>IF(SB!AV63="","",SB!AV63)</f>
        <v/>
      </c>
      <c r="AF60" s="731" t="str">
        <f>IF(pjok!AV63="","",pjok!AV63)</f>
        <v/>
      </c>
      <c r="AG60" s="731" t="str">
        <f>IF(pkwu!AV63="","",pkwu!AV63)</f>
        <v/>
      </c>
      <c r="AH60" s="731" t="str">
        <f>IF('Mlk1'!AV63="","",'Mlk1'!AV63)</f>
        <v/>
      </c>
      <c r="AI60" s="312" t="str">
        <f>IF('Ml2'!AV63="","",'Ml2'!AV63)</f>
        <v/>
      </c>
      <c r="AJ60" s="312" t="str">
        <f>IF(sosio!AV63="","",sosio!AV63)</f>
        <v/>
      </c>
      <c r="AK60" s="731" t="str">
        <f>IF(geog!AV63="","",geog!AV63)</f>
        <v/>
      </c>
      <c r="AL60" s="732" t="str">
        <f>IF(ekonomi!AV63="","",ekonomi!AV63)</f>
        <v/>
      </c>
      <c r="AM60" s="732" t="str">
        <f>IF('sejarah peminatan'!AV63="","",'sejarah peminatan'!AV63)</f>
        <v/>
      </c>
      <c r="AN60" s="732" t="str">
        <f>IF('PM5'!AV63="","",'PM5'!AV63)</f>
        <v/>
      </c>
      <c r="AO60" s="732" t="str">
        <f>IF('PM6'!AV63="","",'PM6'!AV63)</f>
        <v/>
      </c>
      <c r="AP60" s="532" t="str">
        <f>IF(biologi!AV63="","",biologi!AV63)</f>
        <v/>
      </c>
      <c r="AQ60" s="732" t="str">
        <f>IF(fissika!AV63="","",fissika!AV63)</f>
        <v/>
      </c>
      <c r="AR60" s="730" t="str">
        <f>IF(Sikap!F64="","",Sikap!F64)</f>
        <v/>
      </c>
      <c r="AS60" s="597" t="str">
        <f>IF(Sikap!M64="","",Sikap!M64)</f>
        <v/>
      </c>
      <c r="AT60" s="730" t="str">
        <f t="shared" si="13"/>
        <v/>
      </c>
      <c r="AU60" s="731" t="str">
        <f t="shared" si="16"/>
        <v/>
      </c>
      <c r="AV60" s="731" t="str">
        <f t="shared" si="17"/>
        <v/>
      </c>
      <c r="AW60" s="733" t="str">
        <f t="shared" si="18"/>
        <v/>
      </c>
      <c r="AX60" s="291">
        <v>50</v>
      </c>
    </row>
    <row r="61" spans="1:50" ht="3" customHeight="1">
      <c r="A61" s="161"/>
      <c r="B61" s="739"/>
      <c r="C61" s="734"/>
      <c r="D61" s="734"/>
      <c r="E61" s="740"/>
      <c r="F61" s="737"/>
      <c r="G61" s="735"/>
      <c r="H61" s="735"/>
      <c r="I61" s="735"/>
      <c r="J61" s="735"/>
      <c r="K61" s="735"/>
      <c r="L61" s="735"/>
      <c r="M61" s="735"/>
      <c r="N61" s="735"/>
      <c r="O61" s="735"/>
      <c r="P61" s="735"/>
      <c r="Q61" s="735"/>
      <c r="R61" s="735"/>
      <c r="S61" s="735"/>
      <c r="T61" s="735"/>
      <c r="U61" s="735"/>
      <c r="V61" s="735"/>
      <c r="W61" s="735"/>
      <c r="X61" s="738"/>
      <c r="Y61" s="737"/>
      <c r="Z61" s="735"/>
      <c r="AA61" s="735"/>
      <c r="AB61" s="735"/>
      <c r="AC61" s="735"/>
      <c r="AD61" s="735"/>
      <c r="AE61" s="735"/>
      <c r="AF61" s="735"/>
      <c r="AG61" s="735"/>
      <c r="AH61" s="735"/>
      <c r="AI61" s="735"/>
      <c r="AJ61" s="735"/>
      <c r="AK61" s="735"/>
      <c r="AL61" s="735"/>
      <c r="AM61" s="735"/>
      <c r="AN61" s="735"/>
      <c r="AO61" s="735"/>
      <c r="AP61" s="735"/>
      <c r="AQ61" s="738"/>
      <c r="AR61" s="737"/>
      <c r="AS61" s="738"/>
      <c r="AT61" s="743"/>
      <c r="AU61" s="744"/>
      <c r="AV61" s="744"/>
      <c r="AW61" s="745"/>
      <c r="AX61" s="293">
        <v>51</v>
      </c>
    </row>
    <row r="62" spans="1:50" ht="15.95" customHeight="1">
      <c r="A62" s="161"/>
      <c r="B62" s="2260" t="s">
        <v>525</v>
      </c>
      <c r="C62" s="2261"/>
      <c r="D62" s="2262"/>
      <c r="E62" s="742"/>
      <c r="F62" s="741">
        <f>MIN(F11:F60)</f>
        <v>59</v>
      </c>
      <c r="G62" s="736">
        <f t="shared" ref="G62:AQ62" si="19">MIN(G11:G60)</f>
        <v>0</v>
      </c>
      <c r="H62" s="736">
        <f t="shared" si="19"/>
        <v>60</v>
      </c>
      <c r="I62" s="736">
        <f t="shared" si="19"/>
        <v>15</v>
      </c>
      <c r="J62" s="736">
        <f t="shared" si="19"/>
        <v>0</v>
      </c>
      <c r="K62" s="736">
        <f t="shared" si="19"/>
        <v>80</v>
      </c>
      <c r="L62" s="736">
        <f t="shared" si="19"/>
        <v>78</v>
      </c>
      <c r="M62" s="736">
        <f t="shared" si="19"/>
        <v>38</v>
      </c>
      <c r="N62" s="736">
        <f t="shared" si="19"/>
        <v>64</v>
      </c>
      <c r="O62" s="736">
        <f t="shared" si="19"/>
        <v>0</v>
      </c>
      <c r="P62" s="736">
        <f t="shared" ref="P62" si="20">MIN(P11:P60)</f>
        <v>0</v>
      </c>
      <c r="Q62" s="736">
        <f t="shared" ref="Q62" si="21">MIN(Q11:Q60)</f>
        <v>59</v>
      </c>
      <c r="R62" s="736">
        <f t="shared" si="19"/>
        <v>0</v>
      </c>
      <c r="S62" s="736">
        <f t="shared" si="19"/>
        <v>79</v>
      </c>
      <c r="T62" s="736">
        <f t="shared" si="19"/>
        <v>81</v>
      </c>
      <c r="U62" s="736">
        <f t="shared" si="19"/>
        <v>0</v>
      </c>
      <c r="V62" s="736">
        <f t="shared" si="19"/>
        <v>0</v>
      </c>
      <c r="W62" s="736">
        <f t="shared" ref="W62" si="22">MIN(W11:W60)</f>
        <v>74</v>
      </c>
      <c r="X62" s="742">
        <f t="shared" si="19"/>
        <v>76</v>
      </c>
      <c r="Y62" s="741">
        <f t="shared" si="19"/>
        <v>0</v>
      </c>
      <c r="Z62" s="736">
        <f t="shared" si="19"/>
        <v>0</v>
      </c>
      <c r="AA62" s="736">
        <f t="shared" si="19"/>
        <v>88</v>
      </c>
      <c r="AB62" s="736">
        <f t="shared" si="19"/>
        <v>0</v>
      </c>
      <c r="AC62" s="736">
        <f t="shared" si="19"/>
        <v>0</v>
      </c>
      <c r="AD62" s="736">
        <f t="shared" si="19"/>
        <v>86</v>
      </c>
      <c r="AE62" s="736">
        <f t="shared" si="19"/>
        <v>90</v>
      </c>
      <c r="AF62" s="736">
        <f t="shared" si="19"/>
        <v>34</v>
      </c>
      <c r="AG62" s="736">
        <f t="shared" si="19"/>
        <v>80</v>
      </c>
      <c r="AH62" s="736">
        <f t="shared" si="19"/>
        <v>0</v>
      </c>
      <c r="AI62" s="736">
        <f t="shared" ref="AI62" si="23">MIN(AI11:AI60)</f>
        <v>0</v>
      </c>
      <c r="AJ62" s="736">
        <f t="shared" ref="AJ62" si="24">MIN(AJ11:AJ60)</f>
        <v>0</v>
      </c>
      <c r="AK62" s="736">
        <f t="shared" si="19"/>
        <v>0</v>
      </c>
      <c r="AL62" s="736">
        <f t="shared" si="19"/>
        <v>88</v>
      </c>
      <c r="AM62" s="736">
        <f t="shared" si="19"/>
        <v>82</v>
      </c>
      <c r="AN62" s="736">
        <f t="shared" si="19"/>
        <v>0</v>
      </c>
      <c r="AO62" s="736">
        <f t="shared" si="19"/>
        <v>0</v>
      </c>
      <c r="AP62" s="736">
        <f t="shared" ref="AP62" si="25">MIN(AP11:AP60)</f>
        <v>68</v>
      </c>
      <c r="AQ62" s="742">
        <f t="shared" si="19"/>
        <v>76</v>
      </c>
      <c r="AR62" s="741"/>
      <c r="AS62" s="742"/>
      <c r="AT62" s="741"/>
      <c r="AU62" s="736"/>
      <c r="AV62" s="736"/>
      <c r="AW62" s="742"/>
      <c r="AX62" s="291">
        <v>52</v>
      </c>
    </row>
    <row r="63" spans="1:50" s="70" customFormat="1" ht="15.95" customHeight="1">
      <c r="A63" s="156"/>
      <c r="B63" s="2260" t="s">
        <v>524</v>
      </c>
      <c r="C63" s="2261"/>
      <c r="D63" s="2262"/>
      <c r="E63" s="742"/>
      <c r="F63" s="741">
        <f>MAX(F11:F60)</f>
        <v>95</v>
      </c>
      <c r="G63" s="736">
        <f t="shared" ref="G63:AQ63" si="26">MAX(G11:G60)</f>
        <v>89</v>
      </c>
      <c r="H63" s="736">
        <f t="shared" si="26"/>
        <v>82</v>
      </c>
      <c r="I63" s="736">
        <f t="shared" si="26"/>
        <v>96</v>
      </c>
      <c r="J63" s="736">
        <f t="shared" si="26"/>
        <v>0</v>
      </c>
      <c r="K63" s="736">
        <f t="shared" si="26"/>
        <v>87</v>
      </c>
      <c r="L63" s="736">
        <f t="shared" si="26"/>
        <v>87</v>
      </c>
      <c r="M63" s="736">
        <f t="shared" si="26"/>
        <v>88</v>
      </c>
      <c r="N63" s="736">
        <f t="shared" si="26"/>
        <v>90</v>
      </c>
      <c r="O63" s="736">
        <f t="shared" si="26"/>
        <v>0</v>
      </c>
      <c r="P63" s="736">
        <f t="shared" ref="P63" si="27">MAX(P11:P60)</f>
        <v>0</v>
      </c>
      <c r="Q63" s="736">
        <f t="shared" ref="Q63" si="28">MAX(Q11:Q60)</f>
        <v>93</v>
      </c>
      <c r="R63" s="736">
        <f t="shared" si="26"/>
        <v>89</v>
      </c>
      <c r="S63" s="736">
        <f t="shared" si="26"/>
        <v>92</v>
      </c>
      <c r="T63" s="736">
        <f t="shared" si="26"/>
        <v>87</v>
      </c>
      <c r="U63" s="736">
        <f t="shared" si="26"/>
        <v>0</v>
      </c>
      <c r="V63" s="736">
        <f t="shared" si="26"/>
        <v>0</v>
      </c>
      <c r="W63" s="736">
        <f t="shared" ref="W63" si="29">MAX(W11:W60)</f>
        <v>81</v>
      </c>
      <c r="X63" s="742">
        <f t="shared" si="26"/>
        <v>86</v>
      </c>
      <c r="Y63" s="741">
        <f t="shared" si="26"/>
        <v>95</v>
      </c>
      <c r="Z63" s="736">
        <f t="shared" si="26"/>
        <v>95</v>
      </c>
      <c r="AA63" s="736">
        <f t="shared" si="26"/>
        <v>88</v>
      </c>
      <c r="AB63" s="736">
        <f t="shared" si="26"/>
        <v>94</v>
      </c>
      <c r="AC63" s="736">
        <f t="shared" si="26"/>
        <v>0</v>
      </c>
      <c r="AD63" s="736">
        <f t="shared" si="26"/>
        <v>86</v>
      </c>
      <c r="AE63" s="736">
        <f t="shared" si="26"/>
        <v>90</v>
      </c>
      <c r="AF63" s="736">
        <f t="shared" si="26"/>
        <v>90</v>
      </c>
      <c r="AG63" s="736">
        <f t="shared" si="26"/>
        <v>90</v>
      </c>
      <c r="AH63" s="736">
        <f t="shared" si="26"/>
        <v>0</v>
      </c>
      <c r="AI63" s="736">
        <f t="shared" ref="AI63" si="30">MAX(AI11:AI60)</f>
        <v>0</v>
      </c>
      <c r="AJ63" s="736">
        <f t="shared" ref="AJ63" si="31">MAX(AJ11:AJ60)</f>
        <v>85</v>
      </c>
      <c r="AK63" s="736">
        <f t="shared" si="26"/>
        <v>95</v>
      </c>
      <c r="AL63" s="736">
        <f t="shared" si="26"/>
        <v>88</v>
      </c>
      <c r="AM63" s="736">
        <f t="shared" si="26"/>
        <v>85</v>
      </c>
      <c r="AN63" s="736">
        <f t="shared" si="26"/>
        <v>0</v>
      </c>
      <c r="AO63" s="736">
        <f t="shared" si="26"/>
        <v>0</v>
      </c>
      <c r="AP63" s="736">
        <f t="shared" ref="AP63" si="32">MAX(AP11:AP60)</f>
        <v>81</v>
      </c>
      <c r="AQ63" s="742">
        <f t="shared" si="26"/>
        <v>89</v>
      </c>
      <c r="AR63" s="741"/>
      <c r="AS63" s="742"/>
      <c r="AT63" s="741"/>
      <c r="AU63" s="736"/>
      <c r="AV63" s="736"/>
      <c r="AW63" s="742"/>
      <c r="AX63" s="293">
        <v>53</v>
      </c>
    </row>
    <row r="64" spans="1:50" s="70" customFormat="1" ht="15.95" customHeight="1">
      <c r="A64" s="156"/>
      <c r="B64" s="2260" t="s">
        <v>526</v>
      </c>
      <c r="C64" s="2261"/>
      <c r="D64" s="2262"/>
      <c r="E64" s="742"/>
      <c r="F64" s="741">
        <f>IFERROR(AVERAGE(F11:F60),"")</f>
        <v>87.540540540540547</v>
      </c>
      <c r="G64" s="736">
        <f t="shared" ref="G64:AQ64" si="33">IFERROR(AVERAGE(G11:G60),"")</f>
        <v>82.270270270270274</v>
      </c>
      <c r="H64" s="736">
        <f t="shared" si="33"/>
        <v>78.108108108108112</v>
      </c>
      <c r="I64" s="736">
        <f t="shared" si="33"/>
        <v>77.405405405405403</v>
      </c>
      <c r="J64" s="736" t="str">
        <f t="shared" si="33"/>
        <v/>
      </c>
      <c r="K64" s="736">
        <f t="shared" si="33"/>
        <v>83.78378378378379</v>
      </c>
      <c r="L64" s="736">
        <f t="shared" si="33"/>
        <v>82.891891891891888</v>
      </c>
      <c r="M64" s="736">
        <f t="shared" si="33"/>
        <v>84.78378378378379</v>
      </c>
      <c r="N64" s="736">
        <f t="shared" si="33"/>
        <v>85.081081081081081</v>
      </c>
      <c r="O64" s="736" t="str">
        <f t="shared" si="33"/>
        <v/>
      </c>
      <c r="P64" s="736" t="str">
        <f t="shared" ref="P64" si="34">IFERROR(AVERAGE(P11:P60),"")</f>
        <v/>
      </c>
      <c r="Q64" s="736">
        <f t="shared" ref="Q64" si="35">IFERROR(AVERAGE(Q11:Q60),"")</f>
        <v>86.945945945945951</v>
      </c>
      <c r="R64" s="736">
        <f t="shared" si="33"/>
        <v>82.21621621621621</v>
      </c>
      <c r="S64" s="736">
        <f t="shared" si="33"/>
        <v>85.972972972972968</v>
      </c>
      <c r="T64" s="736">
        <f t="shared" si="33"/>
        <v>82.324324324324323</v>
      </c>
      <c r="U64" s="736" t="str">
        <f t="shared" si="33"/>
        <v/>
      </c>
      <c r="V64" s="736" t="str">
        <f t="shared" si="33"/>
        <v/>
      </c>
      <c r="W64" s="736">
        <f t="shared" ref="W64" si="36">IFERROR(AVERAGE(W11:W60),"")</f>
        <v>78.78378378378379</v>
      </c>
      <c r="X64" s="742">
        <f t="shared" si="33"/>
        <v>81.297297297297291</v>
      </c>
      <c r="Y64" s="741">
        <f t="shared" si="33"/>
        <v>85.891891891891888</v>
      </c>
      <c r="Z64" s="736">
        <f t="shared" si="33"/>
        <v>90.297297297297291</v>
      </c>
      <c r="AA64" s="736">
        <f t="shared" si="33"/>
        <v>88</v>
      </c>
      <c r="AB64" s="736">
        <f t="shared" si="33"/>
        <v>80.459459459459453</v>
      </c>
      <c r="AC64" s="736" t="str">
        <f t="shared" si="33"/>
        <v/>
      </c>
      <c r="AD64" s="736">
        <f t="shared" si="33"/>
        <v>86</v>
      </c>
      <c r="AE64" s="736">
        <f t="shared" si="33"/>
        <v>90</v>
      </c>
      <c r="AF64" s="736">
        <f t="shared" si="33"/>
        <v>84.675675675675677</v>
      </c>
      <c r="AG64" s="736">
        <f t="shared" si="33"/>
        <v>84.86486486486487</v>
      </c>
      <c r="AH64" s="736" t="str">
        <f t="shared" si="33"/>
        <v/>
      </c>
      <c r="AI64" s="736" t="str">
        <f t="shared" ref="AI64" si="37">IFERROR(AVERAGE(AI11:AI60),"")</f>
        <v/>
      </c>
      <c r="AJ64" s="736">
        <f t="shared" ref="AJ64" si="38">IFERROR(AVERAGE(AJ11:AJ60),"")</f>
        <v>81.648648648648646</v>
      </c>
      <c r="AK64" s="736">
        <f t="shared" si="33"/>
        <v>90.297297297297291</v>
      </c>
      <c r="AL64" s="736">
        <f t="shared" si="33"/>
        <v>88</v>
      </c>
      <c r="AM64" s="736">
        <f t="shared" si="33"/>
        <v>83</v>
      </c>
      <c r="AN64" s="736" t="str">
        <f t="shared" si="33"/>
        <v/>
      </c>
      <c r="AO64" s="736" t="str">
        <f t="shared" si="33"/>
        <v/>
      </c>
      <c r="AP64" s="736">
        <f t="shared" ref="AP64" si="39">IFERROR(AVERAGE(AP11:AP60),"")</f>
        <v>78.21621621621621</v>
      </c>
      <c r="AQ64" s="742">
        <f t="shared" si="33"/>
        <v>87.405405405405403</v>
      </c>
      <c r="AR64" s="741"/>
      <c r="AS64" s="742"/>
      <c r="AT64" s="741"/>
      <c r="AU64" s="736"/>
      <c r="AV64" s="736"/>
      <c r="AW64" s="742"/>
      <c r="AX64" s="291">
        <v>54</v>
      </c>
    </row>
    <row r="65" spans="1:50" s="70" customFormat="1" ht="15.95" customHeight="1" thickBot="1">
      <c r="A65" s="156"/>
      <c r="B65" s="2245" t="s">
        <v>527</v>
      </c>
      <c r="C65" s="2246"/>
      <c r="D65" s="2247"/>
      <c r="E65" s="747"/>
      <c r="F65" s="746">
        <f>IFERROR(STDEV(F11:F60),"")</f>
        <v>8.6332515909727192</v>
      </c>
      <c r="G65" s="748">
        <f t="shared" ref="G65:AQ65" si="40">IFERROR(STDEV(G11:G60),"")</f>
        <v>14.092252892692207</v>
      </c>
      <c r="H65" s="748">
        <f t="shared" si="40"/>
        <v>4.0946020277635977</v>
      </c>
      <c r="I65" s="748">
        <f t="shared" si="40"/>
        <v>18.282443702846383</v>
      </c>
      <c r="J65" s="748" t="str">
        <f t="shared" si="40"/>
        <v/>
      </c>
      <c r="K65" s="748">
        <f t="shared" si="40"/>
        <v>2.2989748335476143</v>
      </c>
      <c r="L65" s="748">
        <f t="shared" si="40"/>
        <v>2.6223800023789217</v>
      </c>
      <c r="M65" s="748">
        <f t="shared" si="40"/>
        <v>8.0902380652210688</v>
      </c>
      <c r="N65" s="748">
        <f t="shared" si="40"/>
        <v>4.3740292788380062</v>
      </c>
      <c r="O65" s="748" t="str">
        <f t="shared" si="40"/>
        <v/>
      </c>
      <c r="P65" s="748" t="str">
        <f t="shared" ref="P65" si="41">IFERROR(STDEV(P11:P60),"")</f>
        <v/>
      </c>
      <c r="Q65" s="748">
        <f t="shared" ref="Q65" si="42">IFERROR(STDEV(Q11:Q60),"")</f>
        <v>5.9252095412827481</v>
      </c>
      <c r="R65" s="748">
        <f t="shared" si="40"/>
        <v>14.327780193919963</v>
      </c>
      <c r="S65" s="748">
        <f t="shared" si="40"/>
        <v>2.8527422137547118</v>
      </c>
      <c r="T65" s="748">
        <f t="shared" si="40"/>
        <v>2.0956841107122721</v>
      </c>
      <c r="U65" s="748" t="str">
        <f t="shared" si="40"/>
        <v/>
      </c>
      <c r="V65" s="748" t="str">
        <f t="shared" si="40"/>
        <v/>
      </c>
      <c r="W65" s="748">
        <f t="shared" ref="W65" si="43">IFERROR(STDEV(W11:W60),"")</f>
        <v>1.6182146392301051</v>
      </c>
      <c r="X65" s="747">
        <f t="shared" si="40"/>
        <v>1.9417183807829275</v>
      </c>
      <c r="Y65" s="746">
        <f t="shared" si="40"/>
        <v>16.089651235402123</v>
      </c>
      <c r="Z65" s="748">
        <f t="shared" si="40"/>
        <v>16.074245903972624</v>
      </c>
      <c r="AA65" s="748">
        <f t="shared" si="40"/>
        <v>0</v>
      </c>
      <c r="AB65" s="748">
        <f t="shared" si="40"/>
        <v>21.822000359721837</v>
      </c>
      <c r="AC65" s="748" t="str">
        <f t="shared" si="40"/>
        <v/>
      </c>
      <c r="AD65" s="748">
        <f t="shared" si="40"/>
        <v>0</v>
      </c>
      <c r="AE65" s="748">
        <f t="shared" si="40"/>
        <v>0</v>
      </c>
      <c r="AF65" s="748">
        <f t="shared" si="40"/>
        <v>8.7972661601142796</v>
      </c>
      <c r="AG65" s="748">
        <f t="shared" si="40"/>
        <v>5.0671170970953163</v>
      </c>
      <c r="AH65" s="748" t="str">
        <f t="shared" si="40"/>
        <v/>
      </c>
      <c r="AI65" s="748" t="str">
        <f t="shared" ref="AI65" si="44">IFERROR(STDEV(AI11:AI60),"")</f>
        <v/>
      </c>
      <c r="AJ65" s="748">
        <f t="shared" ref="AJ65" si="45">IFERROR(STDEV(AJ11:AJ60),"")</f>
        <v>13.976599920772761</v>
      </c>
      <c r="AK65" s="748">
        <f t="shared" si="40"/>
        <v>16.074245903972624</v>
      </c>
      <c r="AL65" s="748">
        <f t="shared" si="40"/>
        <v>0</v>
      </c>
      <c r="AM65" s="748">
        <f t="shared" si="40"/>
        <v>1.1547005383792515</v>
      </c>
      <c r="AN65" s="748" t="str">
        <f t="shared" si="40"/>
        <v/>
      </c>
      <c r="AO65" s="748" t="str">
        <f t="shared" si="40"/>
        <v/>
      </c>
      <c r="AP65" s="748">
        <f t="shared" ref="AP65" si="46">IFERROR(STDEV(AP11:AP60),"")</f>
        <v>2.5181026271462468</v>
      </c>
      <c r="AQ65" s="747">
        <f t="shared" si="40"/>
        <v>2.773480158968546</v>
      </c>
      <c r="AR65" s="746"/>
      <c r="AS65" s="747"/>
      <c r="AT65" s="746"/>
      <c r="AU65" s="748"/>
      <c r="AV65" s="748"/>
      <c r="AW65" s="747"/>
      <c r="AX65" s="293">
        <v>55</v>
      </c>
    </row>
    <row r="66" spans="1:50" s="70" customFormat="1" ht="14.25" customHeight="1">
      <c r="A66" s="156"/>
      <c r="B66" s="749"/>
      <c r="C66" s="749"/>
      <c r="D66" s="749"/>
      <c r="E66" s="749"/>
      <c r="F66" s="750"/>
      <c r="G66" s="751"/>
      <c r="H66" s="751"/>
      <c r="I66" s="751"/>
      <c r="J66" s="751"/>
      <c r="K66" s="751"/>
      <c r="L66" s="749"/>
      <c r="M66" s="749"/>
      <c r="N66" s="749"/>
      <c r="O66" s="749"/>
      <c r="P66" s="749"/>
      <c r="Q66" s="749"/>
      <c r="R66" s="751"/>
      <c r="S66" s="751"/>
      <c r="T66" s="751"/>
      <c r="U66" s="751"/>
      <c r="V66" s="751"/>
      <c r="W66" s="751"/>
      <c r="X66" s="751"/>
      <c r="Y66" s="752"/>
      <c r="Z66" s="753"/>
      <c r="AA66" s="752"/>
      <c r="AB66" s="754"/>
      <c r="AC66" s="754"/>
      <c r="AD66" s="754"/>
      <c r="AE66" s="754"/>
      <c r="AF66" s="754"/>
      <c r="AG66" s="754"/>
      <c r="AH66" s="754"/>
      <c r="AI66" s="754"/>
      <c r="AJ66" s="754"/>
      <c r="AK66" s="749"/>
      <c r="AL66" s="750"/>
      <c r="AM66" s="749"/>
      <c r="AN66" s="749"/>
      <c r="AO66" s="749"/>
      <c r="AP66" s="749"/>
      <c r="AQ66" s="749"/>
      <c r="AR66" s="749"/>
      <c r="AS66" s="749"/>
      <c r="AT66" s="749"/>
      <c r="AU66" s="749"/>
      <c r="AV66" s="749"/>
      <c r="AW66" s="749"/>
      <c r="AX66" s="291">
        <v>56</v>
      </c>
    </row>
    <row r="67" spans="1:50" s="70" customFormat="1" ht="14.25" customHeight="1">
      <c r="A67" s="156"/>
      <c r="G67" s="153"/>
      <c r="H67" s="153"/>
      <c r="I67" s="153"/>
      <c r="J67" s="153"/>
      <c r="K67" s="153"/>
      <c r="R67" s="153"/>
      <c r="S67" s="153"/>
      <c r="T67" s="153"/>
      <c r="U67" s="153"/>
      <c r="V67" s="153"/>
      <c r="W67" s="153"/>
      <c r="X67" s="153"/>
      <c r="Y67" s="151"/>
      <c r="Z67" s="152"/>
      <c r="AA67" s="151"/>
      <c r="AB67" s="2287"/>
      <c r="AC67" s="2287"/>
      <c r="AD67" s="2287"/>
      <c r="AE67" s="2287"/>
      <c r="AF67" s="2287"/>
      <c r="AG67" s="2287"/>
      <c r="AH67" s="304"/>
      <c r="AI67" s="1113"/>
      <c r="AJ67" s="775"/>
      <c r="AX67" s="293">
        <v>57</v>
      </c>
    </row>
    <row r="68" spans="1:50" ht="16.5" customHeight="1">
      <c r="A68" s="161"/>
      <c r="B68" s="868">
        <v>1</v>
      </c>
      <c r="C68" s="868">
        <v>2</v>
      </c>
      <c r="D68" s="868">
        <v>3</v>
      </c>
      <c r="E68" s="868">
        <v>4</v>
      </c>
      <c r="F68" s="868">
        <v>5</v>
      </c>
      <c r="G68" s="868">
        <v>6</v>
      </c>
      <c r="H68" s="868">
        <v>7</v>
      </c>
      <c r="I68" s="868">
        <v>8</v>
      </c>
      <c r="J68" s="868">
        <v>9</v>
      </c>
      <c r="K68" s="868">
        <v>10</v>
      </c>
      <c r="L68" s="868">
        <v>11</v>
      </c>
      <c r="M68" s="868">
        <v>12</v>
      </c>
      <c r="N68" s="868">
        <v>13</v>
      </c>
      <c r="O68" s="868">
        <v>14</v>
      </c>
      <c r="P68" s="868">
        <v>15</v>
      </c>
      <c r="Q68" s="868">
        <v>16</v>
      </c>
      <c r="R68" s="868">
        <v>17</v>
      </c>
      <c r="S68" s="868">
        <v>18</v>
      </c>
      <c r="T68" s="868">
        <v>19</v>
      </c>
      <c r="U68" s="868">
        <v>20</v>
      </c>
      <c r="V68" s="868">
        <v>21</v>
      </c>
      <c r="W68" s="868">
        <v>22</v>
      </c>
      <c r="X68" s="868">
        <v>23</v>
      </c>
      <c r="Y68" s="868">
        <v>24</v>
      </c>
      <c r="Z68" s="868">
        <v>25</v>
      </c>
      <c r="AA68" s="868">
        <v>26</v>
      </c>
      <c r="AB68" s="868">
        <v>27</v>
      </c>
      <c r="AC68" s="868">
        <v>28</v>
      </c>
      <c r="AD68" s="868">
        <v>29</v>
      </c>
      <c r="AE68" s="868">
        <v>30</v>
      </c>
      <c r="AF68" s="868">
        <v>31</v>
      </c>
      <c r="AG68" s="868">
        <v>32</v>
      </c>
      <c r="AH68" s="868">
        <v>33</v>
      </c>
      <c r="AI68" s="868">
        <v>34</v>
      </c>
      <c r="AJ68" s="868">
        <v>35</v>
      </c>
      <c r="AK68" s="868">
        <v>36</v>
      </c>
      <c r="AL68" s="868">
        <v>37</v>
      </c>
      <c r="AM68" s="868">
        <v>38</v>
      </c>
      <c r="AN68" s="868">
        <v>39</v>
      </c>
      <c r="AO68" s="868">
        <v>40</v>
      </c>
      <c r="AP68" s="868">
        <v>41</v>
      </c>
      <c r="AQ68" s="868">
        <v>42</v>
      </c>
      <c r="AR68" s="868">
        <v>43</v>
      </c>
      <c r="AS68" s="868">
        <v>44</v>
      </c>
      <c r="AT68" s="868">
        <v>45</v>
      </c>
      <c r="AU68" s="868">
        <v>46</v>
      </c>
      <c r="AV68" s="868">
        <v>47</v>
      </c>
      <c r="AW68" s="868">
        <v>48</v>
      </c>
      <c r="AX68" s="161"/>
    </row>
    <row r="69" spans="1:50" hidden="1"/>
    <row r="70" spans="1:50" hidden="1"/>
    <row r="71" spans="1:50" hidden="1"/>
    <row r="72" spans="1:50" hidden="1"/>
    <row r="73" spans="1:50" hidden="1"/>
    <row r="74" spans="1:50" hidden="1"/>
    <row r="75" spans="1:50" hidden="1"/>
    <row r="76" spans="1:50" hidden="1"/>
    <row r="77" spans="1:50" hidden="1"/>
    <row r="78" spans="1:50" hidden="1"/>
  </sheetData>
  <sheetProtection formatRows="0" insertHyperlinks="0"/>
  <sortState ref="D1:E1">
    <sortCondition descending="1" ref="E1"/>
  </sortState>
  <mergeCells count="60">
    <mergeCell ref="AB67:AG67"/>
    <mergeCell ref="AG8:AG9"/>
    <mergeCell ref="AR7:AS7"/>
    <mergeCell ref="Y7:AQ7"/>
    <mergeCell ref="Y8:Y9"/>
    <mergeCell ref="Z8:Z9"/>
    <mergeCell ref="AL8:AL9"/>
    <mergeCell ref="AH8:AH9"/>
    <mergeCell ref="AK8:AK9"/>
    <mergeCell ref="AA8:AA9"/>
    <mergeCell ref="AB8:AB9"/>
    <mergeCell ref="AC8:AC9"/>
    <mergeCell ref="AD8:AD9"/>
    <mergeCell ref="AE8:AE9"/>
    <mergeCell ref="AP8:AP9"/>
    <mergeCell ref="AV7:AV10"/>
    <mergeCell ref="AW7:AW10"/>
    <mergeCell ref="AT8:AT9"/>
    <mergeCell ref="AU8:AU9"/>
    <mergeCell ref="AF8:AF9"/>
    <mergeCell ref="AT7:AU7"/>
    <mergeCell ref="AM8:AM9"/>
    <mergeCell ref="AN8:AN9"/>
    <mergeCell ref="AO8:AO9"/>
    <mergeCell ref="AQ8:AQ9"/>
    <mergeCell ref="AR8:AR10"/>
    <mergeCell ref="AS8:AS10"/>
    <mergeCell ref="AJ8:AJ9"/>
    <mergeCell ref="AI8:AI9"/>
    <mergeCell ref="E1:F1"/>
    <mergeCell ref="B62:D62"/>
    <mergeCell ref="B63:D63"/>
    <mergeCell ref="K8:K9"/>
    <mergeCell ref="N8:N9"/>
    <mergeCell ref="L8:L9"/>
    <mergeCell ref="M8:M9"/>
    <mergeCell ref="F7:X7"/>
    <mergeCell ref="F8:F9"/>
    <mergeCell ref="G8:G9"/>
    <mergeCell ref="H8:H9"/>
    <mergeCell ref="I8:I9"/>
    <mergeCell ref="J8:J9"/>
    <mergeCell ref="F4:V4"/>
    <mergeCell ref="F5:V6"/>
    <mergeCell ref="Q8:Q9"/>
    <mergeCell ref="B65:D65"/>
    <mergeCell ref="C7:C10"/>
    <mergeCell ref="D7:D10"/>
    <mergeCell ref="E7:E10"/>
    <mergeCell ref="B7:B10"/>
    <mergeCell ref="B64:D64"/>
    <mergeCell ref="O8:O9"/>
    <mergeCell ref="R8:R9"/>
    <mergeCell ref="X8:X9"/>
    <mergeCell ref="S8:S9"/>
    <mergeCell ref="U8:U9"/>
    <mergeCell ref="V8:V9"/>
    <mergeCell ref="T8:T9"/>
    <mergeCell ref="W8:W9"/>
    <mergeCell ref="P8:P9"/>
  </mergeCells>
  <conditionalFormatting sqref="AK11:AW60 B11:P59 B60:O60 R11:AI59 R60:AH60">
    <cfRule type="expression" dxfId="183" priority="14">
      <formula>$B11=""</formula>
    </cfRule>
  </conditionalFormatting>
  <conditionalFormatting sqref="AK11:AQ60 F11:P59 F60:O60 R11:AI59 R60:AH60">
    <cfRule type="expression" dxfId="182" priority="13">
      <formula>AND(F11&lt;F$10,F11&gt;0)</formula>
    </cfRule>
  </conditionalFormatting>
  <conditionalFormatting sqref="Q11:Q60">
    <cfRule type="expression" dxfId="181" priority="12">
      <formula>$B11=""</formula>
    </cfRule>
  </conditionalFormatting>
  <conditionalFormatting sqref="Q11:Q60">
    <cfRule type="expression" dxfId="180" priority="11">
      <formula>AND(Q11&lt;Q$10,Q11&gt;0)</formula>
    </cfRule>
  </conditionalFormatting>
  <conditionalFormatting sqref="AJ11">
    <cfRule type="expression" dxfId="179" priority="10">
      <formula>$B11=""</formula>
    </cfRule>
  </conditionalFormatting>
  <conditionalFormatting sqref="AJ11">
    <cfRule type="expression" dxfId="178" priority="9">
      <formula>AND(AJ11&lt;AJ$10,AJ11&gt;0)</formula>
    </cfRule>
  </conditionalFormatting>
  <conditionalFormatting sqref="AJ12:AJ60">
    <cfRule type="expression" dxfId="177" priority="8">
      <formula>$B12=""</formula>
    </cfRule>
  </conditionalFormatting>
  <conditionalFormatting sqref="AJ12:AJ60">
    <cfRule type="expression" dxfId="176" priority="7">
      <formula>AND(AJ12&lt;AJ$10,AJ12&gt;0)</formula>
    </cfRule>
  </conditionalFormatting>
  <conditionalFormatting sqref="P60">
    <cfRule type="expression" dxfId="175" priority="6">
      <formula>$B60=""</formula>
    </cfRule>
  </conditionalFormatting>
  <conditionalFormatting sqref="P60">
    <cfRule type="expression" dxfId="174" priority="5">
      <formula>AND(P60&lt;P$10,P60&gt;0)</formula>
    </cfRule>
  </conditionalFormatting>
  <conditionalFormatting sqref="AI60">
    <cfRule type="expression" dxfId="173" priority="2">
      <formula>$B60=""</formula>
    </cfRule>
  </conditionalFormatting>
  <conditionalFormatting sqref="AI60">
    <cfRule type="expression" dxfId="172" priority="1">
      <formula>AND(AI60&lt;AI$10,AI60&gt;0)</formula>
    </cfRule>
  </conditionalFormatting>
  <dataValidations count="1">
    <dataValidation type="list" allowBlank="1" showInputMessage="1" showErrorMessage="1" sqref="AT10:AU10 E1">
      <formula1>"YA,TIDAK"</formula1>
    </dataValidation>
  </dataValidations>
  <pageMargins left="0.23" right="0.27559055118110237" top="0.41" bottom="0.46" header="0.31496062992125984" footer="0.31496062992125984"/>
  <pageSetup paperSize="9" pageOrder="overThenDown" orientation="landscape" horizontalDpi="4294967293" verticalDpi="4294967293"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tabColor rgb="FFC00000"/>
  </sheetPr>
  <dimension ref="A1:BD61"/>
  <sheetViews>
    <sheetView showGridLines="0" showRowColHeaders="0" topLeftCell="A5" workbookViewId="0">
      <selection activeCell="B5" sqref="B5"/>
    </sheetView>
  </sheetViews>
  <sheetFormatPr defaultColWidth="0" defaultRowHeight="15" zeroHeight="1"/>
  <cols>
    <col min="1" max="1" width="1.7109375" customWidth="1"/>
    <col min="2" max="2" width="5.28515625" customWidth="1"/>
    <col min="3" max="3" width="1.42578125" customWidth="1"/>
    <col min="4" max="4" width="5.28515625" customWidth="1"/>
    <col min="5" max="5" width="26.42578125" customWidth="1"/>
    <col min="6" max="6" width="5.7109375" customWidth="1"/>
    <col min="7" max="18" width="3.85546875" customWidth="1"/>
    <col min="19" max="26" width="4.28515625" customWidth="1"/>
    <col min="27" max="28" width="4.28515625" style="811" customWidth="1"/>
    <col min="29" max="34" width="4.28515625" customWidth="1"/>
    <col min="35" max="44" width="4.28515625" style="811" customWidth="1"/>
    <col min="45" max="50" width="4.28515625" customWidth="1"/>
    <col min="51" max="53" width="3.7109375" customWidth="1"/>
    <col min="54" max="54" width="5.7109375" customWidth="1"/>
    <col min="55" max="55" width="10.7109375" customWidth="1"/>
    <col min="56" max="56" width="9.140625" customWidth="1"/>
    <col min="57" max="16384" width="9.140625" hidden="1"/>
  </cols>
  <sheetData>
    <row r="1" spans="1:56" ht="6.75" customHeight="1">
      <c r="A1" s="829"/>
      <c r="B1" s="829"/>
      <c r="C1" s="829"/>
      <c r="D1" s="830"/>
      <c r="E1" s="829"/>
      <c r="F1" s="829"/>
      <c r="G1" s="830"/>
      <c r="H1" s="830"/>
      <c r="I1" s="830"/>
      <c r="J1" s="830"/>
      <c r="K1" s="830"/>
      <c r="L1" s="830"/>
      <c r="M1" s="830"/>
      <c r="N1" s="830"/>
      <c r="O1" s="830"/>
      <c r="P1" s="830"/>
      <c r="Q1" s="830"/>
      <c r="R1" s="830"/>
      <c r="S1" s="830"/>
      <c r="T1" s="830"/>
      <c r="U1" s="830"/>
      <c r="V1" s="830"/>
      <c r="W1" s="830"/>
      <c r="X1" s="830"/>
      <c r="Y1" s="830"/>
      <c r="Z1" s="830"/>
      <c r="AA1" s="830"/>
      <c r="AB1" s="830"/>
      <c r="AC1" s="830"/>
      <c r="AD1" s="830"/>
      <c r="AE1" s="830"/>
      <c r="AF1" s="830"/>
      <c r="AG1" s="830"/>
      <c r="AH1" s="830"/>
      <c r="AI1" s="830"/>
      <c r="AJ1" s="830"/>
      <c r="AK1" s="830"/>
      <c r="AL1" s="830"/>
      <c r="AM1" s="830"/>
      <c r="AN1" s="830"/>
      <c r="AO1" s="830"/>
      <c r="AP1" s="830"/>
      <c r="AQ1" s="830"/>
      <c r="AR1" s="830"/>
      <c r="AS1" s="829"/>
      <c r="AT1" s="829"/>
      <c r="AU1" s="829"/>
      <c r="AV1" s="829"/>
      <c r="AW1" s="829"/>
      <c r="AX1" s="829"/>
      <c r="AY1" s="829"/>
      <c r="AZ1" s="829"/>
      <c r="BA1" s="829"/>
      <c r="BB1" s="829"/>
      <c r="BC1" s="829"/>
      <c r="BD1" s="829"/>
    </row>
    <row r="2" spans="1:56" ht="29.25" customHeight="1" thickBot="1">
      <c r="A2" s="829"/>
      <c r="B2" s="829"/>
      <c r="C2" s="834"/>
      <c r="D2" s="812"/>
      <c r="E2" s="843" t="str">
        <f>"KUMPULAN NILAI  KELAS  "&amp;Data!C9&amp;" SMT. "&amp;Data!C10&amp;" TH. PEL. "&amp;Data!C11</f>
        <v>KUMPULAN NILAI  KELAS  10 IIS 2 SMT. 1 TH. PEL. 2022-2023</v>
      </c>
      <c r="F2" s="811"/>
      <c r="G2" s="811"/>
      <c r="H2" s="811"/>
      <c r="I2" s="811"/>
      <c r="J2" s="811"/>
      <c r="K2" s="811"/>
      <c r="L2" s="811"/>
      <c r="M2" s="811"/>
      <c r="N2" s="811"/>
      <c r="O2" s="811"/>
      <c r="P2" s="811"/>
      <c r="Q2" s="811"/>
      <c r="R2" s="811"/>
      <c r="S2" s="811"/>
      <c r="T2" s="811"/>
      <c r="U2" s="811"/>
      <c r="V2" s="811"/>
      <c r="W2" s="811"/>
      <c r="X2" s="811"/>
      <c r="Y2" s="811"/>
      <c r="Z2" s="811"/>
      <c r="AC2" s="811"/>
      <c r="AD2" s="811"/>
      <c r="AE2" s="811"/>
      <c r="AF2" s="811"/>
      <c r="AG2" s="811"/>
      <c r="AH2" s="811"/>
      <c r="AL2" s="832" t="str">
        <f>"Leger lanjutan nomor "&amp;D10&amp;" s.d. "&amp;MAX(D10:D39)</f>
        <v>Leger lanjutan nomor 1 s.d. 6</v>
      </c>
      <c r="AS2" s="811"/>
      <c r="AU2" s="811"/>
      <c r="AV2" s="811"/>
      <c r="AW2" s="811"/>
      <c r="AX2" s="811"/>
      <c r="AY2" s="811"/>
      <c r="AZ2" s="811"/>
      <c r="BA2" s="811"/>
      <c r="BB2" s="811"/>
      <c r="BC2" s="833" t="str">
        <f>AL2</f>
        <v>Leger lanjutan nomor 1 s.d. 6</v>
      </c>
      <c r="BD2" s="829"/>
    </row>
    <row r="3" spans="1:56" ht="18.75" customHeight="1">
      <c r="A3" s="829"/>
      <c r="B3" s="829"/>
      <c r="C3" s="829"/>
      <c r="D3" s="2342" t="s">
        <v>323</v>
      </c>
      <c r="E3" s="2342" t="s">
        <v>575</v>
      </c>
      <c r="F3" s="2313" t="s">
        <v>576</v>
      </c>
      <c r="G3" s="2289" t="str">
        <f>UPPER(Data2!B4)</f>
        <v>KELOMPOK A (UMUM)</v>
      </c>
      <c r="H3" s="2293"/>
      <c r="I3" s="2293"/>
      <c r="J3" s="2293"/>
      <c r="K3" s="2293"/>
      <c r="L3" s="2293"/>
      <c r="M3" s="2293"/>
      <c r="N3" s="2293"/>
      <c r="O3" s="2293"/>
      <c r="P3" s="2293"/>
      <c r="Q3" s="2293"/>
      <c r="R3" s="2290"/>
      <c r="S3" s="2289" t="str">
        <f>UPPER(Data2!B10)</f>
        <v>KELOMPOK B (UMUM)</v>
      </c>
      <c r="T3" s="2293"/>
      <c r="U3" s="2293"/>
      <c r="V3" s="2293"/>
      <c r="W3" s="2293"/>
      <c r="X3" s="2293"/>
      <c r="Y3" s="2293"/>
      <c r="Z3" s="2293"/>
      <c r="AA3" s="2293"/>
      <c r="AB3" s="2305"/>
      <c r="AC3" s="2300" t="str">
        <f>UPPER(Data2!B15)</f>
        <v>KELOMPOK C (PEMINATAN)</v>
      </c>
      <c r="AD3" s="2301"/>
      <c r="AE3" s="2301"/>
      <c r="AF3" s="2301"/>
      <c r="AG3" s="2301"/>
      <c r="AH3" s="2301"/>
      <c r="AI3" s="2301"/>
      <c r="AJ3" s="2301"/>
      <c r="AK3" s="2301"/>
      <c r="AL3" s="2301"/>
      <c r="AM3" s="2301"/>
      <c r="AN3" s="2301"/>
      <c r="AO3" s="2302" t="str">
        <f>AC3</f>
        <v>KELOMPOK C (PEMINATAN)</v>
      </c>
      <c r="AP3" s="2303"/>
      <c r="AQ3" s="2303"/>
      <c r="AR3" s="2304"/>
      <c r="AS3" s="2289" t="s">
        <v>356</v>
      </c>
      <c r="AT3" s="2290"/>
      <c r="AU3" s="2289" t="s">
        <v>381</v>
      </c>
      <c r="AV3" s="2293"/>
      <c r="AW3" s="2293"/>
      <c r="AX3" s="2290"/>
      <c r="AY3" s="2289" t="s">
        <v>577</v>
      </c>
      <c r="AZ3" s="2293"/>
      <c r="BA3" s="2290"/>
      <c r="BB3" s="2310" t="s">
        <v>713</v>
      </c>
      <c r="BC3" s="2313" t="s">
        <v>578</v>
      </c>
      <c r="BD3" s="829"/>
    </row>
    <row r="4" spans="1:56" s="811" customFormat="1" ht="15" customHeight="1">
      <c r="A4" s="829"/>
      <c r="B4" s="829"/>
      <c r="C4" s="829"/>
      <c r="D4" s="2343"/>
      <c r="E4" s="2343"/>
      <c r="F4" s="2314"/>
      <c r="G4" s="2291"/>
      <c r="H4" s="2294"/>
      <c r="I4" s="2294"/>
      <c r="J4" s="2294"/>
      <c r="K4" s="2294"/>
      <c r="L4" s="2294"/>
      <c r="M4" s="2294"/>
      <c r="N4" s="2294"/>
      <c r="O4" s="2294"/>
      <c r="P4" s="2294"/>
      <c r="Q4" s="2294"/>
      <c r="R4" s="2292"/>
      <c r="S4" s="2291"/>
      <c r="T4" s="2294"/>
      <c r="U4" s="2294"/>
      <c r="V4" s="2294"/>
      <c r="W4" s="2294"/>
      <c r="X4" s="2294"/>
      <c r="Y4" s="2294"/>
      <c r="Z4" s="2294"/>
      <c r="AA4" s="2294"/>
      <c r="AB4" s="2306"/>
      <c r="AC4" s="2295" t="str">
        <f>Data2!B17</f>
        <v>I. Peminatan Ilmu-ilmu Sosial</v>
      </c>
      <c r="AD4" s="2296"/>
      <c r="AE4" s="2296"/>
      <c r="AF4" s="2296"/>
      <c r="AG4" s="2296"/>
      <c r="AH4" s="2296"/>
      <c r="AI4" s="2296"/>
      <c r="AJ4" s="2296"/>
      <c r="AK4" s="2296"/>
      <c r="AL4" s="2296"/>
      <c r="AM4" s="1067"/>
      <c r="AN4" s="1068"/>
      <c r="AO4" s="2297" t="str">
        <f>Data2!B21</f>
        <v>II. Lintas Minat dan/atau Pendalaman Minat</v>
      </c>
      <c r="AP4" s="2298"/>
      <c r="AQ4" s="2298"/>
      <c r="AR4" s="2299"/>
      <c r="AS4" s="2291"/>
      <c r="AT4" s="2292"/>
      <c r="AU4" s="2291"/>
      <c r="AV4" s="2294"/>
      <c r="AW4" s="2294"/>
      <c r="AX4" s="2292"/>
      <c r="AY4" s="2291"/>
      <c r="AZ4" s="2294"/>
      <c r="BA4" s="2292"/>
      <c r="BB4" s="2311"/>
      <c r="BC4" s="2314"/>
      <c r="BD4" s="829"/>
    </row>
    <row r="5" spans="1:56" ht="40.5" customHeight="1">
      <c r="A5" s="829"/>
      <c r="B5" s="836">
        <v>1</v>
      </c>
      <c r="C5" s="829"/>
      <c r="D5" s="2343"/>
      <c r="E5" s="2343"/>
      <c r="F5" s="2314"/>
      <c r="G5" s="2341" t="str">
        <f>Data2!C4</f>
        <v>Pendidikan Agama dan Budi Pekerti</v>
      </c>
      <c r="H5" s="2337"/>
      <c r="I5" s="2337" t="str">
        <f>Data2!C5</f>
        <v>Pendidikan Pancasila dan Kewarganegaraan</v>
      </c>
      <c r="J5" s="2337"/>
      <c r="K5" s="2337" t="str">
        <f>Data2!C6</f>
        <v>Bahasa Indonesia</v>
      </c>
      <c r="L5" s="2337"/>
      <c r="M5" s="2337" t="str">
        <f>Data2!C7</f>
        <v>Matematika</v>
      </c>
      <c r="N5" s="2337"/>
      <c r="O5" s="2337" t="str">
        <f>Data2!C8</f>
        <v>Sejarah Indonesia</v>
      </c>
      <c r="P5" s="2337"/>
      <c r="Q5" s="2337" t="str">
        <f>Data2!C9</f>
        <v>Bahasa Inggris</v>
      </c>
      <c r="R5" s="2345"/>
      <c r="S5" s="2341" t="str">
        <f>Data2!C10</f>
        <v>Seni Budaya</v>
      </c>
      <c r="T5" s="2337"/>
      <c r="U5" s="2337" t="str">
        <f>Data2!C11</f>
        <v>Pendidikan Jasmani Olahraga dan Kesehatan</v>
      </c>
      <c r="V5" s="2337"/>
      <c r="W5" s="2337" t="str">
        <f>Data2!C12</f>
        <v>Prakarya dan Kewirausahaan</v>
      </c>
      <c r="X5" s="2337"/>
      <c r="Y5" s="2337" t="str">
        <f>Data2!C13</f>
        <v>Muatan Lokal</v>
      </c>
      <c r="Z5" s="2337"/>
      <c r="AA5" s="2337">
        <f>Data2!C14</f>
        <v>0</v>
      </c>
      <c r="AB5" s="2337"/>
      <c r="AC5" s="2337" t="str">
        <f>Data2!C15</f>
        <v>Sosiologi</v>
      </c>
      <c r="AD5" s="2346"/>
      <c r="AE5" s="2337" t="str">
        <f>Data2!C16</f>
        <v>Geografi</v>
      </c>
      <c r="AF5" s="2337"/>
      <c r="AG5" s="2337" t="str">
        <f>Data2!C17</f>
        <v>Ekonomi</v>
      </c>
      <c r="AH5" s="2337"/>
      <c r="AI5" s="2337" t="str">
        <f>Data2!C18</f>
        <v>Sejarah Peminatan</v>
      </c>
      <c r="AJ5" s="2337"/>
      <c r="AK5" s="2337">
        <f>Data2!C19</f>
        <v>0</v>
      </c>
      <c r="AL5" s="2337"/>
      <c r="AM5" s="2337">
        <f>Data2!C20</f>
        <v>0</v>
      </c>
      <c r="AN5" s="2337"/>
      <c r="AO5" s="2337" t="str">
        <f>Data2!C21</f>
        <v>Biologi</v>
      </c>
      <c r="AP5" s="2337"/>
      <c r="AQ5" s="2337" t="str">
        <f>Data2!C22</f>
        <v>Fisika</v>
      </c>
      <c r="AR5" s="2345"/>
      <c r="AS5" s="2328" t="s">
        <v>407</v>
      </c>
      <c r="AT5" s="2307" t="s">
        <v>408</v>
      </c>
      <c r="AU5" s="2328" t="s">
        <v>579</v>
      </c>
      <c r="AV5" s="2331" t="s">
        <v>580</v>
      </c>
      <c r="AW5" s="2331" t="s">
        <v>581</v>
      </c>
      <c r="AX5" s="2334" t="s">
        <v>582</v>
      </c>
      <c r="AY5" s="2328" t="s">
        <v>18</v>
      </c>
      <c r="AZ5" s="2331" t="s">
        <v>583</v>
      </c>
      <c r="BA5" s="2307" t="s">
        <v>20</v>
      </c>
      <c r="BB5" s="2311"/>
      <c r="BC5" s="2314"/>
      <c r="BD5" s="829"/>
    </row>
    <row r="6" spans="1:56" ht="40.5" customHeight="1">
      <c r="A6" s="829"/>
      <c r="B6" s="829"/>
      <c r="C6" s="829"/>
      <c r="D6" s="2343"/>
      <c r="E6" s="2343"/>
      <c r="F6" s="2314"/>
      <c r="G6" s="2341"/>
      <c r="H6" s="2337"/>
      <c r="I6" s="2337"/>
      <c r="J6" s="2337"/>
      <c r="K6" s="2337"/>
      <c r="L6" s="2337"/>
      <c r="M6" s="2337"/>
      <c r="N6" s="2337"/>
      <c r="O6" s="2337"/>
      <c r="P6" s="2337"/>
      <c r="Q6" s="2337"/>
      <c r="R6" s="2345"/>
      <c r="S6" s="2341"/>
      <c r="T6" s="2337"/>
      <c r="U6" s="2337"/>
      <c r="V6" s="2337"/>
      <c r="W6" s="2337"/>
      <c r="X6" s="2337"/>
      <c r="Y6" s="2337"/>
      <c r="Z6" s="2337"/>
      <c r="AA6" s="2337"/>
      <c r="AB6" s="2337"/>
      <c r="AC6" s="2337"/>
      <c r="AD6" s="2346"/>
      <c r="AE6" s="2337"/>
      <c r="AF6" s="2337"/>
      <c r="AG6" s="2337"/>
      <c r="AH6" s="2337"/>
      <c r="AI6" s="2337"/>
      <c r="AJ6" s="2337"/>
      <c r="AK6" s="2337"/>
      <c r="AL6" s="2337"/>
      <c r="AM6" s="2337"/>
      <c r="AN6" s="2337"/>
      <c r="AO6" s="2337"/>
      <c r="AP6" s="2337"/>
      <c r="AQ6" s="2337"/>
      <c r="AR6" s="2345"/>
      <c r="AS6" s="2329"/>
      <c r="AT6" s="2308"/>
      <c r="AU6" s="2329"/>
      <c r="AV6" s="2332"/>
      <c r="AW6" s="2332"/>
      <c r="AX6" s="2335"/>
      <c r="AY6" s="2329"/>
      <c r="AZ6" s="2332"/>
      <c r="BA6" s="2308"/>
      <c r="BB6" s="2311"/>
      <c r="BC6" s="2314"/>
      <c r="BD6" s="829"/>
    </row>
    <row r="7" spans="1:56" ht="40.5" customHeight="1">
      <c r="A7" s="829"/>
      <c r="B7" s="829"/>
      <c r="C7" s="829"/>
      <c r="D7" s="2343"/>
      <c r="E7" s="2343"/>
      <c r="F7" s="2314"/>
      <c r="G7" s="2341"/>
      <c r="H7" s="2337"/>
      <c r="I7" s="2337"/>
      <c r="J7" s="2337"/>
      <c r="K7" s="2337"/>
      <c r="L7" s="2337"/>
      <c r="M7" s="2337"/>
      <c r="N7" s="2337"/>
      <c r="O7" s="2337"/>
      <c r="P7" s="2337"/>
      <c r="Q7" s="2337"/>
      <c r="R7" s="2345"/>
      <c r="S7" s="2341"/>
      <c r="T7" s="2337"/>
      <c r="U7" s="2337"/>
      <c r="V7" s="2337"/>
      <c r="W7" s="2337"/>
      <c r="X7" s="2337"/>
      <c r="Y7" s="2337"/>
      <c r="Z7" s="2337"/>
      <c r="AA7" s="2337"/>
      <c r="AB7" s="2337"/>
      <c r="AC7" s="2337"/>
      <c r="AD7" s="2346"/>
      <c r="AE7" s="2337"/>
      <c r="AF7" s="2337"/>
      <c r="AG7" s="2337"/>
      <c r="AH7" s="2337"/>
      <c r="AI7" s="2337"/>
      <c r="AJ7" s="2337"/>
      <c r="AK7" s="2337"/>
      <c r="AL7" s="2337"/>
      <c r="AM7" s="2337"/>
      <c r="AN7" s="2337"/>
      <c r="AO7" s="2337"/>
      <c r="AP7" s="2337"/>
      <c r="AQ7" s="2337"/>
      <c r="AR7" s="2345"/>
      <c r="AS7" s="2329"/>
      <c r="AT7" s="2308"/>
      <c r="AU7" s="2329"/>
      <c r="AV7" s="2332"/>
      <c r="AW7" s="2332"/>
      <c r="AX7" s="2335"/>
      <c r="AY7" s="2329"/>
      <c r="AZ7" s="2332"/>
      <c r="BA7" s="2308"/>
      <c r="BB7" s="2311"/>
      <c r="BC7" s="2314"/>
      <c r="BD7" s="829"/>
    </row>
    <row r="8" spans="1:56" ht="15.75">
      <c r="A8" s="829"/>
      <c r="B8" s="829"/>
      <c r="C8" s="829"/>
      <c r="D8" s="2343"/>
      <c r="E8" s="2343"/>
      <c r="F8" s="2314"/>
      <c r="G8" s="841" t="s">
        <v>317</v>
      </c>
      <c r="H8" s="842">
        <f>IF(Data2!$L$16="MULTI KKM",Data2!G4,Data2!$L$3)</f>
        <v>76</v>
      </c>
      <c r="I8" s="839" t="s">
        <v>317</v>
      </c>
      <c r="J8" s="842">
        <f>IF(Data2!$L$16="MULTI KKM",Data2!G5,Data2!$L$3)</f>
        <v>76</v>
      </c>
      <c r="K8" s="839" t="s">
        <v>317</v>
      </c>
      <c r="L8" s="842">
        <f>IF(Data2!$L$16="MULTI KKM",Data2!G6,Data2!$L$3)</f>
        <v>76</v>
      </c>
      <c r="M8" s="839" t="s">
        <v>317</v>
      </c>
      <c r="N8" s="842">
        <f>IF(Data2!$L$16="MULTI KKM",Data2!G7,Data2!$L$3)</f>
        <v>76</v>
      </c>
      <c r="O8" s="839" t="s">
        <v>317</v>
      </c>
      <c r="P8" s="842">
        <f>IF(Data2!$L$16="MULTI KKM",Data2!G8,Data2!$L$3)</f>
        <v>76</v>
      </c>
      <c r="Q8" s="839" t="s">
        <v>317</v>
      </c>
      <c r="R8" s="1125">
        <f>IF(Data2!$L$16="MULTI KKM",Data2!G9,Data2!$L$3)</f>
        <v>76</v>
      </c>
      <c r="S8" s="841" t="s">
        <v>317</v>
      </c>
      <c r="T8" s="842">
        <f>IF(Data2!$L$16="MULTI KKM",Data2!G10,Data2!$L$3)</f>
        <v>76</v>
      </c>
      <c r="U8" s="840" t="s">
        <v>317</v>
      </c>
      <c r="V8" s="842">
        <f>IF(Data2!$L$16="MULTI KKM",Data2!G11,Data2!$L$3)</f>
        <v>76</v>
      </c>
      <c r="W8" s="842" t="s">
        <v>317</v>
      </c>
      <c r="X8" s="842">
        <f>IF(Data2!$L$16="MULTI KKM",Data2!G12,Data2!$L$3)</f>
        <v>76</v>
      </c>
      <c r="Y8" s="842" t="s">
        <v>317</v>
      </c>
      <c r="Z8" s="842">
        <f>IF(Data2!$L$16="MULTI KKM",Data2!G13,Data2!$L$3)</f>
        <v>76</v>
      </c>
      <c r="AA8" s="842" t="s">
        <v>317</v>
      </c>
      <c r="AB8" s="842">
        <f>IF(Data2!$L$16="MULTI KKM",Data2!G14,Data2!$L$3)</f>
        <v>0</v>
      </c>
      <c r="AC8" s="842" t="s">
        <v>317</v>
      </c>
      <c r="AD8" s="1126">
        <f>IF(Data2!$L$16="MULTI KKM",Data2!G15,Data2!$L$3)</f>
        <v>76</v>
      </c>
      <c r="AE8" s="842" t="s">
        <v>317</v>
      </c>
      <c r="AF8" s="842">
        <f>IF(Data2!$L$16="MULTI KKM",Data2!G16,Data2!$L$3)</f>
        <v>76</v>
      </c>
      <c r="AG8" s="842" t="s">
        <v>317</v>
      </c>
      <c r="AH8" s="842">
        <f>IF(Data2!$L$16="MULTI KKM",Data2!G17,Data2!$L$3)</f>
        <v>76</v>
      </c>
      <c r="AI8" s="842" t="s">
        <v>317</v>
      </c>
      <c r="AJ8" s="842">
        <f>IF(Data2!$L$16="MULTI KKM",Data2!G18,Data2!$L$3)</f>
        <v>76</v>
      </c>
      <c r="AK8" s="842" t="s">
        <v>317</v>
      </c>
      <c r="AL8" s="842">
        <f>IF(Data2!$L$16="MULTI KKM",Data2!G19,Data2!$L$3)</f>
        <v>0</v>
      </c>
      <c r="AM8" s="842" t="s">
        <v>317</v>
      </c>
      <c r="AN8" s="842">
        <f>IF(Data2!$L$16="MULTI KKM",Data2!G20,Data2!$L$3)</f>
        <v>0</v>
      </c>
      <c r="AO8" s="842" t="s">
        <v>317</v>
      </c>
      <c r="AP8" s="842">
        <f>IF(Data2!$L$16="MULTI KKM",Data2!G21,Data2!$L$3)</f>
        <v>76</v>
      </c>
      <c r="AQ8" s="842" t="s">
        <v>317</v>
      </c>
      <c r="AR8" s="1125">
        <f>IF(Data2!$L$16="MULTI KKM",Data2!G22,Data2!$L$3)</f>
        <v>76</v>
      </c>
      <c r="AS8" s="2329"/>
      <c r="AT8" s="2308"/>
      <c r="AU8" s="2329"/>
      <c r="AV8" s="2332"/>
      <c r="AW8" s="2332"/>
      <c r="AX8" s="2335"/>
      <c r="AY8" s="2329"/>
      <c r="AZ8" s="2332"/>
      <c r="BA8" s="2308"/>
      <c r="BB8" s="2311"/>
      <c r="BC8" s="2314"/>
      <c r="BD8" s="829"/>
    </row>
    <row r="9" spans="1:56" ht="16.5" thickBot="1">
      <c r="A9" s="829"/>
      <c r="B9" s="829"/>
      <c r="C9" s="829"/>
      <c r="D9" s="2344"/>
      <c r="E9" s="2344"/>
      <c r="F9" s="2315"/>
      <c r="G9" s="854" t="s">
        <v>584</v>
      </c>
      <c r="H9" s="853" t="s">
        <v>585</v>
      </c>
      <c r="I9" s="853" t="s">
        <v>584</v>
      </c>
      <c r="J9" s="853" t="s">
        <v>585</v>
      </c>
      <c r="K9" s="853" t="s">
        <v>584</v>
      </c>
      <c r="L9" s="853" t="s">
        <v>585</v>
      </c>
      <c r="M9" s="853" t="s">
        <v>584</v>
      </c>
      <c r="N9" s="853" t="s">
        <v>585</v>
      </c>
      <c r="O9" s="853" t="s">
        <v>584</v>
      </c>
      <c r="P9" s="853" t="s">
        <v>585</v>
      </c>
      <c r="Q9" s="853" t="s">
        <v>584</v>
      </c>
      <c r="R9" s="855" t="s">
        <v>585</v>
      </c>
      <c r="S9" s="854" t="s">
        <v>584</v>
      </c>
      <c r="T9" s="853" t="s">
        <v>585</v>
      </c>
      <c r="U9" s="853" t="s">
        <v>584</v>
      </c>
      <c r="V9" s="853" t="s">
        <v>585</v>
      </c>
      <c r="W9" s="853" t="s">
        <v>584</v>
      </c>
      <c r="X9" s="853" t="s">
        <v>585</v>
      </c>
      <c r="Y9" s="853" t="s">
        <v>584</v>
      </c>
      <c r="Z9" s="853" t="s">
        <v>585</v>
      </c>
      <c r="AA9" s="853" t="s">
        <v>584</v>
      </c>
      <c r="AB9" s="853" t="s">
        <v>585</v>
      </c>
      <c r="AC9" s="853" t="s">
        <v>584</v>
      </c>
      <c r="AD9" s="1044" t="s">
        <v>585</v>
      </c>
      <c r="AE9" s="853" t="s">
        <v>584</v>
      </c>
      <c r="AF9" s="853" t="s">
        <v>585</v>
      </c>
      <c r="AG9" s="853" t="s">
        <v>584</v>
      </c>
      <c r="AH9" s="853" t="s">
        <v>585</v>
      </c>
      <c r="AI9" s="853" t="s">
        <v>584</v>
      </c>
      <c r="AJ9" s="853" t="s">
        <v>585</v>
      </c>
      <c r="AK9" s="853" t="s">
        <v>584</v>
      </c>
      <c r="AL9" s="853" t="s">
        <v>585</v>
      </c>
      <c r="AM9" s="853" t="s">
        <v>584</v>
      </c>
      <c r="AN9" s="853" t="s">
        <v>585</v>
      </c>
      <c r="AO9" s="853" t="s">
        <v>584</v>
      </c>
      <c r="AP9" s="853" t="s">
        <v>585</v>
      </c>
      <c r="AQ9" s="853" t="s">
        <v>584</v>
      </c>
      <c r="AR9" s="855" t="s">
        <v>585</v>
      </c>
      <c r="AS9" s="2330"/>
      <c r="AT9" s="2309"/>
      <c r="AU9" s="2330"/>
      <c r="AV9" s="2333"/>
      <c r="AW9" s="2333"/>
      <c r="AX9" s="2336"/>
      <c r="AY9" s="2330"/>
      <c r="AZ9" s="2333"/>
      <c r="BA9" s="2309"/>
      <c r="BB9" s="2312"/>
      <c r="BC9" s="2315"/>
      <c r="BD9" s="829"/>
    </row>
    <row r="10" spans="1:56" ht="17.25" customHeight="1">
      <c r="A10" s="829"/>
      <c r="B10" s="829"/>
      <c r="C10" s="829"/>
      <c r="D10" s="2338">
        <f>IFERROR(IF(B5&gt;B15,"",B5),"")</f>
        <v>1</v>
      </c>
      <c r="E10" s="856" t="str">
        <f>VLOOKUP(D10,Data!$E$5:$AC$54,4)</f>
        <v>Aldo Alfinus Pakae</v>
      </c>
      <c r="F10" s="844" t="s">
        <v>586</v>
      </c>
      <c r="G10" s="846">
        <f>IFERROR(VLOOKUP(D10,PA!$B$14:$BN$63,PA!P64),"")</f>
        <v>95</v>
      </c>
      <c r="H10" s="845">
        <f>IFERROR(VLOOKUP(D10,PA!$B$14:$BN$63,PA!AV64),"")</f>
        <v>95</v>
      </c>
      <c r="I10" s="845">
        <f>IFERROR(VLOOKUP(D10,PKn!$B$14:$BN$63,PKn!P64),"")</f>
        <v>84</v>
      </c>
      <c r="J10" s="845">
        <f>IFERROR(VLOOKUP(D10,PKn!$B$14:$BN$63,PKn!AV64),"")</f>
        <v>95</v>
      </c>
      <c r="K10" s="845">
        <f>IFERROR(VLOOKUP(D10,BInd!$B$14:$BN$63,BInd!P64),"")</f>
        <v>85</v>
      </c>
      <c r="L10" s="845">
        <f>IFERROR(VLOOKUP(D10,BInd!$B$14:$BN$63,BInd!AV64),"")</f>
        <v>88</v>
      </c>
      <c r="M10" s="845">
        <f>IFERROR(VLOOKUP(D10,Mat!$B$14:$BN$63,Mat!P64),"")</f>
        <v>86</v>
      </c>
      <c r="N10" s="845">
        <f>IFERROR(VLOOKUP(D10,Mat!$B$14:$BN$63,Mat!AV64),"")</f>
        <v>86</v>
      </c>
      <c r="O10" s="845" t="str">
        <f>IFERROR(VLOOKUP(D10,SEJ!$B$14:$BN$63,SEJ!P64),"")</f>
        <v/>
      </c>
      <c r="P10" s="845" t="str">
        <f>IFERROR(VLOOKUP(D10,SEJ!$B$14:$BN$63,SEJ!AV64),"")</f>
        <v/>
      </c>
      <c r="Q10" s="845">
        <f>IFERROR(VLOOKUP(D10,BIng!$B$14:$BN$63,BIng!P64),"")</f>
        <v>82</v>
      </c>
      <c r="R10" s="847">
        <f>IFERROR(VLOOKUP(D10,BIng!$B$14:$BN$63,BIng!AV64),"")</f>
        <v>86</v>
      </c>
      <c r="S10" s="846">
        <f>IFERROR(VLOOKUP(D10,SB!$B$14:$BN$63,SB!P64),"")</f>
        <v>86</v>
      </c>
      <c r="T10" s="845">
        <f>IFERROR(VLOOKUP(D10,SB!$B$14:$BN$63,SB!AV64),"")</f>
        <v>90</v>
      </c>
      <c r="U10" s="845">
        <f>IFERROR(VLOOKUP(D10,pjok!$B$14:$BN$63,pjok!P64),"")</f>
        <v>85</v>
      </c>
      <c r="V10" s="845">
        <f>IFERROR(VLOOKUP(D10,pjok!$B$14:$BN$63,pjok!AV64),"")</f>
        <v>90</v>
      </c>
      <c r="W10" s="845">
        <f>IFERROR(VLOOKUP(D10,pkwu!$B$14:$BN$63,pkwu!P64),"")</f>
        <v>89</v>
      </c>
      <c r="X10" s="845">
        <f>IFERROR(VLOOKUP(D10,pkwu!$B$14:$BN$63,pkwu!AV64),"")</f>
        <v>80</v>
      </c>
      <c r="Y10" s="845" t="str">
        <f>IFERROR(VLOOKUP(D10,'Mlk1'!$B$14:$BN$63,'Mlk1'!P64),"")</f>
        <v/>
      </c>
      <c r="Z10" s="845" t="str">
        <f>IFERROR(VLOOKUP(D10,'Mlk1'!$B$14:$BN$63,'Mlk1'!AV64),"")</f>
        <v/>
      </c>
      <c r="AA10" s="845" t="str">
        <f>IFERROR(VLOOKUP(D10,'Ml2'!$B$14:$BN$63,'Ml2'!P64),"")</f>
        <v/>
      </c>
      <c r="AB10" s="845" t="str">
        <f>IFERROR(VLOOKUP(D10,'Ml2'!$B$14:$BN$63,'Ml2'!AV64),"")</f>
        <v/>
      </c>
      <c r="AC10" s="845">
        <f>IFERROR(VLOOKUP(D10,sosio!$B$14:$BN$63,sosio!P64),"")</f>
        <v>90</v>
      </c>
      <c r="AD10" s="1042">
        <f>IFERROR(VLOOKUP(D10,sosio!$B$14:$BN$63,sosio!AV64),"")</f>
        <v>85</v>
      </c>
      <c r="AE10" s="845">
        <f>IFERROR(VLOOKUP(D10,geog!$B$14:$BN$63,geog!P64),"")</f>
        <v>86</v>
      </c>
      <c r="AF10" s="845">
        <f>IFERROR(VLOOKUP(D10,geog!$B$14:$BN$63,geog!AV64),"")</f>
        <v>95</v>
      </c>
      <c r="AG10" s="845">
        <f>IFERROR(VLOOKUP(D10,ekonomi!$B$14:$BN$63,ekonomi!P64),"")</f>
        <v>87</v>
      </c>
      <c r="AH10" s="845">
        <f>IFERROR(VLOOKUP(D10,ekonomi!$B$14:$BN$63,ekonomi!AV64),"")</f>
        <v>88</v>
      </c>
      <c r="AI10" s="845">
        <f>IFERROR(VLOOKUP(D10,'sejarah peminatan'!$B$14:$BN$63,'sejarah peminatan'!P64),"")</f>
        <v>89</v>
      </c>
      <c r="AJ10" s="845">
        <f>IFERROR(VLOOKUP(D10,'sejarah peminatan'!$B$14:$BN$63,'sejarah peminatan'!AV64),"")</f>
        <v>85</v>
      </c>
      <c r="AK10" s="845" t="str">
        <f>IFERROR(VLOOKUP(D10,'PM5'!$B$14:$BN$63,'PM5'!P64),"")</f>
        <v/>
      </c>
      <c r="AL10" s="845" t="str">
        <f>IFERROR(VLOOKUP(D10,'PM5'!$B$14:$BN$63,'PM5'!AV64),"")</f>
        <v/>
      </c>
      <c r="AM10" s="845" t="str">
        <f>IFERROR(VLOOKUP(D10,'PM6'!$B$14:$BN$63,'PM6'!P64),"")</f>
        <v/>
      </c>
      <c r="AN10" s="845" t="str">
        <f>IFERROR(VLOOKUP(D10,'PM6'!$B$14:$BN$63,'PM6'!AV64),"")</f>
        <v/>
      </c>
      <c r="AO10" s="845">
        <f>IFERROR(VLOOKUP(D10,biologi!$B$14:$BN$63,biologi!P64),"")</f>
        <v>81</v>
      </c>
      <c r="AP10" s="845">
        <f>IFERROR(VLOOKUP(D10,biologi!$B$14:$BN$63,biologi!AV64),"")</f>
        <v>81</v>
      </c>
      <c r="AQ10" s="845">
        <f>IFERROR(VLOOKUP(D10,fissika!$B$14:$BN$63,fissika!P64),"")</f>
        <v>78</v>
      </c>
      <c r="AR10" s="847">
        <f>IFERROR(VLOOKUP(D10,fissika!$B$14:$BN$63,fissika!AV64),"")</f>
        <v>88</v>
      </c>
      <c r="AS10" s="821"/>
      <c r="AT10" s="822"/>
      <c r="AU10" s="821"/>
      <c r="AV10" s="819"/>
      <c r="AW10" s="819"/>
      <c r="AX10" s="822"/>
      <c r="AY10" s="2319">
        <f>VLOOKUP(D10,AbEk!$B$9:$U$58,5)</f>
        <v>5</v>
      </c>
      <c r="AZ10" s="2322">
        <f>VLOOKUP(D10,AbEk!$B$9:$U$58,6)</f>
        <v>1</v>
      </c>
      <c r="BA10" s="2325">
        <f>VLOOKUP(D10,AbEk!$B$9:$U$58,7)</f>
        <v>2</v>
      </c>
      <c r="BB10" s="2316"/>
      <c r="BC10" s="2316"/>
      <c r="BD10" s="829"/>
    </row>
    <row r="11" spans="1:56" ht="17.25" customHeight="1">
      <c r="A11" s="829"/>
      <c r="B11" s="829"/>
      <c r="C11" s="829"/>
      <c r="D11" s="2339"/>
      <c r="E11" s="815" t="str">
        <f>TEXT(VLOOKUP(D10,Data!$E$5:$AC$54,2),Data!$C$18)&amp;IF(VLOOKUP(D10,Data!$E$5:$AC$54,Data!$G$55)="",""," / "&amp;TEXT(VLOOKUP(D10,Data!$E$5:$AC$54,Data!$G$55),Data!$C$20))</f>
        <v>00000 / 0066338468</v>
      </c>
      <c r="F11" s="848" t="s">
        <v>254</v>
      </c>
      <c r="G11" s="850">
        <f>IFERROR(VLOOKUP(D10,PA!$B$14:$BN$63,PA!Q64),"")</f>
        <v>95</v>
      </c>
      <c r="H11" s="849"/>
      <c r="I11" s="849">
        <f>IFERROR(VLOOKUP(D10,PKn!$B$14:$BN$63,PKn!Q64),"")</f>
        <v>89</v>
      </c>
      <c r="J11" s="849"/>
      <c r="K11" s="849">
        <f>IFERROR(VLOOKUP(D10,BInd!$B$14:$BN$63,BInd!Q64),"")</f>
        <v>86</v>
      </c>
      <c r="L11" s="849"/>
      <c r="M11" s="849">
        <f>IFERROR(VLOOKUP(D10,Mat!$B$14:$BN$63,Mat!Q64),"")</f>
        <v>80</v>
      </c>
      <c r="N11" s="849"/>
      <c r="O11" s="849">
        <f>IFERROR(VLOOKUP(D10,SEJ!$B$14:$BN$63,SEJ!Q64),"")</f>
        <v>0</v>
      </c>
      <c r="P11" s="849"/>
      <c r="Q11" s="849">
        <f>IFERROR(VLOOKUP(D10,BIng!$B$14:$BN$63,BIng!Q64),"")</f>
        <v>85</v>
      </c>
      <c r="R11" s="851"/>
      <c r="S11" s="850">
        <f>IFERROR(VLOOKUP(D10,SB!$B$14:$BN$63,SB!Q64),"")</f>
        <v>86</v>
      </c>
      <c r="T11" s="849"/>
      <c r="U11" s="849">
        <f>IFERROR(VLOOKUP(D10,pjok!$B$14:$BN$63,pjok!Q64),"")</f>
        <v>85</v>
      </c>
      <c r="V11" s="849"/>
      <c r="W11" s="849">
        <f>IFERROR(VLOOKUP(D10,pkwu!$B$14:$BN$63,pkwu!Q64),"")</f>
        <v>80</v>
      </c>
      <c r="X11" s="849"/>
      <c r="Y11" s="849">
        <f>IFERROR(VLOOKUP(D10,'Mlk1'!$B$14:$BN$63,'Mlk1'!Q64),"")</f>
        <v>0</v>
      </c>
      <c r="Z11" s="849"/>
      <c r="AA11" s="849">
        <f>IFERROR(VLOOKUP(D10,'Ml2'!$B$14:$BN$63,'Ml2'!Q64),"")</f>
        <v>0</v>
      </c>
      <c r="AB11" s="849"/>
      <c r="AC11" s="849">
        <f>IFERROR(VLOOKUP(D10,sosio!$B$14:$BN$63,sosio!Q64),"")</f>
        <v>90</v>
      </c>
      <c r="AD11" s="1043"/>
      <c r="AE11" s="849">
        <f>IFERROR(VLOOKUP(D10,geog!$B$14:$BN$63,geog!Q64),"")</f>
        <v>80</v>
      </c>
      <c r="AF11" s="849"/>
      <c r="AG11" s="849">
        <f>IFERROR(VLOOKUP(D10,ekonomi!$B$14:$BN$63,ekonomi!Q64),"")</f>
        <v>88</v>
      </c>
      <c r="AH11" s="849"/>
      <c r="AI11" s="849">
        <f>IFERROR(VLOOKUP(D10,'sejarah peminatan'!$B$14:$BN$63,'sejarah peminatan'!Q64),"")</f>
        <v>88</v>
      </c>
      <c r="AJ11" s="849"/>
      <c r="AK11" s="849">
        <f>IFERROR(VLOOKUP(D10,'PM5'!$B$14:$BN$63,'PM5'!Q64),"")</f>
        <v>0</v>
      </c>
      <c r="AL11" s="849"/>
      <c r="AM11" s="849">
        <f>IFERROR(VLOOKUP(D10,'PM6'!$B$14:$BN$63,'PM6'!Q64),"")</f>
        <v>0</v>
      </c>
      <c r="AN11" s="849"/>
      <c r="AO11" s="849">
        <f>IFERROR(VLOOKUP(D10,biologi!$B$14:$BN$63,biologi!Q64),"")</f>
        <v>81</v>
      </c>
      <c r="AP11" s="849"/>
      <c r="AQ11" s="849">
        <f>IFERROR(VLOOKUP(D10,fissika!$B$14:$BN$63,fissika!Q64),"")</f>
        <v>87</v>
      </c>
      <c r="AR11" s="851"/>
      <c r="AS11" s="823"/>
      <c r="AT11" s="824"/>
      <c r="AU11" s="823"/>
      <c r="AV11" s="814"/>
      <c r="AW11" s="814"/>
      <c r="AX11" s="824"/>
      <c r="AY11" s="2320"/>
      <c r="AZ11" s="2323"/>
      <c r="BA11" s="2326"/>
      <c r="BB11" s="2317"/>
      <c r="BC11" s="2317"/>
      <c r="BD11" s="829"/>
    </row>
    <row r="12" spans="1:56" ht="17.25" customHeight="1">
      <c r="A12" s="829"/>
      <c r="B12" s="829"/>
      <c r="C12" s="829"/>
      <c r="D12" s="2339"/>
      <c r="E12" s="815" t="str">
        <f>VLOOKUP(D10,Data!$E$5:$AC$54,6)&amp;",  "&amp;TEXT(VLOOKUP(D10,Data!$E$5:$AC$54,7),"D MMMM YYY")</f>
        <v>kupang,  20 September 2006</v>
      </c>
      <c r="F12" s="848" t="s">
        <v>255</v>
      </c>
      <c r="G12" s="850">
        <f>IFERROR(VLOOKUP(D10,PA!$B$14:$BN$63,PA!R64),"")</f>
        <v>95</v>
      </c>
      <c r="H12" s="849"/>
      <c r="I12" s="849">
        <f>IFERROR(VLOOKUP(D10,PKn!$B$14:$BN$63,PKn!R64),"")</f>
        <v>89</v>
      </c>
      <c r="J12" s="849"/>
      <c r="K12" s="849">
        <f>IFERROR(VLOOKUP(D10,BInd!$B$14:$BN$63,BInd!R64),"")</f>
        <v>58</v>
      </c>
      <c r="L12" s="849"/>
      <c r="M12" s="849">
        <f>IFERROR(VLOOKUP(D10,Mat!$B$14:$BN$63,Mat!R64),"")</f>
        <v>80</v>
      </c>
      <c r="N12" s="849"/>
      <c r="O12" s="849">
        <f>IFERROR(VLOOKUP(D10,SEJ!$B$14:$BN$63,SEJ!R64),"")</f>
        <v>0</v>
      </c>
      <c r="P12" s="849"/>
      <c r="Q12" s="849">
        <f>IFERROR(VLOOKUP(D10,BIng!$B$14:$BN$63,BIng!R64),"")</f>
        <v>85</v>
      </c>
      <c r="R12" s="851"/>
      <c r="S12" s="850">
        <f>IFERROR(VLOOKUP(D10,SB!$B$14:$BN$63,SB!R64),"")</f>
        <v>88</v>
      </c>
      <c r="T12" s="849"/>
      <c r="U12" s="849">
        <f>IFERROR(VLOOKUP(D10,pjok!$B$14:$BN$63,pjok!R64),"")</f>
        <v>88</v>
      </c>
      <c r="V12" s="849"/>
      <c r="W12" s="849">
        <f>IFERROR(VLOOKUP(D10,pkwu!$B$14:$BN$63,pkwu!R64),"")</f>
        <v>88</v>
      </c>
      <c r="X12" s="849"/>
      <c r="Y12" s="849">
        <f>IFERROR(VLOOKUP(D10,'Mlk1'!$B$14:$BN$63,'Mlk1'!R64),"")</f>
        <v>0</v>
      </c>
      <c r="Z12" s="849"/>
      <c r="AA12" s="849">
        <f>IFERROR(VLOOKUP(D10,'Ml2'!$B$14:$BN$63,'Ml2'!R64),"")</f>
        <v>0</v>
      </c>
      <c r="AB12" s="849"/>
      <c r="AC12" s="849">
        <f>IFERROR(VLOOKUP(D10,sosio!$B$14:$BN$63,sosio!R64),"")</f>
        <v>90</v>
      </c>
      <c r="AD12" s="1043"/>
      <c r="AE12" s="849">
        <f>IFERROR(VLOOKUP(D10,geog!$B$14:$BN$63,geog!R64),"")</f>
        <v>86</v>
      </c>
      <c r="AF12" s="849"/>
      <c r="AG12" s="849">
        <f>IFERROR(VLOOKUP(D10,ekonomi!$B$14:$BN$63,ekonomi!R64),"")</f>
        <v>88</v>
      </c>
      <c r="AH12" s="849"/>
      <c r="AI12" s="849">
        <f>IFERROR(VLOOKUP(D10,'sejarah peminatan'!$B$14:$BN$63,'sejarah peminatan'!R64),"")</f>
        <v>76</v>
      </c>
      <c r="AJ12" s="849"/>
      <c r="AK12" s="849">
        <f>IFERROR(VLOOKUP(D10,'PM5'!$B$14:$BN$63,'PM5'!R64),"")</f>
        <v>0</v>
      </c>
      <c r="AL12" s="849"/>
      <c r="AM12" s="849">
        <f>IFERROR(VLOOKUP(D10,'PM6'!$B$14:$BN$63,'PM6'!R64),"")</f>
        <v>0</v>
      </c>
      <c r="AN12" s="849"/>
      <c r="AO12" s="849">
        <f>IFERROR(VLOOKUP(D10,biologi!$B$14:$BN$63,biologi!R64),"")</f>
        <v>80</v>
      </c>
      <c r="AP12" s="849"/>
      <c r="AQ12" s="849">
        <f>IFERROR(VLOOKUP(D10,fissika!$B$14:$BN$63,fissika!R64),"")</f>
        <v>85</v>
      </c>
      <c r="AR12" s="851"/>
      <c r="AS12" s="823"/>
      <c r="AT12" s="824"/>
      <c r="AU12" s="823"/>
      <c r="AV12" s="814"/>
      <c r="AW12" s="814"/>
      <c r="AX12" s="824"/>
      <c r="AY12" s="2320"/>
      <c r="AZ12" s="2323"/>
      <c r="BA12" s="2326"/>
      <c r="BB12" s="2317"/>
      <c r="BC12" s="2317"/>
      <c r="BD12" s="829"/>
    </row>
    <row r="13" spans="1:56" ht="17.25" customHeight="1">
      <c r="A13" s="829"/>
      <c r="B13" s="829"/>
      <c r="C13" s="829"/>
      <c r="D13" s="2339"/>
      <c r="E13" s="815" t="str">
        <f>VLOOKUP(D10,Data!$E$5:$AC$54,16)</f>
        <v>Urbanus Pakae</v>
      </c>
      <c r="F13" s="848" t="s">
        <v>256</v>
      </c>
      <c r="G13" s="850">
        <f>IFERROR(VLOOKUP(D10,PA!$B$14:$BN$63,PA!S64),"")</f>
        <v>95</v>
      </c>
      <c r="H13" s="849">
        <f>IFERROR(VLOOKUP(D10,PA!$B$14:$BN$63,PA!AV64),"")</f>
        <v>95</v>
      </c>
      <c r="I13" s="849">
        <f>IFERROR(VLOOKUP(D10,PKn!$B$14:$BN$63,PKn!S64),"")</f>
        <v>87</v>
      </c>
      <c r="J13" s="849">
        <f>IFERROR(VLOOKUP(D10,PKn!$B$14:$BN$63,PKn!AV64),"")</f>
        <v>95</v>
      </c>
      <c r="K13" s="849">
        <f>IFERROR(VLOOKUP(D10,BInd!$B$14:$BN$63,BInd!S64),"")</f>
        <v>79</v>
      </c>
      <c r="L13" s="849">
        <f>IFERROR(VLOOKUP(D10,BInd!$B$14:$BN$63,BInd!AV64),"")</f>
        <v>88</v>
      </c>
      <c r="M13" s="849">
        <f>IFERROR(VLOOKUP(D10,Mat!$B$14:$BN$63,Mat!S64),"")</f>
        <v>83</v>
      </c>
      <c r="N13" s="849">
        <f>IFERROR(VLOOKUP(D10,Mat!$B$14:$BN$63,Mat!AV64),"")</f>
        <v>86</v>
      </c>
      <c r="O13" s="849" t="str">
        <f>IFERROR(VLOOKUP(D10,SEJ!$B$14:$BN$63,SEJ!S64),"")</f>
        <v/>
      </c>
      <c r="P13" s="849" t="str">
        <f>IFERROR(VLOOKUP(D10,SEJ!$B$14:$BN$63,SEJ!AV64),"")</f>
        <v/>
      </c>
      <c r="Q13" s="849">
        <f>IFERROR(VLOOKUP(D10,BIng!$B$14:$BN$63,BIng!S64),"")</f>
        <v>84</v>
      </c>
      <c r="R13" s="851">
        <f>IFERROR(VLOOKUP(D10,BIng!$B$14:$BN$63,BIng!AV64),"")</f>
        <v>86</v>
      </c>
      <c r="S13" s="850">
        <f>IFERROR(VLOOKUP(D10,SB!$B$14:$BN$63,SB!S64),"")</f>
        <v>87</v>
      </c>
      <c r="T13" s="849">
        <f>IFERROR(VLOOKUP(D10,SB!$B$14:$BN$63,SB!AV64),"")</f>
        <v>90</v>
      </c>
      <c r="U13" s="849">
        <f>IFERROR(VLOOKUP(D10,pjok!$B$14:$BN$63,pjok!S64),"")</f>
        <v>86</v>
      </c>
      <c r="V13" s="849">
        <f>IFERROR(VLOOKUP(D10,pjok!$B$14:$BN$63,pjok!AV64),"")</f>
        <v>90</v>
      </c>
      <c r="W13" s="849">
        <f>IFERROR(VLOOKUP(D10,pkwu!$B$14:$BN$63,pkwu!S64),"")</f>
        <v>87</v>
      </c>
      <c r="X13" s="849">
        <f>IFERROR(VLOOKUP(D10,pkwu!$B$14:$BN$63,pkwu!AV64),"")</f>
        <v>80</v>
      </c>
      <c r="Y13" s="849" t="str">
        <f>IFERROR(VLOOKUP(D10,'Mlk1'!$B$14:$BN$63,'Mlk1'!S64),"")</f>
        <v/>
      </c>
      <c r="Z13" s="849" t="str">
        <f>IFERROR(VLOOKUP(D10,'Mlk1'!$B$14:$BN$63,'Mlk1'!AV64),"")</f>
        <v/>
      </c>
      <c r="AA13" s="849" t="str">
        <f>IFERROR(VLOOKUP(D10,'Ml2'!$B$14:$BN$63,'Ml2'!S64),"")</f>
        <v/>
      </c>
      <c r="AB13" s="849" t="str">
        <f>IFERROR(VLOOKUP(D10,'Ml2'!$B$14:$BN$63,'Ml2'!AV64),"")</f>
        <v/>
      </c>
      <c r="AC13" s="849">
        <f>IFERROR(VLOOKUP(D10,sosio!$B$14:$BN$63,sosio!S64),"")</f>
        <v>90</v>
      </c>
      <c r="AD13" s="1043">
        <f>IFERROR(VLOOKUP(D10,sosio!$B$14:$BN$63,sosio!AV64),"")</f>
        <v>85</v>
      </c>
      <c r="AE13" s="849">
        <f>IFERROR(VLOOKUP(D10,geog!$B$14:$BN$63,geog!S64),"")</f>
        <v>85</v>
      </c>
      <c r="AF13" s="849">
        <f>IFERROR(VLOOKUP(D10,geog!$B$14:$BN$63,geog!AV64),"")</f>
        <v>95</v>
      </c>
      <c r="AG13" s="849">
        <f>IFERROR(VLOOKUP(D10,ekonomi!$B$14:$BN$63,ekonomi!S64),"")</f>
        <v>88</v>
      </c>
      <c r="AH13" s="849">
        <f>IFERROR(VLOOKUP(D10,ekonomi!$B$14:$BN$63,ekonomi!AV64),"")</f>
        <v>88</v>
      </c>
      <c r="AI13" s="849">
        <f>IFERROR(VLOOKUP(D10,'sejarah peminatan'!$B$14:$BN$63,'sejarah peminatan'!S64),"")</f>
        <v>86</v>
      </c>
      <c r="AJ13" s="849">
        <f>IFERROR(VLOOKUP(D10,'sejarah peminatan'!$B$14:$BN$63,'sejarah peminatan'!AV64),"")</f>
        <v>85</v>
      </c>
      <c r="AK13" s="849" t="str">
        <f>IFERROR(VLOOKUP(D10,'PM5'!$B$14:$BN$63,'PM5'!S64),"")</f>
        <v/>
      </c>
      <c r="AL13" s="849" t="str">
        <f>IFERROR(VLOOKUP(D10,'PM5'!$B$14:$BN$63,'PM5'!AV64),"")</f>
        <v/>
      </c>
      <c r="AM13" s="849" t="str">
        <f>IFERROR(VLOOKUP(D10,'PM6'!$B$14:$BN$63,'PM6'!S64),"")</f>
        <v/>
      </c>
      <c r="AN13" s="849" t="str">
        <f>IFERROR(VLOOKUP(D10,'PM6'!$B$14:$BN$63,'PM6'!AV64),"")</f>
        <v/>
      </c>
      <c r="AO13" s="849">
        <f>IFERROR(VLOOKUP(D10,biologi!$B$14:$BN$63,biologi!S64),"")</f>
        <v>81</v>
      </c>
      <c r="AP13" s="849">
        <f>IFERROR(VLOOKUP(D10,biologi!$B$14:$BN$63,biologi!AV64),"")</f>
        <v>81</v>
      </c>
      <c r="AQ13" s="849">
        <f>IFERROR(VLOOKUP(D10,fissika!$B$14:$BN$63,fissika!S64),"")</f>
        <v>82</v>
      </c>
      <c r="AR13" s="851">
        <f>IFERROR(VLOOKUP(D10,fissika!$B$14:$BN$63,fissika!AV64),"")</f>
        <v>88</v>
      </c>
      <c r="AS13" s="823"/>
      <c r="AT13" s="824"/>
      <c r="AU13" s="823"/>
      <c r="AV13" s="814"/>
      <c r="AW13" s="814"/>
      <c r="AX13" s="824"/>
      <c r="AY13" s="2320"/>
      <c r="AZ13" s="2323"/>
      <c r="BA13" s="2326"/>
      <c r="BB13" s="2317"/>
      <c r="BC13" s="2317"/>
      <c r="BD13" s="829"/>
    </row>
    <row r="14" spans="1:56" ht="17.25" customHeight="1" thickBot="1">
      <c r="A14" s="829"/>
      <c r="B14" s="829"/>
      <c r="C14" s="829"/>
      <c r="D14" s="2340"/>
      <c r="E14" s="820" t="str">
        <f>VLOOKUP(D10,Data!$E$5:$AC$54,11)</f>
        <v>Desa Niunbaun</v>
      </c>
      <c r="F14" s="852" t="s">
        <v>257</v>
      </c>
      <c r="G14" s="854" t="str">
        <f>IFERROR(VLOOKUP(D10,PA!$B$14:$BN$63,PA!T64),"")</f>
        <v>A</v>
      </c>
      <c r="H14" s="853" t="str">
        <f>IFERROR(VLOOKUP(D10,PA!$B$14:$BN$63,PA!AW64),"")</f>
        <v>A</v>
      </c>
      <c r="I14" s="853" t="str">
        <f>IFERROR(VLOOKUP(D10,PKn!$B$14:$BN$63,PKn!T64),"")</f>
        <v>B</v>
      </c>
      <c r="J14" s="853" t="str">
        <f>IFERROR(VLOOKUP(D10,PKn!$B$14:$BN$63,PKn!AW64),"")</f>
        <v>A</v>
      </c>
      <c r="K14" s="853" t="str">
        <f>IFERROR(VLOOKUP(D10,BInd!$B$14:$BN$63,BInd!T64),"")</f>
        <v>C</v>
      </c>
      <c r="L14" s="853" t="str">
        <f>IFERROR(VLOOKUP(D10,PA!$B$14:$BN$63,PA!AW64),"")</f>
        <v>A</v>
      </c>
      <c r="M14" s="853" t="str">
        <f>IFERROR(VLOOKUP(D10,Mat!$B$14:$BN$63,Mat!T64),"")</f>
        <v>C</v>
      </c>
      <c r="N14" s="853" t="str">
        <f>IFERROR(VLOOKUP(D10,Mat!$B$14:$BN$63,Mat!AW64),"")</f>
        <v>B</v>
      </c>
      <c r="O14" s="853" t="str">
        <f>IFERROR(VLOOKUP(D10,SEJ!$B$14:$BN$63,SEJ!T64),"")</f>
        <v/>
      </c>
      <c r="P14" s="853" t="str">
        <f>IFERROR(VLOOKUP(D10,SEJ!$B$14:$BN$63,SEJ!AW64),"")</f>
        <v/>
      </c>
      <c r="Q14" s="853" t="str">
        <f>IFERROR(VLOOKUP(D10,BIng!$B$14:$BN$63,BIng!T64),"")</f>
        <v>C</v>
      </c>
      <c r="R14" s="855" t="str">
        <f>IFERROR(VLOOKUP(D10,BIng!$B$14:$BN$63,BIng!AW64),"")</f>
        <v>B</v>
      </c>
      <c r="S14" s="854" t="str">
        <f>IFERROR(VLOOKUP(D10,SB!$B$14:$BN$63,SB!T64),"")</f>
        <v>B</v>
      </c>
      <c r="T14" s="853" t="str">
        <f>IFERROR(VLOOKUP(D10,SB!$B$14:$BN$63,SB!AW64),"")</f>
        <v>B</v>
      </c>
      <c r="U14" s="853" t="str">
        <f>IFERROR(VLOOKUP(D10,pjok!$B$14:$BN$63,pjok!T64),"")</f>
        <v>B</v>
      </c>
      <c r="V14" s="853" t="str">
        <f>IFERROR(VLOOKUP(D10,pjok!$B$14:$BN$63,pjok!AW64),"")</f>
        <v>B</v>
      </c>
      <c r="W14" s="853" t="str">
        <f>IFERROR(VLOOKUP(D10,pkwu!$B$14:$BN$63,pkwu!T64),"")</f>
        <v>B</v>
      </c>
      <c r="X14" s="853" t="str">
        <f>IFERROR(VLOOKUP(D10,pkwu!$B$14:$BN$63,pkwu!AW64),"")</f>
        <v>C</v>
      </c>
      <c r="Y14" s="853" t="str">
        <f>IFERROR(VLOOKUP(D10,'Mlk1'!$B$14:$BN$63,'Mlk1'!T64),"")</f>
        <v/>
      </c>
      <c r="Z14" s="853" t="str">
        <f>IFERROR(VLOOKUP(D10,'Mlk1'!$B$14:$BN$63,'Mlk1'!AW64),"")</f>
        <v/>
      </c>
      <c r="AA14" s="853" t="str">
        <f>IFERROR(VLOOKUP(D10,'Ml2'!$B$14:$BN$63,'Ml2'!T64),"")</f>
        <v/>
      </c>
      <c r="AB14" s="853" t="str">
        <f>IFERROR(VLOOKUP(D10,'Ml2'!$B$14:$BN$63,'Ml2'!AW64),"")</f>
        <v/>
      </c>
      <c r="AC14" s="853" t="str">
        <f>IFERROR(VLOOKUP(D10,sosio!$B$14:$BN$63,sosio!T64),"")</f>
        <v>B</v>
      </c>
      <c r="AD14" s="1044" t="str">
        <f>IFERROR(VLOOKUP(D10,sosio!$B$14:$BN$63,sosio!AW64),"")</f>
        <v>B</v>
      </c>
      <c r="AE14" s="853" t="str">
        <f>IFERROR(VLOOKUP(D10,geog!$B$14:$BN$63,geog!T64),"")</f>
        <v>B</v>
      </c>
      <c r="AF14" s="853" t="str">
        <f>IFERROR(VLOOKUP(D10,geog!$B$14:$BN$63,geog!AW64),"")</f>
        <v>A</v>
      </c>
      <c r="AG14" s="853" t="str">
        <f>IFERROR(VLOOKUP(D10,ekonomi!$B$14:$BN$63,ekonomi!T64),"")</f>
        <v>B</v>
      </c>
      <c r="AH14" s="853" t="str">
        <f>IFERROR(VLOOKUP(D10,ekonomi!$B$14:$BN$63,ekonomi!AW64),"")</f>
        <v>B</v>
      </c>
      <c r="AI14" s="853" t="str">
        <f>IFERROR(VLOOKUP(D10,'sejarah peminatan'!$B$14:$BN$63,'sejarah peminatan'!T64),"")</f>
        <v>B</v>
      </c>
      <c r="AJ14" s="853" t="str">
        <f>IFERROR(VLOOKUP(D10,'sejarah peminatan'!$B$14:$BN$63,'sejarah peminatan'!AW64),"")</f>
        <v>B</v>
      </c>
      <c r="AK14" s="853" t="str">
        <f>IFERROR(VLOOKUP(D10,'PM5'!$B$14:$BN$63,'PM5'!T64),"")</f>
        <v/>
      </c>
      <c r="AL14" s="853" t="str">
        <f>IFERROR(VLOOKUP(D10,'PM5'!$B$14:$BN$63,'PM5'!AW64),"")</f>
        <v/>
      </c>
      <c r="AM14" s="853" t="str">
        <f>IFERROR(VLOOKUP(D10,'PM6'!$B$14:$BN$63,'PM6'!T64),"")</f>
        <v/>
      </c>
      <c r="AN14" s="853" t="str">
        <f>IFERROR(VLOOKUP(D10,'PM6'!$B$14:$BN$63,'PM6'!AW64),"")</f>
        <v/>
      </c>
      <c r="AO14" s="853" t="str">
        <f>IFERROR(VLOOKUP(D10,biologi!$B$14:$BN$63,biologi!T64),"")</f>
        <v>C</v>
      </c>
      <c r="AP14" s="853" t="str">
        <f>IFERROR(VLOOKUP(D10,biologi!$B$14:$BN$63,biologi!AW64),"")</f>
        <v>C</v>
      </c>
      <c r="AQ14" s="853" t="str">
        <f>IFERROR(VLOOKUP(D10,fissika!$B$14:$BN$63,fissika!T64),"")</f>
        <v>C</v>
      </c>
      <c r="AR14" s="855" t="str">
        <f>IFERROR(VLOOKUP(D10,fissika!$B$14:$BN$63,fissika!AW64),"")</f>
        <v>B</v>
      </c>
      <c r="AS14" s="817" t="str">
        <f>IFERROR(VLOOKUP(D10,Sikap!$B$15:$U$64,Sikap!F65),"")</f>
        <v>SB</v>
      </c>
      <c r="AT14" s="818" t="str">
        <f>IFERROR(VLOOKUP(D10,Sikap!$B$15:$U$64,Sikap!M65),"")</f>
        <v>SB</v>
      </c>
      <c r="AU14" s="817" t="str">
        <f>IF(VLOOKUP(D10,AbEk!$B$9:$U$58,AbEk!J60)=0,"",VLOOKUP(D10,AbEk!$B$9:$U$58,AbEk!J60))</f>
        <v>SB</v>
      </c>
      <c r="AV14" s="816" t="str">
        <f>IF(VLOOKUP(D10,AbEk!$B$9:$U$58,AbEk!M60)=0,"",VLOOKUP(D10,AbEk!$B$9:$U$58,AbEk!M60))</f>
        <v>SB</v>
      </c>
      <c r="AW14" s="816" t="str">
        <f>IF(VLOOKUP(D10,AbEk!$B$9:$U$58,AbEk!P60)=0,"",VLOOKUP(D10,AbEk!$B$9:$U$58,AbEk!P60))</f>
        <v>B</v>
      </c>
      <c r="AX14" s="818" t="str">
        <f>IF(VLOOKUP(D10,AbEk!$B$9:$U$58,AbEk!S60)=0,"",VLOOKUP(D10,AbEk!$B$9:$U$58,AbEk!S60))</f>
        <v/>
      </c>
      <c r="AY14" s="2321"/>
      <c r="AZ14" s="2324"/>
      <c r="BA14" s="2327"/>
      <c r="BB14" s="2318"/>
      <c r="BC14" s="2318"/>
      <c r="BD14" s="829"/>
    </row>
    <row r="15" spans="1:56" ht="17.25" customHeight="1">
      <c r="A15" s="829"/>
      <c r="B15" s="831">
        <f>COUNTA(Data!H5:H54)</f>
        <v>37</v>
      </c>
      <c r="C15" s="829"/>
      <c r="D15" s="2338">
        <f>IFERROR(IF((D10+1)&gt;$B$15,"",D10+1),"")</f>
        <v>2</v>
      </c>
      <c r="E15" s="856" t="str">
        <f>VLOOKUP(D15,Data!$E$5:$AC$54,4)</f>
        <v>Aprianus Bira</v>
      </c>
      <c r="F15" s="844" t="s">
        <v>586</v>
      </c>
      <c r="G15" s="846">
        <f>IFERROR(VLOOKUP(D15,PA!$B$14:$BN$63,PA!P64),"")</f>
        <v>90</v>
      </c>
      <c r="H15" s="845">
        <f>IFERROR(VLOOKUP(D15,PA!$B$14:$BN$63,PA!AV64),"")</f>
        <v>90</v>
      </c>
      <c r="I15" s="845">
        <f>IFERROR(VLOOKUP(D15,PKn!$B$14:$BN$63,PKn!P64),"")</f>
        <v>87</v>
      </c>
      <c r="J15" s="845">
        <f>IFERROR(VLOOKUP(D15,PKn!$B$14:$BN$63,PKn!AV64),"")</f>
        <v>95</v>
      </c>
      <c r="K15" s="845">
        <f>IFERROR(VLOOKUP(D15,BInd!$B$14:$BN$63,BInd!P64),"")</f>
        <v>85</v>
      </c>
      <c r="L15" s="845">
        <f>IFERROR(VLOOKUP(D15,BInd!$B$14:$BN$63,BInd!AV64),"")</f>
        <v>88</v>
      </c>
      <c r="M15" s="845">
        <f>IFERROR(VLOOKUP(D15,Mat!$B$14:$BN$63,Mat!P64),"")</f>
        <v>90</v>
      </c>
      <c r="N15" s="845">
        <f>IFERROR(VLOOKUP(D15,Mat!$B$14:$BN$63,Mat!AV64),"")</f>
        <v>90</v>
      </c>
      <c r="O15" s="845" t="str">
        <f>IFERROR(VLOOKUP(D15,SEJ!$B$14:$BN$63,SEJ!P64),"")</f>
        <v/>
      </c>
      <c r="P15" s="845" t="str">
        <f>IFERROR(VLOOKUP(D15,SEJ!$B$14:$BN$63,SEJ!AV64),"")</f>
        <v/>
      </c>
      <c r="Q15" s="845">
        <f>IFERROR(VLOOKUP(D15,BIng!$B$14:$BN$63,BIng!P64),"")</f>
        <v>85</v>
      </c>
      <c r="R15" s="847">
        <f>IFERROR(VLOOKUP(D15,BIng!$B$14:$BN$63,BIng!AV64),"")</f>
        <v>86</v>
      </c>
      <c r="S15" s="846">
        <f>IFERROR(VLOOKUP(D15,SB!$B$14:$BN$63,SB!P64),"")</f>
        <v>85</v>
      </c>
      <c r="T15" s="845">
        <f>IFERROR(VLOOKUP(D15,SB!$B$14:$BN$63,SB!AV64),"")</f>
        <v>90</v>
      </c>
      <c r="U15" s="845">
        <f>IFERROR(VLOOKUP(D15,pjok!$B$14:$BN$63,pjok!P64),"")</f>
        <v>84</v>
      </c>
      <c r="V15" s="845">
        <f>IFERROR(VLOOKUP(D15,pjok!$B$14:$BN$63,pjok!AV64),"")</f>
        <v>85</v>
      </c>
      <c r="W15" s="845">
        <f>IFERROR(VLOOKUP(D15,pkwu!$B$14:$BN$63,pkwu!P64),"")</f>
        <v>84</v>
      </c>
      <c r="X15" s="845">
        <f>IFERROR(VLOOKUP(D15,pkwu!$B$14:$BN$63,pkwu!AV64),"")</f>
        <v>80</v>
      </c>
      <c r="Y15" s="845" t="str">
        <f>IFERROR(VLOOKUP(D15,'Mlk1'!$B$14:$BN$63,'Mlk1'!P64),"")</f>
        <v/>
      </c>
      <c r="Z15" s="845" t="str">
        <f>IFERROR(VLOOKUP(D15,'Mlk1'!$B$14:$BN$63,'Mlk1'!AV64),"")</f>
        <v/>
      </c>
      <c r="AA15" s="845" t="str">
        <f>IFERROR(VLOOKUP(D15,'Ml2'!$B$14:$BN$63,'Ml2'!P64),"")</f>
        <v/>
      </c>
      <c r="AB15" s="845" t="str">
        <f>IFERROR(VLOOKUP(D15,'Ml2'!$B$14:$BN$63,'Ml2'!AV64),"")</f>
        <v/>
      </c>
      <c r="AC15" s="845">
        <f>IFERROR(VLOOKUP(D15,sosio!$B$14:$BN$63,sosio!P64),"")</f>
        <v>88</v>
      </c>
      <c r="AD15" s="1042">
        <f>IFERROR(VLOOKUP(D15,sosio!$B$14:$BN$63,sosio!AV64),"")</f>
        <v>85</v>
      </c>
      <c r="AE15" s="845">
        <f>IFERROR(VLOOKUP(D15,geog!$B$14:$BN$63,geog!P64),"")</f>
        <v>87</v>
      </c>
      <c r="AF15" s="845">
        <f>IFERROR(VLOOKUP(D15,geog!$B$14:$BN$63,geog!AV64),"")</f>
        <v>95</v>
      </c>
      <c r="AG15" s="845">
        <f>IFERROR(VLOOKUP(D15,ekonomi!$B$14:$BN$63,ekonomi!P64),"")</f>
        <v>84</v>
      </c>
      <c r="AH15" s="845">
        <f>IFERROR(VLOOKUP(D15,ekonomi!$B$14:$BN$63,ekonomi!AV64),"")</f>
        <v>88</v>
      </c>
      <c r="AI15" s="845">
        <f>IFERROR(VLOOKUP(D15,'sejarah peminatan'!$B$14:$BN$63,'sejarah peminatan'!P64),"")</f>
        <v>89</v>
      </c>
      <c r="AJ15" s="845">
        <f>IFERROR(VLOOKUP(D15,'sejarah peminatan'!$B$14:$BN$63,'sejarah peminatan'!AV64),"")</f>
        <v>85</v>
      </c>
      <c r="AK15" s="845" t="str">
        <f>IFERROR(VLOOKUP(D15,'PM5'!$B$14:$BN$63,'PM5'!P64),"")</f>
        <v/>
      </c>
      <c r="AL15" s="845" t="str">
        <f>IFERROR(VLOOKUP(D15,'PM5'!$B$14:$BN$63,'PM5'!AV64),"")</f>
        <v/>
      </c>
      <c r="AM15" s="845" t="str">
        <f>IFERROR(VLOOKUP(D15,'PM6'!$B$14:$BN$63,'PM6'!P64),"")</f>
        <v/>
      </c>
      <c r="AN15" s="845" t="str">
        <f>IFERROR(VLOOKUP(D15,'PM6'!$B$14:$BN$63,'PM6'!AV64),"")</f>
        <v/>
      </c>
      <c r="AO15" s="845">
        <f>IFERROR(VLOOKUP(D15,biologi!$B$14:$BN$63,biologi!P64),"")</f>
        <v>78</v>
      </c>
      <c r="AP15" s="845">
        <f>IFERROR(VLOOKUP(D15,biologi!$B$14:$BN$63,biologi!AV64),"")</f>
        <v>78</v>
      </c>
      <c r="AQ15" s="845">
        <f>IFERROR(VLOOKUP(D15,fissika!$B$14:$BN$63,fissika!P64),"")</f>
        <v>78</v>
      </c>
      <c r="AR15" s="847">
        <f>IFERROR(VLOOKUP(D15,fissika!$B$14:$BN$63,fissika!AV64),"")</f>
        <v>88</v>
      </c>
      <c r="AS15" s="821"/>
      <c r="AT15" s="822"/>
      <c r="AU15" s="821"/>
      <c r="AV15" s="819"/>
      <c r="AW15" s="819"/>
      <c r="AX15" s="822"/>
      <c r="AY15" s="2319">
        <f>VLOOKUP(D15,AbEk!$B$9:$U$58,5)</f>
        <v>4</v>
      </c>
      <c r="AZ15" s="2322">
        <f>VLOOKUP(D15,AbEk!$B$9:$U$58,6)</f>
        <v>3</v>
      </c>
      <c r="BA15" s="2325">
        <f>VLOOKUP(D15,AbEk!$B$9:$U$58,7)</f>
        <v>2</v>
      </c>
      <c r="BB15" s="2316"/>
      <c r="BC15" s="2316"/>
      <c r="BD15" s="829"/>
    </row>
    <row r="16" spans="1:56" ht="17.25" customHeight="1">
      <c r="A16" s="829"/>
      <c r="B16" s="829"/>
      <c r="C16" s="829"/>
      <c r="D16" s="2339"/>
      <c r="E16" s="815" t="str">
        <f>TEXT(VLOOKUP(D15,Data!$E$5:$AC$54,2),Data!$C$18)&amp;IF(VLOOKUP(D15,Data!$E$5:$AC$54,Data!$G$55)="",""," / "&amp;TEXT(VLOOKUP(D15,Data!$E$5:$AC$54,Data!$G$55),Data!$C$20))</f>
        <v>00000 / 0063406816</v>
      </c>
      <c r="F16" s="848" t="s">
        <v>254</v>
      </c>
      <c r="G16" s="850">
        <f>IFERROR(VLOOKUP(D15,PA!$B$14:$BN$63,PA!Q64),"")</f>
        <v>90</v>
      </c>
      <c r="H16" s="849"/>
      <c r="I16" s="849">
        <f>IFERROR(VLOOKUP(D15,PKn!$B$14:$BN$63,PKn!Q64),"")</f>
        <v>80</v>
      </c>
      <c r="J16" s="849"/>
      <c r="K16" s="849">
        <f>IFERROR(VLOOKUP(D15,BInd!$B$14:$BN$63,BInd!Q64),"")</f>
        <v>100</v>
      </c>
      <c r="L16" s="849"/>
      <c r="M16" s="849">
        <f>IFERROR(VLOOKUP(D15,Mat!$B$14:$BN$63,Mat!Q64),"")</f>
        <v>80</v>
      </c>
      <c r="N16" s="849"/>
      <c r="O16" s="849">
        <f>IFERROR(VLOOKUP(D15,SEJ!$B$14:$BN$63,SEJ!Q64),"")</f>
        <v>0</v>
      </c>
      <c r="P16" s="849"/>
      <c r="Q16" s="849">
        <f>IFERROR(VLOOKUP(D15,BIng!$B$14:$BN$63,BIng!Q64),"")</f>
        <v>85</v>
      </c>
      <c r="R16" s="851"/>
      <c r="S16" s="850">
        <f>IFERROR(VLOOKUP(D15,SB!$B$14:$BN$63,SB!Q64),"")</f>
        <v>88</v>
      </c>
      <c r="T16" s="849"/>
      <c r="U16" s="849">
        <f>IFERROR(VLOOKUP(D15,pjok!$B$14:$BN$63,pjok!Q64),"")</f>
        <v>86</v>
      </c>
      <c r="V16" s="849"/>
      <c r="W16" s="849">
        <f>IFERROR(VLOOKUP(D15,pkwu!$B$14:$BN$63,pkwu!Q64),"")</f>
        <v>80</v>
      </c>
      <c r="X16" s="849"/>
      <c r="Y16" s="849">
        <f>IFERROR(VLOOKUP(D15,'Mlk1'!$B$14:$BN$63,'Mlk1'!Q64),"")</f>
        <v>0</v>
      </c>
      <c r="Z16" s="849"/>
      <c r="AA16" s="849">
        <f>IFERROR(VLOOKUP(D15,'Ml2'!$B$14:$BN$63,'Ml2'!Q64),"")</f>
        <v>0</v>
      </c>
      <c r="AB16" s="849"/>
      <c r="AC16" s="849">
        <f>IFERROR(VLOOKUP(D15,sosio!$B$14:$BN$63,sosio!Q64),"")</f>
        <v>90</v>
      </c>
      <c r="AD16" s="1043"/>
      <c r="AE16" s="849">
        <f>IFERROR(VLOOKUP(D15,geog!$B$14:$BN$63,geog!Q64),"")</f>
        <v>80</v>
      </c>
      <c r="AF16" s="849"/>
      <c r="AG16" s="849">
        <f>IFERROR(VLOOKUP(D15,ekonomi!$B$14:$BN$63,ekonomi!Q64),"")</f>
        <v>86</v>
      </c>
      <c r="AH16" s="849"/>
      <c r="AI16" s="849">
        <f>IFERROR(VLOOKUP(D15,'sejarah peminatan'!$B$14:$BN$63,'sejarah peminatan'!Q64),"")</f>
        <v>88</v>
      </c>
      <c r="AJ16" s="849"/>
      <c r="AK16" s="849">
        <f>IFERROR(VLOOKUP(D15,'PM5'!$B$14:$BN$63,'PM5'!Q64),"")</f>
        <v>0</v>
      </c>
      <c r="AL16" s="849"/>
      <c r="AM16" s="849">
        <f>IFERROR(VLOOKUP(D15,'PM6'!$B$14:$BN$63,'PM6'!Q64),"")</f>
        <v>0</v>
      </c>
      <c r="AN16" s="849"/>
      <c r="AO16" s="849">
        <f>IFERROR(VLOOKUP(D15,biologi!$B$14:$BN$63,biologi!Q64),"")</f>
        <v>79</v>
      </c>
      <c r="AP16" s="849"/>
      <c r="AQ16" s="849">
        <f>IFERROR(VLOOKUP(D15,fissika!$B$14:$BN$63,fissika!Q64),"")</f>
        <v>87</v>
      </c>
      <c r="AR16" s="851"/>
      <c r="AS16" s="823"/>
      <c r="AT16" s="824"/>
      <c r="AU16" s="823"/>
      <c r="AV16" s="814"/>
      <c r="AW16" s="814"/>
      <c r="AX16" s="824"/>
      <c r="AY16" s="2320"/>
      <c r="AZ16" s="2323"/>
      <c r="BA16" s="2326"/>
      <c r="BB16" s="2317"/>
      <c r="BC16" s="2317"/>
      <c r="BD16" s="829"/>
    </row>
    <row r="17" spans="1:56" ht="17.25" customHeight="1">
      <c r="A17" s="829"/>
      <c r="B17" s="829"/>
      <c r="C17" s="829"/>
      <c r="D17" s="2339"/>
      <c r="E17" s="815" t="str">
        <f>VLOOKUP(D15,Data!$E$5:$AC$54,6)&amp;",  "&amp;TEXT(VLOOKUP(D15,Data!$E$5:$AC$54,7),"D MMMM YYY")</f>
        <v>Tapasab,  06/0/42006</v>
      </c>
      <c r="F17" s="848" t="s">
        <v>255</v>
      </c>
      <c r="G17" s="850">
        <f>IFERROR(VLOOKUP(D15,PA!$B$14:$BN$63,PA!R64),"")</f>
        <v>90</v>
      </c>
      <c r="H17" s="849"/>
      <c r="I17" s="849">
        <f>IFERROR(VLOOKUP(D15,PKn!$B$14:$BN$63,PKn!R64),"")</f>
        <v>87</v>
      </c>
      <c r="J17" s="849"/>
      <c r="K17" s="849">
        <f>IFERROR(VLOOKUP(D15,BInd!$B$14:$BN$63,BInd!R64),"")</f>
        <v>50</v>
      </c>
      <c r="L17" s="849"/>
      <c r="M17" s="849">
        <f>IFERROR(VLOOKUP(D15,Mat!$B$14:$BN$63,Mat!R64),"")</f>
        <v>80</v>
      </c>
      <c r="N17" s="849"/>
      <c r="O17" s="849">
        <f>IFERROR(VLOOKUP(D15,SEJ!$B$14:$BN$63,SEJ!R64),"")</f>
        <v>0</v>
      </c>
      <c r="P17" s="849"/>
      <c r="Q17" s="849">
        <f>IFERROR(VLOOKUP(D15,BIng!$B$14:$BN$63,BIng!R64),"")</f>
        <v>85</v>
      </c>
      <c r="R17" s="851"/>
      <c r="S17" s="850">
        <f>IFERROR(VLOOKUP(D15,SB!$B$14:$BN$63,SB!R64),"")</f>
        <v>85</v>
      </c>
      <c r="T17" s="849"/>
      <c r="U17" s="849">
        <f>IFERROR(VLOOKUP(D15,pjok!$B$14:$BN$63,pjok!R64),"")</f>
        <v>87</v>
      </c>
      <c r="V17" s="849"/>
      <c r="W17" s="849">
        <f>IFERROR(VLOOKUP(D15,pkwu!$B$14:$BN$63,pkwu!R64),"")</f>
        <v>80</v>
      </c>
      <c r="X17" s="849"/>
      <c r="Y17" s="849">
        <f>IFERROR(VLOOKUP(D15,'Mlk1'!$B$14:$BN$63,'Mlk1'!R64),"")</f>
        <v>0</v>
      </c>
      <c r="Z17" s="849"/>
      <c r="AA17" s="849">
        <f>IFERROR(VLOOKUP(D15,'Ml2'!$B$14:$BN$63,'Ml2'!R64),"")</f>
        <v>0</v>
      </c>
      <c r="AB17" s="849"/>
      <c r="AC17" s="849">
        <f>IFERROR(VLOOKUP(D15,sosio!$B$14:$BN$63,sosio!R64),"")</f>
        <v>82</v>
      </c>
      <c r="AD17" s="1043"/>
      <c r="AE17" s="849">
        <f>IFERROR(VLOOKUP(D15,geog!$B$14:$BN$63,geog!R64),"")</f>
        <v>86</v>
      </c>
      <c r="AF17" s="849"/>
      <c r="AG17" s="849">
        <f>IFERROR(VLOOKUP(D15,ekonomi!$B$14:$BN$63,ekonomi!R64),"")</f>
        <v>85</v>
      </c>
      <c r="AH17" s="849"/>
      <c r="AI17" s="849">
        <f>IFERROR(VLOOKUP(D15,'sejarah peminatan'!$B$14:$BN$63,'sejarah peminatan'!R64),"")</f>
        <v>76</v>
      </c>
      <c r="AJ17" s="849"/>
      <c r="AK17" s="849">
        <f>IFERROR(VLOOKUP(D15,'PM5'!$B$14:$BN$63,'PM5'!R64),"")</f>
        <v>0</v>
      </c>
      <c r="AL17" s="849"/>
      <c r="AM17" s="849">
        <f>IFERROR(VLOOKUP(D15,'PM6'!$B$14:$BN$63,'PM6'!R64),"")</f>
        <v>0</v>
      </c>
      <c r="AN17" s="849"/>
      <c r="AO17" s="849">
        <f>IFERROR(VLOOKUP(D15,biologi!$B$14:$BN$63,biologi!R64),"")</f>
        <v>79</v>
      </c>
      <c r="AP17" s="849"/>
      <c r="AQ17" s="849">
        <f>IFERROR(VLOOKUP(D15,fissika!$B$14:$BN$63,fissika!R64),"")</f>
        <v>85</v>
      </c>
      <c r="AR17" s="851"/>
      <c r="AS17" s="823"/>
      <c r="AT17" s="824"/>
      <c r="AU17" s="823"/>
      <c r="AV17" s="814"/>
      <c r="AW17" s="814"/>
      <c r="AX17" s="824"/>
      <c r="AY17" s="2320"/>
      <c r="AZ17" s="2323"/>
      <c r="BA17" s="2326"/>
      <c r="BB17" s="2317"/>
      <c r="BC17" s="2317"/>
      <c r="BD17" s="829"/>
    </row>
    <row r="18" spans="1:56" ht="17.25" customHeight="1">
      <c r="A18" s="829"/>
      <c r="B18" s="829"/>
      <c r="C18" s="829"/>
      <c r="D18" s="2339"/>
      <c r="E18" s="815" t="str">
        <f>VLOOKUP(D15,Data!$E$5:$AC$54,16)</f>
        <v>Sem Bira</v>
      </c>
      <c r="F18" s="848" t="s">
        <v>256</v>
      </c>
      <c r="G18" s="850">
        <f>IFERROR(VLOOKUP(D15,PA!$B$14:$BN$63,PA!S64),"")</f>
        <v>90</v>
      </c>
      <c r="H18" s="849">
        <f>IFERROR(VLOOKUP(D15,PA!$B$14:$BN$63,PA!AV64),"")</f>
        <v>90</v>
      </c>
      <c r="I18" s="849">
        <f>IFERROR(VLOOKUP(D15,PKn!$B$14:$BN$63,PKn!S64),"")</f>
        <v>85</v>
      </c>
      <c r="J18" s="849">
        <f>IFERROR(VLOOKUP(D15,PKn!$B$14:$BN$63,PKn!AV64),"")</f>
        <v>95</v>
      </c>
      <c r="K18" s="849">
        <f>IFERROR(VLOOKUP(D15,BInd!$B$14:$BN$63,BInd!S64),"")</f>
        <v>80</v>
      </c>
      <c r="L18" s="849">
        <f>IFERROR(VLOOKUP(D15,BInd!$B$14:$BN$63,BInd!AV64),"")</f>
        <v>88</v>
      </c>
      <c r="M18" s="849">
        <f>IFERROR(VLOOKUP(D15,Mat!$B$14:$BN$63,Mat!S64),"")</f>
        <v>85</v>
      </c>
      <c r="N18" s="849">
        <f>IFERROR(VLOOKUP(D15,Mat!$B$14:$BN$63,Mat!AV64),"")</f>
        <v>90</v>
      </c>
      <c r="O18" s="849" t="str">
        <f>IFERROR(VLOOKUP(D15,SEJ!$B$14:$BN$63,SEJ!S64),"")</f>
        <v/>
      </c>
      <c r="P18" s="849" t="str">
        <f>IFERROR(VLOOKUP(D15,SEJ!$B$14:$BN$63,SEJ!AV64),"")</f>
        <v/>
      </c>
      <c r="Q18" s="849">
        <f>IFERROR(VLOOKUP(D15,BIng!$B$14:$BN$63,BIng!S64),"")</f>
        <v>85</v>
      </c>
      <c r="R18" s="851">
        <f>IFERROR(VLOOKUP(D15,BIng!$B$14:$BN$63,BIng!AV64),"")</f>
        <v>86</v>
      </c>
      <c r="S18" s="850">
        <f>IFERROR(VLOOKUP(D15,SB!$B$14:$BN$63,SB!S64),"")</f>
        <v>86</v>
      </c>
      <c r="T18" s="849">
        <f>IFERROR(VLOOKUP(D15,SB!$B$14:$BN$63,SB!AV64),"")</f>
        <v>90</v>
      </c>
      <c r="U18" s="849">
        <f>IFERROR(VLOOKUP(D15,pjok!$B$14:$BN$63,pjok!S64),"")</f>
        <v>85</v>
      </c>
      <c r="V18" s="849">
        <f>IFERROR(VLOOKUP(D15,pjok!$B$14:$BN$63,pjok!AV64),"")</f>
        <v>85</v>
      </c>
      <c r="W18" s="849">
        <f>IFERROR(VLOOKUP(D15,pkwu!$B$14:$BN$63,pkwu!S64),"")</f>
        <v>82</v>
      </c>
      <c r="X18" s="849">
        <f>IFERROR(VLOOKUP(D15,pkwu!$B$14:$BN$63,pkwu!AV64),"")</f>
        <v>80</v>
      </c>
      <c r="Y18" s="849" t="str">
        <f>IFERROR(VLOOKUP(D15,'Mlk1'!$B$14:$BN$63,'Mlk1'!S64),"")</f>
        <v/>
      </c>
      <c r="Z18" s="849" t="str">
        <f>IFERROR(VLOOKUP(D15,'Mlk1'!$B$14:$BN$63,'Mlk1'!AV64),"")</f>
        <v/>
      </c>
      <c r="AA18" s="849" t="str">
        <f>IFERROR(VLOOKUP(D15,'Ml2'!$B$14:$BN$63,'Ml2'!S64),"")</f>
        <v/>
      </c>
      <c r="AB18" s="849" t="str">
        <f>IFERROR(VLOOKUP(D15,'Ml2'!$B$14:$BN$63,'Ml2'!AV64),"")</f>
        <v/>
      </c>
      <c r="AC18" s="849">
        <f>IFERROR(VLOOKUP(D15,sosio!$B$14:$BN$63,sosio!S64),"")</f>
        <v>87</v>
      </c>
      <c r="AD18" s="1043">
        <f>IFERROR(VLOOKUP(D15,sosio!$B$14:$BN$63,sosio!AV64),"")</f>
        <v>85</v>
      </c>
      <c r="AE18" s="849">
        <f>IFERROR(VLOOKUP(D15,geog!$B$14:$BN$63,geog!S64),"")</f>
        <v>85</v>
      </c>
      <c r="AF18" s="849">
        <f>IFERROR(VLOOKUP(D15,geog!$B$14:$BN$63,geog!AV64),"")</f>
        <v>95</v>
      </c>
      <c r="AG18" s="849">
        <f>IFERROR(VLOOKUP(D15,ekonomi!$B$14:$BN$63,ekonomi!S64),"")</f>
        <v>85</v>
      </c>
      <c r="AH18" s="849">
        <f>IFERROR(VLOOKUP(D15,ekonomi!$B$14:$BN$63,ekonomi!AV64),"")</f>
        <v>88</v>
      </c>
      <c r="AI18" s="849">
        <f>IFERROR(VLOOKUP(D15,'sejarah peminatan'!$B$14:$BN$63,'sejarah peminatan'!S64),"")</f>
        <v>86</v>
      </c>
      <c r="AJ18" s="849">
        <f>IFERROR(VLOOKUP(D15,'sejarah peminatan'!$B$14:$BN$63,'sejarah peminatan'!AV64),"")</f>
        <v>85</v>
      </c>
      <c r="AK18" s="849" t="str">
        <f>IFERROR(VLOOKUP(D15,'PM5'!$B$14:$BN$63,'PM5'!S64),"")</f>
        <v/>
      </c>
      <c r="AL18" s="849" t="str">
        <f>IFERROR(VLOOKUP(D15,'PM5'!$B$14:$BN$63,'PM5'!AV64),"")</f>
        <v/>
      </c>
      <c r="AM18" s="849" t="str">
        <f>IFERROR(VLOOKUP(D15,'PM6'!$B$14:$BN$63,'PM6'!S64),"")</f>
        <v/>
      </c>
      <c r="AN18" s="849" t="str">
        <f>IFERROR(VLOOKUP(D15,'PM6'!$B$14:$BN$63,'PM6'!AV64),"")</f>
        <v/>
      </c>
      <c r="AO18" s="849">
        <f>IFERROR(VLOOKUP(D15,biologi!$B$14:$BN$63,biologi!S64),"")</f>
        <v>79</v>
      </c>
      <c r="AP18" s="849">
        <f>IFERROR(VLOOKUP(D15,biologi!$B$14:$BN$63,biologi!AV64),"")</f>
        <v>78</v>
      </c>
      <c r="AQ18" s="849">
        <f>IFERROR(VLOOKUP(D15,fissika!$B$14:$BN$63,fissika!S64),"")</f>
        <v>82</v>
      </c>
      <c r="AR18" s="851">
        <f>IFERROR(VLOOKUP(D15,fissika!$B$14:$BN$63,fissika!AV64),"")</f>
        <v>88</v>
      </c>
      <c r="AS18" s="823"/>
      <c r="AT18" s="824"/>
      <c r="AU18" s="823"/>
      <c r="AV18" s="814"/>
      <c r="AW18" s="814"/>
      <c r="AX18" s="824"/>
      <c r="AY18" s="2320"/>
      <c r="AZ18" s="2323"/>
      <c r="BA18" s="2326"/>
      <c r="BB18" s="2317"/>
      <c r="BC18" s="2317"/>
      <c r="BD18" s="829"/>
    </row>
    <row r="19" spans="1:56" ht="17.25" customHeight="1" thickBot="1">
      <c r="A19" s="829"/>
      <c r="B19" s="829"/>
      <c r="C19" s="829"/>
      <c r="D19" s="2340"/>
      <c r="E19" s="820" t="str">
        <f>VLOOKUP(D15,Data!$E$5:$AC$54,11)</f>
        <v>Desa Raknamo</v>
      </c>
      <c r="F19" s="852" t="s">
        <v>257</v>
      </c>
      <c r="G19" s="854" t="str">
        <f>IFERROR(VLOOKUP(D15,PA!$B$14:$BN$63,PA!T64),"")</f>
        <v>B</v>
      </c>
      <c r="H19" s="853" t="str">
        <f>IFERROR(VLOOKUP(D15,PA!$B$14:$BN$63,PA!AW64),"")</f>
        <v>B</v>
      </c>
      <c r="I19" s="853" t="str">
        <f>IFERROR(VLOOKUP(D15,PKn!$B$14:$BN$63,PKn!T64),"")</f>
        <v>B</v>
      </c>
      <c r="J19" s="853" t="str">
        <f>IFERROR(VLOOKUP(D15,PKn!$B$14:$BN$63,PKn!AW64),"")</f>
        <v>A</v>
      </c>
      <c r="K19" s="853" t="str">
        <f>IFERROR(VLOOKUP(D15,BInd!$B$14:$BN$63,BInd!T64),"")</f>
        <v>C</v>
      </c>
      <c r="L19" s="853" t="str">
        <f>IFERROR(VLOOKUP(D15,PA!$B$14:$BN$63,PA!AW64),"")</f>
        <v>B</v>
      </c>
      <c r="M19" s="853" t="str">
        <f>IFERROR(VLOOKUP(D15,Mat!$B$14:$BN$63,Mat!T64),"")</f>
        <v>B</v>
      </c>
      <c r="N19" s="853" t="str">
        <f>IFERROR(VLOOKUP(D15,Mat!$B$14:$BN$63,Mat!AW64),"")</f>
        <v>B</v>
      </c>
      <c r="O19" s="853" t="str">
        <f>IFERROR(VLOOKUP(D15,SEJ!$B$14:$BN$63,SEJ!T64),"")</f>
        <v/>
      </c>
      <c r="P19" s="853" t="str">
        <f>IFERROR(VLOOKUP(D15,SEJ!$B$14:$BN$63,SEJ!AW64),"")</f>
        <v/>
      </c>
      <c r="Q19" s="853" t="str">
        <f>IFERROR(VLOOKUP(D15,BIng!$B$14:$BN$63,BIng!T64),"")</f>
        <v>B</v>
      </c>
      <c r="R19" s="855" t="str">
        <f>IFERROR(VLOOKUP(D15,BIng!$B$14:$BN$63,BIng!AW64),"")</f>
        <v>B</v>
      </c>
      <c r="S19" s="854" t="str">
        <f>IFERROR(VLOOKUP(D15,SB!$B$14:$BN$63,SB!T64),"")</f>
        <v>B</v>
      </c>
      <c r="T19" s="853" t="str">
        <f>IFERROR(VLOOKUP(D15,SB!$B$14:$BN$63,SB!AW64),"")</f>
        <v>B</v>
      </c>
      <c r="U19" s="853" t="str">
        <f>IFERROR(VLOOKUP(D15,pjok!$B$14:$BN$63,pjok!T64),"")</f>
        <v>B</v>
      </c>
      <c r="V19" s="853" t="str">
        <f>IFERROR(VLOOKUP(D15,pjok!$B$14:$BN$63,pjok!AW64),"")</f>
        <v>B</v>
      </c>
      <c r="W19" s="853" t="str">
        <f>IFERROR(VLOOKUP(D15,pkwu!$B$14:$BN$63,pkwu!T64),"")</f>
        <v>C</v>
      </c>
      <c r="X19" s="853" t="str">
        <f>IFERROR(VLOOKUP(D15,pkwu!$B$14:$BN$63,pkwu!AW64),"")</f>
        <v>C</v>
      </c>
      <c r="Y19" s="853" t="str">
        <f>IFERROR(VLOOKUP(D15,'Mlk1'!$B$14:$BN$63,'Mlk1'!T64),"")</f>
        <v/>
      </c>
      <c r="Z19" s="853" t="str">
        <f>IFERROR(VLOOKUP(D15,'Mlk1'!$B$14:$BN$63,'Mlk1'!AW64),"")</f>
        <v/>
      </c>
      <c r="AA19" s="853" t="str">
        <f>IFERROR(VLOOKUP(D15,'Ml2'!$B$14:$BN$63,'Ml2'!T64),"")</f>
        <v/>
      </c>
      <c r="AB19" s="853" t="str">
        <f>IFERROR(VLOOKUP(D15,'Ml2'!$B$14:$BN$63,'Ml2'!AW64),"")</f>
        <v/>
      </c>
      <c r="AC19" s="853" t="str">
        <f>IFERROR(VLOOKUP(D15,sosio!$B$14:$BN$63,sosio!T64),"")</f>
        <v>B</v>
      </c>
      <c r="AD19" s="1044" t="str">
        <f>IFERROR(VLOOKUP(D15,sosio!$B$14:$BN$63,sosio!AW64),"")</f>
        <v>B</v>
      </c>
      <c r="AE19" s="853" t="str">
        <f>IFERROR(VLOOKUP(D15,geog!$B$14:$BN$63,geog!T64),"")</f>
        <v>B</v>
      </c>
      <c r="AF19" s="853" t="str">
        <f>IFERROR(VLOOKUP(D15,geog!$B$14:$BN$63,geog!AW64),"")</f>
        <v>A</v>
      </c>
      <c r="AG19" s="853" t="str">
        <f>IFERROR(VLOOKUP(D15,ekonomi!$B$14:$BN$63,ekonomi!T64),"")</f>
        <v>B</v>
      </c>
      <c r="AH19" s="853" t="str">
        <f>IFERROR(VLOOKUP(D15,ekonomi!$B$14:$BN$63,ekonomi!AW64),"")</f>
        <v>B</v>
      </c>
      <c r="AI19" s="853" t="str">
        <f>IFERROR(VLOOKUP(D15,'sejarah peminatan'!$B$14:$BN$63,'sejarah peminatan'!T64),"")</f>
        <v>B</v>
      </c>
      <c r="AJ19" s="853" t="str">
        <f>IFERROR(VLOOKUP(D15,'sejarah peminatan'!$B$14:$BN$63,'sejarah peminatan'!AW64),"")</f>
        <v>B</v>
      </c>
      <c r="AK19" s="853" t="str">
        <f>IFERROR(VLOOKUP(D15,'PM5'!$B$14:$BN$63,'PM5'!T64),"")</f>
        <v/>
      </c>
      <c r="AL19" s="853" t="str">
        <f>IFERROR(VLOOKUP(D15,'PM5'!$B$14:$BN$63,'PM5'!AW64),"")</f>
        <v/>
      </c>
      <c r="AM19" s="853" t="str">
        <f>IFERROR(VLOOKUP(D15,'PM6'!$B$14:$BN$63,'PM6'!T64),"")</f>
        <v/>
      </c>
      <c r="AN19" s="853" t="str">
        <f>IFERROR(VLOOKUP(D15,'PM6'!$B$14:$BN$63,'PM6'!AW64),"")</f>
        <v/>
      </c>
      <c r="AO19" s="853" t="str">
        <f>IFERROR(VLOOKUP(D15,biologi!$B$14:$BN$63,biologi!T64),"")</f>
        <v>C</v>
      </c>
      <c r="AP19" s="853" t="str">
        <f>IFERROR(VLOOKUP(D15,biologi!$B$14:$BN$63,biologi!AW64),"")</f>
        <v>C</v>
      </c>
      <c r="AQ19" s="853" t="str">
        <f>IFERROR(VLOOKUP(D15,fissika!$B$14:$BN$63,fissika!T64),"")</f>
        <v>C</v>
      </c>
      <c r="AR19" s="855" t="str">
        <f>IFERROR(VLOOKUP(D15,fissika!$B$14:$BN$63,fissika!AW64),"")</f>
        <v>B</v>
      </c>
      <c r="AS19" s="817" t="str">
        <f>IFERROR(VLOOKUP(D15,Sikap!$B$15:$U$64,Sikap!F65),"")</f>
        <v>SB</v>
      </c>
      <c r="AT19" s="818" t="str">
        <f>IFERROR(VLOOKUP(D15,Sikap!$B$15:$U$64,Sikap!M65),"")</f>
        <v>SB</v>
      </c>
      <c r="AU19" s="817" t="str">
        <f>IF(VLOOKUP(D15,AbEk!$B$9:$U$58,AbEk!J60)=0,"",VLOOKUP(D15,AbEk!$B$9:$U$58,AbEk!J60))</f>
        <v>B</v>
      </c>
      <c r="AV19" s="816" t="str">
        <f>IF(VLOOKUP(D15,AbEk!$B$9:$U$58,AbEk!M60)=0,"",VLOOKUP(D15,AbEk!$B$9:$U$58,AbEk!M60))</f>
        <v>B</v>
      </c>
      <c r="AW19" s="816" t="str">
        <f>IF(VLOOKUP(D15,AbEk!$B$9:$U$58,AbEk!P60)=0,"",VLOOKUP(D15,AbEk!$B$9:$U$58,AbEk!P60))</f>
        <v>SB</v>
      </c>
      <c r="AX19" s="818" t="str">
        <f>IF(VLOOKUP(D15,AbEk!$B$9:$U$58,AbEk!S60)=0,"",VLOOKUP(D15,AbEk!$B$9:$U$58,AbEk!S60))</f>
        <v>B</v>
      </c>
      <c r="AY19" s="2321"/>
      <c r="AZ19" s="2324"/>
      <c r="BA19" s="2327"/>
      <c r="BB19" s="2318"/>
      <c r="BC19" s="2318"/>
      <c r="BD19" s="829"/>
    </row>
    <row r="20" spans="1:56" ht="17.25" customHeight="1">
      <c r="A20" s="829"/>
      <c r="B20" s="829"/>
      <c r="C20" s="829"/>
      <c r="D20" s="2338">
        <f>IFERROR(IF((D15+1)&gt;$B$15,"",D15+1),"")</f>
        <v>3</v>
      </c>
      <c r="E20" s="856" t="str">
        <f>VLOOKUP(D20,Data!$E$5:$AC$54,4)</f>
        <v>Asri Aldina Baksuni</v>
      </c>
      <c r="F20" s="844" t="s">
        <v>586</v>
      </c>
      <c r="G20" s="846">
        <f>IFERROR(VLOOKUP(D20,PA!$B$14:$BN$63,PA!P64),"")</f>
        <v>95</v>
      </c>
      <c r="H20" s="845">
        <f>IFERROR(VLOOKUP(D20,PA!$B$14:$BN$63,PA!AV64),"")</f>
        <v>95</v>
      </c>
      <c r="I20" s="845">
        <f>IFERROR(VLOOKUP(D20,PKn!$B$14:$BN$63,PKn!P64),"")</f>
        <v>84</v>
      </c>
      <c r="J20" s="845">
        <f>IFERROR(VLOOKUP(D20,PKn!$B$14:$BN$63,PKn!AV64),"")</f>
        <v>95</v>
      </c>
      <c r="K20" s="845">
        <f>IFERROR(VLOOKUP(D20,BInd!$B$14:$BN$63,BInd!P64),"")</f>
        <v>85</v>
      </c>
      <c r="L20" s="845">
        <f>IFERROR(VLOOKUP(D20,BInd!$B$14:$BN$63,BInd!AV64),"")</f>
        <v>88</v>
      </c>
      <c r="M20" s="845">
        <f>IFERROR(VLOOKUP(D20,Mat!$B$14:$BN$63,Mat!P64),"")</f>
        <v>86</v>
      </c>
      <c r="N20" s="845">
        <f>IFERROR(VLOOKUP(D20,Mat!$B$14:$BN$63,Mat!AV64),"")</f>
        <v>86</v>
      </c>
      <c r="O20" s="845" t="str">
        <f>IFERROR(VLOOKUP(D20,SEJ!$B$14:$BN$63,SEJ!P64),"")</f>
        <v/>
      </c>
      <c r="P20" s="845" t="str">
        <f>IFERROR(VLOOKUP(D20,SEJ!$B$14:$BN$63,SEJ!AV64),"")</f>
        <v/>
      </c>
      <c r="Q20" s="845">
        <f>IFERROR(VLOOKUP(D20,BIng!$B$14:$BN$63,BIng!P64),"")</f>
        <v>87</v>
      </c>
      <c r="R20" s="847">
        <f>IFERROR(VLOOKUP(D20,BIng!$B$14:$BN$63,BIng!AV64),"")</f>
        <v>86</v>
      </c>
      <c r="S20" s="846">
        <f>IFERROR(VLOOKUP(D20,SB!$B$14:$BN$63,SB!P64),"")</f>
        <v>87</v>
      </c>
      <c r="T20" s="845">
        <f>IFERROR(VLOOKUP(D20,SB!$B$14:$BN$63,SB!AV64),"")</f>
        <v>90</v>
      </c>
      <c r="U20" s="845">
        <f>IFERROR(VLOOKUP(D20,pjok!$B$14:$BN$63,pjok!P64),"")</f>
        <v>85</v>
      </c>
      <c r="V20" s="845">
        <f>IFERROR(VLOOKUP(D20,pjok!$B$14:$BN$63,pjok!AV64),"")</f>
        <v>85</v>
      </c>
      <c r="W20" s="845">
        <f>IFERROR(VLOOKUP(D20,pkwu!$B$14:$BN$63,pkwu!P64),"")</f>
        <v>91</v>
      </c>
      <c r="X20" s="845">
        <f>IFERROR(VLOOKUP(D20,pkwu!$B$14:$BN$63,pkwu!AV64),"")</f>
        <v>90</v>
      </c>
      <c r="Y20" s="845" t="str">
        <f>IFERROR(VLOOKUP(D20,'Mlk1'!$B$14:$BN$63,'Mlk1'!P64),"")</f>
        <v/>
      </c>
      <c r="Z20" s="845" t="str">
        <f>IFERROR(VLOOKUP(D20,'Mlk1'!$B$14:$BN$63,'Mlk1'!AV64),"")</f>
        <v/>
      </c>
      <c r="AA20" s="845" t="str">
        <f>IFERROR(VLOOKUP(D20,'Ml2'!$B$14:$BN$63,'Ml2'!P64),"")</f>
        <v/>
      </c>
      <c r="AB20" s="845" t="str">
        <f>IFERROR(VLOOKUP(D20,'Ml2'!$B$14:$BN$63,'Ml2'!AV64),"")</f>
        <v/>
      </c>
      <c r="AC20" s="845">
        <f>IFERROR(VLOOKUP(D20,sosio!$B$14:$BN$63,sosio!P64),"")</f>
        <v>93</v>
      </c>
      <c r="AD20" s="1042">
        <f>IFERROR(VLOOKUP(D20,sosio!$B$14:$BN$63,sosio!AV64),"")</f>
        <v>85</v>
      </c>
      <c r="AE20" s="845">
        <f>IFERROR(VLOOKUP(D20,geog!$B$14:$BN$63,geog!P64),"")</f>
        <v>89</v>
      </c>
      <c r="AF20" s="845">
        <f>IFERROR(VLOOKUP(D20,geog!$B$14:$BN$63,geog!AV64),"")</f>
        <v>95</v>
      </c>
      <c r="AG20" s="845">
        <f>IFERROR(VLOOKUP(D20,ekonomi!$B$14:$BN$63,ekonomi!P64),"")</f>
        <v>89</v>
      </c>
      <c r="AH20" s="845">
        <f>IFERROR(VLOOKUP(D20,ekonomi!$B$14:$BN$63,ekonomi!AV64),"")</f>
        <v>88</v>
      </c>
      <c r="AI20" s="845">
        <f>IFERROR(VLOOKUP(D20,'sejarah peminatan'!$B$14:$BN$63,'sejarah peminatan'!P64),"")</f>
        <v>92</v>
      </c>
      <c r="AJ20" s="845">
        <f>IFERROR(VLOOKUP(D20,'sejarah peminatan'!$B$14:$BN$63,'sejarah peminatan'!AV64),"")</f>
        <v>85</v>
      </c>
      <c r="AK20" s="845" t="str">
        <f>IFERROR(VLOOKUP(D20,'PM5'!$B$14:$BN$63,'PM5'!P64),"")</f>
        <v/>
      </c>
      <c r="AL20" s="845" t="str">
        <f>IFERROR(VLOOKUP(D20,'PM5'!$B$14:$BN$63,'PM5'!AV64),"")</f>
        <v/>
      </c>
      <c r="AM20" s="845" t="str">
        <f>IFERROR(VLOOKUP(D20,'PM6'!$B$14:$BN$63,'PM6'!P64),"")</f>
        <v/>
      </c>
      <c r="AN20" s="845" t="str">
        <f>IFERROR(VLOOKUP(D20,'PM6'!$B$14:$BN$63,'PM6'!AV64),"")</f>
        <v/>
      </c>
      <c r="AO20" s="845">
        <f>IFERROR(VLOOKUP(D20,biologi!$B$14:$BN$63,biologi!P64),"")</f>
        <v>79</v>
      </c>
      <c r="AP20" s="845">
        <f>IFERROR(VLOOKUP(D20,biologi!$B$14:$BN$63,biologi!AV64),"")</f>
        <v>79</v>
      </c>
      <c r="AQ20" s="845">
        <f>IFERROR(VLOOKUP(D20,fissika!$B$14:$BN$63,fissika!P64),"")</f>
        <v>78</v>
      </c>
      <c r="AR20" s="847">
        <f>IFERROR(VLOOKUP(D20,fissika!$B$14:$BN$63,fissika!AV64),"")</f>
        <v>89</v>
      </c>
      <c r="AS20" s="821"/>
      <c r="AT20" s="822"/>
      <c r="AU20" s="821"/>
      <c r="AV20" s="819"/>
      <c r="AW20" s="819"/>
      <c r="AX20" s="822"/>
      <c r="AY20" s="2319">
        <f>VLOOKUP(D20,AbEk!$B$9:$U$58,5)</f>
        <v>0</v>
      </c>
      <c r="AZ20" s="2322">
        <f>VLOOKUP(D20,AbEk!$B$9:$U$58,6)</f>
        <v>0</v>
      </c>
      <c r="BA20" s="2325">
        <f>VLOOKUP(D20,AbEk!$B$9:$U$58,7)</f>
        <v>0</v>
      </c>
      <c r="BB20" s="2316"/>
      <c r="BC20" s="2316"/>
      <c r="BD20" s="829"/>
    </row>
    <row r="21" spans="1:56" ht="17.25" customHeight="1">
      <c r="A21" s="829"/>
      <c r="B21" s="829"/>
      <c r="C21" s="829"/>
      <c r="D21" s="2339"/>
      <c r="E21" s="815" t="str">
        <f>TEXT(VLOOKUP(D20,Data!$E$5:$AC$54,2),Data!$C$18)&amp;IF(VLOOKUP(D20,Data!$E$5:$AC$54,Data!$G$55)="",""," / "&amp;TEXT(VLOOKUP(D20,Data!$E$5:$AC$54,Data!$G$55),Data!$C$20))</f>
        <v>00000 / 0064279978</v>
      </c>
      <c r="F21" s="848" t="s">
        <v>254</v>
      </c>
      <c r="G21" s="850">
        <f>IFERROR(VLOOKUP(D20,PA!$B$14:$BN$63,PA!Q64),"")</f>
        <v>95</v>
      </c>
      <c r="H21" s="849"/>
      <c r="I21" s="849">
        <f>IFERROR(VLOOKUP(D20,PKn!$B$14:$BN$63,PKn!Q64),"")</f>
        <v>89</v>
      </c>
      <c r="J21" s="849"/>
      <c r="K21" s="849">
        <f>IFERROR(VLOOKUP(D20,BInd!$B$14:$BN$63,BInd!Q64),"")</f>
        <v>93</v>
      </c>
      <c r="L21" s="849"/>
      <c r="M21" s="849">
        <f>IFERROR(VLOOKUP(D20,Mat!$B$14:$BN$63,Mat!Q64),"")</f>
        <v>90</v>
      </c>
      <c r="N21" s="849"/>
      <c r="O21" s="849">
        <f>IFERROR(VLOOKUP(D20,SEJ!$B$14:$BN$63,SEJ!Q64),"")</f>
        <v>0</v>
      </c>
      <c r="P21" s="849"/>
      <c r="Q21" s="849">
        <f>IFERROR(VLOOKUP(D20,BIng!$B$14:$BN$63,BIng!Q64),"")</f>
        <v>86</v>
      </c>
      <c r="R21" s="851"/>
      <c r="S21" s="850">
        <f>IFERROR(VLOOKUP(D20,SB!$B$14:$BN$63,SB!Q64),"")</f>
        <v>85</v>
      </c>
      <c r="T21" s="849"/>
      <c r="U21" s="849">
        <f>IFERROR(VLOOKUP(D20,pjok!$B$14:$BN$63,pjok!Q64),"")</f>
        <v>87</v>
      </c>
      <c r="V21" s="849"/>
      <c r="W21" s="849">
        <f>IFERROR(VLOOKUP(D20,pkwu!$B$14:$BN$63,pkwu!Q64),"")</f>
        <v>90</v>
      </c>
      <c r="X21" s="849"/>
      <c r="Y21" s="849">
        <f>IFERROR(VLOOKUP(D20,'Mlk1'!$B$14:$BN$63,'Mlk1'!Q64),"")</f>
        <v>0</v>
      </c>
      <c r="Z21" s="849"/>
      <c r="AA21" s="849">
        <f>IFERROR(VLOOKUP(D20,'Ml2'!$B$14:$BN$63,'Ml2'!Q64),"")</f>
        <v>0</v>
      </c>
      <c r="AB21" s="849"/>
      <c r="AC21" s="849">
        <f>IFERROR(VLOOKUP(D20,sosio!$B$14:$BN$63,sosio!Q64),"")</f>
        <v>90</v>
      </c>
      <c r="AD21" s="1043"/>
      <c r="AE21" s="849">
        <f>IFERROR(VLOOKUP(D20,geog!$B$14:$BN$63,geog!Q64),"")</f>
        <v>85</v>
      </c>
      <c r="AF21" s="849"/>
      <c r="AG21" s="849">
        <f>IFERROR(VLOOKUP(D20,ekonomi!$B$14:$BN$63,ekonomi!Q64),"")</f>
        <v>94</v>
      </c>
      <c r="AH21" s="849"/>
      <c r="AI21" s="849">
        <f>IFERROR(VLOOKUP(D20,'sejarah peminatan'!$B$14:$BN$63,'sejarah peminatan'!Q64),"")</f>
        <v>88</v>
      </c>
      <c r="AJ21" s="849"/>
      <c r="AK21" s="849">
        <f>IFERROR(VLOOKUP(D20,'PM5'!$B$14:$BN$63,'PM5'!Q64),"")</f>
        <v>0</v>
      </c>
      <c r="AL21" s="849"/>
      <c r="AM21" s="849">
        <f>IFERROR(VLOOKUP(D20,'PM6'!$B$14:$BN$63,'PM6'!Q64),"")</f>
        <v>0</v>
      </c>
      <c r="AN21" s="849"/>
      <c r="AO21" s="849">
        <f>IFERROR(VLOOKUP(D20,biologi!$B$14:$BN$63,biologi!Q64),"")</f>
        <v>79</v>
      </c>
      <c r="AP21" s="849"/>
      <c r="AQ21" s="849">
        <f>IFERROR(VLOOKUP(D20,fissika!$B$14:$BN$63,fissika!Q64),"")</f>
        <v>88</v>
      </c>
      <c r="AR21" s="851"/>
      <c r="AS21" s="823"/>
      <c r="AT21" s="824"/>
      <c r="AU21" s="823"/>
      <c r="AV21" s="814"/>
      <c r="AW21" s="814"/>
      <c r="AX21" s="824"/>
      <c r="AY21" s="2320"/>
      <c r="AZ21" s="2323"/>
      <c r="BA21" s="2326"/>
      <c r="BB21" s="2317"/>
      <c r="BC21" s="2317"/>
      <c r="BD21" s="829"/>
    </row>
    <row r="22" spans="1:56" ht="17.25" customHeight="1">
      <c r="A22" s="829"/>
      <c r="B22" s="829"/>
      <c r="C22" s="829"/>
      <c r="D22" s="2339"/>
      <c r="E22" s="815" t="str">
        <f>VLOOKUP(D20,Data!$E$5:$AC$54,6)&amp;",  "&amp;TEXT(VLOOKUP(D20,Data!$E$5:$AC$54,7),"D MMMM YYY")</f>
        <v>Raknamo,  6 August 2006</v>
      </c>
      <c r="F22" s="848" t="s">
        <v>255</v>
      </c>
      <c r="G22" s="850">
        <f>IFERROR(VLOOKUP(D20,PA!$B$14:$BN$63,PA!R64),"")</f>
        <v>95</v>
      </c>
      <c r="H22" s="849"/>
      <c r="I22" s="849">
        <f>IFERROR(VLOOKUP(D20,PKn!$B$14:$BN$63,PKn!R64),"")</f>
        <v>78</v>
      </c>
      <c r="J22" s="849"/>
      <c r="K22" s="849">
        <f>IFERROR(VLOOKUP(D20,BInd!$B$14:$BN$63,BInd!R64),"")</f>
        <v>55</v>
      </c>
      <c r="L22" s="849"/>
      <c r="M22" s="849">
        <f>IFERROR(VLOOKUP(D20,Mat!$B$14:$BN$63,Mat!R64),"")</f>
        <v>80</v>
      </c>
      <c r="N22" s="849"/>
      <c r="O22" s="849">
        <f>IFERROR(VLOOKUP(D20,SEJ!$B$14:$BN$63,SEJ!R64),"")</f>
        <v>0</v>
      </c>
      <c r="P22" s="849"/>
      <c r="Q22" s="849">
        <f>IFERROR(VLOOKUP(D20,BIng!$B$14:$BN$63,BIng!R64),"")</f>
        <v>88</v>
      </c>
      <c r="R22" s="851"/>
      <c r="S22" s="850">
        <f>IFERROR(VLOOKUP(D20,SB!$B$14:$BN$63,SB!R64),"")</f>
        <v>88</v>
      </c>
      <c r="T22" s="849"/>
      <c r="U22" s="849">
        <f>IFERROR(VLOOKUP(D20,pjok!$B$14:$BN$63,pjok!R64),"")</f>
        <v>84</v>
      </c>
      <c r="V22" s="849"/>
      <c r="W22" s="849">
        <f>IFERROR(VLOOKUP(D20,pkwu!$B$14:$BN$63,pkwu!R64),"")</f>
        <v>88</v>
      </c>
      <c r="X22" s="849"/>
      <c r="Y22" s="849">
        <f>IFERROR(VLOOKUP(D20,'Mlk1'!$B$14:$BN$63,'Mlk1'!R64),"")</f>
        <v>0</v>
      </c>
      <c r="Z22" s="849"/>
      <c r="AA22" s="849">
        <f>IFERROR(VLOOKUP(D20,'Ml2'!$B$14:$BN$63,'Ml2'!R64),"")</f>
        <v>0</v>
      </c>
      <c r="AB22" s="849"/>
      <c r="AC22" s="849">
        <f>IFERROR(VLOOKUP(D20,sosio!$B$14:$BN$63,sosio!R64),"")</f>
        <v>94</v>
      </c>
      <c r="AD22" s="1043"/>
      <c r="AE22" s="849">
        <f>IFERROR(VLOOKUP(D20,geog!$B$14:$BN$63,geog!R64),"")</f>
        <v>86</v>
      </c>
      <c r="AF22" s="849"/>
      <c r="AG22" s="849">
        <f>IFERROR(VLOOKUP(D20,ekonomi!$B$14:$BN$63,ekonomi!R64),"")</f>
        <v>95</v>
      </c>
      <c r="AH22" s="849"/>
      <c r="AI22" s="849">
        <f>IFERROR(VLOOKUP(D20,'sejarah peminatan'!$B$14:$BN$63,'sejarah peminatan'!R64),"")</f>
        <v>76</v>
      </c>
      <c r="AJ22" s="849"/>
      <c r="AK22" s="849">
        <f>IFERROR(VLOOKUP(D20,'PM5'!$B$14:$BN$63,'PM5'!R64),"")</f>
        <v>0</v>
      </c>
      <c r="AL22" s="849"/>
      <c r="AM22" s="849">
        <f>IFERROR(VLOOKUP(D20,'PM6'!$B$14:$BN$63,'PM6'!R64),"")</f>
        <v>0</v>
      </c>
      <c r="AN22" s="849"/>
      <c r="AO22" s="849">
        <f>IFERROR(VLOOKUP(D20,biologi!$B$14:$BN$63,biologi!R64),"")</f>
        <v>79</v>
      </c>
      <c r="AP22" s="849"/>
      <c r="AQ22" s="849">
        <f>IFERROR(VLOOKUP(D20,fissika!$B$14:$BN$63,fissika!R64),"")</f>
        <v>88</v>
      </c>
      <c r="AR22" s="851"/>
      <c r="AS22" s="823"/>
      <c r="AT22" s="824"/>
      <c r="AU22" s="823"/>
      <c r="AV22" s="814"/>
      <c r="AW22" s="814"/>
      <c r="AX22" s="824"/>
      <c r="AY22" s="2320"/>
      <c r="AZ22" s="2323"/>
      <c r="BA22" s="2326"/>
      <c r="BB22" s="2317"/>
      <c r="BC22" s="2317"/>
      <c r="BD22" s="829"/>
    </row>
    <row r="23" spans="1:56" ht="17.25" customHeight="1">
      <c r="A23" s="829"/>
      <c r="B23" s="829"/>
      <c r="C23" s="829"/>
      <c r="D23" s="2339"/>
      <c r="E23" s="815" t="str">
        <f>VLOOKUP(D20,Data!$E$5:$AC$54,16)</f>
        <v>Daud Baksuni</v>
      </c>
      <c r="F23" s="848" t="s">
        <v>256</v>
      </c>
      <c r="G23" s="850">
        <f>IFERROR(VLOOKUP(D20,PA!$B$14:$BN$63,PA!S64),"")</f>
        <v>95</v>
      </c>
      <c r="H23" s="849">
        <f>IFERROR(VLOOKUP(D20,PA!$B$14:$BN$63,PA!AV64),"")</f>
        <v>95</v>
      </c>
      <c r="I23" s="849">
        <f>IFERROR(VLOOKUP(D20,PKn!$B$14:$BN$63,PKn!S64),"")</f>
        <v>84</v>
      </c>
      <c r="J23" s="849">
        <f>IFERROR(VLOOKUP(D20,PKn!$B$14:$BN$63,PKn!AV64),"")</f>
        <v>95</v>
      </c>
      <c r="K23" s="849">
        <f>IFERROR(VLOOKUP(D20,BInd!$B$14:$BN$63,BInd!S64),"")</f>
        <v>80</v>
      </c>
      <c r="L23" s="849">
        <f>IFERROR(VLOOKUP(D20,BInd!$B$14:$BN$63,BInd!AV64),"")</f>
        <v>88</v>
      </c>
      <c r="M23" s="849">
        <f>IFERROR(VLOOKUP(D20,Mat!$B$14:$BN$63,Mat!S64),"")</f>
        <v>86</v>
      </c>
      <c r="N23" s="849">
        <f>IFERROR(VLOOKUP(D20,Mat!$B$14:$BN$63,Mat!AV64),"")</f>
        <v>86</v>
      </c>
      <c r="O23" s="849" t="str">
        <f>IFERROR(VLOOKUP(D20,SEJ!$B$14:$BN$63,SEJ!S64),"")</f>
        <v/>
      </c>
      <c r="P23" s="849" t="str">
        <f>IFERROR(VLOOKUP(D20,SEJ!$B$14:$BN$63,SEJ!AV64),"")</f>
        <v/>
      </c>
      <c r="Q23" s="849">
        <f>IFERROR(VLOOKUP(D20,BIng!$B$14:$BN$63,BIng!S64),"")</f>
        <v>87</v>
      </c>
      <c r="R23" s="851">
        <f>IFERROR(VLOOKUP(D20,BIng!$B$14:$BN$63,BIng!AV64),"")</f>
        <v>86</v>
      </c>
      <c r="S23" s="850">
        <f>IFERROR(VLOOKUP(D20,SB!$B$14:$BN$63,SB!S64),"")</f>
        <v>87</v>
      </c>
      <c r="T23" s="849">
        <f>IFERROR(VLOOKUP(D20,SB!$B$14:$BN$63,SB!AV64),"")</f>
        <v>90</v>
      </c>
      <c r="U23" s="849">
        <f>IFERROR(VLOOKUP(D20,pjok!$B$14:$BN$63,pjok!S64),"")</f>
        <v>85</v>
      </c>
      <c r="V23" s="849">
        <f>IFERROR(VLOOKUP(D20,pjok!$B$14:$BN$63,pjok!AV64),"")</f>
        <v>85</v>
      </c>
      <c r="W23" s="849">
        <f>IFERROR(VLOOKUP(D20,pkwu!$B$14:$BN$63,pkwu!S64),"")</f>
        <v>90</v>
      </c>
      <c r="X23" s="849">
        <f>IFERROR(VLOOKUP(D20,pkwu!$B$14:$BN$63,pkwu!AV64),"")</f>
        <v>90</v>
      </c>
      <c r="Y23" s="849" t="str">
        <f>IFERROR(VLOOKUP(D20,'Mlk1'!$B$14:$BN$63,'Mlk1'!S64),"")</f>
        <v/>
      </c>
      <c r="Z23" s="849" t="str">
        <f>IFERROR(VLOOKUP(D20,'Mlk1'!$B$14:$BN$63,'Mlk1'!AV64),"")</f>
        <v/>
      </c>
      <c r="AA23" s="849" t="str">
        <f>IFERROR(VLOOKUP(D20,'Ml2'!$B$14:$BN$63,'Ml2'!S64),"")</f>
        <v/>
      </c>
      <c r="AB23" s="849" t="str">
        <f>IFERROR(VLOOKUP(D20,'Ml2'!$B$14:$BN$63,'Ml2'!AV64),"")</f>
        <v/>
      </c>
      <c r="AC23" s="849">
        <f>IFERROR(VLOOKUP(D20,sosio!$B$14:$BN$63,sosio!S64),"")</f>
        <v>93</v>
      </c>
      <c r="AD23" s="1043">
        <f>IFERROR(VLOOKUP(D20,sosio!$B$14:$BN$63,sosio!AV64),"")</f>
        <v>85</v>
      </c>
      <c r="AE23" s="849">
        <f>IFERROR(VLOOKUP(D20,geog!$B$14:$BN$63,geog!S64),"")</f>
        <v>87</v>
      </c>
      <c r="AF23" s="849">
        <f>IFERROR(VLOOKUP(D20,geog!$B$14:$BN$63,geog!AV64),"")</f>
        <v>95</v>
      </c>
      <c r="AG23" s="849">
        <f>IFERROR(VLOOKUP(D20,ekonomi!$B$14:$BN$63,ekonomi!S64),"")</f>
        <v>92</v>
      </c>
      <c r="AH23" s="849">
        <f>IFERROR(VLOOKUP(D20,ekonomi!$B$14:$BN$63,ekonomi!AV64),"")</f>
        <v>88</v>
      </c>
      <c r="AI23" s="849">
        <f>IFERROR(VLOOKUP(D20,'sejarah peminatan'!$B$14:$BN$63,'sejarah peminatan'!S64),"")</f>
        <v>87</v>
      </c>
      <c r="AJ23" s="849">
        <f>IFERROR(VLOOKUP(D20,'sejarah peminatan'!$B$14:$BN$63,'sejarah peminatan'!AV64),"")</f>
        <v>85</v>
      </c>
      <c r="AK23" s="849" t="str">
        <f>IFERROR(VLOOKUP(D20,'PM5'!$B$14:$BN$63,'PM5'!S64),"")</f>
        <v/>
      </c>
      <c r="AL23" s="849" t="str">
        <f>IFERROR(VLOOKUP(D20,'PM5'!$B$14:$BN$63,'PM5'!AV64),"")</f>
        <v/>
      </c>
      <c r="AM23" s="849" t="str">
        <f>IFERROR(VLOOKUP(D20,'PM6'!$B$14:$BN$63,'PM6'!S64),"")</f>
        <v/>
      </c>
      <c r="AN23" s="849" t="str">
        <f>IFERROR(VLOOKUP(D20,'PM6'!$B$14:$BN$63,'PM6'!AV64),"")</f>
        <v/>
      </c>
      <c r="AO23" s="849">
        <f>IFERROR(VLOOKUP(D20,biologi!$B$14:$BN$63,biologi!S64),"")</f>
        <v>79</v>
      </c>
      <c r="AP23" s="849">
        <f>IFERROR(VLOOKUP(D20,biologi!$B$14:$BN$63,biologi!AV64),"")</f>
        <v>79</v>
      </c>
      <c r="AQ23" s="849">
        <f>IFERROR(VLOOKUP(D20,fissika!$B$14:$BN$63,fissika!S64),"")</f>
        <v>83</v>
      </c>
      <c r="AR23" s="851">
        <f>IFERROR(VLOOKUP(D20,fissika!$B$14:$BN$63,fissika!AV64),"")</f>
        <v>89</v>
      </c>
      <c r="AS23" s="823"/>
      <c r="AT23" s="824"/>
      <c r="AU23" s="823"/>
      <c r="AV23" s="814"/>
      <c r="AW23" s="814"/>
      <c r="AX23" s="824"/>
      <c r="AY23" s="2320"/>
      <c r="AZ23" s="2323"/>
      <c r="BA23" s="2326"/>
      <c r="BB23" s="2317"/>
      <c r="BC23" s="2317"/>
      <c r="BD23" s="829"/>
    </row>
    <row r="24" spans="1:56" ht="17.25" customHeight="1" thickBot="1">
      <c r="A24" s="829"/>
      <c r="B24" s="829"/>
      <c r="C24" s="829"/>
      <c r="D24" s="2340"/>
      <c r="E24" s="820" t="str">
        <f>VLOOKUP(D20,Data!$E$5:$AC$54,11)</f>
        <v>Desa Raknamo</v>
      </c>
      <c r="F24" s="852" t="s">
        <v>257</v>
      </c>
      <c r="G24" s="854" t="str">
        <f>IFERROR(VLOOKUP(D20,PA!$B$14:$BN$63,PA!T64),"")</f>
        <v>A</v>
      </c>
      <c r="H24" s="853" t="str">
        <f>IFERROR(VLOOKUP(D20,PA!$B$14:$BN$63,PA!AW64),"")</f>
        <v>A</v>
      </c>
      <c r="I24" s="853" t="str">
        <f>IFERROR(VLOOKUP(D20,PKn!$B$14:$BN$63,PKn!T64),"")</f>
        <v>C</v>
      </c>
      <c r="J24" s="853" t="str">
        <f>IFERROR(VLOOKUP(D20,PKn!$B$14:$BN$63,PKn!AW64),"")</f>
        <v>A</v>
      </c>
      <c r="K24" s="853" t="str">
        <f>IFERROR(VLOOKUP(D20,BInd!$B$14:$BN$63,BInd!T64),"")</f>
        <v>C</v>
      </c>
      <c r="L24" s="853" t="str">
        <f>IFERROR(VLOOKUP(D20,PA!$B$14:$BN$63,PA!AW64),"")</f>
        <v>A</v>
      </c>
      <c r="M24" s="853" t="str">
        <f>IFERROR(VLOOKUP(D20,Mat!$B$14:$BN$63,Mat!T64),"")</f>
        <v>B</v>
      </c>
      <c r="N24" s="853" t="str">
        <f>IFERROR(VLOOKUP(D20,Mat!$B$14:$BN$63,Mat!AW64),"")</f>
        <v>B</v>
      </c>
      <c r="O24" s="853" t="str">
        <f>IFERROR(VLOOKUP(D20,SEJ!$B$14:$BN$63,SEJ!T64),"")</f>
        <v/>
      </c>
      <c r="P24" s="853" t="str">
        <f>IFERROR(VLOOKUP(D20,SEJ!$B$14:$BN$63,SEJ!AW64),"")</f>
        <v/>
      </c>
      <c r="Q24" s="853" t="str">
        <f>IFERROR(VLOOKUP(D20,BIng!$B$14:$BN$63,BIng!T64),"")</f>
        <v>B</v>
      </c>
      <c r="R24" s="855" t="str">
        <f>IFERROR(VLOOKUP(D20,BIng!$B$14:$BN$63,BIng!AW64),"")</f>
        <v>B</v>
      </c>
      <c r="S24" s="854" t="str">
        <f>IFERROR(VLOOKUP(D20,SB!$B$14:$BN$63,SB!T64),"")</f>
        <v>B</v>
      </c>
      <c r="T24" s="853" t="str">
        <f>IFERROR(VLOOKUP(D20,SB!$B$14:$BN$63,SB!AW64),"")</f>
        <v>B</v>
      </c>
      <c r="U24" s="853" t="str">
        <f>IFERROR(VLOOKUP(D20,pjok!$B$14:$BN$63,pjok!T64),"")</f>
        <v>B</v>
      </c>
      <c r="V24" s="853" t="str">
        <f>IFERROR(VLOOKUP(D20,pjok!$B$14:$BN$63,pjok!AW64),"")</f>
        <v>B</v>
      </c>
      <c r="W24" s="853" t="str">
        <f>IFERROR(VLOOKUP(D20,pkwu!$B$14:$BN$63,pkwu!T64),"")</f>
        <v>B</v>
      </c>
      <c r="X24" s="853" t="str">
        <f>IFERROR(VLOOKUP(D20,pkwu!$B$14:$BN$63,pkwu!AW64),"")</f>
        <v>B</v>
      </c>
      <c r="Y24" s="853" t="str">
        <f>IFERROR(VLOOKUP(D20,'Mlk1'!$B$14:$BN$63,'Mlk1'!T64),"")</f>
        <v/>
      </c>
      <c r="Z24" s="853" t="str">
        <f>IFERROR(VLOOKUP(D20,'Mlk1'!$B$14:$BN$63,'Mlk1'!AW64),"")</f>
        <v/>
      </c>
      <c r="AA24" s="853" t="str">
        <f>IFERROR(VLOOKUP(D20,'Ml2'!$B$14:$BN$63,'Ml2'!T64),"")</f>
        <v/>
      </c>
      <c r="AB24" s="853" t="str">
        <f>IFERROR(VLOOKUP(D20,'Ml2'!$B$14:$BN$63,'Ml2'!AW64),"")</f>
        <v/>
      </c>
      <c r="AC24" s="853" t="str">
        <f>IFERROR(VLOOKUP(D20,sosio!$B$14:$BN$63,sosio!T64),"")</f>
        <v>A</v>
      </c>
      <c r="AD24" s="1044" t="str">
        <f>IFERROR(VLOOKUP(D20,sosio!$B$14:$BN$63,sosio!AW64),"")</f>
        <v>B</v>
      </c>
      <c r="AE24" s="853" t="str">
        <f>IFERROR(VLOOKUP(D20,geog!$B$14:$BN$63,geog!T64),"")</f>
        <v>B</v>
      </c>
      <c r="AF24" s="853" t="str">
        <f>IFERROR(VLOOKUP(D20,geog!$B$14:$BN$63,geog!AW64),"")</f>
        <v>A</v>
      </c>
      <c r="AG24" s="853" t="str">
        <f>IFERROR(VLOOKUP(D20,ekonomi!$B$14:$BN$63,ekonomi!T64),"")</f>
        <v>B</v>
      </c>
      <c r="AH24" s="853" t="str">
        <f>IFERROR(VLOOKUP(D20,ekonomi!$B$14:$BN$63,ekonomi!AW64),"")</f>
        <v>B</v>
      </c>
      <c r="AI24" s="853" t="str">
        <f>IFERROR(VLOOKUP(D20,'sejarah peminatan'!$B$14:$BN$63,'sejarah peminatan'!T64),"")</f>
        <v>B</v>
      </c>
      <c r="AJ24" s="853" t="str">
        <f>IFERROR(VLOOKUP(D20,'sejarah peminatan'!$B$14:$BN$63,'sejarah peminatan'!AW64),"")</f>
        <v>B</v>
      </c>
      <c r="AK24" s="853" t="str">
        <f>IFERROR(VLOOKUP(D20,'PM5'!$B$14:$BN$63,'PM5'!T64),"")</f>
        <v/>
      </c>
      <c r="AL24" s="853" t="str">
        <f>IFERROR(VLOOKUP(D20,'PM5'!$B$14:$BN$63,'PM5'!AW64),"")</f>
        <v/>
      </c>
      <c r="AM24" s="853" t="str">
        <f>IFERROR(VLOOKUP(D20,'PM6'!$B$14:$BN$63,'PM6'!T64),"")</f>
        <v/>
      </c>
      <c r="AN24" s="853" t="str">
        <f>IFERROR(VLOOKUP(D20,'PM6'!$B$14:$BN$63,'PM6'!AW64),"")</f>
        <v/>
      </c>
      <c r="AO24" s="853" t="str">
        <f>IFERROR(VLOOKUP(D20,biologi!$B$14:$BN$63,biologi!T64),"")</f>
        <v>C</v>
      </c>
      <c r="AP24" s="853" t="str">
        <f>IFERROR(VLOOKUP(D20,biologi!$B$14:$BN$63,biologi!AW64),"")</f>
        <v>C</v>
      </c>
      <c r="AQ24" s="853" t="str">
        <f>IFERROR(VLOOKUP(D20,fissika!$B$14:$BN$63,fissika!T64),"")</f>
        <v>C</v>
      </c>
      <c r="AR24" s="855" t="str">
        <f>IFERROR(VLOOKUP(D20,fissika!$B$14:$BN$63,fissika!AW64),"")</f>
        <v>B</v>
      </c>
      <c r="AS24" s="817" t="str">
        <f>IFERROR(VLOOKUP(D20,Sikap!$B$15:$U$64,Sikap!F65),"")</f>
        <v>SB</v>
      </c>
      <c r="AT24" s="818" t="str">
        <f>IFERROR(VLOOKUP(D20,Sikap!$B$15:$U$64,Sikap!M65),"")</f>
        <v>SB</v>
      </c>
      <c r="AU24" s="817" t="str">
        <f>IF(VLOOKUP(D20,AbEk!$B$9:$U$58,AbEk!J60)=0,"",VLOOKUP(D20,AbEk!$B$9:$U$58,AbEk!J60))</f>
        <v/>
      </c>
      <c r="AV24" s="816" t="str">
        <f>IF(VLOOKUP(D20,AbEk!$B$9:$U$58,AbEk!M60)=0,"",VLOOKUP(D20,AbEk!$B$9:$U$58,AbEk!M60))</f>
        <v/>
      </c>
      <c r="AW24" s="816" t="str">
        <f>IF(VLOOKUP(D20,AbEk!$B$9:$U$58,AbEk!P60)=0,"",VLOOKUP(D20,AbEk!$B$9:$U$58,AbEk!P60))</f>
        <v/>
      </c>
      <c r="AX24" s="818" t="str">
        <f>IF(VLOOKUP(D20,AbEk!$B$9:$U$58,AbEk!S60)=0,"",VLOOKUP(D20,AbEk!$B$9:$U$58,AbEk!S60))</f>
        <v/>
      </c>
      <c r="AY24" s="2321"/>
      <c r="AZ24" s="2324"/>
      <c r="BA24" s="2327"/>
      <c r="BB24" s="2318"/>
      <c r="BC24" s="2318"/>
      <c r="BD24" s="829"/>
    </row>
    <row r="25" spans="1:56" ht="17.25" customHeight="1">
      <c r="A25" s="829"/>
      <c r="B25" s="829"/>
      <c r="C25" s="829"/>
      <c r="D25" s="2338">
        <f t="shared" ref="D25" si="0">IFERROR(IF((D20+1)&gt;$B$15,"",D20+1),"")</f>
        <v>4</v>
      </c>
      <c r="E25" s="856" t="str">
        <f>VLOOKUP(D25,Data!$E$5:$AC$54,4)</f>
        <v>Asti Welmince Welkis</v>
      </c>
      <c r="F25" s="844" t="s">
        <v>586</v>
      </c>
      <c r="G25" s="846">
        <f>IFERROR(VLOOKUP(D25,PA!$B$14:$BN$63,PA!P64),"")</f>
        <v>90</v>
      </c>
      <c r="H25" s="845">
        <f>IFERROR(VLOOKUP(D25,PA!$B$14:$BN$63,PA!AV64),"")</f>
        <v>90</v>
      </c>
      <c r="I25" s="845">
        <f>IFERROR(VLOOKUP(D25,PKn!$B$14:$BN$63,PKn!P64),"")</f>
        <v>87</v>
      </c>
      <c r="J25" s="845">
        <f>IFERROR(VLOOKUP(D25,PKn!$B$14:$BN$63,PKn!AV64),"")</f>
        <v>95</v>
      </c>
      <c r="K25" s="845">
        <f>IFERROR(VLOOKUP(D25,BInd!$B$14:$BN$63,BInd!P64),"")</f>
        <v>85</v>
      </c>
      <c r="L25" s="845">
        <f>IFERROR(VLOOKUP(D25,BInd!$B$14:$BN$63,BInd!AV64),"")</f>
        <v>88</v>
      </c>
      <c r="M25" s="845">
        <f>IFERROR(VLOOKUP(D25,Mat!$B$14:$BN$63,Mat!P64),"")</f>
        <v>90</v>
      </c>
      <c r="N25" s="845">
        <f>IFERROR(VLOOKUP(D25,Mat!$B$14:$BN$63,Mat!AV64),"")</f>
        <v>90</v>
      </c>
      <c r="O25" s="845" t="str">
        <f>IFERROR(VLOOKUP(D25,SEJ!$B$14:$BN$63,SEJ!P64),"")</f>
        <v/>
      </c>
      <c r="P25" s="845" t="str">
        <f>IFERROR(VLOOKUP(D25,SEJ!$B$14:$BN$63,SEJ!AV64),"")</f>
        <v/>
      </c>
      <c r="Q25" s="845">
        <f>IFERROR(VLOOKUP(D25,BIng!$B$14:$BN$63,BIng!P64),"")</f>
        <v>83</v>
      </c>
      <c r="R25" s="847">
        <f>IFERROR(VLOOKUP(D25,BIng!$B$14:$BN$63,BIng!AV64),"")</f>
        <v>86</v>
      </c>
      <c r="S25" s="846">
        <f>IFERROR(VLOOKUP(D25,SB!$B$14:$BN$63,SB!P64),"")</f>
        <v>86</v>
      </c>
      <c r="T25" s="845">
        <f>IFERROR(VLOOKUP(D25,SB!$B$14:$BN$63,SB!AV64),"")</f>
        <v>90</v>
      </c>
      <c r="U25" s="845">
        <f>IFERROR(VLOOKUP(D25,pjok!$B$14:$BN$63,pjok!P64),"")</f>
        <v>86</v>
      </c>
      <c r="V25" s="845">
        <f>IFERROR(VLOOKUP(D25,pjok!$B$14:$BN$63,pjok!AV64),"")</f>
        <v>89</v>
      </c>
      <c r="W25" s="845">
        <f>IFERROR(VLOOKUP(D25,pkwu!$B$14:$BN$63,pkwu!P64),"")</f>
        <v>88</v>
      </c>
      <c r="X25" s="845">
        <f>IFERROR(VLOOKUP(D25,pkwu!$B$14:$BN$63,pkwu!AV64),"")</f>
        <v>90</v>
      </c>
      <c r="Y25" s="845" t="str">
        <f>IFERROR(VLOOKUP(D25,'Mlk1'!$B$14:$BN$63,'Mlk1'!P64),"")</f>
        <v/>
      </c>
      <c r="Z25" s="845" t="str">
        <f>IFERROR(VLOOKUP(D25,'Mlk1'!$B$14:$BN$63,'Mlk1'!AV64),"")</f>
        <v/>
      </c>
      <c r="AA25" s="845" t="str">
        <f>IFERROR(VLOOKUP(D25,'Ml2'!$B$14:$BN$63,'Ml2'!P64),"")</f>
        <v/>
      </c>
      <c r="AB25" s="845" t="str">
        <f>IFERROR(VLOOKUP(D25,'Ml2'!$B$14:$BN$63,'Ml2'!AV64),"")</f>
        <v/>
      </c>
      <c r="AC25" s="845">
        <f>IFERROR(VLOOKUP(D25,sosio!$B$14:$BN$63,sosio!P64),"")</f>
        <v>89</v>
      </c>
      <c r="AD25" s="1042">
        <f>IFERROR(VLOOKUP(D25,sosio!$B$14:$BN$63,sosio!AV64),"")</f>
        <v>85</v>
      </c>
      <c r="AE25" s="845">
        <f>IFERROR(VLOOKUP(D25,geog!$B$14:$BN$63,geog!P64),"")</f>
        <v>87</v>
      </c>
      <c r="AF25" s="845">
        <f>IFERROR(VLOOKUP(D25,geog!$B$14:$BN$63,geog!AV64),"")</f>
        <v>95</v>
      </c>
      <c r="AG25" s="845">
        <f>IFERROR(VLOOKUP(D25,ekonomi!$B$14:$BN$63,ekonomi!P64),"")</f>
        <v>85</v>
      </c>
      <c r="AH25" s="845">
        <f>IFERROR(VLOOKUP(D25,ekonomi!$B$14:$BN$63,ekonomi!AV64),"")</f>
        <v>88</v>
      </c>
      <c r="AI25" s="845">
        <f>IFERROR(VLOOKUP(D25,'sejarah peminatan'!$B$14:$BN$63,'sejarah peminatan'!P64),"")</f>
        <v>89</v>
      </c>
      <c r="AJ25" s="845">
        <f>IFERROR(VLOOKUP(D25,'sejarah peminatan'!$B$14:$BN$63,'sejarah peminatan'!AV64),"")</f>
        <v>83</v>
      </c>
      <c r="AK25" s="845" t="str">
        <f>IFERROR(VLOOKUP(D25,'PM5'!$B$14:$BN$63,'PM5'!P64),"")</f>
        <v/>
      </c>
      <c r="AL25" s="845" t="str">
        <f>IFERROR(VLOOKUP(D25,'PM5'!$B$14:$BN$63,'PM5'!AV64),"")</f>
        <v/>
      </c>
      <c r="AM25" s="845" t="str">
        <f>IFERROR(VLOOKUP(D25,'PM6'!$B$14:$BN$63,'PM6'!P64),"")</f>
        <v/>
      </c>
      <c r="AN25" s="845" t="str">
        <f>IFERROR(VLOOKUP(D25,'PM6'!$B$14:$BN$63,'PM6'!AV64),"")</f>
        <v/>
      </c>
      <c r="AO25" s="845">
        <f>IFERROR(VLOOKUP(D25,biologi!$B$14:$BN$63,biologi!P64),"")</f>
        <v>80</v>
      </c>
      <c r="AP25" s="845">
        <f>IFERROR(VLOOKUP(D25,biologi!$B$14:$BN$63,biologi!AV64),"")</f>
        <v>79</v>
      </c>
      <c r="AQ25" s="845">
        <f>IFERROR(VLOOKUP(D25,fissika!$B$14:$BN$63,fissika!P64),"")</f>
        <v>78</v>
      </c>
      <c r="AR25" s="847">
        <f>IFERROR(VLOOKUP(D25,fissika!$B$14:$BN$63,fissika!AV64),"")</f>
        <v>88</v>
      </c>
      <c r="AS25" s="821"/>
      <c r="AT25" s="822"/>
      <c r="AU25" s="821"/>
      <c r="AV25" s="819"/>
      <c r="AW25" s="819"/>
      <c r="AX25" s="822"/>
      <c r="AY25" s="2319">
        <f>VLOOKUP(D25,AbEk!$B$9:$U$58,5)</f>
        <v>0</v>
      </c>
      <c r="AZ25" s="2322">
        <f>VLOOKUP(D25,AbEk!$B$9:$U$58,6)</f>
        <v>0</v>
      </c>
      <c r="BA25" s="2325">
        <f>VLOOKUP(D25,AbEk!$B$9:$U$58,7)</f>
        <v>0</v>
      </c>
      <c r="BB25" s="2316"/>
      <c r="BC25" s="2316"/>
      <c r="BD25" s="829"/>
    </row>
    <row r="26" spans="1:56" ht="17.25" customHeight="1">
      <c r="A26" s="829"/>
      <c r="B26" s="829"/>
      <c r="C26" s="829"/>
      <c r="D26" s="2339"/>
      <c r="E26" s="815" t="str">
        <f>TEXT(VLOOKUP(D25,Data!$E$5:$AC$54,2),Data!$C$18)&amp;IF(VLOOKUP(D25,Data!$E$5:$AC$54,Data!$G$55)="",""," / "&amp;TEXT(VLOOKUP(D25,Data!$E$5:$AC$54,Data!$G$55),Data!$C$20))</f>
        <v>00000 / 0073463161</v>
      </c>
      <c r="F26" s="848" t="s">
        <v>254</v>
      </c>
      <c r="G26" s="850">
        <f>IFERROR(VLOOKUP(D25,PA!$B$14:$BN$63,PA!Q64),"")</f>
        <v>90</v>
      </c>
      <c r="H26" s="849"/>
      <c r="I26" s="849">
        <f>IFERROR(VLOOKUP(D25,PKn!$B$14:$BN$63,PKn!Q64),"")</f>
        <v>80</v>
      </c>
      <c r="J26" s="849"/>
      <c r="K26" s="849">
        <f>IFERROR(VLOOKUP(D25,BInd!$B$14:$BN$63,BInd!Q64),"")</f>
        <v>93</v>
      </c>
      <c r="L26" s="849"/>
      <c r="M26" s="849">
        <f>IFERROR(VLOOKUP(D25,Mat!$B$14:$BN$63,Mat!Q64),"")</f>
        <v>80</v>
      </c>
      <c r="N26" s="849"/>
      <c r="O26" s="849">
        <f>IFERROR(VLOOKUP(D25,SEJ!$B$14:$BN$63,SEJ!Q64),"")</f>
        <v>0</v>
      </c>
      <c r="P26" s="849"/>
      <c r="Q26" s="849">
        <f>IFERROR(VLOOKUP(D25,BIng!$B$14:$BN$63,BIng!Q64),"")</f>
        <v>85</v>
      </c>
      <c r="R26" s="851"/>
      <c r="S26" s="850">
        <f>IFERROR(VLOOKUP(D25,SB!$B$14:$BN$63,SB!Q64),"")</f>
        <v>85</v>
      </c>
      <c r="T26" s="849"/>
      <c r="U26" s="849">
        <f>IFERROR(VLOOKUP(D25,pjok!$B$14:$BN$63,pjok!Q64),"")</f>
        <v>88</v>
      </c>
      <c r="V26" s="849"/>
      <c r="W26" s="849">
        <f>IFERROR(VLOOKUP(D25,pkwu!$B$14:$BN$63,pkwu!Q64),"")</f>
        <v>90</v>
      </c>
      <c r="X26" s="849"/>
      <c r="Y26" s="849">
        <f>IFERROR(VLOOKUP(D25,'Mlk1'!$B$14:$BN$63,'Mlk1'!Q64),"")</f>
        <v>0</v>
      </c>
      <c r="Z26" s="849"/>
      <c r="AA26" s="849">
        <f>IFERROR(VLOOKUP(D25,'Ml2'!$B$14:$BN$63,'Ml2'!Q64),"")</f>
        <v>0</v>
      </c>
      <c r="AB26" s="849"/>
      <c r="AC26" s="849">
        <f>IFERROR(VLOOKUP(D25,sosio!$B$14:$BN$63,sosio!Q64),"")</f>
        <v>90</v>
      </c>
      <c r="AD26" s="1043"/>
      <c r="AE26" s="849">
        <f>IFERROR(VLOOKUP(D25,geog!$B$14:$BN$63,geog!Q64),"")</f>
        <v>85</v>
      </c>
      <c r="AF26" s="849"/>
      <c r="AG26" s="849">
        <f>IFERROR(VLOOKUP(D25,ekonomi!$B$14:$BN$63,ekonomi!Q64),"")</f>
        <v>86</v>
      </c>
      <c r="AH26" s="849"/>
      <c r="AI26" s="849">
        <f>IFERROR(VLOOKUP(D25,'sejarah peminatan'!$B$14:$BN$63,'sejarah peminatan'!Q64),"")</f>
        <v>88</v>
      </c>
      <c r="AJ26" s="849"/>
      <c r="AK26" s="849">
        <f>IFERROR(VLOOKUP(D25,'PM5'!$B$14:$BN$63,'PM5'!Q64),"")</f>
        <v>0</v>
      </c>
      <c r="AL26" s="849"/>
      <c r="AM26" s="849">
        <f>IFERROR(VLOOKUP(D25,'PM6'!$B$14:$BN$63,'PM6'!Q64),"")</f>
        <v>0</v>
      </c>
      <c r="AN26" s="849"/>
      <c r="AO26" s="849">
        <f>IFERROR(VLOOKUP(D25,biologi!$B$14:$BN$63,biologi!Q64),"")</f>
        <v>80</v>
      </c>
      <c r="AP26" s="849"/>
      <c r="AQ26" s="849">
        <f>IFERROR(VLOOKUP(D25,fissika!$B$14:$BN$63,fissika!Q64),"")</f>
        <v>85</v>
      </c>
      <c r="AR26" s="851"/>
      <c r="AS26" s="823"/>
      <c r="AT26" s="824"/>
      <c r="AU26" s="823"/>
      <c r="AV26" s="814"/>
      <c r="AW26" s="814"/>
      <c r="AX26" s="824"/>
      <c r="AY26" s="2320"/>
      <c r="AZ26" s="2323"/>
      <c r="BA26" s="2326"/>
      <c r="BB26" s="2317"/>
      <c r="BC26" s="2317"/>
      <c r="BD26" s="829"/>
    </row>
    <row r="27" spans="1:56" ht="17.25" customHeight="1">
      <c r="A27" s="829"/>
      <c r="B27" s="829"/>
      <c r="C27" s="829"/>
      <c r="D27" s="2339"/>
      <c r="E27" s="815" t="str">
        <f>VLOOKUP(D25,Data!$E$5:$AC$54,6)&amp;",  "&amp;TEXT(VLOOKUP(D25,Data!$E$5:$AC$54,7),"D MMMM YYY")</f>
        <v>Tapasab,  15 August 2007</v>
      </c>
      <c r="F27" s="848" t="s">
        <v>255</v>
      </c>
      <c r="G27" s="850">
        <f>IFERROR(VLOOKUP(D25,PA!$B$14:$BN$63,PA!R64),"")</f>
        <v>90</v>
      </c>
      <c r="H27" s="849"/>
      <c r="I27" s="849">
        <f>IFERROR(VLOOKUP(D25,PKn!$B$14:$BN$63,PKn!R64),"")</f>
        <v>85</v>
      </c>
      <c r="J27" s="849"/>
      <c r="K27" s="849">
        <f>IFERROR(VLOOKUP(D25,BInd!$B$14:$BN$63,BInd!R64),"")</f>
        <v>52</v>
      </c>
      <c r="L27" s="849"/>
      <c r="M27" s="849">
        <f>IFERROR(VLOOKUP(D25,Mat!$B$14:$BN$63,Mat!R64),"")</f>
        <v>80</v>
      </c>
      <c r="N27" s="849"/>
      <c r="O27" s="849">
        <f>IFERROR(VLOOKUP(D25,SEJ!$B$14:$BN$63,SEJ!R64),"")</f>
        <v>0</v>
      </c>
      <c r="P27" s="849"/>
      <c r="Q27" s="849">
        <f>IFERROR(VLOOKUP(D25,BIng!$B$14:$BN$63,BIng!R64),"")</f>
        <v>85</v>
      </c>
      <c r="R27" s="851"/>
      <c r="S27" s="850">
        <f>IFERROR(VLOOKUP(D25,SB!$B$14:$BN$63,SB!R64),"")</f>
        <v>87</v>
      </c>
      <c r="T27" s="849"/>
      <c r="U27" s="849">
        <f>IFERROR(VLOOKUP(D25,pjok!$B$14:$BN$63,pjok!R64),"")</f>
        <v>89</v>
      </c>
      <c r="V27" s="849"/>
      <c r="W27" s="849">
        <f>IFERROR(VLOOKUP(D25,pkwu!$B$14:$BN$63,pkwu!R64),"")</f>
        <v>84</v>
      </c>
      <c r="X27" s="849"/>
      <c r="Y27" s="849">
        <f>IFERROR(VLOOKUP(D25,'Mlk1'!$B$14:$BN$63,'Mlk1'!R64),"")</f>
        <v>0</v>
      </c>
      <c r="Z27" s="849"/>
      <c r="AA27" s="849">
        <f>IFERROR(VLOOKUP(D25,'Ml2'!$B$14:$BN$63,'Ml2'!R64),"")</f>
        <v>0</v>
      </c>
      <c r="AB27" s="849"/>
      <c r="AC27" s="849">
        <f>IFERROR(VLOOKUP(D25,sosio!$B$14:$BN$63,sosio!R64),"")</f>
        <v>84</v>
      </c>
      <c r="AD27" s="1043"/>
      <c r="AE27" s="849">
        <f>IFERROR(VLOOKUP(D25,geog!$B$14:$BN$63,geog!R64),"")</f>
        <v>88</v>
      </c>
      <c r="AF27" s="849"/>
      <c r="AG27" s="849">
        <f>IFERROR(VLOOKUP(D25,ekonomi!$B$14:$BN$63,ekonomi!R64),"")</f>
        <v>88</v>
      </c>
      <c r="AH27" s="849"/>
      <c r="AI27" s="849">
        <f>IFERROR(VLOOKUP(D25,'sejarah peminatan'!$B$14:$BN$63,'sejarah peminatan'!R64),"")</f>
        <v>76</v>
      </c>
      <c r="AJ27" s="849"/>
      <c r="AK27" s="849">
        <f>IFERROR(VLOOKUP(D25,'PM5'!$B$14:$BN$63,'PM5'!R64),"")</f>
        <v>0</v>
      </c>
      <c r="AL27" s="849"/>
      <c r="AM27" s="849">
        <f>IFERROR(VLOOKUP(D25,'PM6'!$B$14:$BN$63,'PM6'!R64),"")</f>
        <v>0</v>
      </c>
      <c r="AN27" s="849"/>
      <c r="AO27" s="849">
        <f>IFERROR(VLOOKUP(D25,biologi!$B$14:$BN$63,biologi!R64),"")</f>
        <v>80</v>
      </c>
      <c r="AP27" s="849"/>
      <c r="AQ27" s="849">
        <f>IFERROR(VLOOKUP(D25,fissika!$B$14:$BN$63,fissika!R64),"")</f>
        <v>87</v>
      </c>
      <c r="AR27" s="851"/>
      <c r="AS27" s="823"/>
      <c r="AT27" s="824"/>
      <c r="AU27" s="823"/>
      <c r="AV27" s="814"/>
      <c r="AW27" s="814"/>
      <c r="AX27" s="824"/>
      <c r="AY27" s="2320"/>
      <c r="AZ27" s="2323"/>
      <c r="BA27" s="2326"/>
      <c r="BB27" s="2317"/>
      <c r="BC27" s="2317"/>
      <c r="BD27" s="829"/>
    </row>
    <row r="28" spans="1:56" ht="17.25" customHeight="1">
      <c r="A28" s="829"/>
      <c r="B28" s="829"/>
      <c r="C28" s="829"/>
      <c r="D28" s="2339"/>
      <c r="E28" s="815" t="str">
        <f>VLOOKUP(D25,Data!$E$5:$AC$54,16)</f>
        <v>Sem Welkis</v>
      </c>
      <c r="F28" s="848" t="s">
        <v>256</v>
      </c>
      <c r="G28" s="850">
        <f>IFERROR(VLOOKUP(D25,PA!$B$14:$BN$63,PA!S64),"")</f>
        <v>90</v>
      </c>
      <c r="H28" s="849">
        <f>IFERROR(VLOOKUP(D25,PA!$B$14:$BN$63,PA!AV64),"")</f>
        <v>90</v>
      </c>
      <c r="I28" s="849">
        <f>IFERROR(VLOOKUP(D25,PKn!$B$14:$BN$63,PKn!S64),"")</f>
        <v>85</v>
      </c>
      <c r="J28" s="849">
        <f>IFERROR(VLOOKUP(D25,PKn!$B$14:$BN$63,PKn!AV64),"")</f>
        <v>95</v>
      </c>
      <c r="K28" s="849">
        <f>IFERROR(VLOOKUP(D25,BInd!$B$14:$BN$63,BInd!S64),"")</f>
        <v>79</v>
      </c>
      <c r="L28" s="849">
        <f>IFERROR(VLOOKUP(D25,BInd!$B$14:$BN$63,BInd!AV64),"")</f>
        <v>88</v>
      </c>
      <c r="M28" s="849">
        <f>IFERROR(VLOOKUP(D25,Mat!$B$14:$BN$63,Mat!S64),"")</f>
        <v>85</v>
      </c>
      <c r="N28" s="849">
        <f>IFERROR(VLOOKUP(D25,Mat!$B$14:$BN$63,Mat!AV64),"")</f>
        <v>90</v>
      </c>
      <c r="O28" s="849" t="str">
        <f>IFERROR(VLOOKUP(D25,SEJ!$B$14:$BN$63,SEJ!S64),"")</f>
        <v/>
      </c>
      <c r="P28" s="849" t="str">
        <f>IFERROR(VLOOKUP(D25,SEJ!$B$14:$BN$63,SEJ!AV64),"")</f>
        <v/>
      </c>
      <c r="Q28" s="849">
        <f>IFERROR(VLOOKUP(D25,BIng!$B$14:$BN$63,BIng!S64),"")</f>
        <v>84</v>
      </c>
      <c r="R28" s="851">
        <f>IFERROR(VLOOKUP(D25,BIng!$B$14:$BN$63,BIng!AV64),"")</f>
        <v>86</v>
      </c>
      <c r="S28" s="850">
        <f>IFERROR(VLOOKUP(D25,SB!$B$14:$BN$63,SB!S64),"")</f>
        <v>86</v>
      </c>
      <c r="T28" s="849">
        <f>IFERROR(VLOOKUP(D25,SB!$B$14:$BN$63,SB!AV64),"")</f>
        <v>90</v>
      </c>
      <c r="U28" s="849">
        <f>IFERROR(VLOOKUP(D25,pjok!$B$14:$BN$63,pjok!S64),"")</f>
        <v>87</v>
      </c>
      <c r="V28" s="849">
        <f>IFERROR(VLOOKUP(D25,pjok!$B$14:$BN$63,pjok!AV64),"")</f>
        <v>89</v>
      </c>
      <c r="W28" s="849">
        <f>IFERROR(VLOOKUP(D25,pkwu!$B$14:$BN$63,pkwu!S64),"")</f>
        <v>88</v>
      </c>
      <c r="X28" s="849">
        <f>IFERROR(VLOOKUP(D25,pkwu!$B$14:$BN$63,pkwu!AV64),"")</f>
        <v>90</v>
      </c>
      <c r="Y28" s="849" t="str">
        <f>IFERROR(VLOOKUP(D25,'Mlk1'!$B$14:$BN$63,'Mlk1'!S64),"")</f>
        <v/>
      </c>
      <c r="Z28" s="849" t="str">
        <f>IFERROR(VLOOKUP(D25,'Mlk1'!$B$14:$BN$63,'Mlk1'!AV64),"")</f>
        <v/>
      </c>
      <c r="AA28" s="849" t="str">
        <f>IFERROR(VLOOKUP(D25,'Ml2'!$B$14:$BN$63,'Ml2'!S64),"")</f>
        <v/>
      </c>
      <c r="AB28" s="849" t="str">
        <f>IFERROR(VLOOKUP(D25,'Ml2'!$B$14:$BN$63,'Ml2'!AV64),"")</f>
        <v/>
      </c>
      <c r="AC28" s="849">
        <f>IFERROR(VLOOKUP(D25,sosio!$B$14:$BN$63,sosio!S64),"")</f>
        <v>88</v>
      </c>
      <c r="AD28" s="1043">
        <f>IFERROR(VLOOKUP(D25,sosio!$B$14:$BN$63,sosio!AV64),"")</f>
        <v>85</v>
      </c>
      <c r="AE28" s="849">
        <f>IFERROR(VLOOKUP(D25,geog!$B$14:$BN$63,geog!S64),"")</f>
        <v>87</v>
      </c>
      <c r="AF28" s="849">
        <f>IFERROR(VLOOKUP(D25,geog!$B$14:$BN$63,geog!AV64),"")</f>
        <v>95</v>
      </c>
      <c r="AG28" s="849">
        <f>IFERROR(VLOOKUP(D25,ekonomi!$B$14:$BN$63,ekonomi!S64),"")</f>
        <v>86</v>
      </c>
      <c r="AH28" s="849">
        <f>IFERROR(VLOOKUP(D25,ekonomi!$B$14:$BN$63,ekonomi!AV64),"")</f>
        <v>88</v>
      </c>
      <c r="AI28" s="849">
        <f>IFERROR(VLOOKUP(D25,'sejarah peminatan'!$B$14:$BN$63,'sejarah peminatan'!S64),"")</f>
        <v>86</v>
      </c>
      <c r="AJ28" s="849">
        <f>IFERROR(VLOOKUP(D25,'sejarah peminatan'!$B$14:$BN$63,'sejarah peminatan'!AV64),"")</f>
        <v>83</v>
      </c>
      <c r="AK28" s="849" t="str">
        <f>IFERROR(VLOOKUP(D25,'PM5'!$B$14:$BN$63,'PM5'!S64),"")</f>
        <v/>
      </c>
      <c r="AL28" s="849" t="str">
        <f>IFERROR(VLOOKUP(D25,'PM5'!$B$14:$BN$63,'PM5'!AV64),"")</f>
        <v/>
      </c>
      <c r="AM28" s="849" t="str">
        <f>IFERROR(VLOOKUP(D25,'PM6'!$B$14:$BN$63,'PM6'!S64),"")</f>
        <v/>
      </c>
      <c r="AN28" s="849" t="str">
        <f>IFERROR(VLOOKUP(D25,'PM6'!$B$14:$BN$63,'PM6'!AV64),"")</f>
        <v/>
      </c>
      <c r="AO28" s="849">
        <f>IFERROR(VLOOKUP(D25,biologi!$B$14:$BN$63,biologi!S64),"")</f>
        <v>80</v>
      </c>
      <c r="AP28" s="849">
        <f>IFERROR(VLOOKUP(D25,biologi!$B$14:$BN$63,biologi!AV64),"")</f>
        <v>79</v>
      </c>
      <c r="AQ28" s="849">
        <f>IFERROR(VLOOKUP(D25,fissika!$B$14:$BN$63,fissika!S64),"")</f>
        <v>82</v>
      </c>
      <c r="AR28" s="851">
        <f>IFERROR(VLOOKUP(D25,fissika!$B$14:$BN$63,fissika!AV64),"")</f>
        <v>88</v>
      </c>
      <c r="AS28" s="823"/>
      <c r="AT28" s="824"/>
      <c r="AU28" s="823"/>
      <c r="AV28" s="814"/>
      <c r="AW28" s="814"/>
      <c r="AX28" s="824"/>
      <c r="AY28" s="2320"/>
      <c r="AZ28" s="2323"/>
      <c r="BA28" s="2326"/>
      <c r="BB28" s="2317"/>
      <c r="BC28" s="2317"/>
      <c r="BD28" s="829"/>
    </row>
    <row r="29" spans="1:56" ht="17.25" customHeight="1" thickBot="1">
      <c r="A29" s="829"/>
      <c r="B29" s="829"/>
      <c r="C29" s="829"/>
      <c r="D29" s="2340"/>
      <c r="E29" s="820" t="str">
        <f>VLOOKUP(D25,Data!$E$5:$AC$54,11)</f>
        <v>Desa Raknamo</v>
      </c>
      <c r="F29" s="852" t="s">
        <v>257</v>
      </c>
      <c r="G29" s="854" t="str">
        <f>IFERROR(VLOOKUP(D25,PA!$B$14:$BN$63,PA!T64),"")</f>
        <v>B</v>
      </c>
      <c r="H29" s="853" t="str">
        <f>IFERROR(VLOOKUP(D25,PA!$B$14:$BN$63,PA!AW64),"")</f>
        <v>B</v>
      </c>
      <c r="I29" s="853" t="str">
        <f>IFERROR(VLOOKUP(D25,PKn!$B$14:$BN$63,PKn!T64),"")</f>
        <v>B</v>
      </c>
      <c r="J29" s="853" t="str">
        <f>IFERROR(VLOOKUP(D25,PKn!$B$14:$BN$63,PKn!AW64),"")</f>
        <v>A</v>
      </c>
      <c r="K29" s="853" t="str">
        <f>IFERROR(VLOOKUP(D25,BInd!$B$14:$BN$63,BInd!T64),"")</f>
        <v>C</v>
      </c>
      <c r="L29" s="853" t="str">
        <f>IFERROR(VLOOKUP(D25,PA!$B$14:$BN$63,PA!AW64),"")</f>
        <v>B</v>
      </c>
      <c r="M29" s="853" t="str">
        <f>IFERROR(VLOOKUP(D25,Mat!$B$14:$BN$63,Mat!T64),"")</f>
        <v>B</v>
      </c>
      <c r="N29" s="853" t="str">
        <f>IFERROR(VLOOKUP(D25,Mat!$B$14:$BN$63,Mat!AW64),"")</f>
        <v>B</v>
      </c>
      <c r="O29" s="853" t="str">
        <f>IFERROR(VLOOKUP(D25,SEJ!$B$14:$BN$63,SEJ!T64),"")</f>
        <v/>
      </c>
      <c r="P29" s="853" t="str">
        <f>IFERROR(VLOOKUP(D25,SEJ!$B$14:$BN$63,SEJ!AW64),"")</f>
        <v/>
      </c>
      <c r="Q29" s="853" t="str">
        <f>IFERROR(VLOOKUP(D25,BIng!$B$14:$BN$63,BIng!T64),"")</f>
        <v>C</v>
      </c>
      <c r="R29" s="855" t="str">
        <f>IFERROR(VLOOKUP(D25,BIng!$B$14:$BN$63,BIng!AW64),"")</f>
        <v>B</v>
      </c>
      <c r="S29" s="854" t="str">
        <f>IFERROR(VLOOKUP(D25,SB!$B$14:$BN$63,SB!T64),"")</f>
        <v>B</v>
      </c>
      <c r="T29" s="853" t="str">
        <f>IFERROR(VLOOKUP(D25,SB!$B$14:$BN$63,SB!AW64),"")</f>
        <v>B</v>
      </c>
      <c r="U29" s="853" t="str">
        <f>IFERROR(VLOOKUP(D25,pjok!$B$14:$BN$63,pjok!T64),"")</f>
        <v>B</v>
      </c>
      <c r="V29" s="853" t="str">
        <f>IFERROR(VLOOKUP(D25,pjok!$B$14:$BN$63,pjok!AW64),"")</f>
        <v>B</v>
      </c>
      <c r="W29" s="853" t="str">
        <f>IFERROR(VLOOKUP(D25,pkwu!$B$14:$BN$63,pkwu!T64),"")</f>
        <v>B</v>
      </c>
      <c r="X29" s="853" t="str">
        <f>IFERROR(VLOOKUP(D25,pkwu!$B$14:$BN$63,pkwu!AW64),"")</f>
        <v>B</v>
      </c>
      <c r="Y29" s="853" t="str">
        <f>IFERROR(VLOOKUP(D25,'Mlk1'!$B$14:$BN$63,'Mlk1'!T64),"")</f>
        <v/>
      </c>
      <c r="Z29" s="853" t="str">
        <f>IFERROR(VLOOKUP(D25,'Mlk1'!$B$14:$BN$63,'Mlk1'!AW64),"")</f>
        <v/>
      </c>
      <c r="AA29" s="853" t="str">
        <f>IFERROR(VLOOKUP(D25,'Ml2'!$B$14:$BN$63,'Ml2'!T64),"")</f>
        <v/>
      </c>
      <c r="AB29" s="853" t="str">
        <f>IFERROR(VLOOKUP(D25,'Ml2'!$B$14:$BN$63,'Ml2'!AW64),"")</f>
        <v/>
      </c>
      <c r="AC29" s="853" t="str">
        <f>IFERROR(VLOOKUP(D25,sosio!$B$14:$BN$63,sosio!T64),"")</f>
        <v>B</v>
      </c>
      <c r="AD29" s="1044" t="str">
        <f>IFERROR(VLOOKUP(D25,sosio!$B$14:$BN$63,sosio!AW64),"")</f>
        <v>B</v>
      </c>
      <c r="AE29" s="853" t="str">
        <f>IFERROR(VLOOKUP(D25,geog!$B$14:$BN$63,geog!T64),"")</f>
        <v>B</v>
      </c>
      <c r="AF29" s="853" t="str">
        <f>IFERROR(VLOOKUP(D25,geog!$B$14:$BN$63,geog!AW64),"")</f>
        <v>A</v>
      </c>
      <c r="AG29" s="853" t="str">
        <f>IFERROR(VLOOKUP(D25,ekonomi!$B$14:$BN$63,ekonomi!T64),"")</f>
        <v>B</v>
      </c>
      <c r="AH29" s="853" t="str">
        <f>IFERROR(VLOOKUP(D25,ekonomi!$B$14:$BN$63,ekonomi!AW64),"")</f>
        <v>B</v>
      </c>
      <c r="AI29" s="853" t="str">
        <f>IFERROR(VLOOKUP(D25,'sejarah peminatan'!$B$14:$BN$63,'sejarah peminatan'!T64),"")</f>
        <v>B</v>
      </c>
      <c r="AJ29" s="853" t="str">
        <f>IFERROR(VLOOKUP(D25,'sejarah peminatan'!$B$14:$BN$63,'sejarah peminatan'!AW64),"")</f>
        <v>C</v>
      </c>
      <c r="AK29" s="853" t="str">
        <f>IFERROR(VLOOKUP(D25,'PM5'!$B$14:$BN$63,'PM5'!T64),"")</f>
        <v/>
      </c>
      <c r="AL29" s="853" t="str">
        <f>IFERROR(VLOOKUP(D25,'PM5'!$B$14:$BN$63,'PM5'!AW64),"")</f>
        <v/>
      </c>
      <c r="AM29" s="853" t="str">
        <f>IFERROR(VLOOKUP(D25,'PM6'!$B$14:$BN$63,'PM6'!T64),"")</f>
        <v/>
      </c>
      <c r="AN29" s="853" t="str">
        <f>IFERROR(VLOOKUP(D25,'PM6'!$B$14:$BN$63,'PM6'!AW64),"")</f>
        <v/>
      </c>
      <c r="AO29" s="853" t="str">
        <f>IFERROR(VLOOKUP(D25,biologi!$B$14:$BN$63,biologi!T64),"")</f>
        <v>C</v>
      </c>
      <c r="AP29" s="853" t="str">
        <f>IFERROR(VLOOKUP(D25,biologi!$B$14:$BN$63,biologi!AW64),"")</f>
        <v>C</v>
      </c>
      <c r="AQ29" s="853" t="str">
        <f>IFERROR(VLOOKUP(D25,fissika!$B$14:$BN$63,fissika!T64),"")</f>
        <v>C</v>
      </c>
      <c r="AR29" s="855" t="str">
        <f>IFERROR(VLOOKUP(D25,fissika!$B$14:$BN$63,fissika!AW64),"")</f>
        <v>B</v>
      </c>
      <c r="AS29" s="817" t="str">
        <f>IFERROR(VLOOKUP(D25,Sikap!$B$15:$U$64,Sikap!F65),"")</f>
        <v>SB</v>
      </c>
      <c r="AT29" s="818" t="str">
        <f>IFERROR(VLOOKUP(D25,Sikap!$B$15:$U$64,Sikap!M65),"")</f>
        <v>SB</v>
      </c>
      <c r="AU29" s="817" t="str">
        <f>IF(VLOOKUP(D25,AbEk!$B$9:$U$58,AbEk!J60)=0,"",VLOOKUP(D25,AbEk!$B$9:$U$58,AbEk!J60))</f>
        <v>B</v>
      </c>
      <c r="AV29" s="816" t="str">
        <f>IF(VLOOKUP(D25,AbEk!$B$9:$U$58,AbEk!M60)=0,"",VLOOKUP(D25,AbEk!$B$9:$U$58,AbEk!M60))</f>
        <v/>
      </c>
      <c r="AW29" s="816" t="str">
        <f>IF(VLOOKUP(D25,AbEk!$B$9:$U$58,AbEk!P60)=0,"",VLOOKUP(D25,AbEk!$B$9:$U$58,AbEk!P60))</f>
        <v/>
      </c>
      <c r="AX29" s="818" t="str">
        <f>IF(VLOOKUP(D25,AbEk!$B$9:$U$58,AbEk!S60)=0,"",VLOOKUP(D25,AbEk!$B$9:$U$58,AbEk!S60))</f>
        <v/>
      </c>
      <c r="AY29" s="2321"/>
      <c r="AZ29" s="2324"/>
      <c r="BA29" s="2327"/>
      <c r="BB29" s="2318"/>
      <c r="BC29" s="2318"/>
      <c r="BD29" s="829"/>
    </row>
    <row r="30" spans="1:56" ht="17.25" customHeight="1">
      <c r="A30" s="829"/>
      <c r="B30" s="829"/>
      <c r="C30" s="829"/>
      <c r="D30" s="2338">
        <f t="shared" ref="D30" si="1">IFERROR(IF((D25+1)&gt;$B$15,"",D25+1),"")</f>
        <v>5</v>
      </c>
      <c r="E30" s="856" t="str">
        <f>VLOOKUP(D30,Data!$E$5:$AC$54,4)</f>
        <v>Aulya Noviyanti Mbura</v>
      </c>
      <c r="F30" s="844" t="s">
        <v>586</v>
      </c>
      <c r="G30" s="846">
        <f>IFERROR(VLOOKUP(D30,PA!$B$14:$BN$63,PA!P64),"")</f>
        <v>90</v>
      </c>
      <c r="H30" s="845">
        <f>IFERROR(VLOOKUP(D30,PA!$B$14:$BN$63,PA!AV64),"")</f>
        <v>90</v>
      </c>
      <c r="I30" s="845">
        <f>IFERROR(VLOOKUP(D30,PKn!$B$14:$BN$63,PKn!P64),"")</f>
        <v>85</v>
      </c>
      <c r="J30" s="845">
        <f>IFERROR(VLOOKUP(D30,PKn!$B$14:$BN$63,PKn!AV64),"")</f>
        <v>95</v>
      </c>
      <c r="K30" s="845">
        <f>IFERROR(VLOOKUP(D30,BInd!$B$14:$BN$63,BInd!P64),"")</f>
        <v>85</v>
      </c>
      <c r="L30" s="845">
        <f>IFERROR(VLOOKUP(D30,BInd!$B$14:$BN$63,BInd!AV64),"")</f>
        <v>88</v>
      </c>
      <c r="M30" s="845">
        <f>IFERROR(VLOOKUP(D30,Mat!$B$14:$BN$63,Mat!P64),"")</f>
        <v>88</v>
      </c>
      <c r="N30" s="845">
        <f>IFERROR(VLOOKUP(D30,Mat!$B$14:$BN$63,Mat!AV64),"")</f>
        <v>88</v>
      </c>
      <c r="O30" s="845" t="str">
        <f>IFERROR(VLOOKUP(D30,SEJ!$B$14:$BN$63,SEJ!P64),"")</f>
        <v/>
      </c>
      <c r="P30" s="845" t="str">
        <f>IFERROR(VLOOKUP(D30,SEJ!$B$14:$BN$63,SEJ!AV64),"")</f>
        <v/>
      </c>
      <c r="Q30" s="845">
        <f>IFERROR(VLOOKUP(D30,BIng!$B$14:$BN$63,BIng!P64),"")</f>
        <v>86</v>
      </c>
      <c r="R30" s="847">
        <f>IFERROR(VLOOKUP(D30,BIng!$B$14:$BN$63,BIng!AV64),"")</f>
        <v>86</v>
      </c>
      <c r="S30" s="846">
        <f>IFERROR(VLOOKUP(D30,SB!$B$14:$BN$63,SB!P64),"")</f>
        <v>86</v>
      </c>
      <c r="T30" s="845">
        <f>IFERROR(VLOOKUP(D30,SB!$B$14:$BN$63,SB!AV64),"")</f>
        <v>90</v>
      </c>
      <c r="U30" s="845">
        <f>IFERROR(VLOOKUP(D30,pjok!$B$14:$BN$63,pjok!P64),"")</f>
        <v>86</v>
      </c>
      <c r="V30" s="845">
        <f>IFERROR(VLOOKUP(D30,pjok!$B$14:$BN$63,pjok!AV64),"")</f>
        <v>86</v>
      </c>
      <c r="W30" s="845">
        <f>IFERROR(VLOOKUP(D30,pkwu!$B$14:$BN$63,pkwu!P64),"")</f>
        <v>85</v>
      </c>
      <c r="X30" s="845">
        <f>IFERROR(VLOOKUP(D30,pkwu!$B$14:$BN$63,pkwu!AV64),"")</f>
        <v>90</v>
      </c>
      <c r="Y30" s="845" t="str">
        <f>IFERROR(VLOOKUP(D30,'Mlk1'!$B$14:$BN$63,'Mlk1'!P64),"")</f>
        <v/>
      </c>
      <c r="Z30" s="845" t="str">
        <f>IFERROR(VLOOKUP(D30,'Mlk1'!$B$14:$BN$63,'Mlk1'!AV64),"")</f>
        <v/>
      </c>
      <c r="AA30" s="845" t="str">
        <f>IFERROR(VLOOKUP(D30,'Ml2'!$B$14:$BN$63,'Ml2'!P64),"")</f>
        <v/>
      </c>
      <c r="AB30" s="845" t="str">
        <f>IFERROR(VLOOKUP(D30,'Ml2'!$B$14:$BN$63,'Ml2'!AV64),"")</f>
        <v/>
      </c>
      <c r="AC30" s="845">
        <f>IFERROR(VLOOKUP(D30,sosio!$B$14:$BN$63,sosio!P64),"")</f>
        <v>93</v>
      </c>
      <c r="AD30" s="1042">
        <f>IFERROR(VLOOKUP(D30,sosio!$B$14:$BN$63,sosio!AV64),"")</f>
        <v>85</v>
      </c>
      <c r="AE30" s="845">
        <f>IFERROR(VLOOKUP(D30,geog!$B$14:$BN$63,geog!P64),"")</f>
        <v>89</v>
      </c>
      <c r="AF30" s="845">
        <f>IFERROR(VLOOKUP(D30,geog!$B$14:$BN$63,geog!AV64),"")</f>
        <v>95</v>
      </c>
      <c r="AG30" s="845">
        <f>IFERROR(VLOOKUP(D30,ekonomi!$B$14:$BN$63,ekonomi!P64),"")</f>
        <v>84</v>
      </c>
      <c r="AH30" s="845">
        <f>IFERROR(VLOOKUP(D30,ekonomi!$B$14:$BN$63,ekonomi!AV64),"")</f>
        <v>88</v>
      </c>
      <c r="AI30" s="845">
        <f>IFERROR(VLOOKUP(D30,'sejarah peminatan'!$B$14:$BN$63,'sejarah peminatan'!P64),"")</f>
        <v>89</v>
      </c>
      <c r="AJ30" s="845">
        <f>IFERROR(VLOOKUP(D30,'sejarah peminatan'!$B$14:$BN$63,'sejarah peminatan'!AV64),"")</f>
        <v>85</v>
      </c>
      <c r="AK30" s="845" t="str">
        <f>IFERROR(VLOOKUP(D30,'PM5'!$B$14:$BN$63,'PM5'!P64),"")</f>
        <v/>
      </c>
      <c r="AL30" s="845" t="str">
        <f>IFERROR(VLOOKUP(D30,'PM5'!$B$14:$BN$63,'PM5'!AV64),"")</f>
        <v/>
      </c>
      <c r="AM30" s="845" t="str">
        <f>IFERROR(VLOOKUP(D30,'PM6'!$B$14:$BN$63,'PM6'!P64),"")</f>
        <v/>
      </c>
      <c r="AN30" s="845" t="str">
        <f>IFERROR(VLOOKUP(D30,'PM6'!$B$14:$BN$63,'PM6'!AV64),"")</f>
        <v/>
      </c>
      <c r="AO30" s="845">
        <f>IFERROR(VLOOKUP(D30,biologi!$B$14:$BN$63,biologi!P64),"")</f>
        <v>81</v>
      </c>
      <c r="AP30" s="845">
        <f>IFERROR(VLOOKUP(D30,biologi!$B$14:$BN$63,biologi!AV64),"")</f>
        <v>81</v>
      </c>
      <c r="AQ30" s="845">
        <f>IFERROR(VLOOKUP(D30,fissika!$B$14:$BN$63,fissika!P64),"")</f>
        <v>83</v>
      </c>
      <c r="AR30" s="847">
        <f>IFERROR(VLOOKUP(D30,fissika!$B$14:$BN$63,fissika!AV64),"")</f>
        <v>89</v>
      </c>
      <c r="AS30" s="821"/>
      <c r="AT30" s="822"/>
      <c r="AU30" s="821"/>
      <c r="AV30" s="819"/>
      <c r="AW30" s="819"/>
      <c r="AX30" s="822"/>
      <c r="AY30" s="2319">
        <f>VLOOKUP(D30,AbEk!$B$9:$U$58,5)</f>
        <v>0</v>
      </c>
      <c r="AZ30" s="2322">
        <f>VLOOKUP(D30,AbEk!$B$9:$U$58,6)</f>
        <v>0</v>
      </c>
      <c r="BA30" s="2325">
        <f>VLOOKUP(D30,AbEk!$B$9:$U$58,7)</f>
        <v>0</v>
      </c>
      <c r="BB30" s="2316"/>
      <c r="BC30" s="2316"/>
      <c r="BD30" s="829"/>
    </row>
    <row r="31" spans="1:56" ht="17.25" customHeight="1">
      <c r="A31" s="829"/>
      <c r="B31" s="829"/>
      <c r="C31" s="829"/>
      <c r="D31" s="2339"/>
      <c r="E31" s="815" t="str">
        <f>TEXT(VLOOKUP(D30,Data!$E$5:$AC$54,2),Data!$C$18)&amp;IF(VLOOKUP(D30,Data!$E$5:$AC$54,Data!$G$55)="",""," / "&amp;TEXT(VLOOKUP(D30,Data!$E$5:$AC$54,Data!$G$55),Data!$C$20))</f>
        <v>00000 / 0074941855</v>
      </c>
      <c r="F31" s="848" t="s">
        <v>254</v>
      </c>
      <c r="G31" s="850">
        <f>IFERROR(VLOOKUP(D30,PA!$B$14:$BN$63,PA!Q64),"")</f>
        <v>90</v>
      </c>
      <c r="H31" s="849"/>
      <c r="I31" s="849">
        <f>IFERROR(VLOOKUP(D30,PKn!$B$14:$BN$63,PKn!Q64),"")</f>
        <v>84</v>
      </c>
      <c r="J31" s="849"/>
      <c r="K31" s="849">
        <f>IFERROR(VLOOKUP(D30,BInd!$B$14:$BN$63,BInd!Q64),"")</f>
        <v>100</v>
      </c>
      <c r="L31" s="849"/>
      <c r="M31" s="849">
        <f>IFERROR(VLOOKUP(D30,Mat!$B$14:$BN$63,Mat!Q64),"")</f>
        <v>80</v>
      </c>
      <c r="N31" s="849"/>
      <c r="O31" s="849">
        <f>IFERROR(VLOOKUP(D30,SEJ!$B$14:$BN$63,SEJ!Q64),"")</f>
        <v>0</v>
      </c>
      <c r="P31" s="849"/>
      <c r="Q31" s="849">
        <f>IFERROR(VLOOKUP(D30,BIng!$B$14:$BN$63,BIng!Q64),"")</f>
        <v>85</v>
      </c>
      <c r="R31" s="851"/>
      <c r="S31" s="850">
        <f>IFERROR(VLOOKUP(D30,SB!$B$14:$BN$63,SB!Q64),"")</f>
        <v>86</v>
      </c>
      <c r="T31" s="849"/>
      <c r="U31" s="849">
        <f>IFERROR(VLOOKUP(D30,pjok!$B$14:$BN$63,pjok!Q64),"")</f>
        <v>85</v>
      </c>
      <c r="V31" s="849"/>
      <c r="W31" s="849">
        <f>IFERROR(VLOOKUP(D30,pkwu!$B$14:$BN$63,pkwu!Q64),"")</f>
        <v>90</v>
      </c>
      <c r="X31" s="849"/>
      <c r="Y31" s="849">
        <f>IFERROR(VLOOKUP(D30,'Mlk1'!$B$14:$BN$63,'Mlk1'!Q64),"")</f>
        <v>0</v>
      </c>
      <c r="Z31" s="849"/>
      <c r="AA31" s="849">
        <f>IFERROR(VLOOKUP(D30,'Ml2'!$B$14:$BN$63,'Ml2'!Q64),"")</f>
        <v>0</v>
      </c>
      <c r="AB31" s="849"/>
      <c r="AC31" s="849">
        <f>IFERROR(VLOOKUP(D30,sosio!$B$14:$BN$63,sosio!Q64),"")</f>
        <v>90</v>
      </c>
      <c r="AD31" s="1043"/>
      <c r="AE31" s="849">
        <f>IFERROR(VLOOKUP(D30,geog!$B$14:$BN$63,geog!Q64),"")</f>
        <v>86</v>
      </c>
      <c r="AF31" s="849"/>
      <c r="AG31" s="849">
        <f>IFERROR(VLOOKUP(D30,ekonomi!$B$14:$BN$63,ekonomi!Q64),"")</f>
        <v>88</v>
      </c>
      <c r="AH31" s="849"/>
      <c r="AI31" s="849">
        <f>IFERROR(VLOOKUP(D30,'sejarah peminatan'!$B$14:$BN$63,'sejarah peminatan'!Q64),"")</f>
        <v>88</v>
      </c>
      <c r="AJ31" s="849"/>
      <c r="AK31" s="849">
        <f>IFERROR(VLOOKUP(D30,'PM5'!$B$14:$BN$63,'PM5'!Q64),"")</f>
        <v>0</v>
      </c>
      <c r="AL31" s="849"/>
      <c r="AM31" s="849">
        <f>IFERROR(VLOOKUP(D30,'PM6'!$B$14:$BN$63,'PM6'!Q64),"")</f>
        <v>0</v>
      </c>
      <c r="AN31" s="849"/>
      <c r="AO31" s="849">
        <f>IFERROR(VLOOKUP(D30,biologi!$B$14:$BN$63,biologi!Q64),"")</f>
        <v>80</v>
      </c>
      <c r="AP31" s="849"/>
      <c r="AQ31" s="849">
        <f>IFERROR(VLOOKUP(D30,fissika!$B$14:$BN$63,fissika!Q64),"")</f>
        <v>88</v>
      </c>
      <c r="AR31" s="851"/>
      <c r="AS31" s="823"/>
      <c r="AT31" s="824"/>
      <c r="AU31" s="823"/>
      <c r="AV31" s="814"/>
      <c r="AW31" s="814"/>
      <c r="AX31" s="824"/>
      <c r="AY31" s="2320"/>
      <c r="AZ31" s="2323"/>
      <c r="BA31" s="2326"/>
      <c r="BB31" s="2317"/>
      <c r="BC31" s="2317"/>
      <c r="BD31" s="829"/>
    </row>
    <row r="32" spans="1:56" ht="17.25" customHeight="1">
      <c r="A32" s="829"/>
      <c r="B32" s="829"/>
      <c r="C32" s="829"/>
      <c r="D32" s="2339"/>
      <c r="E32" s="815" t="str">
        <f>VLOOKUP(D30,Data!$E$5:$AC$54,6)&amp;",  "&amp;TEXT(VLOOKUP(D30,Data!$E$5:$AC$54,7),"D MMMM YYY")</f>
        <v>Monokwari,  12 November 2007</v>
      </c>
      <c r="F32" s="848" t="s">
        <v>255</v>
      </c>
      <c r="G32" s="850">
        <f>IFERROR(VLOOKUP(D30,PA!$B$14:$BN$63,PA!R64),"")</f>
        <v>90</v>
      </c>
      <c r="H32" s="849"/>
      <c r="I32" s="849">
        <f>IFERROR(VLOOKUP(D30,PKn!$B$14:$BN$63,PKn!R64),"")</f>
        <v>81</v>
      </c>
      <c r="J32" s="849"/>
      <c r="K32" s="849">
        <f>IFERROR(VLOOKUP(D30,BInd!$B$14:$BN$63,BInd!R64),"")</f>
        <v>56</v>
      </c>
      <c r="L32" s="849"/>
      <c r="M32" s="849">
        <f>IFERROR(VLOOKUP(D30,Mat!$B$14:$BN$63,Mat!R64),"")</f>
        <v>70</v>
      </c>
      <c r="N32" s="849"/>
      <c r="O32" s="849">
        <f>IFERROR(VLOOKUP(D30,SEJ!$B$14:$BN$63,SEJ!R64),"")</f>
        <v>0</v>
      </c>
      <c r="P32" s="849"/>
      <c r="Q32" s="849">
        <f>IFERROR(VLOOKUP(D30,BIng!$B$14:$BN$63,BIng!R64),"")</f>
        <v>88</v>
      </c>
      <c r="R32" s="851"/>
      <c r="S32" s="850">
        <f>IFERROR(VLOOKUP(D30,SB!$B$14:$BN$63,SB!R64),"")</f>
        <v>86</v>
      </c>
      <c r="T32" s="849"/>
      <c r="U32" s="849">
        <f>IFERROR(VLOOKUP(D30,pjok!$B$14:$BN$63,pjok!R64),"")</f>
        <v>87</v>
      </c>
      <c r="V32" s="849"/>
      <c r="W32" s="849">
        <f>IFERROR(VLOOKUP(D30,pkwu!$B$14:$BN$63,pkwu!R64),"")</f>
        <v>85</v>
      </c>
      <c r="X32" s="849"/>
      <c r="Y32" s="849">
        <f>IFERROR(VLOOKUP(D30,'Mlk1'!$B$14:$BN$63,'Mlk1'!R64),"")</f>
        <v>0</v>
      </c>
      <c r="Z32" s="849"/>
      <c r="AA32" s="849">
        <f>IFERROR(VLOOKUP(D30,'Ml2'!$B$14:$BN$63,'Ml2'!R64),"")</f>
        <v>0</v>
      </c>
      <c r="AB32" s="849"/>
      <c r="AC32" s="849">
        <f>IFERROR(VLOOKUP(D30,sosio!$B$14:$BN$63,sosio!R64),"")</f>
        <v>90</v>
      </c>
      <c r="AD32" s="1043"/>
      <c r="AE32" s="849">
        <f>IFERROR(VLOOKUP(D30,geog!$B$14:$BN$63,geog!R64),"")</f>
        <v>89</v>
      </c>
      <c r="AF32" s="849"/>
      <c r="AG32" s="849">
        <f>IFERROR(VLOOKUP(D30,ekonomi!$B$14:$BN$63,ekonomi!R64),"")</f>
        <v>86</v>
      </c>
      <c r="AH32" s="849"/>
      <c r="AI32" s="849">
        <f>IFERROR(VLOOKUP(D30,'sejarah peminatan'!$B$14:$BN$63,'sejarah peminatan'!R64),"")</f>
        <v>76</v>
      </c>
      <c r="AJ32" s="849"/>
      <c r="AK32" s="849">
        <f>IFERROR(VLOOKUP(D30,'PM5'!$B$14:$BN$63,'PM5'!R64),"")</f>
        <v>0</v>
      </c>
      <c r="AL32" s="849"/>
      <c r="AM32" s="849">
        <f>IFERROR(VLOOKUP(D30,'PM6'!$B$14:$BN$63,'PM6'!R64),"")</f>
        <v>0</v>
      </c>
      <c r="AN32" s="849"/>
      <c r="AO32" s="849">
        <f>IFERROR(VLOOKUP(D30,biologi!$B$14:$BN$63,biologi!R64),"")</f>
        <v>80</v>
      </c>
      <c r="AP32" s="849"/>
      <c r="AQ32" s="849">
        <f>IFERROR(VLOOKUP(D30,fissika!$B$14:$BN$63,fissika!R64),"")</f>
        <v>88</v>
      </c>
      <c r="AR32" s="851"/>
      <c r="AS32" s="823"/>
      <c r="AT32" s="824"/>
      <c r="AU32" s="823"/>
      <c r="AV32" s="814"/>
      <c r="AW32" s="814"/>
      <c r="AX32" s="824"/>
      <c r="AY32" s="2320"/>
      <c r="AZ32" s="2323"/>
      <c r="BA32" s="2326"/>
      <c r="BB32" s="2317"/>
      <c r="BC32" s="2317"/>
      <c r="BD32" s="829"/>
    </row>
    <row r="33" spans="1:56" ht="17.25" customHeight="1">
      <c r="A33" s="829"/>
      <c r="B33" s="829"/>
      <c r="C33" s="829"/>
      <c r="D33" s="2339"/>
      <c r="E33" s="815" t="str">
        <f>VLOOKUP(D30,Data!$E$5:$AC$54,16)</f>
        <v>Nong Burah</v>
      </c>
      <c r="F33" s="848" t="s">
        <v>256</v>
      </c>
      <c r="G33" s="850">
        <f>IFERROR(VLOOKUP(D30,PA!$B$14:$BN$63,PA!S64),"")</f>
        <v>90</v>
      </c>
      <c r="H33" s="849">
        <f>IFERROR(VLOOKUP(D30,PA!$B$14:$BN$63,PA!AV64),"")</f>
        <v>90</v>
      </c>
      <c r="I33" s="849">
        <f>IFERROR(VLOOKUP(D30,PKn!$B$14:$BN$63,PKn!S64),"")</f>
        <v>84</v>
      </c>
      <c r="J33" s="849">
        <f>IFERROR(VLOOKUP(D30,PKn!$B$14:$BN$63,PKn!AV64),"")</f>
        <v>95</v>
      </c>
      <c r="K33" s="849">
        <f>IFERROR(VLOOKUP(D30,BInd!$B$14:$BN$63,BInd!S64),"")</f>
        <v>82</v>
      </c>
      <c r="L33" s="849">
        <f>IFERROR(VLOOKUP(D30,BInd!$B$14:$BN$63,BInd!AV64),"")</f>
        <v>88</v>
      </c>
      <c r="M33" s="849">
        <f>IFERROR(VLOOKUP(D30,Mat!$B$14:$BN$63,Mat!S64),"")</f>
        <v>82</v>
      </c>
      <c r="N33" s="849">
        <f>IFERROR(VLOOKUP(D30,Mat!$B$14:$BN$63,Mat!AV64),"")</f>
        <v>88</v>
      </c>
      <c r="O33" s="849" t="str">
        <f>IFERROR(VLOOKUP(D30,SEJ!$B$14:$BN$63,SEJ!S64),"")</f>
        <v/>
      </c>
      <c r="P33" s="849" t="str">
        <f>IFERROR(VLOOKUP(D30,SEJ!$B$14:$BN$63,SEJ!AV64),"")</f>
        <v/>
      </c>
      <c r="Q33" s="849">
        <f>IFERROR(VLOOKUP(D30,BIng!$B$14:$BN$63,BIng!S64),"")</f>
        <v>86</v>
      </c>
      <c r="R33" s="851">
        <f>IFERROR(VLOOKUP(D30,BIng!$B$14:$BN$63,BIng!AV64),"")</f>
        <v>86</v>
      </c>
      <c r="S33" s="850">
        <f>IFERROR(VLOOKUP(D30,SB!$B$14:$BN$63,SB!S64),"")</f>
        <v>86</v>
      </c>
      <c r="T33" s="849">
        <f>IFERROR(VLOOKUP(D30,SB!$B$14:$BN$63,SB!AV64),"")</f>
        <v>90</v>
      </c>
      <c r="U33" s="849">
        <f>IFERROR(VLOOKUP(D30,pjok!$B$14:$BN$63,pjok!S64),"")</f>
        <v>86</v>
      </c>
      <c r="V33" s="849">
        <f>IFERROR(VLOOKUP(D30,pjok!$B$14:$BN$63,pjok!AV64),"")</f>
        <v>86</v>
      </c>
      <c r="W33" s="849">
        <f>IFERROR(VLOOKUP(D30,pkwu!$B$14:$BN$63,pkwu!S64),"")</f>
        <v>86</v>
      </c>
      <c r="X33" s="849">
        <f>IFERROR(VLOOKUP(D30,pkwu!$B$14:$BN$63,pkwu!AV64),"")</f>
        <v>90</v>
      </c>
      <c r="Y33" s="849" t="str">
        <f>IFERROR(VLOOKUP(D30,'Mlk1'!$B$14:$BN$63,'Mlk1'!S64),"")</f>
        <v/>
      </c>
      <c r="Z33" s="849" t="str">
        <f>IFERROR(VLOOKUP(D30,'Mlk1'!$B$14:$BN$63,'Mlk1'!AV64),"")</f>
        <v/>
      </c>
      <c r="AA33" s="849" t="str">
        <f>IFERROR(VLOOKUP(D30,'Ml2'!$B$14:$BN$63,'Ml2'!S64),"")</f>
        <v/>
      </c>
      <c r="AB33" s="849" t="str">
        <f>IFERROR(VLOOKUP(D30,'Ml2'!$B$14:$BN$63,'Ml2'!AV64),"")</f>
        <v/>
      </c>
      <c r="AC33" s="849">
        <f>IFERROR(VLOOKUP(D30,sosio!$B$14:$BN$63,sosio!S64),"")</f>
        <v>92</v>
      </c>
      <c r="AD33" s="1043">
        <f>IFERROR(VLOOKUP(D30,sosio!$B$14:$BN$63,sosio!AV64),"")</f>
        <v>85</v>
      </c>
      <c r="AE33" s="849">
        <f>IFERROR(VLOOKUP(D30,geog!$B$14:$BN$63,geog!S64),"")</f>
        <v>88</v>
      </c>
      <c r="AF33" s="849">
        <f>IFERROR(VLOOKUP(D30,geog!$B$14:$BN$63,geog!AV64),"")</f>
        <v>95</v>
      </c>
      <c r="AG33" s="849">
        <f>IFERROR(VLOOKUP(D30,ekonomi!$B$14:$BN$63,ekonomi!S64),"")</f>
        <v>86</v>
      </c>
      <c r="AH33" s="849">
        <f>IFERROR(VLOOKUP(D30,ekonomi!$B$14:$BN$63,ekonomi!AV64),"")</f>
        <v>88</v>
      </c>
      <c r="AI33" s="849">
        <f>IFERROR(VLOOKUP(D30,'sejarah peminatan'!$B$14:$BN$63,'sejarah peminatan'!S64),"")</f>
        <v>86</v>
      </c>
      <c r="AJ33" s="849">
        <f>IFERROR(VLOOKUP(D30,'sejarah peminatan'!$B$14:$BN$63,'sejarah peminatan'!AV64),"")</f>
        <v>85</v>
      </c>
      <c r="AK33" s="849" t="str">
        <f>IFERROR(VLOOKUP(D30,'PM5'!$B$14:$BN$63,'PM5'!S64),"")</f>
        <v/>
      </c>
      <c r="AL33" s="849" t="str">
        <f>IFERROR(VLOOKUP(D30,'PM5'!$B$14:$BN$63,'PM5'!AV64),"")</f>
        <v/>
      </c>
      <c r="AM33" s="849" t="str">
        <f>IFERROR(VLOOKUP(D30,'PM6'!$B$14:$BN$63,'PM6'!S64),"")</f>
        <v/>
      </c>
      <c r="AN33" s="849" t="str">
        <f>IFERROR(VLOOKUP(D30,'PM6'!$B$14:$BN$63,'PM6'!AV64),"")</f>
        <v/>
      </c>
      <c r="AO33" s="849">
        <f>IFERROR(VLOOKUP(D30,biologi!$B$14:$BN$63,biologi!S64),"")</f>
        <v>81</v>
      </c>
      <c r="AP33" s="849">
        <f>IFERROR(VLOOKUP(D30,biologi!$B$14:$BN$63,biologi!AV64),"")</f>
        <v>81</v>
      </c>
      <c r="AQ33" s="849">
        <f>IFERROR(VLOOKUP(D30,fissika!$B$14:$BN$63,fissika!S64),"")</f>
        <v>86</v>
      </c>
      <c r="AR33" s="851">
        <f>IFERROR(VLOOKUP(D30,fissika!$B$14:$BN$63,fissika!AV64),"")</f>
        <v>89</v>
      </c>
      <c r="AS33" s="823"/>
      <c r="AT33" s="824"/>
      <c r="AU33" s="823"/>
      <c r="AV33" s="814"/>
      <c r="AW33" s="814"/>
      <c r="AX33" s="824"/>
      <c r="AY33" s="2320"/>
      <c r="AZ33" s="2323"/>
      <c r="BA33" s="2326"/>
      <c r="BB33" s="2317"/>
      <c r="BC33" s="2317"/>
      <c r="BD33" s="829"/>
    </row>
    <row r="34" spans="1:56" ht="17.25" customHeight="1" thickBot="1">
      <c r="A34" s="829"/>
      <c r="B34" s="829"/>
      <c r="C34" s="829"/>
      <c r="D34" s="2340"/>
      <c r="E34" s="820" t="str">
        <f>VLOOKUP(D30,Data!$E$5:$AC$54,11)</f>
        <v>Desa Raknamo</v>
      </c>
      <c r="F34" s="852" t="s">
        <v>257</v>
      </c>
      <c r="G34" s="854" t="str">
        <f>IFERROR(VLOOKUP(D30,PA!$B$14:$BN$63,PA!T64),"")</f>
        <v>B</v>
      </c>
      <c r="H34" s="853" t="str">
        <f>IFERROR(VLOOKUP(D30,PA!$B$14:$BN$63,PA!AW64),"")</f>
        <v>B</v>
      </c>
      <c r="I34" s="853" t="str">
        <f>IFERROR(VLOOKUP(D30,PKn!$B$14:$BN$63,PKn!T64),"")</f>
        <v>C</v>
      </c>
      <c r="J34" s="853" t="str">
        <f>IFERROR(VLOOKUP(D30,PKn!$B$14:$BN$63,PKn!AW64),"")</f>
        <v>A</v>
      </c>
      <c r="K34" s="853" t="str">
        <f>IFERROR(VLOOKUP(D30,BInd!$B$14:$BN$63,BInd!T64),"")</f>
        <v>C</v>
      </c>
      <c r="L34" s="853" t="str">
        <f>IFERROR(VLOOKUP(D30,PA!$B$14:$BN$63,PA!AW64),"")</f>
        <v>B</v>
      </c>
      <c r="M34" s="853" t="str">
        <f>IFERROR(VLOOKUP(D30,Mat!$B$14:$BN$63,Mat!T64),"")</f>
        <v>C</v>
      </c>
      <c r="N34" s="853" t="str">
        <f>IFERROR(VLOOKUP(D30,Mat!$B$14:$BN$63,Mat!AW64),"")</f>
        <v>B</v>
      </c>
      <c r="O34" s="853" t="str">
        <f>IFERROR(VLOOKUP(D30,SEJ!$B$14:$BN$63,SEJ!T64),"")</f>
        <v/>
      </c>
      <c r="P34" s="853" t="str">
        <f>IFERROR(VLOOKUP(D30,SEJ!$B$14:$BN$63,SEJ!AW64),"")</f>
        <v/>
      </c>
      <c r="Q34" s="853" t="str">
        <f>IFERROR(VLOOKUP(D30,BIng!$B$14:$BN$63,BIng!T64),"")</f>
        <v>B</v>
      </c>
      <c r="R34" s="855" t="str">
        <f>IFERROR(VLOOKUP(D30,BIng!$B$14:$BN$63,BIng!AW64),"")</f>
        <v>B</v>
      </c>
      <c r="S34" s="854" t="str">
        <f>IFERROR(VLOOKUP(D30,SB!$B$14:$BN$63,SB!T64),"")</f>
        <v>B</v>
      </c>
      <c r="T34" s="853" t="str">
        <f>IFERROR(VLOOKUP(D30,SB!$B$14:$BN$63,SB!AW64),"")</f>
        <v>B</v>
      </c>
      <c r="U34" s="853" t="str">
        <f>IFERROR(VLOOKUP(D30,pjok!$B$14:$BN$63,pjok!T64),"")</f>
        <v>B</v>
      </c>
      <c r="V34" s="853" t="str">
        <f>IFERROR(VLOOKUP(D30,pjok!$B$14:$BN$63,pjok!AW64),"")</f>
        <v>B</v>
      </c>
      <c r="W34" s="853" t="str">
        <f>IFERROR(VLOOKUP(D30,pkwu!$B$14:$BN$63,pkwu!T64),"")</f>
        <v>B</v>
      </c>
      <c r="X34" s="853" t="str">
        <f>IFERROR(VLOOKUP(D30,pkwu!$B$14:$BN$63,pkwu!AW64),"")</f>
        <v>B</v>
      </c>
      <c r="Y34" s="853" t="str">
        <f>IFERROR(VLOOKUP(D30,'Mlk1'!$B$14:$BN$63,'Mlk1'!T64),"")</f>
        <v/>
      </c>
      <c r="Z34" s="853" t="str">
        <f>IFERROR(VLOOKUP(D30,'Mlk1'!$B$14:$BN$63,'Mlk1'!AW64),"")</f>
        <v/>
      </c>
      <c r="AA34" s="853" t="str">
        <f>IFERROR(VLOOKUP(D30,'Ml2'!$B$14:$BN$63,'Ml2'!T64),"")</f>
        <v/>
      </c>
      <c r="AB34" s="853" t="str">
        <f>IFERROR(VLOOKUP(D30,'Ml2'!$B$14:$BN$63,'Ml2'!AW64),"")</f>
        <v/>
      </c>
      <c r="AC34" s="853" t="str">
        <f>IFERROR(VLOOKUP(D30,sosio!$B$14:$BN$63,sosio!T64),"")</f>
        <v>B</v>
      </c>
      <c r="AD34" s="1044" t="str">
        <f>IFERROR(VLOOKUP(D30,sosio!$B$14:$BN$63,sosio!AW64),"")</f>
        <v>B</v>
      </c>
      <c r="AE34" s="853" t="str">
        <f>IFERROR(VLOOKUP(D30,geog!$B$14:$BN$63,geog!T64),"")</f>
        <v>B</v>
      </c>
      <c r="AF34" s="853" t="str">
        <f>IFERROR(VLOOKUP(D30,geog!$B$14:$BN$63,geog!AW64),"")</f>
        <v>A</v>
      </c>
      <c r="AG34" s="853" t="str">
        <f>IFERROR(VLOOKUP(D30,ekonomi!$B$14:$BN$63,ekonomi!T64),"")</f>
        <v>B</v>
      </c>
      <c r="AH34" s="853" t="str">
        <f>IFERROR(VLOOKUP(D30,ekonomi!$B$14:$BN$63,ekonomi!AW64),"")</f>
        <v>B</v>
      </c>
      <c r="AI34" s="853" t="str">
        <f>IFERROR(VLOOKUP(D30,'sejarah peminatan'!$B$14:$BN$63,'sejarah peminatan'!T64),"")</f>
        <v>B</v>
      </c>
      <c r="AJ34" s="853" t="str">
        <f>IFERROR(VLOOKUP(D30,'sejarah peminatan'!$B$14:$BN$63,'sejarah peminatan'!AW64),"")</f>
        <v>B</v>
      </c>
      <c r="AK34" s="853" t="str">
        <f>IFERROR(VLOOKUP(D30,'PM5'!$B$14:$BN$63,'PM5'!T64),"")</f>
        <v/>
      </c>
      <c r="AL34" s="853" t="str">
        <f>IFERROR(VLOOKUP(D30,'PM5'!$B$14:$BN$63,'PM5'!AW64),"")</f>
        <v/>
      </c>
      <c r="AM34" s="853" t="str">
        <f>IFERROR(VLOOKUP(D30,'PM6'!$B$14:$BN$63,'PM6'!T64),"")</f>
        <v/>
      </c>
      <c r="AN34" s="853" t="str">
        <f>IFERROR(VLOOKUP(D30,'PM6'!$B$14:$BN$63,'PM6'!AW64),"")</f>
        <v/>
      </c>
      <c r="AO34" s="853" t="str">
        <f>IFERROR(VLOOKUP(D30,biologi!$B$14:$BN$63,biologi!T64),"")</f>
        <v>C</v>
      </c>
      <c r="AP34" s="853" t="str">
        <f>IFERROR(VLOOKUP(D30,biologi!$B$14:$BN$63,biologi!AW64),"")</f>
        <v>C</v>
      </c>
      <c r="AQ34" s="853" t="str">
        <f>IFERROR(VLOOKUP(D30,fissika!$B$14:$BN$63,fissika!T64),"")</f>
        <v>B</v>
      </c>
      <c r="AR34" s="855" t="str">
        <f>IFERROR(VLOOKUP(D30,fissika!$B$14:$BN$63,fissika!AW64),"")</f>
        <v>B</v>
      </c>
      <c r="AS34" s="817" t="str">
        <f>IFERROR(VLOOKUP(D30,Sikap!$B$15:$U$64,Sikap!F65),"")</f>
        <v>SB</v>
      </c>
      <c r="AT34" s="818" t="str">
        <f>IFERROR(VLOOKUP(D30,Sikap!$B$15:$U$64,Sikap!M65),"")</f>
        <v>SB</v>
      </c>
      <c r="AU34" s="817" t="str">
        <f>IF(VLOOKUP(D30,AbEk!$B$9:$U$58,AbEk!J60)=0,"",VLOOKUP(D30,AbEk!$B$9:$U$58,AbEk!J60))</f>
        <v>B</v>
      </c>
      <c r="AV34" s="816" t="str">
        <f>IF(VLOOKUP(D30,AbEk!$B$9:$U$58,AbEk!M60)=0,"",VLOOKUP(D30,AbEk!$B$9:$U$58,AbEk!M60))</f>
        <v/>
      </c>
      <c r="AW34" s="816" t="str">
        <f>IF(VLOOKUP(D30,AbEk!$B$9:$U$58,AbEk!P60)=0,"",VLOOKUP(D30,AbEk!$B$9:$U$58,AbEk!P60))</f>
        <v/>
      </c>
      <c r="AX34" s="818" t="str">
        <f>IF(VLOOKUP(D30,AbEk!$B$9:$U$58,AbEk!S60)=0,"",VLOOKUP(D30,AbEk!$B$9:$U$58,AbEk!S60))</f>
        <v/>
      </c>
      <c r="AY34" s="2321"/>
      <c r="AZ34" s="2324"/>
      <c r="BA34" s="2327"/>
      <c r="BB34" s="2318"/>
      <c r="BC34" s="2318"/>
      <c r="BD34" s="829"/>
    </row>
    <row r="35" spans="1:56" ht="17.25" customHeight="1">
      <c r="A35" s="829"/>
      <c r="B35" s="829"/>
      <c r="C35" s="829"/>
      <c r="D35" s="2338">
        <f t="shared" ref="D35" si="2">IFERROR(IF((D30+1)&gt;$B$15,"",D30+1),"")</f>
        <v>6</v>
      </c>
      <c r="E35" s="856" t="str">
        <f>VLOOKUP(D35,Data!$E$5:$AC$54,4)</f>
        <v>Ayu Oliberta Ranboki</v>
      </c>
      <c r="F35" s="844" t="s">
        <v>586</v>
      </c>
      <c r="G35" s="846">
        <f>IFERROR(VLOOKUP(D35,PA!$B$14:$BN$63,PA!P64),"")</f>
        <v>95</v>
      </c>
      <c r="H35" s="845">
        <f>IFERROR(VLOOKUP(D35,PA!$B$14:$BN$63,PA!AV64),"")</f>
        <v>95</v>
      </c>
      <c r="I35" s="845">
        <f>IFERROR(VLOOKUP(D35,PKn!$B$14:$BN$63,PKn!P64),"")</f>
        <v>87</v>
      </c>
      <c r="J35" s="845">
        <f>IFERROR(VLOOKUP(D35,PKn!$B$14:$BN$63,PKn!AV64),"")</f>
        <v>95</v>
      </c>
      <c r="K35" s="845">
        <f>IFERROR(VLOOKUP(D35,BInd!$B$14:$BN$63,BInd!P64),"")</f>
        <v>85</v>
      </c>
      <c r="L35" s="845">
        <f>IFERROR(VLOOKUP(D35,BInd!$B$14:$BN$63,BInd!AV64),"")</f>
        <v>88</v>
      </c>
      <c r="M35" s="845">
        <f>IFERROR(VLOOKUP(D35,Mat!$B$14:$BN$63,Mat!P64),"")</f>
        <v>86</v>
      </c>
      <c r="N35" s="845">
        <f>IFERROR(VLOOKUP(D35,Mat!$B$14:$BN$63,Mat!AV64),"")</f>
        <v>86</v>
      </c>
      <c r="O35" s="845" t="str">
        <f>IFERROR(VLOOKUP(D35,SEJ!$B$14:$BN$63,SEJ!P64),"")</f>
        <v/>
      </c>
      <c r="P35" s="845" t="str">
        <f>IFERROR(VLOOKUP(D35,SEJ!$B$14:$BN$63,SEJ!AV64),"")</f>
        <v/>
      </c>
      <c r="Q35" s="845">
        <f>IFERROR(VLOOKUP(D35,BIng!$B$14:$BN$63,BIng!P64),"")</f>
        <v>84</v>
      </c>
      <c r="R35" s="847">
        <f>IFERROR(VLOOKUP(D35,BIng!$B$14:$BN$63,BIng!AV64),"")</f>
        <v>86</v>
      </c>
      <c r="S35" s="846">
        <f>IFERROR(VLOOKUP(D35,SB!$B$14:$BN$63,SB!P64),"")</f>
        <v>83</v>
      </c>
      <c r="T35" s="845">
        <f>IFERROR(VLOOKUP(D35,SB!$B$14:$BN$63,SB!AV64),"")</f>
        <v>90</v>
      </c>
      <c r="U35" s="845">
        <f>IFERROR(VLOOKUP(D35,pjok!$B$14:$BN$63,pjok!P64),"")</f>
        <v>88</v>
      </c>
      <c r="V35" s="845">
        <f>IFERROR(VLOOKUP(D35,pjok!$B$14:$BN$63,pjok!AV64),"")</f>
        <v>87</v>
      </c>
      <c r="W35" s="845">
        <f>IFERROR(VLOOKUP(D35,pkwu!$B$14:$BN$63,pkwu!P64),"")</f>
        <v>84</v>
      </c>
      <c r="X35" s="845">
        <f>IFERROR(VLOOKUP(D35,pkwu!$B$14:$BN$63,pkwu!AV64),"")</f>
        <v>90</v>
      </c>
      <c r="Y35" s="845" t="str">
        <f>IFERROR(VLOOKUP(D35,'Mlk1'!$B$14:$BN$63,'Mlk1'!P64),"")</f>
        <v/>
      </c>
      <c r="Z35" s="845" t="str">
        <f>IFERROR(VLOOKUP(D35,'Mlk1'!$B$14:$BN$63,'Mlk1'!AV64),"")</f>
        <v/>
      </c>
      <c r="AA35" s="845" t="str">
        <f>IFERROR(VLOOKUP(D35,'Ml2'!$B$14:$BN$63,'Ml2'!P64),"")</f>
        <v/>
      </c>
      <c r="AB35" s="845" t="str">
        <f>IFERROR(VLOOKUP(D35,'Ml2'!$B$14:$BN$63,'Ml2'!AV64),"")</f>
        <v/>
      </c>
      <c r="AC35" s="845">
        <f>IFERROR(VLOOKUP(D35,sosio!$B$14:$BN$63,sosio!P64),"")</f>
        <v>93</v>
      </c>
      <c r="AD35" s="1042">
        <f>IFERROR(VLOOKUP(D35,sosio!$B$14:$BN$63,sosio!AV64),"")</f>
        <v>85</v>
      </c>
      <c r="AE35" s="845">
        <f>IFERROR(VLOOKUP(D35,geog!$B$14:$BN$63,geog!P64),"")</f>
        <v>90</v>
      </c>
      <c r="AF35" s="845">
        <f>IFERROR(VLOOKUP(D35,geog!$B$14:$BN$63,geog!AV64),"")</f>
        <v>95</v>
      </c>
      <c r="AG35" s="845">
        <f>IFERROR(VLOOKUP(D35,ekonomi!$B$14:$BN$63,ekonomi!P64),"")</f>
        <v>90</v>
      </c>
      <c r="AH35" s="845">
        <f>IFERROR(VLOOKUP(D35,ekonomi!$B$14:$BN$63,ekonomi!AV64),"")</f>
        <v>88</v>
      </c>
      <c r="AI35" s="845">
        <f>IFERROR(VLOOKUP(D35,'sejarah peminatan'!$B$14:$BN$63,'sejarah peminatan'!P64),"")</f>
        <v>90</v>
      </c>
      <c r="AJ35" s="845">
        <f>IFERROR(VLOOKUP(D35,'sejarah peminatan'!$B$14:$BN$63,'sejarah peminatan'!AV64),"")</f>
        <v>85</v>
      </c>
      <c r="AK35" s="845" t="str">
        <f>IFERROR(VLOOKUP(D35,'PM5'!$B$14:$BN$63,'PM5'!P64),"")</f>
        <v/>
      </c>
      <c r="AL35" s="845" t="str">
        <f>IFERROR(VLOOKUP(D35,'PM5'!$B$14:$BN$63,'PM5'!AV64),"")</f>
        <v/>
      </c>
      <c r="AM35" s="845" t="str">
        <f>IFERROR(VLOOKUP(D35,'PM6'!$B$14:$BN$63,'PM6'!P64),"")</f>
        <v/>
      </c>
      <c r="AN35" s="845" t="str">
        <f>IFERROR(VLOOKUP(D35,'PM6'!$B$14:$BN$63,'PM6'!AV64),"")</f>
        <v/>
      </c>
      <c r="AO35" s="845">
        <f>IFERROR(VLOOKUP(D35,biologi!$B$14:$BN$63,biologi!P64),"")</f>
        <v>81</v>
      </c>
      <c r="AP35" s="845">
        <f>IFERROR(VLOOKUP(D35,biologi!$B$14:$BN$63,biologi!AV64),"")</f>
        <v>81</v>
      </c>
      <c r="AQ35" s="845">
        <f>IFERROR(VLOOKUP(D35,fissika!$B$14:$BN$63,fissika!P64),"")</f>
        <v>78</v>
      </c>
      <c r="AR35" s="847">
        <f>IFERROR(VLOOKUP(D35,fissika!$B$14:$BN$63,fissika!AV64),"")</f>
        <v>88</v>
      </c>
      <c r="AS35" s="821"/>
      <c r="AT35" s="822"/>
      <c r="AU35" s="821"/>
      <c r="AV35" s="819"/>
      <c r="AW35" s="819"/>
      <c r="AX35" s="822"/>
      <c r="AY35" s="2319">
        <f>VLOOKUP(D35,AbEk!$B$9:$U$58,5)</f>
        <v>0</v>
      </c>
      <c r="AZ35" s="2322">
        <f>VLOOKUP(D35,AbEk!$B$9:$U$58,6)</f>
        <v>0</v>
      </c>
      <c r="BA35" s="2325">
        <f>VLOOKUP(D35,AbEk!$B$9:$U$58,7)</f>
        <v>0</v>
      </c>
      <c r="BB35" s="2316"/>
      <c r="BC35" s="2316"/>
      <c r="BD35" s="829"/>
    </row>
    <row r="36" spans="1:56" ht="17.25" customHeight="1">
      <c r="A36" s="829"/>
      <c r="B36" s="829"/>
      <c r="C36" s="829"/>
      <c r="D36" s="2339"/>
      <c r="E36" s="815" t="str">
        <f>TEXT(VLOOKUP(D35,Data!$E$5:$AC$54,2),Data!$C$18)&amp;IF(VLOOKUP(D35,Data!$E$5:$AC$54,Data!$G$55)="",""," / "&amp;TEXT(VLOOKUP(D35,Data!$E$5:$AC$54,Data!$G$55),Data!$C$20))</f>
        <v>00000 / 0065667244</v>
      </c>
      <c r="F36" s="848" t="s">
        <v>254</v>
      </c>
      <c r="G36" s="850">
        <f>IFERROR(VLOOKUP(D35,PA!$B$14:$BN$63,PA!Q64),"")</f>
        <v>95</v>
      </c>
      <c r="H36" s="849"/>
      <c r="I36" s="849">
        <f>IFERROR(VLOOKUP(D35,PKn!$B$14:$BN$63,PKn!Q64),"")</f>
        <v>80</v>
      </c>
      <c r="J36" s="849"/>
      <c r="K36" s="849">
        <f>IFERROR(VLOOKUP(D35,BInd!$B$14:$BN$63,BInd!Q64),"")</f>
        <v>100</v>
      </c>
      <c r="L36" s="849"/>
      <c r="M36" s="849">
        <f>IFERROR(VLOOKUP(D35,Mat!$B$14:$BN$63,Mat!Q64),"")</f>
        <v>80</v>
      </c>
      <c r="N36" s="849"/>
      <c r="O36" s="849">
        <f>IFERROR(VLOOKUP(D35,SEJ!$B$14:$BN$63,SEJ!Q64),"")</f>
        <v>0</v>
      </c>
      <c r="P36" s="849"/>
      <c r="Q36" s="849">
        <f>IFERROR(VLOOKUP(D35,BIng!$B$14:$BN$63,BIng!Q64),"")</f>
        <v>85</v>
      </c>
      <c r="R36" s="851"/>
      <c r="S36" s="850">
        <f>IFERROR(VLOOKUP(D35,SB!$B$14:$BN$63,SB!Q64),"")</f>
        <v>85</v>
      </c>
      <c r="T36" s="849"/>
      <c r="U36" s="849">
        <f>IFERROR(VLOOKUP(D35,pjok!$B$14:$BN$63,pjok!Q64),"")</f>
        <v>86</v>
      </c>
      <c r="V36" s="849"/>
      <c r="W36" s="849">
        <f>IFERROR(VLOOKUP(D35,pkwu!$B$14:$BN$63,pkwu!Q64),"")</f>
        <v>85</v>
      </c>
      <c r="X36" s="849"/>
      <c r="Y36" s="849">
        <f>IFERROR(VLOOKUP(D35,'Mlk1'!$B$14:$BN$63,'Mlk1'!Q64),"")</f>
        <v>0</v>
      </c>
      <c r="Z36" s="849"/>
      <c r="AA36" s="849">
        <f>IFERROR(VLOOKUP(D35,'Ml2'!$B$14:$BN$63,'Ml2'!Q64),"")</f>
        <v>0</v>
      </c>
      <c r="AB36" s="849"/>
      <c r="AC36" s="849">
        <f>IFERROR(VLOOKUP(D35,sosio!$B$14:$BN$63,sosio!Q64),"")</f>
        <v>90</v>
      </c>
      <c r="AD36" s="1043"/>
      <c r="AE36" s="849">
        <f>IFERROR(VLOOKUP(D35,geog!$B$14:$BN$63,geog!Q64),"")</f>
        <v>85</v>
      </c>
      <c r="AF36" s="849"/>
      <c r="AG36" s="849">
        <f>IFERROR(VLOOKUP(D35,ekonomi!$B$14:$BN$63,ekonomi!Q64),"")</f>
        <v>92</v>
      </c>
      <c r="AH36" s="849"/>
      <c r="AI36" s="849">
        <f>IFERROR(VLOOKUP(D35,'sejarah peminatan'!$B$14:$BN$63,'sejarah peminatan'!Q64),"")</f>
        <v>88</v>
      </c>
      <c r="AJ36" s="849"/>
      <c r="AK36" s="849">
        <f>IFERROR(VLOOKUP(D35,'PM5'!$B$14:$BN$63,'PM5'!Q64),"")</f>
        <v>0</v>
      </c>
      <c r="AL36" s="849"/>
      <c r="AM36" s="849">
        <f>IFERROR(VLOOKUP(D35,'PM6'!$B$14:$BN$63,'PM6'!Q64),"")</f>
        <v>0</v>
      </c>
      <c r="AN36" s="849"/>
      <c r="AO36" s="849">
        <f>IFERROR(VLOOKUP(D35,biologi!$B$14:$BN$63,biologi!Q64),"")</f>
        <v>80</v>
      </c>
      <c r="AP36" s="849"/>
      <c r="AQ36" s="849">
        <f>IFERROR(VLOOKUP(D35,fissika!$B$14:$BN$63,fissika!Q64),"")</f>
        <v>87</v>
      </c>
      <c r="AR36" s="851"/>
      <c r="AS36" s="823"/>
      <c r="AT36" s="824"/>
      <c r="AU36" s="823"/>
      <c r="AV36" s="814"/>
      <c r="AW36" s="814"/>
      <c r="AX36" s="824"/>
      <c r="AY36" s="2320"/>
      <c r="AZ36" s="2323"/>
      <c r="BA36" s="2326"/>
      <c r="BB36" s="2317"/>
      <c r="BC36" s="2317"/>
      <c r="BD36" s="829"/>
    </row>
    <row r="37" spans="1:56" ht="17.25" customHeight="1">
      <c r="A37" s="829"/>
      <c r="B37" s="829"/>
      <c r="C37" s="829"/>
      <c r="D37" s="2339"/>
      <c r="E37" s="815" t="str">
        <f>VLOOKUP(D35,Data!$E$5:$AC$54,6)&amp;",  "&amp;TEXT(VLOOKUP(D35,Data!$E$5:$AC$54,7),"D MMMM YYY")</f>
        <v>Oekona,  12 October 2006</v>
      </c>
      <c r="F37" s="848" t="s">
        <v>255</v>
      </c>
      <c r="G37" s="850">
        <f>IFERROR(VLOOKUP(D35,PA!$B$14:$BN$63,PA!R64),"")</f>
        <v>95</v>
      </c>
      <c r="H37" s="849"/>
      <c r="I37" s="849">
        <f>IFERROR(VLOOKUP(D35,PKn!$B$14:$BN$63,PKn!R64),"")</f>
        <v>87</v>
      </c>
      <c r="J37" s="849"/>
      <c r="K37" s="849">
        <f>IFERROR(VLOOKUP(D35,BInd!$B$14:$BN$63,BInd!R64),"")</f>
        <v>45</v>
      </c>
      <c r="L37" s="849"/>
      <c r="M37" s="849">
        <f>IFERROR(VLOOKUP(D35,Mat!$B$14:$BN$63,Mat!R64),"")</f>
        <v>80</v>
      </c>
      <c r="N37" s="849"/>
      <c r="O37" s="849">
        <f>IFERROR(VLOOKUP(D35,SEJ!$B$14:$BN$63,SEJ!R64),"")</f>
        <v>0</v>
      </c>
      <c r="P37" s="849"/>
      <c r="Q37" s="849">
        <f>IFERROR(VLOOKUP(D35,BIng!$B$14:$BN$63,BIng!R64),"")</f>
        <v>85</v>
      </c>
      <c r="R37" s="851"/>
      <c r="S37" s="850">
        <f>IFERROR(VLOOKUP(D35,SB!$B$14:$BN$63,SB!R64),"")</f>
        <v>80</v>
      </c>
      <c r="T37" s="849"/>
      <c r="U37" s="849">
        <f>IFERROR(VLOOKUP(D35,pjok!$B$14:$BN$63,pjok!R64),"")</f>
        <v>88</v>
      </c>
      <c r="V37" s="849"/>
      <c r="W37" s="849">
        <f>IFERROR(VLOOKUP(D35,pkwu!$B$14:$BN$63,pkwu!R64),"")</f>
        <v>84</v>
      </c>
      <c r="X37" s="849"/>
      <c r="Y37" s="849">
        <f>IFERROR(VLOOKUP(D35,'Mlk1'!$B$14:$BN$63,'Mlk1'!R64),"")</f>
        <v>0</v>
      </c>
      <c r="Z37" s="849"/>
      <c r="AA37" s="849">
        <f>IFERROR(VLOOKUP(D35,'Ml2'!$B$14:$BN$63,'Ml2'!R64),"")</f>
        <v>0</v>
      </c>
      <c r="AB37" s="849"/>
      <c r="AC37" s="849">
        <f>IFERROR(VLOOKUP(D35,sosio!$B$14:$BN$63,sosio!R64),"")</f>
        <v>93</v>
      </c>
      <c r="AD37" s="1043"/>
      <c r="AE37" s="849">
        <f>IFERROR(VLOOKUP(D35,geog!$B$14:$BN$63,geog!R64),"")</f>
        <v>90</v>
      </c>
      <c r="AF37" s="849"/>
      <c r="AG37" s="849">
        <f>IFERROR(VLOOKUP(D35,ekonomi!$B$14:$BN$63,ekonomi!R64),"")</f>
        <v>95</v>
      </c>
      <c r="AH37" s="849"/>
      <c r="AI37" s="849">
        <f>IFERROR(VLOOKUP(D35,'sejarah peminatan'!$B$14:$BN$63,'sejarah peminatan'!R64),"")</f>
        <v>76</v>
      </c>
      <c r="AJ37" s="849"/>
      <c r="AK37" s="849">
        <f>IFERROR(VLOOKUP(D35,'PM5'!$B$14:$BN$63,'PM5'!R64),"")</f>
        <v>0</v>
      </c>
      <c r="AL37" s="849"/>
      <c r="AM37" s="849">
        <f>IFERROR(VLOOKUP(D35,'PM6'!$B$14:$BN$63,'PM6'!R64),"")</f>
        <v>0</v>
      </c>
      <c r="AN37" s="849"/>
      <c r="AO37" s="849">
        <f>IFERROR(VLOOKUP(D35,biologi!$B$14:$BN$63,biologi!R64),"")</f>
        <v>79</v>
      </c>
      <c r="AP37" s="849"/>
      <c r="AQ37" s="849">
        <f>IFERROR(VLOOKUP(D35,fissika!$B$14:$BN$63,fissika!R64),"")</f>
        <v>85</v>
      </c>
      <c r="AR37" s="851"/>
      <c r="AS37" s="823"/>
      <c r="AT37" s="824"/>
      <c r="AU37" s="823"/>
      <c r="AV37" s="814"/>
      <c r="AW37" s="814"/>
      <c r="AX37" s="824"/>
      <c r="AY37" s="2320"/>
      <c r="AZ37" s="2323"/>
      <c r="BA37" s="2326"/>
      <c r="BB37" s="2317"/>
      <c r="BC37" s="2317"/>
      <c r="BD37" s="829"/>
    </row>
    <row r="38" spans="1:56" ht="17.25" customHeight="1">
      <c r="A38" s="829"/>
      <c r="B38" s="829"/>
      <c r="C38" s="829"/>
      <c r="D38" s="2339"/>
      <c r="E38" s="815" t="str">
        <f>VLOOKUP(D35,Data!$E$5:$AC$54,16)</f>
        <v>Apolos Ranboki</v>
      </c>
      <c r="F38" s="848" t="s">
        <v>256</v>
      </c>
      <c r="G38" s="850">
        <f>IFERROR(VLOOKUP(D35,PA!$B$14:$BN$63,PA!S64),"")</f>
        <v>95</v>
      </c>
      <c r="H38" s="849">
        <f>IFERROR(VLOOKUP(D35,PA!$B$14:$BN$63,PA!AV64),"")</f>
        <v>95</v>
      </c>
      <c r="I38" s="849">
        <f>IFERROR(VLOOKUP(D35,PKn!$B$14:$BN$63,PKn!S64),"")</f>
        <v>85</v>
      </c>
      <c r="J38" s="849">
        <f>IFERROR(VLOOKUP(D35,PKn!$B$14:$BN$63,PKn!AV64),"")</f>
        <v>95</v>
      </c>
      <c r="K38" s="849">
        <f>IFERROR(VLOOKUP(D35,BInd!$B$14:$BN$63,BInd!S64),"")</f>
        <v>79</v>
      </c>
      <c r="L38" s="849">
        <f>IFERROR(VLOOKUP(D35,BInd!$B$14:$BN$63,BInd!AV64),"")</f>
        <v>88</v>
      </c>
      <c r="M38" s="849">
        <f>IFERROR(VLOOKUP(D35,Mat!$B$14:$BN$63,Mat!S64),"")</f>
        <v>83</v>
      </c>
      <c r="N38" s="849">
        <f>IFERROR(VLOOKUP(D35,Mat!$B$14:$BN$63,Mat!AV64),"")</f>
        <v>86</v>
      </c>
      <c r="O38" s="849" t="str">
        <f>IFERROR(VLOOKUP(D35,SEJ!$B$14:$BN$63,SEJ!S64),"")</f>
        <v/>
      </c>
      <c r="P38" s="849" t="str">
        <f>IFERROR(VLOOKUP(D35,SEJ!$B$14:$BN$63,SEJ!AV64),"")</f>
        <v/>
      </c>
      <c r="Q38" s="849">
        <f>IFERROR(VLOOKUP(D35,BIng!$B$14:$BN$63,BIng!S64),"")</f>
        <v>85</v>
      </c>
      <c r="R38" s="851">
        <f>IFERROR(VLOOKUP(D35,BIng!$B$14:$BN$63,BIng!AV64),"")</f>
        <v>86</v>
      </c>
      <c r="S38" s="850">
        <f>IFERROR(VLOOKUP(D35,SB!$B$14:$BN$63,SB!S64),"")</f>
        <v>83</v>
      </c>
      <c r="T38" s="849">
        <f>IFERROR(VLOOKUP(D35,SB!$B$14:$BN$63,SB!AV64),"")</f>
        <v>90</v>
      </c>
      <c r="U38" s="849">
        <f>IFERROR(VLOOKUP(D35,pjok!$B$14:$BN$63,pjok!S64),"")</f>
        <v>88</v>
      </c>
      <c r="V38" s="849">
        <f>IFERROR(VLOOKUP(D35,pjok!$B$14:$BN$63,pjok!AV64),"")</f>
        <v>87</v>
      </c>
      <c r="W38" s="849">
        <f>IFERROR(VLOOKUP(D35,pkwu!$B$14:$BN$63,pkwu!S64),"")</f>
        <v>84</v>
      </c>
      <c r="X38" s="849">
        <f>IFERROR(VLOOKUP(D35,pkwu!$B$14:$BN$63,pkwu!AV64),"")</f>
        <v>90</v>
      </c>
      <c r="Y38" s="849" t="str">
        <f>IFERROR(VLOOKUP(D35,'Mlk1'!$B$14:$BN$63,'Mlk1'!S64),"")</f>
        <v/>
      </c>
      <c r="Z38" s="849" t="str">
        <f>IFERROR(VLOOKUP(D35,'Mlk1'!$B$14:$BN$63,'Mlk1'!AV64),"")</f>
        <v/>
      </c>
      <c r="AA38" s="849" t="str">
        <f>IFERROR(VLOOKUP(D35,'Ml2'!$B$14:$BN$63,'Ml2'!S64),"")</f>
        <v/>
      </c>
      <c r="AB38" s="849" t="str">
        <f>IFERROR(VLOOKUP(D35,'Ml2'!$B$14:$BN$63,'Ml2'!AV64),"")</f>
        <v/>
      </c>
      <c r="AC38" s="849">
        <f>IFERROR(VLOOKUP(D35,sosio!$B$14:$BN$63,sosio!S64),"")</f>
        <v>92</v>
      </c>
      <c r="AD38" s="1043">
        <f>IFERROR(VLOOKUP(D35,sosio!$B$14:$BN$63,sosio!AV64),"")</f>
        <v>85</v>
      </c>
      <c r="AE38" s="849">
        <f>IFERROR(VLOOKUP(D35,geog!$B$14:$BN$63,geog!S64),"")</f>
        <v>89</v>
      </c>
      <c r="AF38" s="849">
        <f>IFERROR(VLOOKUP(D35,geog!$B$14:$BN$63,geog!AV64),"")</f>
        <v>95</v>
      </c>
      <c r="AG38" s="849">
        <f>IFERROR(VLOOKUP(D35,ekonomi!$B$14:$BN$63,ekonomi!S64),"")</f>
        <v>92</v>
      </c>
      <c r="AH38" s="849">
        <f>IFERROR(VLOOKUP(D35,ekonomi!$B$14:$BN$63,ekonomi!AV64),"")</f>
        <v>88</v>
      </c>
      <c r="AI38" s="849">
        <f>IFERROR(VLOOKUP(D35,'sejarah peminatan'!$B$14:$BN$63,'sejarah peminatan'!S64),"")</f>
        <v>86</v>
      </c>
      <c r="AJ38" s="849">
        <f>IFERROR(VLOOKUP(D35,'sejarah peminatan'!$B$14:$BN$63,'sejarah peminatan'!AV64),"")</f>
        <v>85</v>
      </c>
      <c r="AK38" s="849" t="str">
        <f>IFERROR(VLOOKUP(D35,'PM5'!$B$14:$BN$63,'PM5'!S64),"")</f>
        <v/>
      </c>
      <c r="AL38" s="849" t="str">
        <f>IFERROR(VLOOKUP(D35,'PM5'!$B$14:$BN$63,'PM5'!AV64),"")</f>
        <v/>
      </c>
      <c r="AM38" s="849" t="str">
        <f>IFERROR(VLOOKUP(D35,'PM6'!$B$14:$BN$63,'PM6'!S64),"")</f>
        <v/>
      </c>
      <c r="AN38" s="849" t="str">
        <f>IFERROR(VLOOKUP(D35,'PM6'!$B$14:$BN$63,'PM6'!AV64),"")</f>
        <v/>
      </c>
      <c r="AO38" s="849">
        <f>IFERROR(VLOOKUP(D35,biologi!$B$14:$BN$63,biologi!S64),"")</f>
        <v>80</v>
      </c>
      <c r="AP38" s="849">
        <f>IFERROR(VLOOKUP(D35,biologi!$B$14:$BN$63,biologi!AV64),"")</f>
        <v>81</v>
      </c>
      <c r="AQ38" s="849">
        <f>IFERROR(VLOOKUP(D35,fissika!$B$14:$BN$63,fissika!S64),"")</f>
        <v>82</v>
      </c>
      <c r="AR38" s="851">
        <f>IFERROR(VLOOKUP(D35,fissika!$B$14:$BN$63,fissika!AV64),"")</f>
        <v>88</v>
      </c>
      <c r="AS38" s="823"/>
      <c r="AT38" s="824"/>
      <c r="AU38" s="823"/>
      <c r="AV38" s="814"/>
      <c r="AW38" s="814"/>
      <c r="AX38" s="824"/>
      <c r="AY38" s="2320"/>
      <c r="AZ38" s="2323"/>
      <c r="BA38" s="2326"/>
      <c r="BB38" s="2317"/>
      <c r="BC38" s="2317"/>
      <c r="BD38" s="829"/>
    </row>
    <row r="39" spans="1:56" ht="17.25" customHeight="1" thickBot="1">
      <c r="A39" s="829"/>
      <c r="B39" s="829"/>
      <c r="C39" s="829"/>
      <c r="D39" s="2340"/>
      <c r="E39" s="820" t="str">
        <f>VLOOKUP(D35,Data!$E$5:$AC$54,11)</f>
        <v>Desa Raknamo</v>
      </c>
      <c r="F39" s="852" t="s">
        <v>257</v>
      </c>
      <c r="G39" s="854" t="str">
        <f>IFERROR(VLOOKUP(D35,PA!$B$14:$BN$63,PA!T64),"")</f>
        <v>A</v>
      </c>
      <c r="H39" s="853" t="str">
        <f>IFERROR(VLOOKUP(D35,PA!$B$14:$BN$63,PA!AW64),"")</f>
        <v>A</v>
      </c>
      <c r="I39" s="853" t="str">
        <f>IFERROR(VLOOKUP(D35,PKn!$B$14:$BN$63,PKn!T64),"")</f>
        <v>B</v>
      </c>
      <c r="J39" s="853" t="str">
        <f>IFERROR(VLOOKUP(D35,PKn!$B$14:$BN$63,PKn!AW64),"")</f>
        <v>A</v>
      </c>
      <c r="K39" s="853" t="str">
        <f>IFERROR(VLOOKUP(D35,BInd!$B$14:$BN$63,BInd!T64),"")</f>
        <v>C</v>
      </c>
      <c r="L39" s="853" t="str">
        <f>IFERROR(VLOOKUP(D35,PA!$B$14:$BN$63,PA!AW64),"")</f>
        <v>A</v>
      </c>
      <c r="M39" s="853" t="str">
        <f>IFERROR(VLOOKUP(D35,Mat!$B$14:$BN$63,Mat!T64),"")</f>
        <v>C</v>
      </c>
      <c r="N39" s="853" t="str">
        <f>IFERROR(VLOOKUP(D35,Mat!$B$14:$BN$63,Mat!AW64),"")</f>
        <v>B</v>
      </c>
      <c r="O39" s="853" t="str">
        <f>IFERROR(VLOOKUP(D35,SEJ!$B$14:$BN$63,SEJ!T64),"")</f>
        <v/>
      </c>
      <c r="P39" s="853" t="str">
        <f>IFERROR(VLOOKUP(D35,SEJ!$B$14:$BN$63,SEJ!AW64),"")</f>
        <v/>
      </c>
      <c r="Q39" s="853" t="str">
        <f>IFERROR(VLOOKUP(D35,BIng!$B$14:$BN$63,BIng!T64),"")</f>
        <v>B</v>
      </c>
      <c r="R39" s="855" t="str">
        <f>IFERROR(VLOOKUP(D35,BIng!$B$14:$BN$63,BIng!AW64),"")</f>
        <v>B</v>
      </c>
      <c r="S39" s="854" t="str">
        <f>IFERROR(VLOOKUP(D35,SB!$B$14:$BN$63,SB!T64),"")</f>
        <v>C</v>
      </c>
      <c r="T39" s="853" t="str">
        <f>IFERROR(VLOOKUP(D35,SB!$B$14:$BN$63,SB!AW64),"")</f>
        <v>B</v>
      </c>
      <c r="U39" s="853" t="str">
        <f>IFERROR(VLOOKUP(D35,pjok!$B$14:$BN$63,pjok!T64),"")</f>
        <v>B</v>
      </c>
      <c r="V39" s="853" t="str">
        <f>IFERROR(VLOOKUP(D35,pjok!$B$14:$BN$63,pjok!AW64),"")</f>
        <v>B</v>
      </c>
      <c r="W39" s="853" t="str">
        <f>IFERROR(VLOOKUP(D35,pkwu!$B$14:$BN$63,pkwu!T64),"")</f>
        <v>C</v>
      </c>
      <c r="X39" s="853" t="str">
        <f>IFERROR(VLOOKUP(D35,pkwu!$B$14:$BN$63,pkwu!AW64),"")</f>
        <v>B</v>
      </c>
      <c r="Y39" s="853" t="str">
        <f>IFERROR(VLOOKUP(D35,'Mlk1'!$B$14:$BN$63,'Mlk1'!T64),"")</f>
        <v/>
      </c>
      <c r="Z39" s="853" t="str">
        <f>IFERROR(VLOOKUP(D35,'Mlk1'!$B$14:$BN$63,'Mlk1'!AW64),"")</f>
        <v/>
      </c>
      <c r="AA39" s="853" t="str">
        <f>IFERROR(VLOOKUP(D35,'Ml2'!$B$14:$BN$63,'Ml2'!T64),"")</f>
        <v/>
      </c>
      <c r="AB39" s="853" t="str">
        <f>IFERROR(VLOOKUP(D35,'Ml2'!$B$14:$BN$63,'Ml2'!AW64),"")</f>
        <v/>
      </c>
      <c r="AC39" s="853" t="str">
        <f>IFERROR(VLOOKUP(D35,sosio!$B$14:$BN$63,sosio!T64),"")</f>
        <v>B</v>
      </c>
      <c r="AD39" s="1044" t="str">
        <f>IFERROR(VLOOKUP(D35,sosio!$B$14:$BN$63,sosio!AW64),"")</f>
        <v>B</v>
      </c>
      <c r="AE39" s="853" t="str">
        <f>IFERROR(VLOOKUP(D35,geog!$B$14:$BN$63,geog!T64),"")</f>
        <v>B</v>
      </c>
      <c r="AF39" s="853" t="str">
        <f>IFERROR(VLOOKUP(D35,geog!$B$14:$BN$63,geog!AW64),"")</f>
        <v>A</v>
      </c>
      <c r="AG39" s="853" t="str">
        <f>IFERROR(VLOOKUP(D35,ekonomi!$B$14:$BN$63,ekonomi!T64),"")</f>
        <v>B</v>
      </c>
      <c r="AH39" s="853" t="str">
        <f>IFERROR(VLOOKUP(D35,ekonomi!$B$14:$BN$63,ekonomi!AW64),"")</f>
        <v>B</v>
      </c>
      <c r="AI39" s="853" t="str">
        <f>IFERROR(VLOOKUP(D35,'sejarah peminatan'!$B$14:$BN$63,'sejarah peminatan'!T64),"")</f>
        <v>B</v>
      </c>
      <c r="AJ39" s="853" t="str">
        <f>IFERROR(VLOOKUP(D35,'sejarah peminatan'!$B$14:$BN$63,'sejarah peminatan'!AW64),"")</f>
        <v>B</v>
      </c>
      <c r="AK39" s="853" t="str">
        <f>IFERROR(VLOOKUP(D35,'PM5'!$B$14:$BN$63,'PM5'!T64),"")</f>
        <v/>
      </c>
      <c r="AL39" s="853" t="str">
        <f>IFERROR(VLOOKUP(D35,'PM5'!$B$14:$BN$63,'PM5'!AW64),"")</f>
        <v/>
      </c>
      <c r="AM39" s="853" t="str">
        <f>IFERROR(VLOOKUP(D35,'PM6'!$B$14:$BN$63,'PM6'!T64),"")</f>
        <v/>
      </c>
      <c r="AN39" s="853" t="str">
        <f>IFERROR(VLOOKUP(D35,'PM6'!$B$14:$BN$63,'PM6'!AW64),"")</f>
        <v/>
      </c>
      <c r="AO39" s="853" t="str">
        <f>IFERROR(VLOOKUP(D35,biologi!$B$14:$BN$63,biologi!T64),"")</f>
        <v>C</v>
      </c>
      <c r="AP39" s="853" t="str">
        <f>IFERROR(VLOOKUP(D35,biologi!$B$14:$BN$63,biologi!AW64),"")</f>
        <v>C</v>
      </c>
      <c r="AQ39" s="853" t="str">
        <f>IFERROR(VLOOKUP(D35,fissika!$B$14:$BN$63,fissika!T64),"")</f>
        <v>C</v>
      </c>
      <c r="AR39" s="855" t="str">
        <f>IFERROR(VLOOKUP(D35,fissika!$B$14:$BN$63,fissika!AW64),"")</f>
        <v>B</v>
      </c>
      <c r="AS39" s="817" t="str">
        <f>IFERROR(VLOOKUP(D35,Sikap!$B$15:$U$64,Sikap!F65),"")</f>
        <v>SB</v>
      </c>
      <c r="AT39" s="818" t="str">
        <f>IFERROR(VLOOKUP(D35,Sikap!$B$15:$U$64,Sikap!M65),"")</f>
        <v>SB</v>
      </c>
      <c r="AU39" s="817" t="str">
        <f>IF(VLOOKUP(D35,AbEk!$B$9:$U$58,AbEk!J60)=0,"",VLOOKUP(D35,AbEk!$B$9:$U$58,AbEk!J60))</f>
        <v/>
      </c>
      <c r="AV39" s="816" t="str">
        <f>IF(VLOOKUP(D35,AbEk!$B$9:$U$58,AbEk!M60)=0,"",VLOOKUP(D35,AbEk!$B$9:$U$58,AbEk!M60))</f>
        <v/>
      </c>
      <c r="AW39" s="816" t="str">
        <f>IF(VLOOKUP(D35,AbEk!$B$9:$U$58,AbEk!P60)=0,"",VLOOKUP(D35,AbEk!$B$9:$U$58,AbEk!P60))</f>
        <v/>
      </c>
      <c r="AX39" s="818" t="str">
        <f>IF(VLOOKUP(D35,AbEk!$B$9:$U$58,AbEk!S60)=0,"",VLOOKUP(D35,AbEk!$B$9:$U$58,AbEk!S60))</f>
        <v/>
      </c>
      <c r="AY39" s="2321"/>
      <c r="AZ39" s="2324"/>
      <c r="BA39" s="2327"/>
      <c r="BB39" s="2318"/>
      <c r="BC39" s="2318"/>
      <c r="BD39" s="829"/>
    </row>
    <row r="40" spans="1:56" ht="15.75">
      <c r="A40" s="829"/>
      <c r="B40" s="829"/>
      <c r="C40" s="829"/>
      <c r="D40" s="811"/>
      <c r="E40" s="826" t="s">
        <v>587</v>
      </c>
      <c r="F40" s="811"/>
      <c r="G40" s="812"/>
      <c r="I40" s="827" t="s">
        <v>588</v>
      </c>
      <c r="J40" s="812"/>
      <c r="K40" s="812"/>
      <c r="L40" s="812"/>
      <c r="M40" s="812"/>
      <c r="N40" s="812"/>
      <c r="O40" s="812"/>
      <c r="P40" s="812"/>
      <c r="Q40" s="812"/>
      <c r="R40" s="812"/>
      <c r="S40" s="812"/>
      <c r="T40" s="812"/>
      <c r="U40" s="812"/>
      <c r="V40" s="812"/>
      <c r="W40" s="812"/>
      <c r="X40" s="812"/>
      <c r="Y40" s="812"/>
      <c r="Z40" s="812"/>
      <c r="AA40" s="812"/>
      <c r="AB40" s="812"/>
      <c r="AC40" s="812"/>
      <c r="AD40" s="812"/>
      <c r="AE40" s="812"/>
      <c r="AF40" s="812"/>
      <c r="AG40" s="812"/>
      <c r="AH40" s="812"/>
      <c r="AI40" s="812"/>
      <c r="AJ40" s="812"/>
      <c r="AK40" s="812"/>
      <c r="AL40" s="812"/>
      <c r="AM40" s="812"/>
      <c r="AN40" s="812"/>
      <c r="AO40" s="812"/>
      <c r="AP40" s="812"/>
      <c r="AQ40" s="812"/>
      <c r="AR40" s="812"/>
      <c r="AS40" s="811"/>
      <c r="AT40" s="811"/>
      <c r="AU40" s="811"/>
      <c r="AV40" s="811"/>
      <c r="AW40" s="811"/>
      <c r="AX40" s="811"/>
      <c r="AY40" s="811"/>
      <c r="AZ40" s="811"/>
      <c r="BA40" s="811"/>
      <c r="BB40" s="811"/>
      <c r="BC40" s="811"/>
      <c r="BD40" s="829"/>
    </row>
    <row r="41" spans="1:56" ht="15.75">
      <c r="A41" s="829"/>
      <c r="B41" s="829"/>
      <c r="C41" s="835"/>
      <c r="D41" s="813"/>
      <c r="E41" s="826" t="s">
        <v>589</v>
      </c>
      <c r="F41" s="827"/>
      <c r="G41" s="827"/>
      <c r="I41" s="827" t="s">
        <v>590</v>
      </c>
      <c r="J41" s="825"/>
      <c r="K41" s="825"/>
      <c r="L41" s="825"/>
      <c r="M41" s="825"/>
      <c r="N41" s="825"/>
      <c r="O41" s="825"/>
      <c r="P41" s="825"/>
      <c r="Q41" s="825"/>
      <c r="R41" s="812"/>
      <c r="S41" s="812"/>
      <c r="T41" s="812"/>
      <c r="U41" s="812"/>
      <c r="V41" s="812"/>
      <c r="W41" s="812"/>
      <c r="X41" s="812"/>
      <c r="Y41" s="812"/>
      <c r="Z41" s="812"/>
      <c r="AA41" s="812"/>
      <c r="AB41" s="812"/>
      <c r="AC41" s="812"/>
      <c r="AD41" s="812"/>
      <c r="AE41" s="812"/>
      <c r="AF41" s="812"/>
      <c r="AG41" s="812"/>
      <c r="AH41" s="812"/>
      <c r="AI41" s="812"/>
      <c r="AK41" s="812"/>
      <c r="AL41" s="837" t="str">
        <f>Data!C4</f>
        <v>SMA Negeri 1 Amabi Efeto</v>
      </c>
      <c r="AM41" s="812"/>
      <c r="AQ41" s="812"/>
      <c r="AR41" s="812"/>
      <c r="AS41" s="811"/>
      <c r="AU41" s="811"/>
      <c r="AV41" s="811"/>
      <c r="AW41" s="811"/>
      <c r="AX41" s="811"/>
      <c r="AY41" s="811"/>
      <c r="AZ41" s="811"/>
      <c r="BA41" s="811"/>
      <c r="BB41" s="811"/>
      <c r="BC41" s="837" t="str">
        <f>AL41</f>
        <v>SMA Negeri 1 Amabi Efeto</v>
      </c>
      <c r="BD41" s="829"/>
    </row>
    <row r="42" spans="1:56" ht="15.75">
      <c r="A42" s="829"/>
      <c r="B42" s="829"/>
      <c r="C42" s="835"/>
      <c r="D42" s="813"/>
      <c r="E42" s="826" t="s">
        <v>591</v>
      </c>
      <c r="F42" s="827"/>
      <c r="G42" s="827"/>
      <c r="I42" s="827" t="s">
        <v>592</v>
      </c>
      <c r="J42" s="825"/>
      <c r="K42" s="825"/>
      <c r="L42" s="825"/>
      <c r="M42" s="825"/>
      <c r="N42" s="825"/>
      <c r="O42" s="825"/>
      <c r="P42" s="825"/>
      <c r="Q42" s="825"/>
      <c r="R42" s="812"/>
      <c r="S42" s="812"/>
      <c r="T42" s="812"/>
      <c r="U42" s="812"/>
      <c r="V42" s="812"/>
      <c r="W42" s="812"/>
      <c r="X42" s="812"/>
      <c r="Y42" s="812"/>
      <c r="Z42" s="812"/>
      <c r="AA42" s="812"/>
      <c r="AB42" s="812"/>
      <c r="AC42" s="812"/>
      <c r="AD42" s="812"/>
      <c r="AE42" s="812"/>
      <c r="AF42" s="812"/>
      <c r="AG42" s="812"/>
      <c r="AH42" s="812"/>
      <c r="AI42" s="812"/>
      <c r="AK42" s="812"/>
      <c r="AL42" s="838" t="str">
        <f>"Kelas "&amp;Data!C9&amp;" Semester "&amp;Data!C10&amp;" TH. PEL. "&amp;Data!C11</f>
        <v>Kelas 10 IIS 2 Semester 1 TH. PEL. 2022-2023</v>
      </c>
      <c r="AM42" s="812"/>
      <c r="AQ42" s="812"/>
      <c r="AR42" s="812"/>
      <c r="AS42" s="811"/>
      <c r="AU42" s="811"/>
      <c r="AV42" s="811"/>
      <c r="AW42" s="811"/>
      <c r="AX42" s="811"/>
      <c r="AY42" s="811"/>
      <c r="AZ42" s="811"/>
      <c r="BA42" s="811"/>
      <c r="BB42" s="811"/>
      <c r="BC42" s="838" t="str">
        <f>AL42</f>
        <v>Kelas 10 IIS 2 Semester 1 TH. PEL. 2022-2023</v>
      </c>
      <c r="BD42" s="829"/>
    </row>
    <row r="43" spans="1:56" ht="15.75">
      <c r="A43" s="829"/>
      <c r="B43" s="829"/>
      <c r="C43" s="835"/>
      <c r="D43" s="813"/>
      <c r="F43" s="827"/>
      <c r="G43" s="827"/>
      <c r="I43" s="828"/>
      <c r="J43" s="825"/>
      <c r="K43" s="825"/>
      <c r="L43" s="825"/>
      <c r="M43" s="825"/>
      <c r="N43" s="825"/>
      <c r="O43" s="825"/>
      <c r="Q43" s="825"/>
      <c r="R43" s="825">
        <f>(B5+1)/2</f>
        <v>1</v>
      </c>
      <c r="S43" s="812"/>
      <c r="T43" s="812"/>
      <c r="U43" s="812"/>
      <c r="V43" s="812"/>
      <c r="W43" s="812"/>
      <c r="X43" s="812"/>
      <c r="Y43" s="812"/>
      <c r="Z43" s="812"/>
      <c r="AA43" s="812"/>
      <c r="AB43" s="812"/>
      <c r="AC43" s="812"/>
      <c r="AD43" s="812"/>
      <c r="AE43" s="812"/>
      <c r="AF43" s="812"/>
      <c r="AG43" s="812"/>
      <c r="AH43" s="812"/>
      <c r="AI43" s="812"/>
      <c r="AJ43" s="812"/>
      <c r="AK43" s="812"/>
      <c r="AL43" s="812">
        <f>(B5+1)/2+1</f>
        <v>2</v>
      </c>
      <c r="AM43" s="812"/>
      <c r="AQ43" s="812"/>
      <c r="AR43" s="812"/>
      <c r="AS43" s="811"/>
      <c r="AT43" s="811"/>
      <c r="AU43" s="811"/>
      <c r="AV43" s="811"/>
      <c r="AW43" s="811"/>
      <c r="AX43" s="811"/>
      <c r="AY43" s="811"/>
      <c r="AZ43" s="811"/>
      <c r="BA43" s="811"/>
      <c r="BB43" s="811"/>
      <c r="BC43" s="811">
        <f>(B5+1)/2+2</f>
        <v>3</v>
      </c>
      <c r="BD43" s="829"/>
    </row>
    <row r="44" spans="1:56" ht="15.75">
      <c r="A44" s="829"/>
      <c r="B44" s="829"/>
      <c r="C44" s="829"/>
      <c r="D44" s="830"/>
      <c r="E44" s="829"/>
      <c r="F44" s="829"/>
      <c r="G44" s="829"/>
      <c r="H44" s="829"/>
      <c r="I44" s="829"/>
      <c r="J44" s="829"/>
      <c r="K44" s="829"/>
      <c r="L44" s="829"/>
      <c r="M44" s="829"/>
      <c r="N44" s="829"/>
      <c r="O44" s="829"/>
      <c r="P44" s="829"/>
      <c r="Q44" s="829"/>
      <c r="R44" s="829"/>
      <c r="S44" s="829"/>
      <c r="T44" s="829"/>
      <c r="U44" s="829"/>
      <c r="V44" s="829"/>
      <c r="W44" s="829"/>
      <c r="X44" s="829"/>
      <c r="Y44" s="829"/>
      <c r="Z44" s="829"/>
      <c r="AA44" s="829"/>
      <c r="AB44" s="829"/>
      <c r="AC44" s="829"/>
      <c r="AD44" s="829"/>
      <c r="AE44" s="829"/>
      <c r="AF44" s="829"/>
      <c r="AG44" s="829"/>
      <c r="AH44" s="829"/>
      <c r="AI44" s="829"/>
      <c r="AJ44" s="829"/>
      <c r="AK44" s="829"/>
      <c r="AL44" s="829"/>
      <c r="AM44" s="829"/>
      <c r="AN44" s="829"/>
      <c r="AO44" s="829"/>
      <c r="AP44" s="829"/>
      <c r="AQ44" s="829"/>
      <c r="AR44" s="829"/>
      <c r="AS44" s="829"/>
      <c r="AT44" s="829"/>
      <c r="AU44" s="829"/>
      <c r="AV44" s="829"/>
      <c r="AW44" s="829"/>
      <c r="AX44" s="829"/>
      <c r="AY44" s="829"/>
      <c r="AZ44" s="829"/>
      <c r="BA44" s="829"/>
      <c r="BB44" s="829"/>
      <c r="BC44" s="829"/>
      <c r="BD44" s="829"/>
    </row>
    <row r="45" spans="1:56" ht="15.75" hidden="1">
      <c r="A45" s="811"/>
      <c r="B45" s="811"/>
      <c r="C45" s="811"/>
      <c r="D45" s="811"/>
      <c r="E45" s="811"/>
      <c r="F45" s="811"/>
      <c r="G45" s="812"/>
      <c r="H45" s="812"/>
      <c r="I45" s="812"/>
      <c r="J45" s="812"/>
      <c r="K45" s="812"/>
      <c r="L45" s="812"/>
      <c r="M45" s="812"/>
      <c r="N45" s="812"/>
      <c r="O45" s="812"/>
      <c r="P45" s="812"/>
      <c r="Q45" s="812"/>
      <c r="R45" s="812"/>
      <c r="S45" s="812"/>
      <c r="T45" s="812"/>
      <c r="U45" s="812"/>
      <c r="V45" s="812"/>
      <c r="W45" s="812"/>
      <c r="X45" s="812"/>
      <c r="Y45" s="812"/>
      <c r="Z45" s="812"/>
      <c r="AA45" s="812"/>
      <c r="AB45" s="812"/>
      <c r="AC45" s="812"/>
      <c r="AD45" s="812"/>
      <c r="AE45" s="812"/>
      <c r="AF45" s="812"/>
      <c r="AG45" s="812"/>
      <c r="AH45" s="812"/>
      <c r="AI45" s="812"/>
      <c r="AJ45" s="812"/>
      <c r="AK45" s="812"/>
      <c r="AL45" s="812"/>
      <c r="AM45" s="812"/>
      <c r="AN45" s="812"/>
      <c r="AO45" s="812"/>
      <c r="AP45" s="812"/>
      <c r="AQ45" s="812"/>
      <c r="AR45" s="812"/>
      <c r="AS45" s="811"/>
      <c r="AT45" s="811"/>
      <c r="AU45" s="811"/>
      <c r="AV45" s="811"/>
      <c r="AW45" s="811"/>
      <c r="AX45" s="811"/>
      <c r="AY45" s="811"/>
      <c r="AZ45" s="811"/>
      <c r="BA45" s="811"/>
      <c r="BB45" s="811"/>
      <c r="BC45" s="811"/>
      <c r="BD45" s="811"/>
    </row>
    <row r="46" spans="1:56" ht="15.75" hidden="1">
      <c r="A46" s="811"/>
      <c r="B46" s="811"/>
      <c r="C46" s="811"/>
      <c r="D46" s="812"/>
      <c r="E46" s="811"/>
      <c r="F46" s="811"/>
      <c r="G46" s="812"/>
      <c r="H46" s="812"/>
      <c r="I46" s="812"/>
      <c r="J46" s="812"/>
      <c r="K46" s="812"/>
      <c r="L46" s="812"/>
      <c r="M46" s="812"/>
      <c r="N46" s="812"/>
      <c r="O46" s="812"/>
      <c r="P46" s="812"/>
      <c r="Q46" s="812"/>
      <c r="R46" s="812"/>
      <c r="S46" s="812"/>
      <c r="T46" s="812"/>
      <c r="U46" s="812"/>
      <c r="V46" s="812"/>
      <c r="W46" s="812"/>
      <c r="X46" s="812"/>
      <c r="Y46" s="812"/>
      <c r="Z46" s="812"/>
      <c r="AA46" s="812"/>
      <c r="AB46" s="812"/>
      <c r="AC46" s="812"/>
      <c r="AD46" s="812"/>
      <c r="AE46" s="812"/>
      <c r="AF46" s="812"/>
      <c r="AG46" s="812"/>
      <c r="AH46" s="812"/>
      <c r="AI46" s="812"/>
      <c r="AJ46" s="812"/>
      <c r="AK46" s="812"/>
      <c r="AL46" s="812"/>
      <c r="AM46" s="812"/>
      <c r="AN46" s="812"/>
      <c r="AO46" s="812"/>
      <c r="AP46" s="812"/>
      <c r="AQ46" s="812"/>
      <c r="AR46" s="812"/>
      <c r="AS46" s="811"/>
      <c r="AT46" s="811"/>
      <c r="AU46" s="811"/>
      <c r="AV46" s="811"/>
      <c r="AW46" s="811"/>
      <c r="AX46" s="811"/>
      <c r="AY46" s="811"/>
      <c r="AZ46" s="811"/>
      <c r="BA46" s="811"/>
      <c r="BB46" s="811"/>
      <c r="BC46" s="811"/>
      <c r="BD46" s="811"/>
    </row>
    <row r="47" spans="1:56" ht="15.75" hidden="1">
      <c r="A47" s="811"/>
      <c r="B47" s="811"/>
      <c r="C47" s="811"/>
      <c r="D47" s="812"/>
      <c r="E47" s="811"/>
      <c r="F47" s="811"/>
      <c r="G47" s="812"/>
      <c r="H47" s="812"/>
      <c r="I47" s="812"/>
      <c r="J47" s="812"/>
      <c r="K47" s="812"/>
      <c r="L47" s="812"/>
      <c r="M47" s="812"/>
      <c r="N47" s="812"/>
      <c r="O47" s="812"/>
      <c r="P47" s="812"/>
      <c r="Q47" s="812"/>
      <c r="R47" s="812"/>
      <c r="S47" s="812"/>
      <c r="T47" s="812"/>
      <c r="U47" s="812"/>
      <c r="V47" s="812"/>
      <c r="W47" s="812"/>
      <c r="X47" s="812"/>
      <c r="Y47" s="812"/>
      <c r="Z47" s="812"/>
      <c r="AA47" s="812"/>
      <c r="AB47" s="812"/>
      <c r="AC47" s="812"/>
      <c r="AD47" s="812"/>
      <c r="AE47" s="812"/>
      <c r="AF47" s="812"/>
      <c r="AG47" s="812"/>
      <c r="AH47" s="812"/>
      <c r="AI47" s="812"/>
      <c r="AJ47" s="812"/>
      <c r="AK47" s="812"/>
      <c r="AL47" s="812"/>
      <c r="AM47" s="812"/>
      <c r="AN47" s="812"/>
      <c r="AO47" s="812"/>
      <c r="AP47" s="812"/>
      <c r="AQ47" s="812"/>
      <c r="AR47" s="812"/>
      <c r="AS47" s="811"/>
      <c r="AT47" s="811"/>
      <c r="AU47" s="811"/>
      <c r="AV47" s="811"/>
      <c r="AW47" s="811"/>
      <c r="AX47" s="811"/>
      <c r="AY47" s="811"/>
      <c r="AZ47" s="811"/>
      <c r="BA47" s="811"/>
      <c r="BB47" s="811"/>
      <c r="BC47" s="811"/>
      <c r="BD47" s="811"/>
    </row>
    <row r="48" spans="1:56" ht="15.75" hidden="1">
      <c r="A48" s="811"/>
      <c r="B48" s="811"/>
      <c r="C48" s="811"/>
      <c r="D48" s="812"/>
      <c r="E48" s="811"/>
      <c r="F48" s="811"/>
      <c r="G48" s="812"/>
      <c r="H48" s="812"/>
      <c r="I48" s="812"/>
      <c r="J48" s="812"/>
      <c r="K48" s="812"/>
      <c r="L48" s="812"/>
      <c r="M48" s="812"/>
      <c r="N48" s="812"/>
      <c r="O48" s="812"/>
      <c r="P48" s="812"/>
      <c r="Q48" s="812"/>
      <c r="R48" s="812"/>
      <c r="S48" s="812"/>
      <c r="T48" s="812"/>
      <c r="U48" s="812"/>
      <c r="V48" s="812"/>
      <c r="W48" s="812"/>
      <c r="X48" s="812"/>
      <c r="Y48" s="812"/>
      <c r="Z48" s="812"/>
      <c r="AA48" s="812"/>
      <c r="AB48" s="812"/>
      <c r="AC48" s="812"/>
      <c r="AD48" s="812"/>
      <c r="AE48" s="812"/>
      <c r="AF48" s="812"/>
      <c r="AG48" s="812"/>
      <c r="AH48" s="812"/>
      <c r="AI48" s="812"/>
      <c r="AJ48" s="812"/>
      <c r="AK48" s="812"/>
      <c r="AL48" s="812"/>
      <c r="AM48" s="812"/>
      <c r="AN48" s="812"/>
      <c r="AO48" s="812"/>
      <c r="AP48" s="812"/>
      <c r="AQ48" s="812"/>
      <c r="AR48" s="812"/>
      <c r="AS48" s="811"/>
      <c r="AT48" s="811"/>
      <c r="AU48" s="811"/>
      <c r="AV48" s="811"/>
      <c r="AW48" s="811"/>
      <c r="AX48" s="811"/>
      <c r="AY48" s="811"/>
      <c r="AZ48" s="811"/>
      <c r="BA48" s="811"/>
      <c r="BB48" s="811"/>
      <c r="BC48" s="811"/>
      <c r="BD48" s="811"/>
    </row>
    <row r="49" spans="1:56" ht="15.75" hidden="1">
      <c r="A49" s="811"/>
      <c r="B49" s="811"/>
      <c r="C49" s="811"/>
      <c r="D49" s="812"/>
      <c r="E49" s="811"/>
      <c r="F49" s="811"/>
      <c r="G49" s="812"/>
      <c r="H49" s="812"/>
      <c r="I49" s="812"/>
      <c r="J49" s="812"/>
      <c r="K49" s="812"/>
      <c r="L49" s="812"/>
      <c r="M49" s="812"/>
      <c r="N49" s="812"/>
      <c r="O49" s="812"/>
      <c r="P49" s="812"/>
      <c r="Q49" s="812"/>
      <c r="R49" s="812"/>
      <c r="S49" s="812"/>
      <c r="T49" s="812"/>
      <c r="U49" s="812"/>
      <c r="V49" s="812"/>
      <c r="W49" s="812"/>
      <c r="X49" s="812"/>
      <c r="Y49" s="812"/>
      <c r="Z49" s="812"/>
      <c r="AA49" s="812"/>
      <c r="AB49" s="812"/>
      <c r="AC49" s="812"/>
      <c r="AD49" s="812"/>
      <c r="AE49" s="812"/>
      <c r="AF49" s="812"/>
      <c r="AG49" s="812"/>
      <c r="AH49" s="812"/>
      <c r="AI49" s="812"/>
      <c r="AJ49" s="812"/>
      <c r="AK49" s="812"/>
      <c r="AL49" s="812"/>
      <c r="AM49" s="812"/>
      <c r="AN49" s="812"/>
      <c r="AO49" s="812"/>
      <c r="AP49" s="812"/>
      <c r="AQ49" s="812"/>
      <c r="AR49" s="812"/>
      <c r="AS49" s="811"/>
      <c r="AT49" s="811"/>
      <c r="AU49" s="811"/>
      <c r="AV49" s="811"/>
      <c r="AW49" s="811"/>
      <c r="AX49" s="811"/>
      <c r="AY49" s="811"/>
      <c r="AZ49" s="811"/>
      <c r="BA49" s="811"/>
      <c r="BB49" s="811"/>
      <c r="BC49" s="811"/>
      <c r="BD49" s="811"/>
    </row>
    <row r="50" spans="1:56" ht="15.75" hidden="1">
      <c r="A50" s="810"/>
      <c r="B50" s="810"/>
      <c r="C50" s="810"/>
      <c r="D50" s="812"/>
      <c r="E50" s="811"/>
      <c r="F50" s="811"/>
      <c r="G50" s="812"/>
      <c r="H50" s="812"/>
      <c r="I50" s="812"/>
      <c r="J50" s="812"/>
      <c r="K50" s="812"/>
      <c r="L50" s="812"/>
      <c r="M50" s="812"/>
      <c r="N50" s="812"/>
      <c r="O50" s="812"/>
      <c r="P50" s="812"/>
      <c r="Q50" s="812"/>
      <c r="R50" s="812"/>
      <c r="S50" s="812"/>
      <c r="T50" s="812"/>
      <c r="U50" s="812"/>
      <c r="V50" s="812"/>
      <c r="W50" s="812"/>
      <c r="X50" s="812"/>
      <c r="Y50" s="812"/>
      <c r="Z50" s="812"/>
      <c r="AA50" s="812"/>
      <c r="AB50" s="812"/>
      <c r="AC50" s="812"/>
      <c r="AD50" s="812"/>
      <c r="AE50" s="812"/>
      <c r="AF50" s="812"/>
      <c r="AG50" s="812"/>
      <c r="AH50" s="812"/>
      <c r="AI50" s="812"/>
      <c r="AJ50" s="812"/>
      <c r="AK50" s="812"/>
      <c r="AL50" s="812"/>
      <c r="AM50" s="812"/>
      <c r="AN50" s="812"/>
      <c r="AO50" s="812"/>
      <c r="AP50" s="812"/>
      <c r="AQ50" s="812"/>
      <c r="AR50" s="812"/>
      <c r="AS50" s="810"/>
      <c r="AT50" s="810"/>
      <c r="AU50" s="810"/>
      <c r="AV50" s="810"/>
      <c r="AW50" s="810"/>
      <c r="AX50" s="810"/>
      <c r="AY50" s="810"/>
      <c r="AZ50" s="810"/>
      <c r="BA50" s="810"/>
      <c r="BB50" s="810"/>
      <c r="BC50" s="810"/>
      <c r="BD50" s="810"/>
    </row>
    <row r="51" spans="1:56" ht="15.75" hidden="1">
      <c r="A51" s="810"/>
      <c r="B51" s="810"/>
      <c r="C51" s="810"/>
      <c r="D51" s="812"/>
      <c r="E51" s="811"/>
      <c r="F51" s="811"/>
      <c r="G51" s="812"/>
      <c r="H51" s="812"/>
      <c r="I51" s="812"/>
      <c r="J51" s="812"/>
      <c r="K51" s="812"/>
      <c r="L51" s="812"/>
      <c r="M51" s="812"/>
      <c r="N51" s="812"/>
      <c r="O51" s="812"/>
      <c r="P51" s="812"/>
      <c r="Q51" s="812"/>
      <c r="R51" s="812"/>
      <c r="S51" s="812"/>
      <c r="T51" s="812"/>
      <c r="U51" s="812"/>
      <c r="V51" s="812"/>
      <c r="W51" s="812"/>
      <c r="X51" s="812"/>
      <c r="Y51" s="812"/>
      <c r="Z51" s="812"/>
      <c r="AA51" s="812"/>
      <c r="AB51" s="812"/>
      <c r="AC51" s="812"/>
      <c r="AD51" s="812"/>
      <c r="AE51" s="812"/>
      <c r="AF51" s="812"/>
      <c r="AG51" s="812"/>
      <c r="AH51" s="812"/>
      <c r="AI51" s="812"/>
      <c r="AJ51" s="812"/>
      <c r="AK51" s="812"/>
      <c r="AL51" s="812"/>
      <c r="AM51" s="812"/>
      <c r="AN51" s="812"/>
      <c r="AO51" s="812"/>
      <c r="AP51" s="812"/>
      <c r="AQ51" s="812"/>
      <c r="AR51" s="812"/>
      <c r="AS51" s="810"/>
      <c r="AT51" s="810"/>
      <c r="AU51" s="810"/>
      <c r="AV51" s="810"/>
      <c r="AW51" s="810"/>
      <c r="AX51" s="810"/>
      <c r="AY51" s="810"/>
      <c r="AZ51" s="810"/>
      <c r="BA51" s="810"/>
      <c r="BB51" s="810"/>
      <c r="BC51" s="810"/>
      <c r="BD51" s="810"/>
    </row>
    <row r="52" spans="1:56" ht="15.75" hidden="1">
      <c r="A52" s="810"/>
      <c r="B52" s="810"/>
      <c r="C52" s="810"/>
      <c r="D52" s="812"/>
      <c r="E52" s="811"/>
      <c r="F52" s="811"/>
      <c r="G52" s="812"/>
      <c r="H52" s="812"/>
      <c r="I52" s="812"/>
      <c r="J52" s="812"/>
      <c r="K52" s="812"/>
      <c r="L52" s="812"/>
      <c r="M52" s="812"/>
      <c r="N52" s="812"/>
      <c r="O52" s="812"/>
      <c r="P52" s="812"/>
      <c r="Q52" s="812"/>
      <c r="R52" s="812"/>
      <c r="S52" s="812"/>
      <c r="T52" s="812"/>
      <c r="U52" s="812"/>
      <c r="V52" s="812"/>
      <c r="W52" s="812"/>
      <c r="X52" s="812"/>
      <c r="Y52" s="812"/>
      <c r="Z52" s="812"/>
      <c r="AA52" s="812"/>
      <c r="AB52" s="812"/>
      <c r="AC52" s="812"/>
      <c r="AD52" s="812"/>
      <c r="AE52" s="812"/>
      <c r="AF52" s="812"/>
      <c r="AG52" s="812"/>
      <c r="AH52" s="812"/>
      <c r="AI52" s="812"/>
      <c r="AJ52" s="812"/>
      <c r="AK52" s="812"/>
      <c r="AL52" s="812"/>
      <c r="AM52" s="812"/>
      <c r="AN52" s="812"/>
      <c r="AO52" s="812"/>
      <c r="AP52" s="812"/>
      <c r="AQ52" s="812"/>
      <c r="AR52" s="812"/>
      <c r="AS52" s="810"/>
      <c r="AT52" s="810"/>
      <c r="AU52" s="810"/>
      <c r="AV52" s="810"/>
      <c r="AW52" s="810"/>
      <c r="AX52" s="810"/>
      <c r="AY52" s="810"/>
      <c r="AZ52" s="810"/>
      <c r="BA52" s="810"/>
      <c r="BB52" s="810"/>
      <c r="BC52" s="810"/>
      <c r="BD52" s="810"/>
    </row>
    <row r="53" spans="1:56" ht="15.75" hidden="1">
      <c r="A53" s="810"/>
      <c r="B53" s="810"/>
      <c r="C53" s="810"/>
      <c r="D53" s="812"/>
      <c r="E53" s="811"/>
      <c r="F53" s="811"/>
      <c r="G53" s="812"/>
      <c r="H53" s="812"/>
      <c r="I53" s="812"/>
      <c r="J53" s="812"/>
      <c r="K53" s="812"/>
      <c r="L53" s="812"/>
      <c r="M53" s="812"/>
      <c r="N53" s="812"/>
      <c r="O53" s="812"/>
      <c r="P53" s="812"/>
      <c r="Q53" s="812"/>
      <c r="R53" s="812"/>
      <c r="S53" s="812"/>
      <c r="T53" s="812"/>
      <c r="U53" s="812"/>
      <c r="V53" s="812"/>
      <c r="W53" s="812"/>
      <c r="X53" s="812"/>
      <c r="Y53" s="812"/>
      <c r="Z53" s="812"/>
      <c r="AA53" s="812"/>
      <c r="AB53" s="812"/>
      <c r="AC53" s="812"/>
      <c r="AD53" s="812"/>
      <c r="AE53" s="812"/>
      <c r="AF53" s="812"/>
      <c r="AG53" s="812"/>
      <c r="AH53" s="812"/>
      <c r="AI53" s="812"/>
      <c r="AJ53" s="812"/>
      <c r="AK53" s="812"/>
      <c r="AL53" s="812"/>
      <c r="AM53" s="812"/>
      <c r="AN53" s="812"/>
      <c r="AO53" s="812"/>
      <c r="AP53" s="812"/>
      <c r="AQ53" s="812"/>
      <c r="AR53" s="812"/>
      <c r="AS53" s="810"/>
      <c r="AT53" s="810"/>
      <c r="AU53" s="810"/>
      <c r="AV53" s="810"/>
      <c r="AW53" s="810"/>
      <c r="AX53" s="810"/>
      <c r="AY53" s="810"/>
      <c r="AZ53" s="810"/>
      <c r="BA53" s="810"/>
      <c r="BB53" s="810"/>
      <c r="BC53" s="810"/>
      <c r="BD53" s="810"/>
    </row>
    <row r="54" spans="1:56" ht="15.75" hidden="1">
      <c r="A54" s="810"/>
      <c r="B54" s="810"/>
      <c r="C54" s="810"/>
      <c r="D54" s="812"/>
      <c r="E54" s="811"/>
      <c r="F54" s="811"/>
      <c r="G54" s="812"/>
      <c r="H54" s="812"/>
      <c r="I54" s="812"/>
      <c r="J54" s="812"/>
      <c r="K54" s="812"/>
      <c r="L54" s="812"/>
      <c r="M54" s="812"/>
      <c r="N54" s="812"/>
      <c r="O54" s="812"/>
      <c r="P54" s="812"/>
      <c r="Q54" s="812"/>
      <c r="R54" s="812"/>
      <c r="S54" s="812"/>
      <c r="T54" s="812"/>
      <c r="U54" s="812"/>
      <c r="V54" s="812"/>
      <c r="W54" s="812"/>
      <c r="X54" s="812"/>
      <c r="Y54" s="812"/>
      <c r="Z54" s="812"/>
      <c r="AA54" s="812"/>
      <c r="AB54" s="812"/>
      <c r="AC54" s="812"/>
      <c r="AD54" s="812"/>
      <c r="AE54" s="812"/>
      <c r="AF54" s="812"/>
      <c r="AG54" s="812"/>
      <c r="AH54" s="812"/>
      <c r="AI54" s="812"/>
      <c r="AJ54" s="812"/>
      <c r="AK54" s="812"/>
      <c r="AL54" s="812"/>
      <c r="AM54" s="812"/>
      <c r="AN54" s="812"/>
      <c r="AO54" s="812"/>
      <c r="AP54" s="812"/>
      <c r="AQ54" s="812"/>
      <c r="AR54" s="812"/>
      <c r="AS54" s="810"/>
      <c r="AT54" s="810"/>
      <c r="AU54" s="810"/>
      <c r="AV54" s="810"/>
      <c r="AW54" s="810"/>
      <c r="AX54" s="810"/>
      <c r="AY54" s="810"/>
      <c r="AZ54" s="810"/>
      <c r="BA54" s="810"/>
      <c r="BB54" s="810"/>
      <c r="BC54" s="810"/>
      <c r="BD54" s="810"/>
    </row>
    <row r="55" spans="1:56" hidden="1">
      <c r="A55" s="810"/>
      <c r="B55" s="810"/>
      <c r="C55" s="810"/>
      <c r="D55" s="811"/>
      <c r="E55" s="811"/>
      <c r="F55" s="811"/>
      <c r="G55" s="811"/>
      <c r="H55" s="811"/>
      <c r="I55" s="811"/>
      <c r="J55" s="811"/>
      <c r="K55" s="811"/>
      <c r="L55" s="811"/>
      <c r="M55" s="811"/>
      <c r="N55" s="811"/>
      <c r="O55" s="811"/>
      <c r="P55" s="811"/>
      <c r="Q55" s="811"/>
      <c r="R55" s="811"/>
      <c r="S55" s="811"/>
      <c r="T55" s="811"/>
      <c r="U55" s="811"/>
      <c r="V55" s="811"/>
      <c r="W55" s="811"/>
      <c r="X55" s="811"/>
      <c r="Y55" s="811"/>
      <c r="Z55" s="811"/>
      <c r="AC55" s="811"/>
      <c r="AD55" s="811"/>
      <c r="AE55" s="811"/>
      <c r="AF55" s="811"/>
      <c r="AG55" s="811"/>
      <c r="AH55" s="811"/>
      <c r="AS55" s="810"/>
      <c r="AT55" s="810"/>
      <c r="AU55" s="810"/>
      <c r="AV55" s="810"/>
      <c r="AW55" s="810"/>
      <c r="AX55" s="810"/>
      <c r="AY55" s="810"/>
      <c r="AZ55" s="810"/>
      <c r="BA55" s="810"/>
      <c r="BB55" s="810"/>
      <c r="BC55" s="810"/>
      <c r="BD55" s="810"/>
    </row>
    <row r="56" spans="1:56" hidden="1">
      <c r="A56" s="810"/>
      <c r="B56" s="810"/>
      <c r="C56" s="810"/>
      <c r="D56" s="811"/>
      <c r="E56" s="811"/>
      <c r="F56" s="811"/>
      <c r="G56" s="811"/>
      <c r="H56" s="811"/>
      <c r="I56" s="811"/>
      <c r="J56" s="811"/>
      <c r="K56" s="811"/>
      <c r="L56" s="811"/>
      <c r="M56" s="811"/>
      <c r="N56" s="811"/>
      <c r="O56" s="811"/>
      <c r="P56" s="811"/>
      <c r="Q56" s="811"/>
      <c r="R56" s="811"/>
      <c r="S56" s="811"/>
      <c r="T56" s="811"/>
      <c r="U56" s="811"/>
      <c r="V56" s="811"/>
      <c r="W56" s="811"/>
      <c r="X56" s="811"/>
      <c r="Y56" s="811"/>
      <c r="Z56" s="811"/>
      <c r="AC56" s="811"/>
      <c r="AD56" s="811"/>
      <c r="AE56" s="811"/>
      <c r="AF56" s="811"/>
      <c r="AG56" s="811"/>
      <c r="AH56" s="811"/>
      <c r="AS56" s="810"/>
      <c r="AT56" s="810"/>
      <c r="AU56" s="810"/>
      <c r="AV56" s="810"/>
      <c r="AW56" s="810"/>
      <c r="AX56" s="810"/>
      <c r="AY56" s="810"/>
      <c r="AZ56" s="810"/>
      <c r="BA56" s="810"/>
      <c r="BB56" s="810"/>
      <c r="BC56" s="810"/>
      <c r="BD56" s="810"/>
    </row>
    <row r="57" spans="1:56" hidden="1">
      <c r="A57" s="810"/>
      <c r="B57" s="810"/>
      <c r="C57" s="810"/>
      <c r="D57" s="811"/>
      <c r="E57" s="811"/>
      <c r="F57" s="811"/>
      <c r="G57" s="811"/>
      <c r="H57" s="811"/>
      <c r="I57" s="811"/>
      <c r="J57" s="811"/>
      <c r="K57" s="811"/>
      <c r="L57" s="811"/>
      <c r="M57" s="811"/>
      <c r="N57" s="811"/>
      <c r="O57" s="811"/>
      <c r="P57" s="811"/>
      <c r="Q57" s="811"/>
      <c r="R57" s="811"/>
      <c r="S57" s="811"/>
      <c r="T57" s="811"/>
      <c r="U57" s="811"/>
      <c r="V57" s="811"/>
      <c r="W57" s="811"/>
      <c r="X57" s="811"/>
      <c r="Y57" s="811"/>
      <c r="Z57" s="811"/>
      <c r="AC57" s="811"/>
      <c r="AD57" s="811"/>
      <c r="AE57" s="811"/>
      <c r="AF57" s="811"/>
      <c r="AG57" s="811"/>
      <c r="AH57" s="811"/>
      <c r="AS57" s="810"/>
      <c r="AT57" s="810"/>
      <c r="AU57" s="810"/>
      <c r="AV57" s="810"/>
      <c r="AW57" s="810"/>
      <c r="AX57" s="810"/>
      <c r="AY57" s="810"/>
      <c r="AZ57" s="810"/>
      <c r="BA57" s="810"/>
      <c r="BB57" s="810"/>
      <c r="BC57" s="810"/>
      <c r="BD57" s="810"/>
    </row>
    <row r="58" spans="1:56" hidden="1">
      <c r="A58" s="810"/>
      <c r="B58" s="810"/>
      <c r="C58" s="810"/>
      <c r="D58" s="811"/>
      <c r="E58" s="811"/>
      <c r="F58" s="811"/>
      <c r="G58" s="811"/>
      <c r="H58" s="811"/>
      <c r="I58" s="811"/>
      <c r="J58" s="811"/>
      <c r="K58" s="811"/>
      <c r="L58" s="811"/>
      <c r="M58" s="811"/>
      <c r="N58" s="811"/>
      <c r="O58" s="811"/>
      <c r="P58" s="811"/>
      <c r="Q58" s="811"/>
      <c r="R58" s="811"/>
      <c r="S58" s="811"/>
      <c r="T58" s="811"/>
      <c r="U58" s="811"/>
      <c r="V58" s="811"/>
      <c r="W58" s="811"/>
      <c r="X58" s="811"/>
      <c r="Y58" s="811"/>
      <c r="Z58" s="811"/>
      <c r="AC58" s="811"/>
      <c r="AD58" s="811"/>
      <c r="AE58" s="811"/>
      <c r="AF58" s="811"/>
      <c r="AG58" s="811"/>
      <c r="AH58" s="811"/>
      <c r="AS58" s="810"/>
      <c r="AT58" s="810"/>
      <c r="AU58" s="810"/>
      <c r="AV58" s="810"/>
      <c r="AW58" s="810"/>
      <c r="AX58" s="810"/>
      <c r="AY58" s="810"/>
      <c r="AZ58" s="810"/>
      <c r="BA58" s="810"/>
      <c r="BB58" s="810"/>
      <c r="BC58" s="810"/>
      <c r="BD58" s="810"/>
    </row>
    <row r="59" spans="1:56" hidden="1">
      <c r="A59" s="810"/>
      <c r="B59" s="810"/>
      <c r="C59" s="810"/>
      <c r="D59" s="811"/>
      <c r="E59" s="811"/>
      <c r="F59" s="811"/>
      <c r="G59" s="811"/>
      <c r="H59" s="811"/>
      <c r="I59" s="811"/>
      <c r="J59" s="811"/>
      <c r="K59" s="811"/>
      <c r="L59" s="811"/>
      <c r="M59" s="811"/>
      <c r="N59" s="811"/>
      <c r="O59" s="811"/>
      <c r="P59" s="811"/>
      <c r="Q59" s="811"/>
      <c r="R59" s="811"/>
      <c r="S59" s="811"/>
      <c r="T59" s="811"/>
      <c r="U59" s="811"/>
      <c r="V59" s="811"/>
      <c r="W59" s="811"/>
      <c r="X59" s="811"/>
      <c r="Y59" s="811"/>
      <c r="Z59" s="811"/>
      <c r="AC59" s="811"/>
      <c r="AD59" s="811"/>
      <c r="AE59" s="811"/>
      <c r="AF59" s="811"/>
      <c r="AG59" s="811"/>
      <c r="AH59" s="811"/>
      <c r="AS59" s="810"/>
      <c r="AT59" s="810"/>
      <c r="AU59" s="810"/>
      <c r="AV59" s="810"/>
      <c r="AW59" s="810"/>
      <c r="AX59" s="810"/>
      <c r="AY59" s="810"/>
      <c r="AZ59" s="810"/>
      <c r="BA59" s="810"/>
      <c r="BB59" s="810"/>
      <c r="BC59" s="810"/>
      <c r="BD59" s="810"/>
    </row>
    <row r="60" spans="1:56" hidden="1"/>
    <row r="61" spans="1:56" hidden="1"/>
  </sheetData>
  <sheetProtection insertHyperlinks="0" selectLockedCells="1"/>
  <mergeCells count="78">
    <mergeCell ref="AK5:AL7"/>
    <mergeCell ref="AM5:AN7"/>
    <mergeCell ref="AQ5:AR7"/>
    <mergeCell ref="Y5:Z7"/>
    <mergeCell ref="AC5:AD7"/>
    <mergeCell ref="O5:P7"/>
    <mergeCell ref="Q5:R7"/>
    <mergeCell ref="S5:T7"/>
    <mergeCell ref="U5:V7"/>
    <mergeCell ref="AI5:AJ7"/>
    <mergeCell ref="AA5:AB7"/>
    <mergeCell ref="AY15:AY19"/>
    <mergeCell ref="AZ15:AZ19"/>
    <mergeCell ref="BA15:BA19"/>
    <mergeCell ref="BB15:BB19"/>
    <mergeCell ref="BC15:BC19"/>
    <mergeCell ref="BA25:BA29"/>
    <mergeCell ref="BB25:BB29"/>
    <mergeCell ref="BC25:BC29"/>
    <mergeCell ref="AY20:AY24"/>
    <mergeCell ref="AZ20:AZ24"/>
    <mergeCell ref="BA20:BA24"/>
    <mergeCell ref="BB20:BB24"/>
    <mergeCell ref="BC20:BC24"/>
    <mergeCell ref="BA35:BA39"/>
    <mergeCell ref="BB35:BB39"/>
    <mergeCell ref="BC35:BC39"/>
    <mergeCell ref="AY30:AY34"/>
    <mergeCell ref="AZ30:AZ34"/>
    <mergeCell ref="BA30:BA34"/>
    <mergeCell ref="BB30:BB34"/>
    <mergeCell ref="BC30:BC34"/>
    <mergeCell ref="D35:D39"/>
    <mergeCell ref="D30:D34"/>
    <mergeCell ref="D25:D29"/>
    <mergeCell ref="AY35:AY39"/>
    <mergeCell ref="AZ35:AZ39"/>
    <mergeCell ref="AY25:AY29"/>
    <mergeCell ref="AZ25:AZ29"/>
    <mergeCell ref="AS5:AS9"/>
    <mergeCell ref="AU5:AU9"/>
    <mergeCell ref="AE5:AF7"/>
    <mergeCell ref="AG5:AH7"/>
    <mergeCell ref="D20:D24"/>
    <mergeCell ref="D15:D19"/>
    <mergeCell ref="G5:H7"/>
    <mergeCell ref="I5:J7"/>
    <mergeCell ref="D10:D14"/>
    <mergeCell ref="F3:F9"/>
    <mergeCell ref="E3:E9"/>
    <mergeCell ref="D3:D9"/>
    <mergeCell ref="AO5:AP7"/>
    <mergeCell ref="K5:L7"/>
    <mergeCell ref="M5:N7"/>
    <mergeCell ref="W5:X7"/>
    <mergeCell ref="AT5:AT9"/>
    <mergeCell ref="BB3:BB9"/>
    <mergeCell ref="BC3:BC9"/>
    <mergeCell ref="BB10:BB14"/>
    <mergeCell ref="BC10:BC14"/>
    <mergeCell ref="AY10:AY14"/>
    <mergeCell ref="AZ10:AZ14"/>
    <mergeCell ref="BA10:BA14"/>
    <mergeCell ref="AY5:AY9"/>
    <mergeCell ref="AZ5:AZ9"/>
    <mergeCell ref="BA5:BA9"/>
    <mergeCell ref="AV5:AV9"/>
    <mergeCell ref="AW5:AW9"/>
    <mergeCell ref="AX5:AX9"/>
    <mergeCell ref="AU3:AX4"/>
    <mergeCell ref="AY3:BA4"/>
    <mergeCell ref="AS3:AT4"/>
    <mergeCell ref="G3:R4"/>
    <mergeCell ref="AC4:AL4"/>
    <mergeCell ref="AO4:AR4"/>
    <mergeCell ref="AC3:AN3"/>
    <mergeCell ref="AO3:AR3"/>
    <mergeCell ref="S3:AB4"/>
  </mergeCells>
  <conditionalFormatting sqref="AQ35:AR39">
    <cfRule type="cellIs" dxfId="171" priority="40" operator="equal">
      <formula>0</formula>
    </cfRule>
  </conditionalFormatting>
  <conditionalFormatting sqref="D10:N14">
    <cfRule type="cellIs" dxfId="170" priority="158" operator="equal">
      <formula>0</formula>
    </cfRule>
  </conditionalFormatting>
  <conditionalFormatting sqref="D10:N14">
    <cfRule type="containsErrors" dxfId="169" priority="159">
      <formula>ISERROR(D10)</formula>
    </cfRule>
  </conditionalFormatting>
  <conditionalFormatting sqref="O10:P14">
    <cfRule type="cellIs" dxfId="168" priority="156" operator="equal">
      <formula>0</formula>
    </cfRule>
  </conditionalFormatting>
  <conditionalFormatting sqref="O10:P14">
    <cfRule type="containsErrors" dxfId="167" priority="157">
      <formula>ISERROR(O10)</formula>
    </cfRule>
  </conditionalFormatting>
  <conditionalFormatting sqref="Q10:R14">
    <cfRule type="cellIs" dxfId="166" priority="154" operator="equal">
      <formula>0</formula>
    </cfRule>
  </conditionalFormatting>
  <conditionalFormatting sqref="Q10:R14">
    <cfRule type="containsErrors" dxfId="165" priority="155">
      <formula>ISERROR(Q10)</formula>
    </cfRule>
  </conditionalFormatting>
  <conditionalFormatting sqref="S10:T14">
    <cfRule type="cellIs" dxfId="164" priority="152" operator="equal">
      <formula>0</formula>
    </cfRule>
  </conditionalFormatting>
  <conditionalFormatting sqref="S10:T14">
    <cfRule type="containsErrors" dxfId="163" priority="153">
      <formula>ISERROR(S10)</formula>
    </cfRule>
  </conditionalFormatting>
  <conditionalFormatting sqref="U10:V14">
    <cfRule type="cellIs" dxfId="162" priority="150" operator="equal">
      <formula>0</formula>
    </cfRule>
  </conditionalFormatting>
  <conditionalFormatting sqref="U10:V14">
    <cfRule type="containsErrors" dxfId="161" priority="151">
      <formula>ISERROR(U10)</formula>
    </cfRule>
  </conditionalFormatting>
  <conditionalFormatting sqref="W10:X14">
    <cfRule type="cellIs" dxfId="160" priority="148" operator="equal">
      <formula>0</formula>
    </cfRule>
  </conditionalFormatting>
  <conditionalFormatting sqref="W10:X14">
    <cfRule type="containsErrors" dxfId="159" priority="149">
      <formula>ISERROR(W10)</formula>
    </cfRule>
  </conditionalFormatting>
  <conditionalFormatting sqref="Y10:Z14">
    <cfRule type="cellIs" dxfId="158" priority="146" operator="equal">
      <formula>0</formula>
    </cfRule>
  </conditionalFormatting>
  <conditionalFormatting sqref="Y10:Z14">
    <cfRule type="containsErrors" dxfId="157" priority="147">
      <formula>ISERROR(Y10)</formula>
    </cfRule>
  </conditionalFormatting>
  <conditionalFormatting sqref="E15:N19">
    <cfRule type="cellIs" dxfId="156" priority="144" operator="equal">
      <formula>0</formula>
    </cfRule>
  </conditionalFormatting>
  <conditionalFormatting sqref="E15:N19">
    <cfRule type="containsErrors" dxfId="155" priority="145">
      <formula>ISERROR(E15)</formula>
    </cfRule>
  </conditionalFormatting>
  <conditionalFormatting sqref="O15:P19">
    <cfRule type="cellIs" dxfId="154" priority="142" operator="equal">
      <formula>0</formula>
    </cfRule>
  </conditionalFormatting>
  <conditionalFormatting sqref="O15:P19">
    <cfRule type="containsErrors" dxfId="153" priority="143">
      <formula>ISERROR(O15)</formula>
    </cfRule>
  </conditionalFormatting>
  <conditionalFormatting sqref="Q15:R19">
    <cfRule type="cellIs" dxfId="152" priority="140" operator="equal">
      <formula>0</formula>
    </cfRule>
  </conditionalFormatting>
  <conditionalFormatting sqref="Q15:R19">
    <cfRule type="containsErrors" dxfId="151" priority="141">
      <formula>ISERROR(Q15)</formula>
    </cfRule>
  </conditionalFormatting>
  <conditionalFormatting sqref="S15:T19">
    <cfRule type="cellIs" dxfId="150" priority="138" operator="equal">
      <formula>0</formula>
    </cfRule>
  </conditionalFormatting>
  <conditionalFormatting sqref="S15:T19">
    <cfRule type="containsErrors" dxfId="149" priority="139">
      <formula>ISERROR(S15)</formula>
    </cfRule>
  </conditionalFormatting>
  <conditionalFormatting sqref="U15:V19">
    <cfRule type="cellIs" dxfId="148" priority="136" operator="equal">
      <formula>0</formula>
    </cfRule>
  </conditionalFormatting>
  <conditionalFormatting sqref="U15:V19">
    <cfRule type="containsErrors" dxfId="147" priority="137">
      <formula>ISERROR(U15)</formula>
    </cfRule>
  </conditionalFormatting>
  <conditionalFormatting sqref="W15:X19">
    <cfRule type="cellIs" dxfId="146" priority="134" operator="equal">
      <formula>0</formula>
    </cfRule>
  </conditionalFormatting>
  <conditionalFormatting sqref="W15:X19">
    <cfRule type="containsErrors" dxfId="145" priority="135">
      <formula>ISERROR(W15)</formula>
    </cfRule>
  </conditionalFormatting>
  <conditionalFormatting sqref="Y15:Z19">
    <cfRule type="cellIs" dxfId="144" priority="132" operator="equal">
      <formula>0</formula>
    </cfRule>
  </conditionalFormatting>
  <conditionalFormatting sqref="Y15:Z19">
    <cfRule type="containsErrors" dxfId="143" priority="133">
      <formula>ISERROR(Y15)</formula>
    </cfRule>
  </conditionalFormatting>
  <conditionalFormatting sqref="E20:N24">
    <cfRule type="cellIs" dxfId="142" priority="130" operator="equal">
      <formula>0</formula>
    </cfRule>
  </conditionalFormatting>
  <conditionalFormatting sqref="E20:N24">
    <cfRule type="containsErrors" dxfId="141" priority="131">
      <formula>ISERROR(E20)</formula>
    </cfRule>
  </conditionalFormatting>
  <conditionalFormatting sqref="O20:P24">
    <cfRule type="cellIs" dxfId="140" priority="128" operator="equal">
      <formula>0</formula>
    </cfRule>
  </conditionalFormatting>
  <conditionalFormatting sqref="O20:P24">
    <cfRule type="containsErrors" dxfId="139" priority="129">
      <formula>ISERROR(O20)</formula>
    </cfRule>
  </conditionalFormatting>
  <conditionalFormatting sqref="Q20:R24">
    <cfRule type="cellIs" dxfId="138" priority="126" operator="equal">
      <formula>0</formula>
    </cfRule>
  </conditionalFormatting>
  <conditionalFormatting sqref="Q20:R24">
    <cfRule type="containsErrors" dxfId="137" priority="127">
      <formula>ISERROR(Q20)</formula>
    </cfRule>
  </conditionalFormatting>
  <conditionalFormatting sqref="S20:T24">
    <cfRule type="cellIs" dxfId="136" priority="124" operator="equal">
      <formula>0</formula>
    </cfRule>
  </conditionalFormatting>
  <conditionalFormatting sqref="S20:T24">
    <cfRule type="containsErrors" dxfId="135" priority="125">
      <formula>ISERROR(S20)</formula>
    </cfRule>
  </conditionalFormatting>
  <conditionalFormatting sqref="U20:V24">
    <cfRule type="cellIs" dxfId="134" priority="122" operator="equal">
      <formula>0</formula>
    </cfRule>
  </conditionalFormatting>
  <conditionalFormatting sqref="U20:V24">
    <cfRule type="containsErrors" dxfId="133" priority="123">
      <formula>ISERROR(U20)</formula>
    </cfRule>
  </conditionalFormatting>
  <conditionalFormatting sqref="W20:X24">
    <cfRule type="cellIs" dxfId="132" priority="120" operator="equal">
      <formula>0</formula>
    </cfRule>
  </conditionalFormatting>
  <conditionalFormatting sqref="W20:X24">
    <cfRule type="containsErrors" dxfId="131" priority="121">
      <formula>ISERROR(W20)</formula>
    </cfRule>
  </conditionalFormatting>
  <conditionalFormatting sqref="Y20:Z24">
    <cfRule type="cellIs" dxfId="130" priority="118" operator="equal">
      <formula>0</formula>
    </cfRule>
  </conditionalFormatting>
  <conditionalFormatting sqref="Y20:Z24">
    <cfRule type="containsErrors" dxfId="129" priority="119">
      <formula>ISERROR(Y20)</formula>
    </cfRule>
  </conditionalFormatting>
  <conditionalFormatting sqref="E25:N29">
    <cfRule type="cellIs" dxfId="128" priority="116" operator="equal">
      <formula>0</formula>
    </cfRule>
  </conditionalFormatting>
  <conditionalFormatting sqref="E25:N29">
    <cfRule type="containsErrors" dxfId="127" priority="117">
      <formula>ISERROR(E25)</formula>
    </cfRule>
  </conditionalFormatting>
  <conditionalFormatting sqref="O25:P29">
    <cfRule type="cellIs" dxfId="126" priority="114" operator="equal">
      <formula>0</formula>
    </cfRule>
  </conditionalFormatting>
  <conditionalFormatting sqref="O25:P29">
    <cfRule type="containsErrors" dxfId="125" priority="115">
      <formula>ISERROR(O25)</formula>
    </cfRule>
  </conditionalFormatting>
  <conditionalFormatting sqref="Q25:R29">
    <cfRule type="cellIs" dxfId="124" priority="112" operator="equal">
      <formula>0</formula>
    </cfRule>
  </conditionalFormatting>
  <conditionalFormatting sqref="Q25:R29">
    <cfRule type="containsErrors" dxfId="123" priority="113">
      <formula>ISERROR(Q25)</formula>
    </cfRule>
  </conditionalFormatting>
  <conditionalFormatting sqref="S25:T29">
    <cfRule type="cellIs" dxfId="122" priority="110" operator="equal">
      <formula>0</formula>
    </cfRule>
  </conditionalFormatting>
  <conditionalFormatting sqref="S25:T29">
    <cfRule type="containsErrors" dxfId="121" priority="111">
      <formula>ISERROR(S25)</formula>
    </cfRule>
  </conditionalFormatting>
  <conditionalFormatting sqref="U25:V29">
    <cfRule type="cellIs" dxfId="120" priority="108" operator="equal">
      <formula>0</formula>
    </cfRule>
  </conditionalFormatting>
  <conditionalFormatting sqref="U25:V29">
    <cfRule type="containsErrors" dxfId="119" priority="109">
      <formula>ISERROR(U25)</formula>
    </cfRule>
  </conditionalFormatting>
  <conditionalFormatting sqref="W25:X29">
    <cfRule type="cellIs" dxfId="118" priority="106" operator="equal">
      <formula>0</formula>
    </cfRule>
  </conditionalFormatting>
  <conditionalFormatting sqref="W25:X29">
    <cfRule type="containsErrors" dxfId="117" priority="107">
      <formula>ISERROR(W25)</formula>
    </cfRule>
  </conditionalFormatting>
  <conditionalFormatting sqref="Y25:Z29">
    <cfRule type="cellIs" dxfId="116" priority="104" operator="equal">
      <formula>0</formula>
    </cfRule>
  </conditionalFormatting>
  <conditionalFormatting sqref="Y25:Z29">
    <cfRule type="containsErrors" dxfId="115" priority="105">
      <formula>ISERROR(Y25)</formula>
    </cfRule>
  </conditionalFormatting>
  <conditionalFormatting sqref="E30:N34">
    <cfRule type="cellIs" dxfId="114" priority="102" operator="equal">
      <formula>0</formula>
    </cfRule>
  </conditionalFormatting>
  <conditionalFormatting sqref="E30:N34">
    <cfRule type="containsErrors" dxfId="113" priority="103">
      <formula>ISERROR(E30)</formula>
    </cfRule>
  </conditionalFormatting>
  <conditionalFormatting sqref="O30:P34">
    <cfRule type="cellIs" dxfId="112" priority="100" operator="equal">
      <formula>0</formula>
    </cfRule>
  </conditionalFormatting>
  <conditionalFormatting sqref="O30:P34">
    <cfRule type="containsErrors" dxfId="111" priority="101">
      <formula>ISERROR(O30)</formula>
    </cfRule>
  </conditionalFormatting>
  <conditionalFormatting sqref="Q30:R34">
    <cfRule type="cellIs" dxfId="110" priority="98" operator="equal">
      <formula>0</formula>
    </cfRule>
  </conditionalFormatting>
  <conditionalFormatting sqref="Q30:R34">
    <cfRule type="containsErrors" dxfId="109" priority="99">
      <formula>ISERROR(Q30)</formula>
    </cfRule>
  </conditionalFormatting>
  <conditionalFormatting sqref="S30:T34">
    <cfRule type="cellIs" dxfId="108" priority="96" operator="equal">
      <formula>0</formula>
    </cfRule>
  </conditionalFormatting>
  <conditionalFormatting sqref="S30:T34">
    <cfRule type="containsErrors" dxfId="107" priority="97">
      <formula>ISERROR(S30)</formula>
    </cfRule>
  </conditionalFormatting>
  <conditionalFormatting sqref="U30:V34">
    <cfRule type="cellIs" dxfId="106" priority="94" operator="equal">
      <formula>0</formula>
    </cfRule>
  </conditionalFormatting>
  <conditionalFormatting sqref="U30:V34">
    <cfRule type="containsErrors" dxfId="105" priority="95">
      <formula>ISERROR(U30)</formula>
    </cfRule>
  </conditionalFormatting>
  <conditionalFormatting sqref="W30:X34">
    <cfRule type="cellIs" dxfId="104" priority="92" operator="equal">
      <formula>0</formula>
    </cfRule>
  </conditionalFormatting>
  <conditionalFormatting sqref="W30:X34">
    <cfRule type="containsErrors" dxfId="103" priority="93">
      <formula>ISERROR(W30)</formula>
    </cfRule>
  </conditionalFormatting>
  <conditionalFormatting sqref="Y30:Z34">
    <cfRule type="cellIs" dxfId="102" priority="90" operator="equal">
      <formula>0</formula>
    </cfRule>
  </conditionalFormatting>
  <conditionalFormatting sqref="Y30:Z34">
    <cfRule type="containsErrors" dxfId="101" priority="91">
      <formula>ISERROR(Y30)</formula>
    </cfRule>
  </conditionalFormatting>
  <conditionalFormatting sqref="E35:N39">
    <cfRule type="cellIs" dxfId="100" priority="88" operator="equal">
      <formula>0</formula>
    </cfRule>
  </conditionalFormatting>
  <conditionalFormatting sqref="E35:N39">
    <cfRule type="containsErrors" dxfId="99" priority="89">
      <formula>ISERROR(E35)</formula>
    </cfRule>
  </conditionalFormatting>
  <conditionalFormatting sqref="O35:P39">
    <cfRule type="cellIs" dxfId="98" priority="86" operator="equal">
      <formula>0</formula>
    </cfRule>
  </conditionalFormatting>
  <conditionalFormatting sqref="O35:P39">
    <cfRule type="containsErrors" dxfId="97" priority="87">
      <formula>ISERROR(O35)</formula>
    </cfRule>
  </conditionalFormatting>
  <conditionalFormatting sqref="Q35:R39">
    <cfRule type="cellIs" dxfId="96" priority="84" operator="equal">
      <formula>0</formula>
    </cfRule>
  </conditionalFormatting>
  <conditionalFormatting sqref="Q35:R39">
    <cfRule type="containsErrors" dxfId="95" priority="85">
      <formula>ISERROR(Q35)</formula>
    </cfRule>
  </conditionalFormatting>
  <conditionalFormatting sqref="S35:T39">
    <cfRule type="cellIs" dxfId="94" priority="82" operator="equal">
      <formula>0</formula>
    </cfRule>
  </conditionalFormatting>
  <conditionalFormatting sqref="S35:T39">
    <cfRule type="containsErrors" dxfId="93" priority="83">
      <formula>ISERROR(S35)</formula>
    </cfRule>
  </conditionalFormatting>
  <conditionalFormatting sqref="U35:V39">
    <cfRule type="cellIs" dxfId="92" priority="80" operator="equal">
      <formula>0</formula>
    </cfRule>
  </conditionalFormatting>
  <conditionalFormatting sqref="U35:V39">
    <cfRule type="containsErrors" dxfId="91" priority="81">
      <formula>ISERROR(U35)</formula>
    </cfRule>
  </conditionalFormatting>
  <conditionalFormatting sqref="W35:X39">
    <cfRule type="cellIs" dxfId="90" priority="78" operator="equal">
      <formula>0</formula>
    </cfRule>
  </conditionalFormatting>
  <conditionalFormatting sqref="W35:X39">
    <cfRule type="containsErrors" dxfId="89" priority="79">
      <formula>ISERROR(W35)</formula>
    </cfRule>
  </conditionalFormatting>
  <conditionalFormatting sqref="Y35:Z39">
    <cfRule type="cellIs" dxfId="88" priority="76" operator="equal">
      <formula>0</formula>
    </cfRule>
  </conditionalFormatting>
  <conditionalFormatting sqref="Y35:Z39">
    <cfRule type="containsErrors" dxfId="87" priority="77">
      <formula>ISERROR(Y35)</formula>
    </cfRule>
  </conditionalFormatting>
  <conditionalFormatting sqref="AC10:AD14 AG10:AH14 AK10:AL14">
    <cfRule type="cellIs" dxfId="86" priority="74" operator="equal">
      <formula>0</formula>
    </cfRule>
  </conditionalFormatting>
  <conditionalFormatting sqref="AC10:AD14 AG10:AH14 AK10:AL14">
    <cfRule type="containsErrors" dxfId="85" priority="75">
      <formula>ISERROR(AC10)</formula>
    </cfRule>
  </conditionalFormatting>
  <conditionalFormatting sqref="AE10:AF14 AI10:AJ14 AM10:AN14">
    <cfRule type="cellIs" dxfId="84" priority="72" operator="equal">
      <formula>0</formula>
    </cfRule>
  </conditionalFormatting>
  <conditionalFormatting sqref="AE10:AF14 AI10:AJ14 AM10:AN14">
    <cfRule type="containsErrors" dxfId="83" priority="73">
      <formula>ISERROR(AE10)</formula>
    </cfRule>
  </conditionalFormatting>
  <conditionalFormatting sqref="AC15:AD19 AG15:AH19 AK15:AL19">
    <cfRule type="cellIs" dxfId="82" priority="70" operator="equal">
      <formula>0</formula>
    </cfRule>
  </conditionalFormatting>
  <conditionalFormatting sqref="AC15:AD19 AG15:AH19 AK15:AL19">
    <cfRule type="containsErrors" dxfId="81" priority="71">
      <formula>ISERROR(AC15)</formula>
    </cfRule>
  </conditionalFormatting>
  <conditionalFormatting sqref="AE15:AF19 AI15:AJ19 AM15:AN19">
    <cfRule type="cellIs" dxfId="80" priority="68" operator="equal">
      <formula>0</formula>
    </cfRule>
  </conditionalFormatting>
  <conditionalFormatting sqref="AE15:AF19 AI15:AJ19 AM15:AN19">
    <cfRule type="containsErrors" dxfId="79" priority="69">
      <formula>ISERROR(AE15)</formula>
    </cfRule>
  </conditionalFormatting>
  <conditionalFormatting sqref="AC20:AD24 AG20:AH24 AK20:AL24">
    <cfRule type="cellIs" dxfId="78" priority="66" operator="equal">
      <formula>0</formula>
    </cfRule>
  </conditionalFormatting>
  <conditionalFormatting sqref="AC20:AD24 AG20:AH24 AK20:AL24">
    <cfRule type="containsErrors" dxfId="77" priority="67">
      <formula>ISERROR(AC20)</formula>
    </cfRule>
  </conditionalFormatting>
  <conditionalFormatting sqref="AE20:AF24 AI20:AJ24 AM20:AN24">
    <cfRule type="cellIs" dxfId="76" priority="64" operator="equal">
      <formula>0</formula>
    </cfRule>
  </conditionalFormatting>
  <conditionalFormatting sqref="AE20:AF24 AI20:AJ24 AM20:AN24">
    <cfRule type="containsErrors" dxfId="75" priority="65">
      <formula>ISERROR(AE20)</formula>
    </cfRule>
  </conditionalFormatting>
  <conditionalFormatting sqref="AC25:AD29 AG25:AH29 AK25:AL29">
    <cfRule type="cellIs" dxfId="74" priority="62" operator="equal">
      <formula>0</formula>
    </cfRule>
  </conditionalFormatting>
  <conditionalFormatting sqref="AC25:AD29 AG25:AH29 AK25:AL29">
    <cfRule type="containsErrors" dxfId="73" priority="63">
      <formula>ISERROR(AC25)</formula>
    </cfRule>
  </conditionalFormatting>
  <conditionalFormatting sqref="AE25:AF29 AI25:AJ29 AM25:AN29">
    <cfRule type="cellIs" dxfId="72" priority="60" operator="equal">
      <formula>0</formula>
    </cfRule>
  </conditionalFormatting>
  <conditionalFormatting sqref="AE25:AF29 AI25:AJ29 AM25:AN29">
    <cfRule type="containsErrors" dxfId="71" priority="61">
      <formula>ISERROR(AE25)</formula>
    </cfRule>
  </conditionalFormatting>
  <conditionalFormatting sqref="AC30:AD34 AG30:AH34 AK30:AL34">
    <cfRule type="cellIs" dxfId="70" priority="58" operator="equal">
      <formula>0</formula>
    </cfRule>
  </conditionalFormatting>
  <conditionalFormatting sqref="AC30:AD34 AG30:AH34 AK30:AL34">
    <cfRule type="containsErrors" dxfId="69" priority="59">
      <formula>ISERROR(AC30)</formula>
    </cfRule>
  </conditionalFormatting>
  <conditionalFormatting sqref="AE30:AF34 AI30:AJ34 AM30:AN34">
    <cfRule type="cellIs" dxfId="68" priority="56" operator="equal">
      <formula>0</formula>
    </cfRule>
  </conditionalFormatting>
  <conditionalFormatting sqref="AE30:AF34 AI30:AJ34 AM30:AN34">
    <cfRule type="containsErrors" dxfId="67" priority="57">
      <formula>ISERROR(AE30)</formula>
    </cfRule>
  </conditionalFormatting>
  <conditionalFormatting sqref="AC35:AD39 AG35:AH39 AK35:AL39">
    <cfRule type="cellIs" dxfId="66" priority="54" operator="equal">
      <formula>0</formula>
    </cfRule>
  </conditionalFormatting>
  <conditionalFormatting sqref="AC35:AD39 AG35:AH39 AK35:AL39">
    <cfRule type="containsErrors" dxfId="65" priority="55">
      <formula>ISERROR(AC35)</formula>
    </cfRule>
  </conditionalFormatting>
  <conditionalFormatting sqref="AE35:AF39 AI35:AJ39 AM35:AN39">
    <cfRule type="cellIs" dxfId="64" priority="52" operator="equal">
      <formula>0</formula>
    </cfRule>
  </conditionalFormatting>
  <conditionalFormatting sqref="AE35:AF39 AI35:AJ39 AM35:AN39">
    <cfRule type="containsErrors" dxfId="63" priority="53">
      <formula>ISERROR(AE35)</formula>
    </cfRule>
  </conditionalFormatting>
  <conditionalFormatting sqref="AQ10:AR14">
    <cfRule type="cellIs" dxfId="62" priority="50" operator="equal">
      <formula>0</formula>
    </cfRule>
  </conditionalFormatting>
  <conditionalFormatting sqref="AQ10:AR14">
    <cfRule type="containsErrors" dxfId="61" priority="51">
      <formula>ISERROR(AQ10)</formula>
    </cfRule>
  </conditionalFormatting>
  <conditionalFormatting sqref="AQ15:AR19">
    <cfRule type="cellIs" dxfId="60" priority="48" operator="equal">
      <formula>0</formula>
    </cfRule>
  </conditionalFormatting>
  <conditionalFormatting sqref="AQ15:AR19">
    <cfRule type="containsErrors" dxfId="59" priority="49">
      <formula>ISERROR(AQ15)</formula>
    </cfRule>
  </conditionalFormatting>
  <conditionalFormatting sqref="AQ20:AR24">
    <cfRule type="cellIs" dxfId="58" priority="46" operator="equal">
      <formula>0</formula>
    </cfRule>
  </conditionalFormatting>
  <conditionalFormatting sqref="AQ20:AR24">
    <cfRule type="containsErrors" dxfId="57" priority="47">
      <formula>ISERROR(AQ20)</formula>
    </cfRule>
  </conditionalFormatting>
  <conditionalFormatting sqref="AQ25:AR29">
    <cfRule type="cellIs" dxfId="56" priority="44" operator="equal">
      <formula>0</formula>
    </cfRule>
  </conditionalFormatting>
  <conditionalFormatting sqref="AQ25:AR29">
    <cfRule type="containsErrors" dxfId="55" priority="45">
      <formula>ISERROR(AQ25)</formula>
    </cfRule>
  </conditionalFormatting>
  <conditionalFormatting sqref="AQ30:AR34">
    <cfRule type="cellIs" dxfId="54" priority="42" operator="equal">
      <formula>0</formula>
    </cfRule>
  </conditionalFormatting>
  <conditionalFormatting sqref="AQ30:AR34">
    <cfRule type="containsErrors" dxfId="53" priority="43">
      <formula>ISERROR(AQ30)</formula>
    </cfRule>
  </conditionalFormatting>
  <conditionalFormatting sqref="AQ35:AR39">
    <cfRule type="containsErrors" dxfId="52" priority="41">
      <formula>ISERROR(AQ35)</formula>
    </cfRule>
  </conditionalFormatting>
  <conditionalFormatting sqref="AS10:BA39">
    <cfRule type="cellIs" dxfId="51" priority="39" operator="equal">
      <formula>0</formula>
    </cfRule>
  </conditionalFormatting>
  <conditionalFormatting sqref="D15:D39">
    <cfRule type="cellIs" dxfId="50" priority="37" operator="equal">
      <formula>0</formula>
    </cfRule>
  </conditionalFormatting>
  <conditionalFormatting sqref="D15:D39">
    <cfRule type="containsErrors" dxfId="49" priority="38">
      <formula>ISERROR(D15)</formula>
    </cfRule>
  </conditionalFormatting>
  <conditionalFormatting sqref="AO10:AP14">
    <cfRule type="cellIs" dxfId="48" priority="23" operator="equal">
      <formula>0</formula>
    </cfRule>
  </conditionalFormatting>
  <conditionalFormatting sqref="AO10:AP14">
    <cfRule type="containsErrors" dxfId="47" priority="24">
      <formula>ISERROR(AO10)</formula>
    </cfRule>
  </conditionalFormatting>
  <conditionalFormatting sqref="AO15:AP19">
    <cfRule type="cellIs" dxfId="46" priority="21" operator="equal">
      <formula>0</formula>
    </cfRule>
  </conditionalFormatting>
  <conditionalFormatting sqref="AO15:AP19">
    <cfRule type="containsErrors" dxfId="45" priority="22">
      <formula>ISERROR(AO15)</formula>
    </cfRule>
  </conditionalFormatting>
  <conditionalFormatting sqref="AO20:AP24">
    <cfRule type="cellIs" dxfId="44" priority="19" operator="equal">
      <formula>0</formula>
    </cfRule>
  </conditionalFormatting>
  <conditionalFormatting sqref="AO20:AP24">
    <cfRule type="containsErrors" dxfId="43" priority="20">
      <formula>ISERROR(AO20)</formula>
    </cfRule>
  </conditionalFormatting>
  <conditionalFormatting sqref="AO25:AP29">
    <cfRule type="cellIs" dxfId="42" priority="17" operator="equal">
      <formula>0</formula>
    </cfRule>
  </conditionalFormatting>
  <conditionalFormatting sqref="AO25:AP29">
    <cfRule type="containsErrors" dxfId="41" priority="18">
      <formula>ISERROR(AO25)</formula>
    </cfRule>
  </conditionalFormatting>
  <conditionalFormatting sqref="AO30:AP34">
    <cfRule type="cellIs" dxfId="40" priority="15" operator="equal">
      <formula>0</formula>
    </cfRule>
  </conditionalFormatting>
  <conditionalFormatting sqref="AO30:AP34">
    <cfRule type="containsErrors" dxfId="39" priority="16">
      <formula>ISERROR(AO30)</formula>
    </cfRule>
  </conditionalFormatting>
  <conditionalFormatting sqref="AO35:AP39">
    <cfRule type="cellIs" dxfId="38" priority="13" operator="equal">
      <formula>0</formula>
    </cfRule>
  </conditionalFormatting>
  <conditionalFormatting sqref="AO35:AP39">
    <cfRule type="containsErrors" dxfId="37" priority="14">
      <formula>ISERROR(AO35)</formula>
    </cfRule>
  </conditionalFormatting>
  <conditionalFormatting sqref="AA10:AB14">
    <cfRule type="cellIs" dxfId="36" priority="11" operator="equal">
      <formula>0</formula>
    </cfRule>
  </conditionalFormatting>
  <conditionalFormatting sqref="AA10:AB14">
    <cfRule type="containsErrors" dxfId="35" priority="12">
      <formula>ISERROR(AA10)</formula>
    </cfRule>
  </conditionalFormatting>
  <conditionalFormatting sqref="AA15:AB19">
    <cfRule type="cellIs" dxfId="34" priority="9" operator="equal">
      <formula>0</formula>
    </cfRule>
  </conditionalFormatting>
  <conditionalFormatting sqref="AA15:AB19">
    <cfRule type="containsErrors" dxfId="33" priority="10">
      <formula>ISERROR(AA15)</formula>
    </cfRule>
  </conditionalFormatting>
  <conditionalFormatting sqref="AA20:AB24">
    <cfRule type="cellIs" dxfId="32" priority="7" operator="equal">
      <formula>0</formula>
    </cfRule>
  </conditionalFormatting>
  <conditionalFormatting sqref="AA20:AB24">
    <cfRule type="containsErrors" dxfId="31" priority="8">
      <formula>ISERROR(AA20)</formula>
    </cfRule>
  </conditionalFormatting>
  <conditionalFormatting sqref="AA25:AB29">
    <cfRule type="cellIs" dxfId="30" priority="5" operator="equal">
      <formula>0</formula>
    </cfRule>
  </conditionalFormatting>
  <conditionalFormatting sqref="AA25:AB29">
    <cfRule type="containsErrors" dxfId="29" priority="6">
      <formula>ISERROR(AA25)</formula>
    </cfRule>
  </conditionalFormatting>
  <conditionalFormatting sqref="AA30:AB34">
    <cfRule type="cellIs" dxfId="28" priority="3" operator="equal">
      <formula>0</formula>
    </cfRule>
  </conditionalFormatting>
  <conditionalFormatting sqref="AA30:AB34">
    <cfRule type="containsErrors" dxfId="27" priority="4">
      <formula>ISERROR(AA30)</formula>
    </cfRule>
  </conditionalFormatting>
  <conditionalFormatting sqref="AA35:AB39">
    <cfRule type="cellIs" dxfId="26" priority="1" operator="equal">
      <formula>0</formula>
    </cfRule>
  </conditionalFormatting>
  <conditionalFormatting sqref="AA35:AB39">
    <cfRule type="containsErrors" dxfId="25" priority="2">
      <formula>ISERROR(AA35)</formula>
    </cfRule>
  </conditionalFormatting>
  <printOptions horizontalCentered="1"/>
  <pageMargins left="0.19685039370078741" right="0.19685039370078741" top="0.47244094488188981" bottom="0.34" header="0.31496062992125984" footer="0.24"/>
  <pageSetup paperSize="9" orientation="portrait" verticalDpi="0" r:id="rId1"/>
  <colBreaks count="2" manualBreakCount="2">
    <brk id="18" max="1048575" man="1"/>
    <brk id="38"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69633" r:id="rId4" name="Spinner 1">
              <controlPr defaultSize="0" print="0" autoPict="0">
                <anchor>
                  <from>
                    <xdr:col>1</xdr:col>
                    <xdr:colOff>57150</xdr:colOff>
                    <xdr:row>5</xdr:row>
                    <xdr:rowOff>28575</xdr:rowOff>
                  </from>
                  <to>
                    <xdr:col>1</xdr:col>
                    <xdr:colOff>295275</xdr:colOff>
                    <xdr:row>5</xdr:row>
                    <xdr:rowOff>476250</xdr:rowOff>
                  </to>
                </anchor>
              </controlPr>
            </control>
          </mc:Choice>
        </mc:AlternateContent>
      </controls>
    </mc:Choice>
  </mc:AlternateConten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C00000"/>
  </sheetPr>
  <dimension ref="A1:BC35"/>
  <sheetViews>
    <sheetView showGridLines="0" showRowColHeaders="0" workbookViewId="0">
      <pane ySplit="7" topLeftCell="A24" activePane="bottomLeft" state="frozen"/>
      <selection pane="bottomLeft" activeCell="C8" sqref="C8:V8"/>
    </sheetView>
  </sheetViews>
  <sheetFormatPr defaultColWidth="0" defaultRowHeight="0" customHeight="1" zeroHeight="1"/>
  <cols>
    <col min="1" max="1" width="2.85546875" style="136" customWidth="1"/>
    <col min="2" max="2" width="1.7109375" style="136" customWidth="1"/>
    <col min="3" max="3" width="21.85546875" style="136" customWidth="1"/>
    <col min="4" max="22" width="6.140625" style="1031" customWidth="1"/>
    <col min="23" max="23" width="1.7109375" style="136" customWidth="1"/>
    <col min="24" max="24" width="5.140625" style="136" customWidth="1"/>
    <col min="25" max="25" width="7.5703125" style="136" hidden="1" customWidth="1"/>
    <col min="26" max="26" width="20.42578125" style="136" hidden="1" customWidth="1"/>
    <col min="27" max="45" width="5.7109375" style="1009" hidden="1" customWidth="1"/>
    <col min="46" max="54" width="9.140625" style="136" hidden="1" customWidth="1"/>
    <col min="55" max="55" width="5.7109375" style="136" hidden="1" customWidth="1"/>
    <col min="56" max="16384" width="9.140625" style="136" hidden="1"/>
  </cols>
  <sheetData>
    <row r="1" spans="1:45" ht="3.75" customHeight="1" thickBot="1">
      <c r="A1" s="208"/>
      <c r="B1" s="208"/>
      <c r="C1" s="208"/>
      <c r="D1" s="1008"/>
      <c r="E1" s="1008"/>
      <c r="F1" s="1008"/>
      <c r="G1" s="1008"/>
      <c r="H1" s="1008"/>
      <c r="I1" s="1008"/>
      <c r="J1" s="1008"/>
      <c r="K1" s="1008"/>
      <c r="L1" s="1008"/>
      <c r="M1" s="1008"/>
      <c r="N1" s="1008"/>
      <c r="O1" s="1008"/>
      <c r="P1" s="1008"/>
      <c r="Q1" s="1008"/>
      <c r="R1" s="1008"/>
      <c r="S1" s="1008"/>
      <c r="T1" s="1008"/>
      <c r="U1" s="1008"/>
      <c r="V1" s="1008"/>
      <c r="W1" s="208"/>
      <c r="X1" s="208"/>
    </row>
    <row r="2" spans="1:45" ht="24.95" customHeight="1" thickBot="1">
      <c r="A2" s="208"/>
      <c r="B2" s="378"/>
      <c r="C2" s="1010" t="s">
        <v>704</v>
      </c>
      <c r="D2" s="1011" t="s">
        <v>192</v>
      </c>
      <c r="E2" s="1012"/>
      <c r="F2" s="1012"/>
      <c r="G2" s="1012"/>
      <c r="H2" s="1012"/>
      <c r="I2" s="1012"/>
      <c r="J2" s="1012"/>
      <c r="K2" s="1012"/>
      <c r="L2" s="1012"/>
      <c r="M2" s="1012"/>
      <c r="N2" s="1012"/>
      <c r="O2" s="1012"/>
      <c r="P2" s="1012"/>
      <c r="Q2" s="1013"/>
      <c r="R2" s="1013"/>
      <c r="S2" s="1013"/>
      <c r="T2" s="1013"/>
      <c r="U2" s="1013"/>
      <c r="V2" s="1013" t="s">
        <v>702</v>
      </c>
      <c r="W2" s="378"/>
      <c r="X2" s="208"/>
      <c r="Z2" s="1014" t="s">
        <v>703</v>
      </c>
      <c r="AO2" s="1015"/>
    </row>
    <row r="3" spans="1:45" s="61" customFormat="1" ht="18.75" customHeight="1" thickBot="1">
      <c r="A3" s="612"/>
      <c r="B3" s="376"/>
      <c r="C3" s="1051" t="s">
        <v>715</v>
      </c>
      <c r="D3" s="1016" t="str">
        <f>DKN!F8</f>
        <v>PA</v>
      </c>
      <c r="E3" s="1016" t="str">
        <f>DKN!G8</f>
        <v>PPKn</v>
      </c>
      <c r="F3" s="1016" t="str">
        <f>DKN!H8</f>
        <v>BIND</v>
      </c>
      <c r="G3" s="1016" t="str">
        <f>DKN!I8</f>
        <v>MAT</v>
      </c>
      <c r="H3" s="1016" t="str">
        <f>DKN!J8</f>
        <v>SEJ</v>
      </c>
      <c r="I3" s="1016" t="str">
        <f>DKN!K8</f>
        <v>BING</v>
      </c>
      <c r="J3" s="1016" t="str">
        <f>DKN!L8</f>
        <v>SB</v>
      </c>
      <c r="K3" s="1016" t="str">
        <f>DKN!M8</f>
        <v>PJS</v>
      </c>
      <c r="L3" s="1016" t="str">
        <f>DKN!N8</f>
        <v>PKY</v>
      </c>
      <c r="M3" s="1016" t="str">
        <f>DKN!O8</f>
        <v>TIK</v>
      </c>
      <c r="N3" s="1016" t="str">
        <f>DKN!P8</f>
        <v/>
      </c>
      <c r="O3" s="1016" t="str">
        <f>DKN!Q8</f>
        <v>SOS</v>
      </c>
      <c r="P3" s="1016" t="str">
        <f>DKN!R8</f>
        <v>GEO</v>
      </c>
      <c r="Q3" s="1016" t="str">
        <f>DKN!S8</f>
        <v>EKO</v>
      </c>
      <c r="R3" s="1016" t="str">
        <f>DKN!T8</f>
        <v>Sej.P</v>
      </c>
      <c r="S3" s="1016" t="str">
        <f>DKN!U8</f>
        <v/>
      </c>
      <c r="T3" s="1016" t="str">
        <f>DKN!V8</f>
        <v/>
      </c>
      <c r="U3" s="1016" t="str">
        <f>DKN!W8</f>
        <v>BIO</v>
      </c>
      <c r="V3" s="1016" t="str">
        <f>DKN!X8</f>
        <v>Fisika</v>
      </c>
      <c r="W3" s="1017"/>
      <c r="X3" s="612"/>
      <c r="Z3" s="1018"/>
      <c r="AA3" s="1019" t="str">
        <f>DKN!F8</f>
        <v>PA</v>
      </c>
      <c r="AB3" s="1019" t="str">
        <f>DKN!G8</f>
        <v>PPKn</v>
      </c>
      <c r="AC3" s="1019" t="str">
        <f>DKN!H8</f>
        <v>BIND</v>
      </c>
      <c r="AD3" s="1019" t="str">
        <f>DKN!I8</f>
        <v>MAT</v>
      </c>
      <c r="AE3" s="1019" t="str">
        <f>DKN!J8</f>
        <v>SEJ</v>
      </c>
      <c r="AF3" s="1019" t="str">
        <f>DKN!K8</f>
        <v>BING</v>
      </c>
      <c r="AG3" s="1019" t="str">
        <f>DKN!L8</f>
        <v>SB</v>
      </c>
      <c r="AH3" s="1019" t="str">
        <f>DKN!M8</f>
        <v>PJS</v>
      </c>
      <c r="AI3" s="1019" t="str">
        <f>DKN!N8</f>
        <v>PKY</v>
      </c>
      <c r="AJ3" s="1019" t="str">
        <f>DKN!O8</f>
        <v>TIK</v>
      </c>
      <c r="AK3" s="1019" t="str">
        <f>DKN!P8</f>
        <v/>
      </c>
      <c r="AL3" s="1019" t="str">
        <f>DKN!Q8</f>
        <v>SOS</v>
      </c>
      <c r="AM3" s="1019" t="str">
        <f>DKN!R8</f>
        <v>GEO</v>
      </c>
      <c r="AN3" s="1019" t="str">
        <f>DKN!S8</f>
        <v>EKO</v>
      </c>
      <c r="AO3" s="1019" t="str">
        <f>DKN!T8</f>
        <v>Sej.P</v>
      </c>
      <c r="AP3" s="1019" t="str">
        <f>DKN!U8</f>
        <v/>
      </c>
      <c r="AQ3" s="1019" t="str">
        <f>DKN!V8</f>
        <v/>
      </c>
      <c r="AR3" s="1019" t="str">
        <f>DKN!W8</f>
        <v>BIO</v>
      </c>
      <c r="AS3" s="1019" t="str">
        <f>DKN!X8</f>
        <v>Fisika</v>
      </c>
    </row>
    <row r="4" spans="1:45" s="61" customFormat="1" ht="18.75" customHeight="1">
      <c r="A4" s="612"/>
      <c r="B4" s="376"/>
      <c r="C4" s="1020" t="s">
        <v>317</v>
      </c>
      <c r="D4" s="1021">
        <f t="shared" ref="D4:M6" si="0">IFERROR(VLOOKUP($C4,$Z$4:$AT$11,AA$12,FALSE),"")</f>
        <v>76</v>
      </c>
      <c r="E4" s="1021">
        <f t="shared" si="0"/>
        <v>76</v>
      </c>
      <c r="F4" s="1021">
        <f t="shared" si="0"/>
        <v>76</v>
      </c>
      <c r="G4" s="1021">
        <f t="shared" si="0"/>
        <v>76</v>
      </c>
      <c r="H4" s="1021">
        <f t="shared" si="0"/>
        <v>76</v>
      </c>
      <c r="I4" s="1021">
        <f t="shared" si="0"/>
        <v>76</v>
      </c>
      <c r="J4" s="1021">
        <f t="shared" si="0"/>
        <v>76</v>
      </c>
      <c r="K4" s="1021">
        <f t="shared" si="0"/>
        <v>76</v>
      </c>
      <c r="L4" s="1021">
        <f t="shared" si="0"/>
        <v>76</v>
      </c>
      <c r="M4" s="1021">
        <f t="shared" si="0"/>
        <v>76</v>
      </c>
      <c r="N4" s="1021">
        <f t="shared" ref="N4:V6" si="1">IFERROR(VLOOKUP($C4,$Z$4:$AT$11,AK$12,FALSE),"")</f>
        <v>0</v>
      </c>
      <c r="O4" s="1021">
        <f t="shared" si="1"/>
        <v>76</v>
      </c>
      <c r="P4" s="1021">
        <f t="shared" si="1"/>
        <v>76</v>
      </c>
      <c r="Q4" s="1021">
        <f t="shared" si="1"/>
        <v>76</v>
      </c>
      <c r="R4" s="1021">
        <f t="shared" si="1"/>
        <v>76</v>
      </c>
      <c r="S4" s="1021">
        <f t="shared" si="1"/>
        <v>0</v>
      </c>
      <c r="T4" s="1021">
        <f t="shared" si="1"/>
        <v>0</v>
      </c>
      <c r="U4" s="1021">
        <f t="shared" si="1"/>
        <v>76</v>
      </c>
      <c r="V4" s="1021">
        <f t="shared" si="1"/>
        <v>76</v>
      </c>
      <c r="W4" s="1022"/>
      <c r="X4" s="1023"/>
      <c r="Y4" s="1024"/>
      <c r="Z4" s="1018" t="s">
        <v>317</v>
      </c>
      <c r="AA4" s="1019">
        <f>DKN!F10</f>
        <v>76</v>
      </c>
      <c r="AB4" s="1019">
        <f>DKN!G10</f>
        <v>76</v>
      </c>
      <c r="AC4" s="1019">
        <f>DKN!H10</f>
        <v>76</v>
      </c>
      <c r="AD4" s="1019">
        <f>DKN!I10</f>
        <v>76</v>
      </c>
      <c r="AE4" s="1019">
        <f>DKN!J10</f>
        <v>76</v>
      </c>
      <c r="AF4" s="1019">
        <f>DKN!K10</f>
        <v>76</v>
      </c>
      <c r="AG4" s="1019">
        <f>DKN!L10</f>
        <v>76</v>
      </c>
      <c r="AH4" s="1019">
        <f>DKN!M10</f>
        <v>76</v>
      </c>
      <c r="AI4" s="1019">
        <f>DKN!N10</f>
        <v>76</v>
      </c>
      <c r="AJ4" s="1019">
        <f>DKN!O10</f>
        <v>76</v>
      </c>
      <c r="AK4" s="1019">
        <f>DKN!P10</f>
        <v>0</v>
      </c>
      <c r="AL4" s="1019">
        <f>DKN!Q10</f>
        <v>76</v>
      </c>
      <c r="AM4" s="1019">
        <f>DKN!R10</f>
        <v>76</v>
      </c>
      <c r="AN4" s="1019">
        <f>DKN!S10</f>
        <v>76</v>
      </c>
      <c r="AO4" s="1019">
        <f>DKN!T10</f>
        <v>76</v>
      </c>
      <c r="AP4" s="1019">
        <f>DKN!U10</f>
        <v>0</v>
      </c>
      <c r="AQ4" s="1019">
        <f>DKN!V10</f>
        <v>0</v>
      </c>
      <c r="AR4" s="1019">
        <f>DKN!W10</f>
        <v>76</v>
      </c>
      <c r="AS4" s="1019">
        <f>DKN!X10</f>
        <v>76</v>
      </c>
    </row>
    <row r="5" spans="1:45" s="61" customFormat="1" ht="18.75" customHeight="1">
      <c r="A5" s="612"/>
      <c r="B5" s="376"/>
      <c r="C5" s="1020" t="s">
        <v>705</v>
      </c>
      <c r="D5" s="1021">
        <f t="shared" si="0"/>
        <v>59</v>
      </c>
      <c r="E5" s="1021">
        <f t="shared" si="0"/>
        <v>0</v>
      </c>
      <c r="F5" s="1021">
        <f t="shared" si="0"/>
        <v>60</v>
      </c>
      <c r="G5" s="1021">
        <f t="shared" si="0"/>
        <v>15</v>
      </c>
      <c r="H5" s="1021">
        <f t="shared" si="0"/>
        <v>0</v>
      </c>
      <c r="I5" s="1021">
        <f t="shared" si="0"/>
        <v>80</v>
      </c>
      <c r="J5" s="1021">
        <f t="shared" si="0"/>
        <v>78</v>
      </c>
      <c r="K5" s="1021">
        <f t="shared" si="0"/>
        <v>38</v>
      </c>
      <c r="L5" s="1021">
        <f t="shared" si="0"/>
        <v>64</v>
      </c>
      <c r="M5" s="1021">
        <f t="shared" si="0"/>
        <v>0</v>
      </c>
      <c r="N5" s="1021">
        <f t="shared" si="1"/>
        <v>0</v>
      </c>
      <c r="O5" s="1021">
        <f t="shared" si="1"/>
        <v>59</v>
      </c>
      <c r="P5" s="1021">
        <f t="shared" si="1"/>
        <v>0</v>
      </c>
      <c r="Q5" s="1021">
        <f t="shared" si="1"/>
        <v>79</v>
      </c>
      <c r="R5" s="1021">
        <f t="shared" si="1"/>
        <v>81</v>
      </c>
      <c r="S5" s="1021">
        <f t="shared" si="1"/>
        <v>0</v>
      </c>
      <c r="T5" s="1021">
        <f t="shared" si="1"/>
        <v>0</v>
      </c>
      <c r="U5" s="1021">
        <f t="shared" si="1"/>
        <v>74</v>
      </c>
      <c r="V5" s="1021">
        <f t="shared" si="1"/>
        <v>76</v>
      </c>
      <c r="W5" s="376"/>
      <c r="X5" s="612"/>
      <c r="Z5" s="1018" t="s">
        <v>705</v>
      </c>
      <c r="AA5" s="1019">
        <f>DKN!F62</f>
        <v>59</v>
      </c>
      <c r="AB5" s="1019">
        <f>DKN!G62</f>
        <v>0</v>
      </c>
      <c r="AC5" s="1019">
        <f>DKN!H62</f>
        <v>60</v>
      </c>
      <c r="AD5" s="1019">
        <f>DKN!I62</f>
        <v>15</v>
      </c>
      <c r="AE5" s="1019">
        <f>DKN!J62</f>
        <v>0</v>
      </c>
      <c r="AF5" s="1019">
        <f>DKN!K62</f>
        <v>80</v>
      </c>
      <c r="AG5" s="1019">
        <f>DKN!L62</f>
        <v>78</v>
      </c>
      <c r="AH5" s="1019">
        <f>DKN!M62</f>
        <v>38</v>
      </c>
      <c r="AI5" s="1019">
        <f>DKN!N62</f>
        <v>64</v>
      </c>
      <c r="AJ5" s="1019">
        <f>DKN!O62</f>
        <v>0</v>
      </c>
      <c r="AK5" s="1019">
        <f>DKN!P62</f>
        <v>0</v>
      </c>
      <c r="AL5" s="1019">
        <f>DKN!Q62</f>
        <v>59</v>
      </c>
      <c r="AM5" s="1019">
        <f>DKN!R62</f>
        <v>0</v>
      </c>
      <c r="AN5" s="1019">
        <f>DKN!S62</f>
        <v>79</v>
      </c>
      <c r="AO5" s="1019">
        <f>DKN!T62</f>
        <v>81</v>
      </c>
      <c r="AP5" s="1019">
        <f>DKN!U62</f>
        <v>0</v>
      </c>
      <c r="AQ5" s="1019">
        <f>DKN!V62</f>
        <v>0</v>
      </c>
      <c r="AR5" s="1019">
        <f>DKN!W62</f>
        <v>74</v>
      </c>
      <c r="AS5" s="1019">
        <f>DKN!X62</f>
        <v>76</v>
      </c>
    </row>
    <row r="6" spans="1:45" s="61" customFormat="1" ht="18.75" customHeight="1" thickBot="1">
      <c r="A6" s="612"/>
      <c r="B6" s="376"/>
      <c r="C6" s="1025" t="s">
        <v>706</v>
      </c>
      <c r="D6" s="1026">
        <f t="shared" si="0"/>
        <v>85.891891891891888</v>
      </c>
      <c r="E6" s="1026">
        <f t="shared" si="0"/>
        <v>90.297297297297291</v>
      </c>
      <c r="F6" s="1026">
        <f t="shared" si="0"/>
        <v>88</v>
      </c>
      <c r="G6" s="1026">
        <f t="shared" si="0"/>
        <v>80.459459459459453</v>
      </c>
      <c r="H6" s="1026" t="str">
        <f t="shared" si="0"/>
        <v/>
      </c>
      <c r="I6" s="1026">
        <f t="shared" si="0"/>
        <v>86</v>
      </c>
      <c r="J6" s="1026">
        <f t="shared" si="0"/>
        <v>90</v>
      </c>
      <c r="K6" s="1026">
        <f t="shared" si="0"/>
        <v>84.675675675675677</v>
      </c>
      <c r="L6" s="1026">
        <f t="shared" si="0"/>
        <v>84.86486486486487</v>
      </c>
      <c r="M6" s="1026" t="str">
        <f t="shared" si="0"/>
        <v/>
      </c>
      <c r="N6" s="1026" t="str">
        <f t="shared" si="1"/>
        <v/>
      </c>
      <c r="O6" s="1026">
        <f t="shared" si="1"/>
        <v>81.648648648648646</v>
      </c>
      <c r="P6" s="1026">
        <f t="shared" si="1"/>
        <v>90.297297297297291</v>
      </c>
      <c r="Q6" s="1026">
        <f t="shared" si="1"/>
        <v>88</v>
      </c>
      <c r="R6" s="1026">
        <f t="shared" si="1"/>
        <v>83</v>
      </c>
      <c r="S6" s="1026" t="str">
        <f t="shared" si="1"/>
        <v/>
      </c>
      <c r="T6" s="1026" t="str">
        <f t="shared" si="1"/>
        <v/>
      </c>
      <c r="U6" s="1026">
        <f t="shared" si="1"/>
        <v>78.21621621621621</v>
      </c>
      <c r="V6" s="1026">
        <f t="shared" si="1"/>
        <v>87.405405405405403</v>
      </c>
      <c r="W6" s="376"/>
      <c r="X6" s="612"/>
      <c r="Z6" s="1018" t="s">
        <v>706</v>
      </c>
      <c r="AA6" s="1019">
        <f>DKN!Y64</f>
        <v>85.891891891891888</v>
      </c>
      <c r="AB6" s="1019">
        <f>DKN!Z64</f>
        <v>90.297297297297291</v>
      </c>
      <c r="AC6" s="1019">
        <f>DKN!AA64</f>
        <v>88</v>
      </c>
      <c r="AD6" s="1019">
        <f>DKN!AB64</f>
        <v>80.459459459459453</v>
      </c>
      <c r="AE6" s="1019" t="str">
        <f>DKN!AC64</f>
        <v/>
      </c>
      <c r="AF6" s="1019">
        <f>DKN!AD64</f>
        <v>86</v>
      </c>
      <c r="AG6" s="1019">
        <f>DKN!AE64</f>
        <v>90</v>
      </c>
      <c r="AH6" s="1019">
        <f>DKN!AF64</f>
        <v>84.675675675675677</v>
      </c>
      <c r="AI6" s="1019">
        <f>DKN!AG64</f>
        <v>84.86486486486487</v>
      </c>
      <c r="AJ6" s="1019" t="str">
        <f>DKN!AH64</f>
        <v/>
      </c>
      <c r="AK6" s="1019" t="str">
        <f>DKN!AI64</f>
        <v/>
      </c>
      <c r="AL6" s="1019">
        <f>DKN!AJ64</f>
        <v>81.648648648648646</v>
      </c>
      <c r="AM6" s="1019">
        <f>DKN!AK64</f>
        <v>90.297297297297291</v>
      </c>
      <c r="AN6" s="1019">
        <f>DKN!AL64</f>
        <v>88</v>
      </c>
      <c r="AO6" s="1019">
        <f>DKN!AM64</f>
        <v>83</v>
      </c>
      <c r="AP6" s="1019" t="str">
        <f>DKN!AN64</f>
        <v/>
      </c>
      <c r="AQ6" s="1019" t="str">
        <f>DKN!AO64</f>
        <v/>
      </c>
      <c r="AR6" s="1019">
        <f>DKN!AP64</f>
        <v>78.21621621621621</v>
      </c>
      <c r="AS6" s="1019">
        <f>DKN!AQ64</f>
        <v>87.405405405405403</v>
      </c>
    </row>
    <row r="7" spans="1:45" ht="9" customHeight="1">
      <c r="A7" s="208"/>
      <c r="B7" s="378"/>
      <c r="C7" s="378"/>
      <c r="D7" s="1012"/>
      <c r="E7" s="1012"/>
      <c r="F7" s="1012"/>
      <c r="G7" s="1012"/>
      <c r="H7" s="1012"/>
      <c r="I7" s="1012"/>
      <c r="J7" s="1012"/>
      <c r="K7" s="1012"/>
      <c r="L7" s="1012"/>
      <c r="M7" s="1012"/>
      <c r="N7" s="1012"/>
      <c r="O7" s="1012"/>
      <c r="P7" s="1012"/>
      <c r="Q7" s="1012"/>
      <c r="R7" s="1012"/>
      <c r="S7" s="1012"/>
      <c r="T7" s="1012"/>
      <c r="U7" s="1012"/>
      <c r="V7" s="1012"/>
      <c r="W7" s="378"/>
      <c r="X7" s="208"/>
      <c r="Z7" s="1027" t="s">
        <v>707</v>
      </c>
      <c r="AA7" s="1028">
        <f>IFERROR(ROUND((AA5+AA6)/2,1),"")</f>
        <v>72.400000000000006</v>
      </c>
      <c r="AB7" s="1028">
        <f t="shared" ref="AB7:AQ7" si="2">IFERROR(ROUND((AB5+AB6)/2,1),"")</f>
        <v>45.1</v>
      </c>
      <c r="AC7" s="1028">
        <f t="shared" si="2"/>
        <v>74</v>
      </c>
      <c r="AD7" s="1028">
        <f t="shared" si="2"/>
        <v>47.7</v>
      </c>
      <c r="AE7" s="1028" t="str">
        <f t="shared" si="2"/>
        <v/>
      </c>
      <c r="AF7" s="1028">
        <f t="shared" si="2"/>
        <v>83</v>
      </c>
      <c r="AG7" s="1028">
        <f t="shared" si="2"/>
        <v>84</v>
      </c>
      <c r="AH7" s="1028">
        <f t="shared" si="2"/>
        <v>61.3</v>
      </c>
      <c r="AI7" s="1028">
        <f t="shared" si="2"/>
        <v>74.400000000000006</v>
      </c>
      <c r="AJ7" s="1028" t="str">
        <f t="shared" si="2"/>
        <v/>
      </c>
      <c r="AK7" s="1028" t="str">
        <f t="shared" ref="AK7" si="3">IFERROR(ROUND((AK5+AK6)/2,1),"")</f>
        <v/>
      </c>
      <c r="AL7" s="1028">
        <f t="shared" si="2"/>
        <v>70.3</v>
      </c>
      <c r="AM7" s="1028">
        <f t="shared" si="2"/>
        <v>45.1</v>
      </c>
      <c r="AN7" s="1028">
        <f t="shared" si="2"/>
        <v>83.5</v>
      </c>
      <c r="AO7" s="1028">
        <f t="shared" si="2"/>
        <v>82</v>
      </c>
      <c r="AP7" s="1028" t="str">
        <f t="shared" si="2"/>
        <v/>
      </c>
      <c r="AQ7" s="1028" t="str">
        <f t="shared" si="2"/>
        <v/>
      </c>
      <c r="AR7" s="1028">
        <f t="shared" ref="AR7" si="4">IFERROR(ROUND((AR5+AR6)/2,1),"")</f>
        <v>76.099999999999994</v>
      </c>
      <c r="AS7" s="1028">
        <f t="shared" ref="AS7" si="5">IFERROR(ROUND((AS5+AS6)/2,1),"")</f>
        <v>81.7</v>
      </c>
    </row>
    <row r="8" spans="1:45" ht="24" customHeight="1">
      <c r="A8" s="208"/>
      <c r="C8" s="2347" t="s">
        <v>708</v>
      </c>
      <c r="D8" s="2347"/>
      <c r="E8" s="2347"/>
      <c r="F8" s="2347"/>
      <c r="G8" s="2347"/>
      <c r="H8" s="2347"/>
      <c r="I8" s="2347"/>
      <c r="J8" s="2347"/>
      <c r="K8" s="2347"/>
      <c r="L8" s="2347"/>
      <c r="M8" s="2347"/>
      <c r="N8" s="2347"/>
      <c r="O8" s="2347"/>
      <c r="P8" s="2347"/>
      <c r="Q8" s="2347"/>
      <c r="R8" s="2347"/>
      <c r="S8" s="2347"/>
      <c r="T8" s="2347"/>
      <c r="U8" s="2347"/>
      <c r="V8" s="2347"/>
      <c r="X8" s="208"/>
      <c r="Z8" s="1029" t="s">
        <v>709</v>
      </c>
      <c r="AA8" s="998">
        <f>DKN!F62</f>
        <v>59</v>
      </c>
      <c r="AB8" s="998">
        <f>DKN!G62</f>
        <v>0</v>
      </c>
      <c r="AC8" s="998">
        <f>DKN!H62</f>
        <v>60</v>
      </c>
      <c r="AD8" s="998">
        <f>DKN!I62</f>
        <v>15</v>
      </c>
      <c r="AE8" s="998">
        <f>DKN!J62</f>
        <v>0</v>
      </c>
      <c r="AF8" s="998">
        <f>DKN!K62</f>
        <v>80</v>
      </c>
      <c r="AG8" s="998">
        <f>DKN!L62</f>
        <v>78</v>
      </c>
      <c r="AH8" s="998">
        <f>DKN!M62</f>
        <v>38</v>
      </c>
      <c r="AI8" s="998">
        <f>DKN!N62</f>
        <v>64</v>
      </c>
      <c r="AJ8" s="998">
        <f>DKN!O62</f>
        <v>0</v>
      </c>
      <c r="AK8" s="998">
        <f>DKN!P62</f>
        <v>0</v>
      </c>
      <c r="AL8" s="998">
        <f>DKN!Q62</f>
        <v>59</v>
      </c>
      <c r="AM8" s="998">
        <f>DKN!R62</f>
        <v>0</v>
      </c>
      <c r="AN8" s="998">
        <f>DKN!S62</f>
        <v>79</v>
      </c>
      <c r="AO8" s="998">
        <f>DKN!T62</f>
        <v>81</v>
      </c>
      <c r="AP8" s="998">
        <f>DKN!U62</f>
        <v>0</v>
      </c>
      <c r="AQ8" s="998">
        <f>DKN!V62</f>
        <v>0</v>
      </c>
      <c r="AR8" s="998">
        <f>DKN!W62</f>
        <v>74</v>
      </c>
      <c r="AS8" s="998">
        <f>DKN!X62</f>
        <v>76</v>
      </c>
    </row>
    <row r="9" spans="1:45" ht="18" customHeight="1">
      <c r="A9" s="208"/>
      <c r="C9" s="2348" t="str">
        <f>"NILAI SEMESTER "&amp;IF(Data!C10=1,"GANJIL","GENAP")&amp;" TH. PELAJARAN "&amp;Data!C11</f>
        <v>NILAI SEMESTER GANJIL TH. PELAJARAN 2022-2023</v>
      </c>
      <c r="D9" s="2348"/>
      <c r="E9" s="2348"/>
      <c r="F9" s="2348"/>
      <c r="G9" s="2348"/>
      <c r="H9" s="2348"/>
      <c r="I9" s="2348"/>
      <c r="J9" s="2348"/>
      <c r="K9" s="2348"/>
      <c r="L9" s="2348"/>
      <c r="M9" s="2348"/>
      <c r="N9" s="2348"/>
      <c r="O9" s="2348"/>
      <c r="P9" s="2348"/>
      <c r="Q9" s="2348"/>
      <c r="R9" s="2348"/>
      <c r="S9" s="2348"/>
      <c r="T9" s="2348"/>
      <c r="U9" s="2348"/>
      <c r="V9" s="2348"/>
      <c r="X9" s="208"/>
      <c r="Z9" s="1030" t="s">
        <v>710</v>
      </c>
      <c r="AA9" s="998">
        <f>DKN!Y62</f>
        <v>0</v>
      </c>
      <c r="AB9" s="998">
        <f>DKN!Z62</f>
        <v>0</v>
      </c>
      <c r="AC9" s="998">
        <f>DKN!AA62</f>
        <v>88</v>
      </c>
      <c r="AD9" s="998">
        <f>DKN!AB62</f>
        <v>0</v>
      </c>
      <c r="AE9" s="998">
        <f>DKN!AC62</f>
        <v>0</v>
      </c>
      <c r="AF9" s="998">
        <f>DKN!AD62</f>
        <v>86</v>
      </c>
      <c r="AG9" s="998">
        <f>DKN!AE62</f>
        <v>90</v>
      </c>
      <c r="AH9" s="998">
        <f>DKN!AF62</f>
        <v>34</v>
      </c>
      <c r="AI9" s="998">
        <f>DKN!AG62</f>
        <v>80</v>
      </c>
      <c r="AJ9" s="998">
        <f>DKN!AH62</f>
        <v>0</v>
      </c>
      <c r="AK9" s="998">
        <f>DKN!AI62</f>
        <v>0</v>
      </c>
      <c r="AL9" s="998">
        <f>DKN!AJ62</f>
        <v>0</v>
      </c>
      <c r="AM9" s="998">
        <f>DKN!AK62</f>
        <v>0</v>
      </c>
      <c r="AN9" s="998">
        <f>DKN!AL62</f>
        <v>88</v>
      </c>
      <c r="AO9" s="998">
        <f>DKN!AM62</f>
        <v>82</v>
      </c>
      <c r="AP9" s="998">
        <f>DKN!AN62</f>
        <v>0</v>
      </c>
      <c r="AQ9" s="998">
        <f>DKN!AO62</f>
        <v>0</v>
      </c>
      <c r="AR9" s="998">
        <f>DKN!AP62</f>
        <v>68</v>
      </c>
      <c r="AS9" s="998">
        <f>DKN!AQ62</f>
        <v>76</v>
      </c>
    </row>
    <row r="10" spans="1:45" ht="18" customHeight="1">
      <c r="A10" s="208"/>
      <c r="C10" s="2348" t="str">
        <f>"KELAS "&amp;Data!C9&amp;" "&amp;Data!C4</f>
        <v>KELAS 10 IIS 2 SMA Negeri 1 Amabi Efeto</v>
      </c>
      <c r="D10" s="2348"/>
      <c r="E10" s="2348"/>
      <c r="F10" s="2348"/>
      <c r="G10" s="2348"/>
      <c r="H10" s="2348"/>
      <c r="I10" s="2348"/>
      <c r="J10" s="2348"/>
      <c r="K10" s="2348"/>
      <c r="L10" s="2348"/>
      <c r="M10" s="2348"/>
      <c r="N10" s="2348"/>
      <c r="O10" s="2348"/>
      <c r="P10" s="2348"/>
      <c r="Q10" s="2348"/>
      <c r="R10" s="2348"/>
      <c r="S10" s="2348"/>
      <c r="T10" s="2348"/>
      <c r="U10" s="2348"/>
      <c r="V10" s="2348"/>
      <c r="X10" s="208"/>
      <c r="Z10" s="1029" t="s">
        <v>711</v>
      </c>
      <c r="AA10" s="1019">
        <f>DKN!F63</f>
        <v>95</v>
      </c>
      <c r="AB10" s="1019">
        <f>DKN!G63</f>
        <v>89</v>
      </c>
      <c r="AC10" s="1019">
        <f>DKN!H63</f>
        <v>82</v>
      </c>
      <c r="AD10" s="1019">
        <f>DKN!I63</f>
        <v>96</v>
      </c>
      <c r="AE10" s="1019">
        <f>DKN!J63</f>
        <v>0</v>
      </c>
      <c r="AF10" s="1019">
        <f>DKN!K63</f>
        <v>87</v>
      </c>
      <c r="AG10" s="1019">
        <f>DKN!L63</f>
        <v>87</v>
      </c>
      <c r="AH10" s="1019">
        <f>DKN!M63</f>
        <v>88</v>
      </c>
      <c r="AI10" s="1019">
        <f>DKN!N63</f>
        <v>90</v>
      </c>
      <c r="AJ10" s="1019">
        <f>DKN!O63</f>
        <v>0</v>
      </c>
      <c r="AK10" s="1019">
        <f>DKN!P63</f>
        <v>0</v>
      </c>
      <c r="AL10" s="1019">
        <f>DKN!Q63</f>
        <v>93</v>
      </c>
      <c r="AM10" s="1019">
        <f>DKN!R63</f>
        <v>89</v>
      </c>
      <c r="AN10" s="1019">
        <f>DKN!S63</f>
        <v>92</v>
      </c>
      <c r="AO10" s="1019">
        <f>DKN!T63</f>
        <v>87</v>
      </c>
      <c r="AP10" s="1019">
        <f>DKN!U63</f>
        <v>0</v>
      </c>
      <c r="AQ10" s="1019">
        <f>DKN!V63</f>
        <v>0</v>
      </c>
      <c r="AR10" s="1019">
        <f>DKN!W63</f>
        <v>81</v>
      </c>
      <c r="AS10" s="1019">
        <f>DKN!X63</f>
        <v>86</v>
      </c>
    </row>
    <row r="11" spans="1:45" ht="21" customHeight="1">
      <c r="A11" s="208"/>
      <c r="X11" s="208"/>
      <c r="Z11" s="1030" t="s">
        <v>712</v>
      </c>
      <c r="AA11" s="1019">
        <f>DKN!Y63</f>
        <v>95</v>
      </c>
      <c r="AB11" s="1019">
        <f>DKN!Z63</f>
        <v>95</v>
      </c>
      <c r="AC11" s="1019">
        <f>DKN!AA63</f>
        <v>88</v>
      </c>
      <c r="AD11" s="1019">
        <f>DKN!AB63</f>
        <v>94</v>
      </c>
      <c r="AE11" s="1019">
        <f>DKN!AC63</f>
        <v>0</v>
      </c>
      <c r="AF11" s="1019">
        <f>DKN!AD63</f>
        <v>86</v>
      </c>
      <c r="AG11" s="1019">
        <f>DKN!AE63</f>
        <v>90</v>
      </c>
      <c r="AH11" s="1019">
        <f>DKN!AF63</f>
        <v>90</v>
      </c>
      <c r="AI11" s="1019">
        <f>DKN!AG63</f>
        <v>90</v>
      </c>
      <c r="AJ11" s="1019">
        <f>DKN!AH63</f>
        <v>0</v>
      </c>
      <c r="AK11" s="1019">
        <f>DKN!AI63</f>
        <v>0</v>
      </c>
      <c r="AL11" s="1019">
        <f>DKN!AJ63</f>
        <v>85</v>
      </c>
      <c r="AM11" s="1019">
        <f>DKN!AK63</f>
        <v>95</v>
      </c>
      <c r="AN11" s="1019">
        <f>DKN!AL63</f>
        <v>88</v>
      </c>
      <c r="AO11" s="1019">
        <f>DKN!AM63</f>
        <v>85</v>
      </c>
      <c r="AP11" s="1019">
        <f>DKN!AN63</f>
        <v>0</v>
      </c>
      <c r="AQ11" s="1019">
        <f>DKN!AO63</f>
        <v>0</v>
      </c>
      <c r="AR11" s="1019">
        <f>DKN!AP63</f>
        <v>81</v>
      </c>
      <c r="AS11" s="1019">
        <f>DKN!AQ63</f>
        <v>89</v>
      </c>
    </row>
    <row r="12" spans="1:45" ht="21" customHeight="1">
      <c r="A12" s="208"/>
      <c r="X12" s="208"/>
      <c r="Z12" s="1028">
        <v>1</v>
      </c>
      <c r="AA12" s="1028">
        <v>2</v>
      </c>
      <c r="AB12" s="1028">
        <v>3</v>
      </c>
      <c r="AC12" s="1028">
        <v>4</v>
      </c>
      <c r="AD12" s="1028">
        <v>5</v>
      </c>
      <c r="AE12" s="1028">
        <v>6</v>
      </c>
      <c r="AF12" s="1028">
        <v>7</v>
      </c>
      <c r="AG12" s="1028">
        <v>8</v>
      </c>
      <c r="AH12" s="1028">
        <v>9</v>
      </c>
      <c r="AI12" s="1028">
        <v>10</v>
      </c>
      <c r="AJ12" s="1028">
        <v>11</v>
      </c>
      <c r="AK12" s="1028">
        <v>12</v>
      </c>
      <c r="AL12" s="1028">
        <v>13</v>
      </c>
      <c r="AM12" s="1028">
        <v>14</v>
      </c>
      <c r="AN12" s="1028">
        <v>15</v>
      </c>
      <c r="AO12" s="1028">
        <v>16</v>
      </c>
      <c r="AP12" s="1028">
        <v>17</v>
      </c>
      <c r="AQ12" s="1028">
        <v>18</v>
      </c>
      <c r="AR12" s="1028">
        <v>19</v>
      </c>
      <c r="AS12" s="1028">
        <v>20</v>
      </c>
    </row>
    <row r="13" spans="1:45" ht="21" customHeight="1">
      <c r="A13" s="208"/>
      <c r="X13" s="208"/>
    </row>
    <row r="14" spans="1:45" ht="21" customHeight="1">
      <c r="A14" s="208"/>
      <c r="X14" s="208"/>
    </row>
    <row r="15" spans="1:45" ht="21" customHeight="1">
      <c r="A15" s="208"/>
      <c r="X15" s="208"/>
    </row>
    <row r="16" spans="1:45" ht="21" customHeight="1">
      <c r="A16" s="208"/>
      <c r="X16" s="208"/>
    </row>
    <row r="17" spans="1:45" ht="21" customHeight="1">
      <c r="A17" s="208"/>
      <c r="X17" s="208"/>
      <c r="AA17" s="136"/>
      <c r="AB17" s="136"/>
      <c r="AC17" s="136"/>
      <c r="AD17" s="136"/>
      <c r="AE17" s="136"/>
      <c r="AF17" s="136"/>
      <c r="AG17" s="136"/>
      <c r="AH17" s="136"/>
      <c r="AI17" s="136"/>
      <c r="AJ17" s="136"/>
      <c r="AK17" s="136"/>
      <c r="AL17" s="136"/>
      <c r="AM17" s="136"/>
      <c r="AN17" s="136"/>
      <c r="AO17" s="136"/>
      <c r="AP17" s="136"/>
      <c r="AQ17" s="136"/>
      <c r="AR17" s="136"/>
      <c r="AS17" s="136"/>
    </row>
    <row r="18" spans="1:45" ht="21" customHeight="1">
      <c r="A18" s="208"/>
      <c r="X18" s="208"/>
      <c r="AA18" s="136"/>
      <c r="AB18" s="136"/>
      <c r="AC18" s="136"/>
      <c r="AD18" s="136"/>
      <c r="AE18" s="136"/>
      <c r="AF18" s="136"/>
      <c r="AG18" s="136"/>
      <c r="AH18" s="136"/>
      <c r="AI18" s="136"/>
      <c r="AJ18" s="136"/>
      <c r="AK18" s="136"/>
      <c r="AL18" s="136"/>
      <c r="AM18" s="136"/>
      <c r="AN18" s="136"/>
      <c r="AO18" s="136"/>
      <c r="AP18" s="136"/>
      <c r="AQ18" s="136"/>
      <c r="AR18" s="136"/>
      <c r="AS18" s="136"/>
    </row>
    <row r="19" spans="1:45" ht="21" customHeight="1">
      <c r="A19" s="208"/>
      <c r="X19" s="208"/>
      <c r="AA19" s="136"/>
      <c r="AB19" s="136"/>
      <c r="AC19" s="136"/>
      <c r="AD19" s="136"/>
      <c r="AE19" s="136"/>
      <c r="AF19" s="136"/>
      <c r="AG19" s="136"/>
      <c r="AH19" s="136"/>
      <c r="AI19" s="136"/>
      <c r="AJ19" s="136"/>
      <c r="AK19" s="136"/>
      <c r="AL19" s="136"/>
      <c r="AM19" s="136"/>
      <c r="AN19" s="136"/>
      <c r="AO19" s="136"/>
      <c r="AP19" s="136"/>
      <c r="AQ19" s="136"/>
      <c r="AR19" s="136"/>
      <c r="AS19" s="136"/>
    </row>
    <row r="20" spans="1:45" ht="21" customHeight="1">
      <c r="A20" s="208"/>
      <c r="X20" s="208"/>
      <c r="AA20" s="136"/>
      <c r="AB20" s="136"/>
      <c r="AC20" s="136"/>
      <c r="AD20" s="136"/>
      <c r="AE20" s="136"/>
      <c r="AF20" s="136"/>
      <c r="AG20" s="136"/>
      <c r="AH20" s="136"/>
      <c r="AI20" s="136"/>
      <c r="AJ20" s="136"/>
      <c r="AK20" s="136"/>
      <c r="AL20" s="136"/>
      <c r="AM20" s="136"/>
      <c r="AN20" s="136"/>
      <c r="AO20" s="136"/>
      <c r="AP20" s="136"/>
      <c r="AQ20" s="136"/>
      <c r="AR20" s="136"/>
      <c r="AS20" s="136"/>
    </row>
    <row r="21" spans="1:45" ht="21" customHeight="1">
      <c r="A21" s="208"/>
      <c r="X21" s="208"/>
      <c r="AA21" s="136"/>
      <c r="AB21" s="136"/>
      <c r="AC21" s="136"/>
      <c r="AD21" s="136"/>
      <c r="AE21" s="136"/>
      <c r="AF21" s="136"/>
      <c r="AG21" s="136"/>
      <c r="AH21" s="136"/>
      <c r="AI21" s="136"/>
      <c r="AJ21" s="136"/>
      <c r="AK21" s="136"/>
      <c r="AL21" s="136"/>
      <c r="AM21" s="136"/>
      <c r="AN21" s="136"/>
      <c r="AO21" s="136"/>
      <c r="AP21" s="136"/>
      <c r="AQ21" s="136"/>
      <c r="AR21" s="136"/>
      <c r="AS21" s="136"/>
    </row>
    <row r="22" spans="1:45" ht="21" customHeight="1">
      <c r="A22" s="208"/>
      <c r="X22" s="208"/>
      <c r="AA22" s="136"/>
      <c r="AB22" s="136"/>
      <c r="AC22" s="136"/>
      <c r="AD22" s="136"/>
      <c r="AE22" s="136"/>
      <c r="AF22" s="136"/>
      <c r="AG22" s="136"/>
      <c r="AH22" s="136"/>
      <c r="AI22" s="136"/>
      <c r="AJ22" s="136"/>
      <c r="AK22" s="136"/>
      <c r="AL22" s="136"/>
      <c r="AM22" s="136"/>
      <c r="AN22" s="136"/>
      <c r="AO22" s="136"/>
      <c r="AP22" s="136"/>
      <c r="AQ22" s="136"/>
      <c r="AR22" s="136"/>
      <c r="AS22" s="136"/>
    </row>
    <row r="23" spans="1:45" ht="21" customHeight="1">
      <c r="A23" s="208"/>
      <c r="X23" s="208"/>
      <c r="AA23" s="136"/>
      <c r="AB23" s="136"/>
      <c r="AC23" s="136"/>
      <c r="AD23" s="136"/>
      <c r="AE23" s="136"/>
      <c r="AF23" s="136"/>
      <c r="AG23" s="136"/>
      <c r="AH23" s="136"/>
      <c r="AI23" s="136"/>
      <c r="AJ23" s="136"/>
      <c r="AK23" s="136"/>
      <c r="AL23" s="136"/>
      <c r="AM23" s="136"/>
      <c r="AN23" s="136"/>
      <c r="AO23" s="136"/>
      <c r="AP23" s="136"/>
      <c r="AQ23" s="136"/>
      <c r="AR23" s="136"/>
      <c r="AS23" s="136"/>
    </row>
    <row r="24" spans="1:45" ht="21" customHeight="1">
      <c r="A24" s="208"/>
      <c r="X24" s="208"/>
      <c r="AA24" s="136"/>
      <c r="AB24" s="136"/>
      <c r="AC24" s="136"/>
      <c r="AD24" s="136"/>
      <c r="AE24" s="136"/>
      <c r="AF24" s="136"/>
      <c r="AG24" s="136"/>
      <c r="AH24" s="136"/>
      <c r="AI24" s="136"/>
      <c r="AJ24" s="136"/>
      <c r="AK24" s="136"/>
      <c r="AL24" s="136"/>
      <c r="AM24" s="136"/>
      <c r="AN24" s="136"/>
      <c r="AO24" s="136"/>
      <c r="AP24" s="136"/>
      <c r="AQ24" s="136"/>
      <c r="AR24" s="136"/>
      <c r="AS24" s="136"/>
    </row>
    <row r="25" spans="1:45" ht="21" customHeight="1">
      <c r="A25" s="208"/>
      <c r="X25" s="208"/>
      <c r="AA25" s="136"/>
      <c r="AB25" s="136"/>
      <c r="AC25" s="136"/>
      <c r="AD25" s="136"/>
      <c r="AE25" s="136"/>
      <c r="AF25" s="136"/>
      <c r="AG25" s="136"/>
      <c r="AH25" s="136"/>
      <c r="AI25" s="136"/>
      <c r="AJ25" s="136"/>
      <c r="AK25" s="136"/>
      <c r="AL25" s="136"/>
      <c r="AM25" s="136"/>
      <c r="AN25" s="136"/>
      <c r="AO25" s="136"/>
      <c r="AP25" s="136"/>
      <c r="AQ25" s="136"/>
      <c r="AR25" s="136"/>
      <c r="AS25" s="136"/>
    </row>
    <row r="26" spans="1:45" ht="21" customHeight="1">
      <c r="A26" s="208"/>
      <c r="X26" s="208"/>
      <c r="AA26" s="136"/>
      <c r="AB26" s="136"/>
      <c r="AC26" s="136"/>
      <c r="AD26" s="136"/>
      <c r="AE26" s="136"/>
      <c r="AF26" s="136"/>
      <c r="AG26" s="136"/>
      <c r="AH26" s="136"/>
      <c r="AI26" s="136"/>
      <c r="AJ26" s="136"/>
      <c r="AK26" s="136"/>
      <c r="AL26" s="136"/>
      <c r="AM26" s="136"/>
      <c r="AN26" s="136"/>
      <c r="AO26" s="136"/>
      <c r="AP26" s="136"/>
      <c r="AQ26" s="136"/>
      <c r="AR26" s="136"/>
      <c r="AS26" s="136"/>
    </row>
    <row r="27" spans="1:45" ht="21" customHeight="1">
      <c r="A27" s="208"/>
      <c r="X27" s="208"/>
      <c r="AA27" s="136"/>
      <c r="AB27" s="136"/>
      <c r="AC27" s="136"/>
      <c r="AD27" s="136"/>
      <c r="AE27" s="136"/>
      <c r="AF27" s="136"/>
      <c r="AG27" s="136"/>
      <c r="AH27" s="136"/>
      <c r="AI27" s="136"/>
      <c r="AJ27" s="136"/>
      <c r="AK27" s="136"/>
      <c r="AL27" s="136"/>
      <c r="AM27" s="136"/>
      <c r="AN27" s="136"/>
      <c r="AO27" s="136"/>
      <c r="AP27" s="136"/>
      <c r="AQ27" s="136"/>
      <c r="AR27" s="136"/>
      <c r="AS27" s="136"/>
    </row>
    <row r="28" spans="1:45" ht="21" customHeight="1">
      <c r="A28" s="208"/>
      <c r="X28" s="208"/>
      <c r="AA28" s="136"/>
      <c r="AB28" s="136"/>
      <c r="AC28" s="136"/>
      <c r="AD28" s="136"/>
      <c r="AE28" s="136"/>
      <c r="AF28" s="136"/>
      <c r="AG28" s="136"/>
      <c r="AH28" s="136"/>
      <c r="AI28" s="136"/>
      <c r="AJ28" s="136"/>
      <c r="AK28" s="136"/>
      <c r="AL28" s="136"/>
      <c r="AM28" s="136"/>
      <c r="AN28" s="136"/>
      <c r="AO28" s="136"/>
      <c r="AP28" s="136"/>
      <c r="AQ28" s="136"/>
      <c r="AR28" s="136"/>
      <c r="AS28" s="136"/>
    </row>
    <row r="29" spans="1:45" ht="21" customHeight="1" thickBot="1">
      <c r="A29" s="208"/>
      <c r="X29" s="208"/>
      <c r="AA29" s="136"/>
      <c r="AB29" s="136"/>
      <c r="AC29" s="136"/>
      <c r="AD29" s="136"/>
      <c r="AE29" s="136"/>
      <c r="AF29" s="136"/>
      <c r="AG29" s="136"/>
      <c r="AH29" s="136"/>
      <c r="AI29" s="136"/>
      <c r="AJ29" s="136"/>
      <c r="AK29" s="136"/>
      <c r="AL29" s="136"/>
      <c r="AM29" s="136"/>
      <c r="AN29" s="136"/>
      <c r="AO29" s="136"/>
      <c r="AP29" s="136"/>
      <c r="AQ29" s="136"/>
      <c r="AR29" s="136"/>
      <c r="AS29" s="136"/>
    </row>
    <row r="30" spans="1:45" ht="18" customHeight="1" thickBot="1">
      <c r="A30" s="208"/>
      <c r="C30" s="1032"/>
      <c r="D30" s="1033" t="str">
        <f>D3</f>
        <v>PA</v>
      </c>
      <c r="E30" s="1033" t="str">
        <f t="shared" ref="E30:P30" si="6">E3</f>
        <v>PPKn</v>
      </c>
      <c r="F30" s="1033" t="str">
        <f t="shared" si="6"/>
        <v>BIND</v>
      </c>
      <c r="G30" s="1033" t="str">
        <f t="shared" si="6"/>
        <v>MAT</v>
      </c>
      <c r="H30" s="1033" t="str">
        <f t="shared" si="6"/>
        <v>SEJ</v>
      </c>
      <c r="I30" s="1033" t="str">
        <f t="shared" si="6"/>
        <v>BING</v>
      </c>
      <c r="J30" s="1033" t="str">
        <f t="shared" si="6"/>
        <v>SB</v>
      </c>
      <c r="K30" s="1033" t="str">
        <f t="shared" si="6"/>
        <v>PJS</v>
      </c>
      <c r="L30" s="1033" t="str">
        <f t="shared" si="6"/>
        <v>PKY</v>
      </c>
      <c r="M30" s="1033" t="str">
        <f t="shared" si="6"/>
        <v>TIK</v>
      </c>
      <c r="N30" s="1033" t="str">
        <f t="shared" si="6"/>
        <v/>
      </c>
      <c r="O30" s="1033" t="str">
        <f t="shared" si="6"/>
        <v>SOS</v>
      </c>
      <c r="P30" s="1033" t="str">
        <f t="shared" si="6"/>
        <v>GEO</v>
      </c>
      <c r="Q30" s="1033" t="str">
        <f t="shared" ref="Q30:V30" si="7">Q3</f>
        <v>EKO</v>
      </c>
      <c r="R30" s="1033" t="str">
        <f t="shared" si="7"/>
        <v>Sej.P</v>
      </c>
      <c r="S30" s="1033" t="str">
        <f t="shared" si="7"/>
        <v/>
      </c>
      <c r="T30" s="1033" t="str">
        <f t="shared" si="7"/>
        <v/>
      </c>
      <c r="U30" s="1033" t="str">
        <f t="shared" si="7"/>
        <v>BIO</v>
      </c>
      <c r="V30" s="1033" t="str">
        <f t="shared" si="7"/>
        <v>Fisika</v>
      </c>
      <c r="X30" s="208"/>
      <c r="AA30" s="136"/>
      <c r="AB30" s="136"/>
      <c r="AC30" s="136"/>
      <c r="AD30" s="136"/>
      <c r="AE30" s="136"/>
      <c r="AF30" s="136"/>
      <c r="AG30" s="136"/>
      <c r="AH30" s="136"/>
      <c r="AI30" s="136"/>
      <c r="AJ30" s="136"/>
      <c r="AK30" s="136"/>
      <c r="AL30" s="136"/>
      <c r="AM30" s="136"/>
      <c r="AN30" s="136"/>
      <c r="AO30" s="136"/>
      <c r="AP30" s="136"/>
      <c r="AQ30" s="136"/>
      <c r="AR30" s="136"/>
      <c r="AS30" s="136"/>
    </row>
    <row r="31" spans="1:45" ht="18" customHeight="1">
      <c r="A31" s="208"/>
      <c r="C31" s="1034" t="str">
        <f>C4</f>
        <v>KKM</v>
      </c>
      <c r="D31" s="1035">
        <f>D4</f>
        <v>76</v>
      </c>
      <c r="E31" s="1035">
        <f t="shared" ref="E31:P31" si="8">E4</f>
        <v>76</v>
      </c>
      <c r="F31" s="1035">
        <f t="shared" si="8"/>
        <v>76</v>
      </c>
      <c r="G31" s="1035">
        <f t="shared" si="8"/>
        <v>76</v>
      </c>
      <c r="H31" s="1035">
        <f t="shared" si="8"/>
        <v>76</v>
      </c>
      <c r="I31" s="1035">
        <f t="shared" si="8"/>
        <v>76</v>
      </c>
      <c r="J31" s="1035">
        <f t="shared" si="8"/>
        <v>76</v>
      </c>
      <c r="K31" s="1035">
        <f t="shared" si="8"/>
        <v>76</v>
      </c>
      <c r="L31" s="1035">
        <f t="shared" si="8"/>
        <v>76</v>
      </c>
      <c r="M31" s="1035">
        <f t="shared" si="8"/>
        <v>76</v>
      </c>
      <c r="N31" s="1035">
        <f t="shared" si="8"/>
        <v>0</v>
      </c>
      <c r="O31" s="1035">
        <f t="shared" si="8"/>
        <v>76</v>
      </c>
      <c r="P31" s="1035">
        <f t="shared" si="8"/>
        <v>76</v>
      </c>
      <c r="Q31" s="1035">
        <f t="shared" ref="Q31:V31" si="9">Q4</f>
        <v>76</v>
      </c>
      <c r="R31" s="1035">
        <f t="shared" si="9"/>
        <v>76</v>
      </c>
      <c r="S31" s="1035">
        <f t="shared" si="9"/>
        <v>0</v>
      </c>
      <c r="T31" s="1035">
        <f t="shared" si="9"/>
        <v>0</v>
      </c>
      <c r="U31" s="1035">
        <f t="shared" si="9"/>
        <v>76</v>
      </c>
      <c r="V31" s="1035">
        <f t="shared" si="9"/>
        <v>76</v>
      </c>
      <c r="X31" s="208"/>
      <c r="AA31" s="136"/>
      <c r="AB31" s="136"/>
      <c r="AC31" s="136"/>
      <c r="AD31" s="136"/>
      <c r="AE31" s="136"/>
      <c r="AF31" s="136"/>
      <c r="AG31" s="136"/>
      <c r="AH31" s="136"/>
      <c r="AI31" s="136"/>
      <c r="AJ31" s="136"/>
      <c r="AK31" s="136"/>
      <c r="AL31" s="136"/>
      <c r="AM31" s="136"/>
      <c r="AN31" s="136"/>
      <c r="AO31" s="136"/>
      <c r="AP31" s="136"/>
      <c r="AQ31" s="136"/>
      <c r="AR31" s="136"/>
      <c r="AS31" s="136"/>
    </row>
    <row r="32" spans="1:45" ht="18" customHeight="1">
      <c r="A32" s="208"/>
      <c r="C32" s="1036" t="str">
        <f t="shared" ref="C32:C33" si="10">C5</f>
        <v>Rerata Pengetahuan</v>
      </c>
      <c r="D32" s="1037">
        <f>D5</f>
        <v>59</v>
      </c>
      <c r="E32" s="1037">
        <f t="shared" ref="E32:P32" si="11">E5</f>
        <v>0</v>
      </c>
      <c r="F32" s="1037">
        <f t="shared" si="11"/>
        <v>60</v>
      </c>
      <c r="G32" s="1037">
        <f t="shared" si="11"/>
        <v>15</v>
      </c>
      <c r="H32" s="1037">
        <f t="shared" si="11"/>
        <v>0</v>
      </c>
      <c r="I32" s="1037">
        <f t="shared" si="11"/>
        <v>80</v>
      </c>
      <c r="J32" s="1037">
        <f t="shared" si="11"/>
        <v>78</v>
      </c>
      <c r="K32" s="1037">
        <f t="shared" si="11"/>
        <v>38</v>
      </c>
      <c r="L32" s="1037">
        <f t="shared" si="11"/>
        <v>64</v>
      </c>
      <c r="M32" s="1037">
        <f t="shared" si="11"/>
        <v>0</v>
      </c>
      <c r="N32" s="1037">
        <f t="shared" si="11"/>
        <v>0</v>
      </c>
      <c r="O32" s="1037">
        <f t="shared" si="11"/>
        <v>59</v>
      </c>
      <c r="P32" s="1037">
        <f t="shared" si="11"/>
        <v>0</v>
      </c>
      <c r="Q32" s="1037">
        <f t="shared" ref="Q32:V32" si="12">Q5</f>
        <v>79</v>
      </c>
      <c r="R32" s="1037">
        <f t="shared" si="12"/>
        <v>81</v>
      </c>
      <c r="S32" s="1037">
        <f t="shared" si="12"/>
        <v>0</v>
      </c>
      <c r="T32" s="1037">
        <f t="shared" si="12"/>
        <v>0</v>
      </c>
      <c r="U32" s="1037">
        <f t="shared" si="12"/>
        <v>74</v>
      </c>
      <c r="V32" s="1037">
        <f t="shared" si="12"/>
        <v>76</v>
      </c>
      <c r="X32" s="208"/>
      <c r="AA32" s="136"/>
      <c r="AB32" s="136"/>
      <c r="AC32" s="136"/>
      <c r="AD32" s="136"/>
      <c r="AE32" s="136"/>
      <c r="AF32" s="136"/>
      <c r="AG32" s="136"/>
      <c r="AH32" s="136"/>
      <c r="AI32" s="136"/>
      <c r="AJ32" s="136"/>
      <c r="AK32" s="136"/>
      <c r="AL32" s="136"/>
      <c r="AM32" s="136"/>
      <c r="AN32" s="136"/>
      <c r="AO32" s="136"/>
      <c r="AP32" s="136"/>
      <c r="AQ32" s="136"/>
      <c r="AR32" s="136"/>
      <c r="AS32" s="136"/>
    </row>
    <row r="33" spans="1:45" ht="18" customHeight="1" thickBot="1">
      <c r="A33" s="208"/>
      <c r="C33" s="1038" t="str">
        <f t="shared" si="10"/>
        <v>Rerata Keterampilan</v>
      </c>
      <c r="D33" s="1039">
        <f>D6</f>
        <v>85.891891891891888</v>
      </c>
      <c r="E33" s="1039">
        <f t="shared" ref="E33:P33" si="13">E6</f>
        <v>90.297297297297291</v>
      </c>
      <c r="F33" s="1039">
        <f t="shared" si="13"/>
        <v>88</v>
      </c>
      <c r="G33" s="1039">
        <f t="shared" si="13"/>
        <v>80.459459459459453</v>
      </c>
      <c r="H33" s="1039" t="str">
        <f t="shared" si="13"/>
        <v/>
      </c>
      <c r="I33" s="1039">
        <f t="shared" si="13"/>
        <v>86</v>
      </c>
      <c r="J33" s="1039">
        <f t="shared" si="13"/>
        <v>90</v>
      </c>
      <c r="K33" s="1039">
        <f t="shared" si="13"/>
        <v>84.675675675675677</v>
      </c>
      <c r="L33" s="1039">
        <f t="shared" si="13"/>
        <v>84.86486486486487</v>
      </c>
      <c r="M33" s="1039" t="str">
        <f t="shared" si="13"/>
        <v/>
      </c>
      <c r="N33" s="1039" t="str">
        <f t="shared" si="13"/>
        <v/>
      </c>
      <c r="O33" s="1039">
        <f t="shared" si="13"/>
        <v>81.648648648648646</v>
      </c>
      <c r="P33" s="1039">
        <f t="shared" si="13"/>
        <v>90.297297297297291</v>
      </c>
      <c r="Q33" s="1039">
        <f t="shared" ref="Q33:V33" si="14">Q6</f>
        <v>88</v>
      </c>
      <c r="R33" s="1039">
        <f t="shared" si="14"/>
        <v>83</v>
      </c>
      <c r="S33" s="1039" t="str">
        <f t="shared" si="14"/>
        <v/>
      </c>
      <c r="T33" s="1039" t="str">
        <f t="shared" si="14"/>
        <v/>
      </c>
      <c r="U33" s="1039">
        <f t="shared" si="14"/>
        <v>78.21621621621621</v>
      </c>
      <c r="V33" s="1039">
        <f t="shared" si="14"/>
        <v>87.405405405405403</v>
      </c>
      <c r="X33" s="208"/>
      <c r="AA33" s="136"/>
      <c r="AB33" s="136"/>
      <c r="AC33" s="136"/>
      <c r="AD33" s="136"/>
      <c r="AE33" s="136"/>
      <c r="AF33" s="136"/>
      <c r="AG33" s="136"/>
      <c r="AH33" s="136"/>
      <c r="AI33" s="136"/>
      <c r="AJ33" s="136"/>
      <c r="AK33" s="136"/>
      <c r="AL33" s="136"/>
      <c r="AM33" s="136"/>
      <c r="AN33" s="136"/>
      <c r="AO33" s="136"/>
      <c r="AP33" s="136"/>
      <c r="AQ33" s="136"/>
      <c r="AR33" s="136"/>
      <c r="AS33" s="136"/>
    </row>
    <row r="34" spans="1:45" ht="18.75" customHeight="1">
      <c r="A34" s="208"/>
      <c r="B34" s="37"/>
      <c r="C34" s="37"/>
      <c r="D34" s="1040"/>
      <c r="E34" s="1040"/>
      <c r="F34" s="1040"/>
      <c r="G34" s="1040"/>
      <c r="H34" s="1040"/>
      <c r="I34" s="1040"/>
      <c r="J34" s="1040"/>
      <c r="K34" s="1040"/>
      <c r="L34" s="1040"/>
      <c r="M34" s="1040"/>
      <c r="N34" s="1040"/>
      <c r="O34" s="1040"/>
      <c r="P34" s="1040"/>
      <c r="Q34" s="1040"/>
      <c r="R34" s="1040"/>
      <c r="S34" s="1040"/>
      <c r="T34" s="1040"/>
      <c r="U34" s="1040"/>
      <c r="V34" s="1040"/>
      <c r="W34" s="37"/>
      <c r="X34" s="208"/>
      <c r="AA34" s="136"/>
      <c r="AB34" s="136"/>
      <c r="AC34" s="136"/>
      <c r="AD34" s="136"/>
      <c r="AE34" s="136"/>
      <c r="AF34" s="136"/>
      <c r="AG34" s="136"/>
      <c r="AH34" s="136"/>
      <c r="AI34" s="136"/>
      <c r="AJ34" s="136"/>
      <c r="AK34" s="136"/>
      <c r="AL34" s="136"/>
      <c r="AM34" s="136"/>
      <c r="AN34" s="136"/>
      <c r="AO34" s="136"/>
      <c r="AP34" s="136"/>
      <c r="AQ34" s="136"/>
      <c r="AR34" s="136"/>
      <c r="AS34" s="136"/>
    </row>
    <row r="35" spans="1:45" ht="18.75" customHeight="1">
      <c r="A35" s="208"/>
      <c r="B35" s="208"/>
      <c r="C35" s="1008"/>
      <c r="D35" s="1008"/>
      <c r="E35" s="1008"/>
      <c r="F35" s="1008"/>
      <c r="G35" s="1008"/>
      <c r="H35" s="1008"/>
      <c r="I35" s="1008"/>
      <c r="J35" s="1008"/>
      <c r="K35" s="1008"/>
      <c r="L35" s="1008"/>
      <c r="M35" s="1008"/>
      <c r="N35" s="1008"/>
      <c r="O35" s="1008"/>
      <c r="P35" s="1008"/>
      <c r="Q35" s="208"/>
      <c r="R35" s="208"/>
      <c r="S35" s="208"/>
      <c r="T35" s="208"/>
      <c r="U35" s="208"/>
      <c r="V35" s="208"/>
      <c r="W35" s="208"/>
      <c r="X35" s="208"/>
      <c r="AA35" s="136"/>
      <c r="AB35" s="136"/>
      <c r="AC35" s="136"/>
      <c r="AD35" s="136"/>
      <c r="AE35" s="136"/>
      <c r="AF35" s="136"/>
      <c r="AG35" s="136"/>
      <c r="AH35" s="136"/>
      <c r="AI35" s="136"/>
      <c r="AJ35" s="136"/>
      <c r="AK35" s="136"/>
      <c r="AL35" s="136"/>
      <c r="AM35" s="136"/>
      <c r="AN35" s="136"/>
      <c r="AO35" s="136"/>
      <c r="AP35" s="136"/>
      <c r="AQ35" s="136"/>
      <c r="AR35" s="136"/>
      <c r="AS35" s="136"/>
    </row>
  </sheetData>
  <sheetProtection insertHyperlinks="0" selectLockedCells="1"/>
  <mergeCells count="3">
    <mergeCell ref="C8:V8"/>
    <mergeCell ref="C9:V9"/>
    <mergeCell ref="C10:V10"/>
  </mergeCells>
  <conditionalFormatting sqref="C30:V33">
    <cfRule type="expression" dxfId="24" priority="1">
      <formula>$D$2="tidak"</formula>
    </cfRule>
  </conditionalFormatting>
  <dataValidations count="2">
    <dataValidation type="list" allowBlank="1" showInputMessage="1" showErrorMessage="1" sqref="C4:C6">
      <formula1>$Z$3:$Z$11</formula1>
    </dataValidation>
    <dataValidation type="list" allowBlank="1" showInputMessage="1" showErrorMessage="1" sqref="D2">
      <formula1>"YA,TIDAK"</formula1>
    </dataValidation>
  </dataValidations>
  <printOptions horizontalCentered="1"/>
  <pageMargins left="0.35" right="0.31" top="0.34" bottom="0.39" header="0.24" footer="0.31496062992125984"/>
  <pageSetup paperSize="9" orientation="landscape" verticalDpi="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C00000"/>
  </sheetPr>
  <dimension ref="A1:I52"/>
  <sheetViews>
    <sheetView showGridLines="0" showRowColHeaders="0" topLeftCell="A27" workbookViewId="0">
      <selection activeCell="D39" sqref="D39"/>
    </sheetView>
  </sheetViews>
  <sheetFormatPr defaultColWidth="0" defaultRowHeight="15.75" customHeight="1" zeroHeight="1"/>
  <cols>
    <col min="1" max="1" width="2.140625" style="113" customWidth="1"/>
    <col min="2" max="2" width="12.7109375" style="113" customWidth="1"/>
    <col min="3" max="3" width="5.7109375" style="215" customWidth="1"/>
    <col min="4" max="4" width="22" style="113" customWidth="1"/>
    <col min="5" max="5" width="1.7109375" style="113" customWidth="1"/>
    <col min="6" max="6" width="39.42578125" style="113" customWidth="1"/>
    <col min="7" max="7" width="1.85546875" style="113" customWidth="1"/>
    <col min="8" max="8" width="7.42578125" style="113" customWidth="1"/>
    <col min="9" max="9" width="2.140625" style="113" customWidth="1"/>
    <col min="10" max="16384" width="9.140625" style="113" hidden="1"/>
  </cols>
  <sheetData>
    <row r="1" spans="1:9" ht="20.25" customHeight="1">
      <c r="A1" s="213"/>
      <c r="B1" s="221" t="str">
        <f>"DAFTAR SISWA KELAS  :  "&amp;MID(IF(Data2!L16="MULTI KKM",'Multi-KKM'!N6,'KKM-1'!M6),3,20)</f>
        <v>DAFTAR SISWA KELAS  :  X IIS 2</v>
      </c>
      <c r="C1" s="214"/>
      <c r="D1" s="213"/>
      <c r="E1" s="213"/>
      <c r="F1" s="213"/>
      <c r="G1" s="218"/>
      <c r="H1" s="219"/>
      <c r="I1" s="218"/>
    </row>
    <row r="2" spans="1:9" ht="15.75" customHeight="1">
      <c r="G2" s="218"/>
      <c r="H2" s="219"/>
      <c r="I2" s="218"/>
    </row>
    <row r="3" spans="1:9" ht="15.75" customHeight="1">
      <c r="B3" s="2349" t="s">
        <v>624</v>
      </c>
      <c r="C3" s="215">
        <f>H3</f>
        <v>20</v>
      </c>
      <c r="D3" s="113" t="s">
        <v>71</v>
      </c>
      <c r="E3" s="215" t="s">
        <v>122</v>
      </c>
      <c r="F3" s="222" t="str">
        <f>VLOOKUP(C3,Data!$E$5:$AC$54,4)</f>
        <v>Jitro Andro Baran</v>
      </c>
      <c r="G3" s="218"/>
      <c r="H3" s="2352">
        <v>20</v>
      </c>
      <c r="I3" s="218"/>
    </row>
    <row r="4" spans="1:9" ht="15.75" customHeight="1">
      <c r="B4" s="2350"/>
      <c r="D4" s="113" t="str">
        <f>IF(VLOOKUP(C3,Data!$E$5:$AC$54,Data!$G$55)="","Nomor Induk","NIS / NISN")</f>
        <v>NIS / NISN</v>
      </c>
      <c r="E4" s="215" t="s">
        <v>122</v>
      </c>
      <c r="F4" s="222" t="str">
        <f>TEXT(VLOOKUP(C3,Data!$E$5:$AC$54,2),Data!$C$18)&amp;IF(VLOOKUP(C3,Data!$E$5:$AC$54,Data!$G$55)="",""," / "&amp;TEXT(VLOOKUP(C3,Data!$E$5:$AC$54,Data!$G$55),Data!$C$20))</f>
        <v xml:space="preserve">00000 / 0045266152 / </v>
      </c>
      <c r="G4" s="218"/>
      <c r="H4" s="2353"/>
      <c r="I4" s="218"/>
    </row>
    <row r="5" spans="1:9" ht="15.75" customHeight="1">
      <c r="B5" s="2350"/>
      <c r="D5" s="113" t="s">
        <v>212</v>
      </c>
      <c r="E5" s="215" t="s">
        <v>122</v>
      </c>
      <c r="F5" s="222" t="str">
        <f>VLOOKUP(C3,Data!$E$5:$AC$54,6)&amp;",  "&amp;TEXT(VLOOKUP(C3,Data!$E$5:$AC$54,7),"D MMMM YYY")</f>
        <v>Kuanheum,  25 January 2006</v>
      </c>
      <c r="G5" s="218"/>
      <c r="H5" s="219"/>
      <c r="I5" s="218"/>
    </row>
    <row r="6" spans="1:9" ht="15.75" customHeight="1">
      <c r="B6" s="2350"/>
      <c r="D6" s="113" t="s">
        <v>9</v>
      </c>
      <c r="E6" s="215" t="s">
        <v>122</v>
      </c>
      <c r="F6" s="222" t="str">
        <f>VLOOKUP(C3,Data!$E$5:$AC$54,11)</f>
        <v>Desa Kuanheum</v>
      </c>
      <c r="G6" s="218"/>
      <c r="H6" s="219"/>
      <c r="I6" s="218"/>
    </row>
    <row r="7" spans="1:9" ht="15.75" customHeight="1">
      <c r="B7" s="2350"/>
      <c r="D7" s="113" t="s">
        <v>213</v>
      </c>
      <c r="E7" s="215" t="s">
        <v>122</v>
      </c>
      <c r="F7" s="222" t="str">
        <f>VLOOKUP(C3,Data!$E$5:$AC$54,16)</f>
        <v>Oktofianus Baran</v>
      </c>
      <c r="G7" s="218"/>
      <c r="H7" s="219"/>
      <c r="I7" s="218"/>
    </row>
    <row r="8" spans="1:9" ht="15.75" customHeight="1">
      <c r="B8" s="2351"/>
      <c r="D8" s="113" t="s">
        <v>211</v>
      </c>
      <c r="E8" s="215" t="s">
        <v>122</v>
      </c>
      <c r="F8" s="222">
        <f>VLOOKUP(C3,Data!$E$5:$AC$54,19)</f>
        <v>0</v>
      </c>
      <c r="G8" s="218"/>
      <c r="H8" s="219"/>
      <c r="I8" s="218"/>
    </row>
    <row r="9" spans="1:9" ht="12" customHeight="1">
      <c r="E9" s="215"/>
      <c r="F9" s="222"/>
      <c r="G9" s="218"/>
      <c r="H9" s="219"/>
      <c r="I9" s="218"/>
    </row>
    <row r="10" spans="1:9" ht="12" customHeight="1">
      <c r="F10" s="222"/>
      <c r="G10" s="218"/>
      <c r="H10" s="220" t="s">
        <v>216</v>
      </c>
      <c r="I10" s="218"/>
    </row>
    <row r="11" spans="1:9" ht="15.75" customHeight="1">
      <c r="B11" s="2349" t="s">
        <v>214</v>
      </c>
      <c r="C11" s="215">
        <f>C3+1</f>
        <v>21</v>
      </c>
      <c r="D11" s="113" t="s">
        <v>71</v>
      </c>
      <c r="E11" s="215" t="s">
        <v>122</v>
      </c>
      <c r="F11" s="222" t="str">
        <f>VLOOKUP(C11,Data!$E$5:$AC$54,4)</f>
        <v>Juan Manuel Boys</v>
      </c>
      <c r="G11" s="218"/>
      <c r="H11" s="220">
        <f>COUNTA(Data!H5:H54)</f>
        <v>37</v>
      </c>
      <c r="I11" s="218"/>
    </row>
    <row r="12" spans="1:9" ht="15.75" customHeight="1">
      <c r="B12" s="2350"/>
      <c r="D12" s="113" t="str">
        <f>IF(VLOOKUP(C11,Data!$E$5:$AC$54,Data!$G$55)="","Nomor Induk","NIS / NISN")</f>
        <v>NIS / NISN</v>
      </c>
      <c r="E12" s="215" t="s">
        <v>122</v>
      </c>
      <c r="F12" s="222" t="str">
        <f>TEXT(VLOOKUP(C11,Data!$E$5:$AC$54,2),Data!$C$18)&amp;IF(VLOOKUP(C11,Data!$E$5:$AC$54,Data!$G$55)="",""," / "&amp;TEXT(VLOOKUP(C11,Data!$E$5:$AC$54,Data!$G$55),Data!$C$20))</f>
        <v xml:space="preserve">00000 / 0062407662 / </v>
      </c>
      <c r="G12" s="218"/>
      <c r="H12" s="219"/>
      <c r="I12" s="218"/>
    </row>
    <row r="13" spans="1:9" ht="15.75" customHeight="1">
      <c r="B13" s="2350"/>
      <c r="D13" s="113" t="s">
        <v>212</v>
      </c>
      <c r="E13" s="215" t="s">
        <v>122</v>
      </c>
      <c r="F13" s="222" t="str">
        <f>VLOOKUP(C11,Data!$E$5:$AC$54,6)&amp;",  "&amp;TEXT(VLOOKUP(C11,Data!$E$5:$AC$54,7),"D MMMM YYY")</f>
        <v>Raknamo,  6 June 2007</v>
      </c>
      <c r="G13" s="218"/>
      <c r="H13" s="219"/>
      <c r="I13" s="218"/>
    </row>
    <row r="14" spans="1:9" ht="15.75" customHeight="1">
      <c r="B14" s="2350"/>
      <c r="D14" s="113" t="s">
        <v>9</v>
      </c>
      <c r="E14" s="215" t="s">
        <v>122</v>
      </c>
      <c r="F14" s="222" t="str">
        <f>VLOOKUP(C11,Data!$E$5:$AC$54,11)</f>
        <v>Desa Raknamo</v>
      </c>
      <c r="G14" s="218"/>
      <c r="H14" s="219"/>
      <c r="I14" s="218"/>
    </row>
    <row r="15" spans="1:9" ht="15.75" customHeight="1">
      <c r="B15" s="2350"/>
      <c r="D15" s="113" t="s">
        <v>213</v>
      </c>
      <c r="E15" s="215" t="s">
        <v>122</v>
      </c>
      <c r="F15" s="222" t="str">
        <f>VLOOKUP(C11,Data!$E$5:$AC$54,16)</f>
        <v>Rafael Boys</v>
      </c>
      <c r="G15" s="218"/>
      <c r="H15" s="219"/>
      <c r="I15" s="218"/>
    </row>
    <row r="16" spans="1:9" ht="15.75" customHeight="1">
      <c r="B16" s="2351"/>
      <c r="D16" s="113" t="s">
        <v>211</v>
      </c>
      <c r="E16" s="215" t="s">
        <v>122</v>
      </c>
      <c r="F16" s="222">
        <f>VLOOKUP(C11,Data!$E$5:$AC$54,19)</f>
        <v>0</v>
      </c>
      <c r="G16" s="218"/>
      <c r="H16" s="219"/>
      <c r="I16" s="218"/>
    </row>
    <row r="17" spans="2:9" ht="12" customHeight="1">
      <c r="F17" s="222"/>
      <c r="G17" s="218"/>
      <c r="H17" s="219"/>
      <c r="I17" s="218"/>
    </row>
    <row r="18" spans="2:9" ht="12" customHeight="1">
      <c r="F18" s="222"/>
      <c r="G18" s="218"/>
      <c r="H18" s="219"/>
      <c r="I18" s="218"/>
    </row>
    <row r="19" spans="2:9" ht="15.75" customHeight="1">
      <c r="B19" s="2349" t="s">
        <v>214</v>
      </c>
      <c r="C19" s="215">
        <f>C11+1</f>
        <v>22</v>
      </c>
      <c r="D19" s="113" t="s">
        <v>71</v>
      </c>
      <c r="E19" s="215" t="s">
        <v>122</v>
      </c>
      <c r="F19" s="222" t="str">
        <f>VLOOKUP(C19,Data!$E$5:$AC$54,4)</f>
        <v>Krisyanti Ernela Kesnay</v>
      </c>
      <c r="G19" s="218"/>
      <c r="H19" s="219"/>
      <c r="I19" s="218"/>
    </row>
    <row r="20" spans="2:9" ht="15.75" customHeight="1">
      <c r="B20" s="2350"/>
      <c r="D20" s="113" t="str">
        <f>IF(VLOOKUP(C19,Data!$E$5:$AC$54,Data!$G$55)="","Nomor Induk","NIS / NISN")</f>
        <v>NIS / NISN</v>
      </c>
      <c r="E20" s="215" t="s">
        <v>122</v>
      </c>
      <c r="F20" s="222" t="str">
        <f>TEXT(VLOOKUP(C19,Data!$E$5:$AC$54,2),Data!$C$18)&amp;IF(VLOOKUP(C19,Data!$E$5:$AC$54,Data!$G$55)="",""," / "&amp;TEXT(VLOOKUP(C19,Data!$E$5:$AC$54,Data!$G$55),Data!$C$20))</f>
        <v xml:space="preserve">00000 / 0066650606 / </v>
      </c>
      <c r="G20" s="218"/>
      <c r="H20" s="219"/>
      <c r="I20" s="218"/>
    </row>
    <row r="21" spans="2:9" ht="15.75" customHeight="1">
      <c r="B21" s="2350"/>
      <c r="D21" s="113" t="s">
        <v>212</v>
      </c>
      <c r="E21" s="215" t="s">
        <v>122</v>
      </c>
      <c r="F21" s="222" t="str">
        <f>VLOOKUP(C19,Data!$E$5:$AC$54,6)&amp;",  "&amp;TEXT(VLOOKUP(C19,Data!$E$5:$AC$54,7),"D MMMM YYY")</f>
        <v>Raknamo,  18 August 2006</v>
      </c>
      <c r="G21" s="218"/>
      <c r="H21" s="219"/>
      <c r="I21" s="218"/>
    </row>
    <row r="22" spans="2:9" ht="15.75" customHeight="1">
      <c r="B22" s="2350"/>
      <c r="D22" s="113" t="s">
        <v>9</v>
      </c>
      <c r="E22" s="215" t="s">
        <v>122</v>
      </c>
      <c r="F22" s="222" t="str">
        <f>VLOOKUP(C19,Data!$E$5:$AC$54,11)</f>
        <v>Desa Raknamo</v>
      </c>
      <c r="G22" s="218"/>
      <c r="H22" s="219"/>
      <c r="I22" s="218"/>
    </row>
    <row r="23" spans="2:9" ht="15.75" customHeight="1">
      <c r="B23" s="2350"/>
      <c r="D23" s="113" t="s">
        <v>213</v>
      </c>
      <c r="E23" s="215" t="s">
        <v>122</v>
      </c>
      <c r="F23" s="222" t="str">
        <f>VLOOKUP(C19,Data!$E$5:$AC$54,16)</f>
        <v>Kristofel Kesnay</v>
      </c>
      <c r="G23" s="218"/>
      <c r="H23" s="219"/>
      <c r="I23" s="218"/>
    </row>
    <row r="24" spans="2:9" ht="15.75" customHeight="1">
      <c r="B24" s="2351"/>
      <c r="D24" s="113" t="s">
        <v>211</v>
      </c>
      <c r="E24" s="215" t="s">
        <v>122</v>
      </c>
      <c r="F24" s="222">
        <f>VLOOKUP(C19,Data!$E$5:$AC$54,19)</f>
        <v>0</v>
      </c>
      <c r="G24" s="218"/>
      <c r="H24" s="219"/>
      <c r="I24" s="218"/>
    </row>
    <row r="25" spans="2:9" ht="12" customHeight="1">
      <c r="F25" s="222"/>
      <c r="G25" s="218"/>
      <c r="H25" s="219"/>
      <c r="I25" s="218"/>
    </row>
    <row r="26" spans="2:9" ht="12" customHeight="1">
      <c r="F26" s="222"/>
      <c r="G26" s="218"/>
      <c r="H26" s="219"/>
      <c r="I26" s="218"/>
    </row>
    <row r="27" spans="2:9" ht="15.75" customHeight="1">
      <c r="B27" s="2349" t="s">
        <v>214</v>
      </c>
      <c r="C27" s="215">
        <f>C19+1</f>
        <v>23</v>
      </c>
      <c r="D27" s="113" t="s">
        <v>71</v>
      </c>
      <c r="E27" s="215" t="s">
        <v>122</v>
      </c>
      <c r="F27" s="222" t="str">
        <f>VLOOKUP(C27,Data!$E$5:$AC$54,4)</f>
        <v>Leni Aknesia Knoan</v>
      </c>
      <c r="G27" s="218"/>
      <c r="H27" s="219"/>
      <c r="I27" s="218"/>
    </row>
    <row r="28" spans="2:9" ht="15.75" customHeight="1">
      <c r="B28" s="2350"/>
      <c r="D28" s="113" t="str">
        <f>IF(VLOOKUP(C27,Data!$E$5:$AC$54,Data!$G$55)="","Nomor Induk","NIS / NISN")</f>
        <v>NIS / NISN</v>
      </c>
      <c r="E28" s="215" t="s">
        <v>122</v>
      </c>
      <c r="F28" s="222" t="str">
        <f>TEXT(VLOOKUP(C27,Data!$E$5:$AC$54,2),Data!$C$18)&amp;IF(VLOOKUP(C27,Data!$E$5:$AC$54,Data!$G$55)="",""," / "&amp;TEXT(VLOOKUP(C27,Data!$E$5:$AC$54,Data!$G$55),Data!$C$20))</f>
        <v xml:space="preserve">00000 / 0061698485 / </v>
      </c>
      <c r="G28" s="218"/>
      <c r="H28" s="219"/>
      <c r="I28" s="218"/>
    </row>
    <row r="29" spans="2:9" ht="15.75" customHeight="1">
      <c r="B29" s="2350"/>
      <c r="D29" s="113" t="s">
        <v>212</v>
      </c>
      <c r="E29" s="215" t="s">
        <v>122</v>
      </c>
      <c r="F29" s="222" t="str">
        <f>VLOOKUP(C27,Data!$E$5:$AC$54,6)&amp;",  "&amp;TEXT(VLOOKUP(C27,Data!$E$5:$AC$54,7),"D MMMM YYY")</f>
        <v>Tapasb,  10 September 2006</v>
      </c>
      <c r="G29" s="218"/>
      <c r="H29" s="219"/>
      <c r="I29" s="218"/>
    </row>
    <row r="30" spans="2:9" ht="15.75" customHeight="1">
      <c r="B30" s="2350"/>
      <c r="D30" s="113" t="s">
        <v>9</v>
      </c>
      <c r="E30" s="215" t="s">
        <v>122</v>
      </c>
      <c r="F30" s="222" t="str">
        <f>VLOOKUP(C27,Data!$E$5:$AC$54,11)</f>
        <v>Desa Raknamo</v>
      </c>
      <c r="G30" s="218"/>
      <c r="H30" s="219"/>
      <c r="I30" s="218"/>
    </row>
    <row r="31" spans="2:9" ht="15.75" customHeight="1">
      <c r="B31" s="2350"/>
      <c r="D31" s="113" t="s">
        <v>213</v>
      </c>
      <c r="E31" s="215" t="s">
        <v>122</v>
      </c>
      <c r="F31" s="222" t="str">
        <f>VLOOKUP(C27,Data!$E$5:$AC$54,16)</f>
        <v>Leonardus Knoan</v>
      </c>
      <c r="G31" s="218"/>
      <c r="H31" s="219"/>
      <c r="I31" s="218"/>
    </row>
    <row r="32" spans="2:9" ht="15.75" customHeight="1">
      <c r="B32" s="2351"/>
      <c r="D32" s="113" t="s">
        <v>211</v>
      </c>
      <c r="E32" s="215" t="s">
        <v>122</v>
      </c>
      <c r="F32" s="222">
        <f>VLOOKUP(C27,Data!$E$5:$AC$54,19)</f>
        <v>0</v>
      </c>
      <c r="G32" s="218"/>
      <c r="H32" s="219"/>
      <c r="I32" s="218"/>
    </row>
    <row r="33" spans="2:9" ht="12" customHeight="1">
      <c r="F33" s="222"/>
      <c r="G33" s="218"/>
      <c r="H33" s="219"/>
      <c r="I33" s="218"/>
    </row>
    <row r="34" spans="2:9" ht="12" customHeight="1">
      <c r="F34" s="222"/>
      <c r="G34" s="218"/>
      <c r="H34" s="219"/>
      <c r="I34" s="218"/>
    </row>
    <row r="35" spans="2:9" ht="15.75" customHeight="1">
      <c r="B35" s="2349" t="s">
        <v>214</v>
      </c>
      <c r="C35" s="215">
        <f>C27+1</f>
        <v>24</v>
      </c>
      <c r="D35" s="113" t="s">
        <v>71</v>
      </c>
      <c r="E35" s="215" t="s">
        <v>122</v>
      </c>
      <c r="F35" s="222" t="str">
        <f>VLOOKUP(C35,Data!$E$5:$AC$54,4)</f>
        <v>Marlon Dioninsius Lalus</v>
      </c>
      <c r="G35" s="218"/>
      <c r="H35" s="219"/>
      <c r="I35" s="218"/>
    </row>
    <row r="36" spans="2:9" ht="15.75" customHeight="1">
      <c r="B36" s="2350"/>
      <c r="D36" s="113" t="str">
        <f>IF(VLOOKUP(C35,Data!$E$5:$AC$54,Data!$G$55)="","Nomor Induk","NIS / NISN")</f>
        <v>NIS / NISN</v>
      </c>
      <c r="E36" s="215" t="s">
        <v>122</v>
      </c>
      <c r="F36" s="222" t="str">
        <f>TEXT(VLOOKUP(C35,Data!$E$5:$AC$54,2),Data!$C$18)&amp;IF(VLOOKUP(C35,Data!$E$5:$AC$54,Data!$G$55)="",""," / "&amp;TEXT(VLOOKUP(C35,Data!$E$5:$AC$54,Data!$G$55),Data!$C$20))</f>
        <v xml:space="preserve">00000 / 0055558503 / </v>
      </c>
      <c r="G36" s="218"/>
      <c r="H36" s="219"/>
      <c r="I36" s="218"/>
    </row>
    <row r="37" spans="2:9" ht="15.75" customHeight="1">
      <c r="B37" s="2350"/>
      <c r="D37" s="113" t="s">
        <v>212</v>
      </c>
      <c r="E37" s="215" t="s">
        <v>122</v>
      </c>
      <c r="F37" s="222" t="str">
        <f>VLOOKUP(C35,Data!$E$5:$AC$54,6)&amp;",  "&amp;TEXT(VLOOKUP(C35,Data!$E$5:$AC$54,7),"D MMMM YYY")</f>
        <v>To'oh,  16 March 2005</v>
      </c>
      <c r="G37" s="218"/>
      <c r="H37" s="219"/>
      <c r="I37" s="218"/>
    </row>
    <row r="38" spans="2:9" ht="15.75" customHeight="1">
      <c r="B38" s="2350"/>
      <c r="D38" s="113" t="s">
        <v>9</v>
      </c>
      <c r="E38" s="215" t="s">
        <v>122</v>
      </c>
      <c r="F38" s="222" t="str">
        <f>VLOOKUP(C35,Data!$E$5:$AC$54,11)</f>
        <v>Desa Raknamo</v>
      </c>
      <c r="G38" s="218"/>
      <c r="H38" s="219"/>
      <c r="I38" s="218"/>
    </row>
    <row r="39" spans="2:9" ht="15.75" customHeight="1">
      <c r="B39" s="2350"/>
      <c r="D39" s="113" t="s">
        <v>213</v>
      </c>
      <c r="E39" s="215" t="s">
        <v>122</v>
      </c>
      <c r="F39" s="222" t="str">
        <f>VLOOKUP(C35,Data!$E$5:$AC$54,16)</f>
        <v>Nikolas Lalus</v>
      </c>
      <c r="G39" s="218"/>
      <c r="H39" s="219"/>
      <c r="I39" s="218"/>
    </row>
    <row r="40" spans="2:9" ht="15.75" customHeight="1">
      <c r="B40" s="2351"/>
      <c r="D40" s="113" t="s">
        <v>211</v>
      </c>
      <c r="E40" s="215" t="s">
        <v>122</v>
      </c>
      <c r="F40" s="222">
        <f>VLOOKUP(C35,Data!$E$5:$AC$54,19)</f>
        <v>0</v>
      </c>
      <c r="G40" s="218"/>
      <c r="H40" s="219"/>
      <c r="I40" s="218"/>
    </row>
    <row r="41" spans="2:9" ht="12" customHeight="1">
      <c r="F41" s="222"/>
      <c r="G41" s="218"/>
      <c r="H41" s="219"/>
      <c r="I41" s="218"/>
    </row>
    <row r="42" spans="2:9" ht="12" customHeight="1">
      <c r="F42" s="222"/>
      <c r="G42" s="218"/>
      <c r="H42" s="219"/>
      <c r="I42" s="218"/>
    </row>
    <row r="43" spans="2:9" ht="15.75" customHeight="1">
      <c r="B43" s="2349" t="s">
        <v>214</v>
      </c>
      <c r="C43" s="215">
        <f>C35+1</f>
        <v>25</v>
      </c>
      <c r="D43" s="113" t="s">
        <v>71</v>
      </c>
      <c r="E43" s="215" t="s">
        <v>122</v>
      </c>
      <c r="F43" s="222" t="str">
        <f>VLOOKUP(C43,Data!$E$5:$AC$54,4)</f>
        <v>Maya Trifena Niobe</v>
      </c>
      <c r="G43" s="218"/>
      <c r="H43" s="219"/>
      <c r="I43" s="218"/>
    </row>
    <row r="44" spans="2:9" ht="15.75" customHeight="1">
      <c r="B44" s="2350"/>
      <c r="D44" s="113" t="str">
        <f>IF(VLOOKUP(C43,Data!$E$5:$AC$54,Data!$G$55)="","Nomor Induk","NIS / NISN")</f>
        <v>NIS / NISN</v>
      </c>
      <c r="E44" s="215" t="s">
        <v>122</v>
      </c>
      <c r="F44" s="222" t="str">
        <f>TEXT(VLOOKUP(C43,Data!$E$5:$AC$54,2),Data!$C$18)&amp;IF(VLOOKUP(C43,Data!$E$5:$AC$54,Data!$G$55)="",""," / "&amp;TEXT(VLOOKUP(C43,Data!$E$5:$AC$54,Data!$G$55),Data!$C$20))</f>
        <v xml:space="preserve">00000 / 0063347581 / </v>
      </c>
      <c r="G44" s="218"/>
      <c r="H44" s="219"/>
      <c r="I44" s="218"/>
    </row>
    <row r="45" spans="2:9" ht="15.75" customHeight="1">
      <c r="B45" s="2350"/>
      <c r="D45" s="113" t="s">
        <v>212</v>
      </c>
      <c r="E45" s="215" t="s">
        <v>122</v>
      </c>
      <c r="F45" s="222" t="str">
        <f>VLOOKUP(C43,Data!$E$5:$AC$54,6)&amp;",  "&amp;TEXT(VLOOKUP(C43,Data!$E$5:$AC$54,7),"D MMMM YYY")</f>
        <v>,  0 January 1900</v>
      </c>
      <c r="G45" s="218"/>
      <c r="H45" s="219"/>
      <c r="I45" s="218"/>
    </row>
    <row r="46" spans="2:9" ht="15.75" customHeight="1">
      <c r="B46" s="2350"/>
      <c r="D46" s="113" t="s">
        <v>9</v>
      </c>
      <c r="E46" s="215" t="s">
        <v>122</v>
      </c>
      <c r="F46" s="222">
        <f>VLOOKUP(C43,Data!$E$5:$AC$54,11)</f>
        <v>0</v>
      </c>
      <c r="G46" s="218"/>
      <c r="H46" s="219"/>
      <c r="I46" s="218"/>
    </row>
    <row r="47" spans="2:9" ht="15.75" customHeight="1">
      <c r="B47" s="2350"/>
      <c r="D47" s="113" t="s">
        <v>213</v>
      </c>
      <c r="E47" s="215" t="s">
        <v>122</v>
      </c>
      <c r="F47" s="222">
        <f>VLOOKUP(C43,Data!$E$5:$AC$54,16)</f>
        <v>0</v>
      </c>
      <c r="G47" s="218"/>
      <c r="H47" s="219"/>
      <c r="I47" s="218"/>
    </row>
    <row r="48" spans="2:9" ht="15.75" customHeight="1">
      <c r="B48" s="2351"/>
      <c r="D48" s="113" t="s">
        <v>211</v>
      </c>
      <c r="E48" s="215" t="s">
        <v>122</v>
      </c>
      <c r="F48" s="222">
        <f>VLOOKUP(C43,Data!$E$5:$AC$54,19)</f>
        <v>0</v>
      </c>
      <c r="G48" s="218"/>
      <c r="H48" s="219"/>
      <c r="I48" s="218"/>
    </row>
    <row r="49" spans="1:9" ht="15.75" customHeight="1">
      <c r="G49" s="218"/>
      <c r="H49" s="219"/>
      <c r="I49" s="218"/>
    </row>
    <row r="50" spans="1:9" ht="15.75" customHeight="1">
      <c r="A50" s="213"/>
      <c r="B50" s="213"/>
      <c r="C50" s="214"/>
      <c r="D50" s="213"/>
      <c r="E50" s="213"/>
      <c r="F50" s="213"/>
      <c r="G50" s="218"/>
      <c r="H50" s="219"/>
      <c r="I50" s="218"/>
    </row>
    <row r="51" spans="1:9" ht="15.75" customHeight="1">
      <c r="B51" s="216" t="str">
        <f>Data!C4</f>
        <v>SMA Negeri 1 Amabi Efeto</v>
      </c>
      <c r="F51" s="217" t="s">
        <v>215</v>
      </c>
      <c r="G51" s="218"/>
      <c r="H51" s="219"/>
      <c r="I51" s="218"/>
    </row>
    <row r="52" spans="1:9" ht="15.75" customHeight="1">
      <c r="G52" s="218"/>
      <c r="H52" s="219"/>
      <c r="I52" s="218"/>
    </row>
  </sheetData>
  <sheetProtection insertHyperlinks="0" selectLockedCells="1"/>
  <mergeCells count="7">
    <mergeCell ref="B43:B48"/>
    <mergeCell ref="H3:H4"/>
    <mergeCell ref="B3:B8"/>
    <mergeCell ref="B11:B16"/>
    <mergeCell ref="B19:B24"/>
    <mergeCell ref="B27:B32"/>
    <mergeCell ref="B35:B40"/>
  </mergeCells>
  <conditionalFormatting sqref="B11:E11 B13:E16 B12:C12 E12">
    <cfRule type="expression" dxfId="23" priority="151">
      <formula>$C$11&gt;$H$11</formula>
    </cfRule>
  </conditionalFormatting>
  <conditionalFormatting sqref="B19:E19 B21:E24 B20:C20 E20">
    <cfRule type="expression" dxfId="22" priority="152">
      <formula>$C$19&gt;$H$11</formula>
    </cfRule>
  </conditionalFormatting>
  <conditionalFormatting sqref="B27:E27 B29:E32 B28:C28 E28">
    <cfRule type="expression" dxfId="21" priority="153">
      <formula>$C$27&gt;$H$11</formula>
    </cfRule>
  </conditionalFormatting>
  <conditionalFormatting sqref="B35:E35 B37:E40 B36:C36 E36">
    <cfRule type="expression" dxfId="20" priority="154">
      <formula>$C$35&gt;$H$11</formula>
    </cfRule>
  </conditionalFormatting>
  <conditionalFormatting sqref="B43:E43 B45:E48 B44:C44 E44">
    <cfRule type="expression" dxfId="19" priority="155">
      <formula>$C$43&gt;$H$11</formula>
    </cfRule>
  </conditionalFormatting>
  <conditionalFormatting sqref="B3:F8">
    <cfRule type="expression" dxfId="18" priority="156">
      <formula>$C$3&gt;$H$11</formula>
    </cfRule>
  </conditionalFormatting>
  <conditionalFormatting sqref="F11 F13:F16">
    <cfRule type="expression" dxfId="17" priority="20">
      <formula>$C$3&gt;$H$11</formula>
    </cfRule>
  </conditionalFormatting>
  <conditionalFormatting sqref="F19 F21:F24">
    <cfRule type="expression" dxfId="16" priority="19">
      <formula>$C$3&gt;$H$11</formula>
    </cfRule>
  </conditionalFormatting>
  <conditionalFormatting sqref="F27 F29:F32">
    <cfRule type="expression" dxfId="15" priority="18">
      <formula>$C$3&gt;$H$11</formula>
    </cfRule>
  </conditionalFormatting>
  <conditionalFormatting sqref="F35 F37:F40">
    <cfRule type="expression" dxfId="14" priority="17">
      <formula>$C$3&gt;$H$11</formula>
    </cfRule>
  </conditionalFormatting>
  <conditionalFormatting sqref="F43 F45:F48">
    <cfRule type="expression" dxfId="13" priority="16">
      <formula>$C$3&gt;$H$11</formula>
    </cfRule>
  </conditionalFormatting>
  <conditionalFormatting sqref="D12">
    <cfRule type="expression" dxfId="12" priority="10">
      <formula>$C$3&gt;$H$11</formula>
    </cfRule>
  </conditionalFormatting>
  <conditionalFormatting sqref="D20">
    <cfRule type="expression" dxfId="11" priority="9">
      <formula>$C$3&gt;$H$11</formula>
    </cfRule>
  </conditionalFormatting>
  <conditionalFormatting sqref="D28">
    <cfRule type="expression" dxfId="10" priority="8">
      <formula>$C$3&gt;$H$11</formula>
    </cfRule>
  </conditionalFormatting>
  <conditionalFormatting sqref="D36">
    <cfRule type="expression" dxfId="9" priority="7">
      <formula>$C$3&gt;$H$11</formula>
    </cfRule>
  </conditionalFormatting>
  <conditionalFormatting sqref="D44">
    <cfRule type="expression" dxfId="8" priority="6">
      <formula>$C$3&gt;$H$11</formula>
    </cfRule>
  </conditionalFormatting>
  <conditionalFormatting sqref="F44">
    <cfRule type="expression" dxfId="7" priority="1">
      <formula>$C$3&gt;$H$11</formula>
    </cfRule>
  </conditionalFormatting>
  <conditionalFormatting sqref="F12">
    <cfRule type="expression" dxfId="6" priority="5">
      <formula>$C$3&gt;$H$11</formula>
    </cfRule>
  </conditionalFormatting>
  <conditionalFormatting sqref="F20">
    <cfRule type="expression" dxfId="5" priority="4">
      <formula>$C$3&gt;$H$11</formula>
    </cfRule>
  </conditionalFormatting>
  <conditionalFormatting sqref="F28">
    <cfRule type="expression" dxfId="4" priority="3">
      <formula>$C$3&gt;$H$11</formula>
    </cfRule>
  </conditionalFormatting>
  <conditionalFormatting sqref="F36">
    <cfRule type="expression" dxfId="3" priority="2">
      <formula>$C$3&gt;$H$11</formula>
    </cfRule>
  </conditionalFormatting>
  <pageMargins left="1.03" right="0.54" top="0.6" bottom="0.68" header="0.34" footer="0.3"/>
  <pageSetup paperSize="9" orientation="portrait" horizontalDpi="4294967293" vertic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39937" r:id="rId4" name="Spinner 1">
              <controlPr defaultSize="0" autoPict="0">
                <anchor moveWithCells="1" sizeWithCells="1">
                  <from>
                    <xdr:col>7</xdr:col>
                    <xdr:colOff>142875</xdr:colOff>
                    <xdr:row>4</xdr:row>
                    <xdr:rowOff>104775</xdr:rowOff>
                  </from>
                  <to>
                    <xdr:col>7</xdr:col>
                    <xdr:colOff>400050</xdr:colOff>
                    <xdr:row>6</xdr:row>
                    <xdr:rowOff>123825</xdr:rowOff>
                  </to>
                </anchor>
              </controlPr>
            </control>
          </mc:Choice>
        </mc:AlternateContent>
      </controls>
    </mc:Choice>
  </mc:AlternateConten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J123"/>
  <sheetViews>
    <sheetView showGridLines="0" showRowColHeaders="0" workbookViewId="0">
      <pane xSplit="1" ySplit="2" topLeftCell="B54" activePane="bottomRight" state="frozen"/>
      <selection pane="topRight" activeCell="B1" sqref="B1"/>
      <selection pane="bottomLeft" activeCell="A3" sqref="A3"/>
      <selection pane="bottomRight" activeCell="C73" sqref="C73"/>
    </sheetView>
  </sheetViews>
  <sheetFormatPr defaultColWidth="0" defaultRowHeight="15.95" customHeight="1" zeroHeight="1"/>
  <cols>
    <col min="1" max="1" width="9.28515625" style="61" customWidth="1"/>
    <col min="2" max="2" width="3.140625" style="61" customWidth="1"/>
    <col min="3" max="3" width="75.5703125" style="61" customWidth="1"/>
    <col min="4" max="4" width="10.140625" style="264" customWidth="1"/>
    <col min="5" max="5" width="1.7109375" style="61" customWidth="1"/>
    <col min="6" max="6" width="75.7109375" style="61" customWidth="1"/>
    <col min="7" max="7" width="9.140625" style="61" customWidth="1"/>
    <col min="8" max="16384" width="9.140625" style="61" hidden="1"/>
  </cols>
  <sheetData>
    <row r="1" spans="1:10" s="368" customFormat="1" ht="16.5" customHeight="1">
      <c r="A1" s="379"/>
      <c r="B1" s="369"/>
      <c r="C1" s="369"/>
      <c r="D1" s="369"/>
      <c r="E1" s="369"/>
    </row>
    <row r="2" spans="1:10" s="368" customFormat="1" ht="29.25" customHeight="1">
      <c r="A2" s="380"/>
      <c r="B2" s="381" t="s">
        <v>199</v>
      </c>
      <c r="C2" s="1345" t="str">
        <f>Data!B2</f>
        <v>APLIKASI NILAI K-13|SMA|versi.2018</v>
      </c>
      <c r="D2" s="369"/>
      <c r="E2" s="369"/>
    </row>
    <row r="3" spans="1:10" ht="15.95" customHeight="1">
      <c r="A3" s="955" t="s">
        <v>1049</v>
      </c>
      <c r="B3" s="376"/>
      <c r="C3" s="2360" t="s">
        <v>1025</v>
      </c>
      <c r="D3" s="2360"/>
      <c r="E3" s="369"/>
      <c r="F3" s="2354" t="s">
        <v>1320</v>
      </c>
      <c r="G3" s="368"/>
      <c r="I3" s="1362" t="s">
        <v>1321</v>
      </c>
      <c r="J3" s="1363" t="s">
        <v>1322</v>
      </c>
    </row>
    <row r="4" spans="1:10" ht="15.95" customHeight="1">
      <c r="A4" s="596" t="s">
        <v>228</v>
      </c>
      <c r="B4" s="377"/>
      <c r="C4" s="2361" t="s">
        <v>335</v>
      </c>
      <c r="D4" s="2361"/>
      <c r="E4" s="369"/>
      <c r="F4" s="2354"/>
      <c r="G4" s="368"/>
      <c r="I4" s="1362" t="s">
        <v>1323</v>
      </c>
      <c r="J4" s="1363" t="s">
        <v>1324</v>
      </c>
    </row>
    <row r="5" spans="1:10" ht="39.950000000000003" customHeight="1">
      <c r="A5" s="369"/>
      <c r="B5" s="377"/>
      <c r="C5" s="2362" t="str">
        <f>IF(A3="HIDE INFO",Data!C4,"")</f>
        <v>SMA Negeri 1 Amabi Efeto</v>
      </c>
      <c r="D5" s="2362"/>
      <c r="E5" s="369"/>
      <c r="F5" s="1364" t="s">
        <v>1336</v>
      </c>
      <c r="G5" s="1365" t="s">
        <v>1325</v>
      </c>
      <c r="I5" s="1366" t="s">
        <v>1326</v>
      </c>
      <c r="J5" s="1367" t="s">
        <v>1327</v>
      </c>
    </row>
    <row r="6" spans="1:10" ht="15.95" customHeight="1">
      <c r="A6" s="1346"/>
      <c r="B6" s="1347"/>
      <c r="C6" s="2363" t="s">
        <v>1026</v>
      </c>
      <c r="D6" s="2363"/>
      <c r="E6" s="368"/>
      <c r="F6" s="2355" t="str">
        <f>IFERROR(VLOOKUP(F5,I3:J40,2,FALSE),"")</f>
        <v>Tujuan pembatasannya 65 karakter. Jika itu ditambah resikonya halaman raport bertambah. Menambah 1 lembar saja penambahan minimal 6 lembar. Berarti budget bertambah, belum lgi jumlah tempat raport. 
Jika mau jujur, semakin panjang deskripsi nampaknya orang tua dan siswa juga semakin malas untuk membaca. Oleh karena itu kami batasi supaya efektif dan efisien. Rekomendasi dari Kemendiknas hanya 60 karakter, berarti aplikasi ini sudah lebih 5 karakter dari yg direkomendasikan.</v>
      </c>
      <c r="G6" s="368"/>
      <c r="I6" s="1366" t="s">
        <v>1328</v>
      </c>
      <c r="J6" s="1367" t="s">
        <v>1329</v>
      </c>
    </row>
    <row r="7" spans="1:10" ht="15.95" customHeight="1">
      <c r="A7" s="1346"/>
      <c r="B7" s="1347"/>
      <c r="C7" s="2363" t="s">
        <v>1027</v>
      </c>
      <c r="D7" s="2363"/>
      <c r="E7" s="368"/>
      <c r="F7" s="2356"/>
      <c r="G7" s="368"/>
      <c r="I7" s="1366" t="s">
        <v>1330</v>
      </c>
      <c r="J7" s="1367" t="s">
        <v>1331</v>
      </c>
    </row>
    <row r="8" spans="1:10" ht="15.95" customHeight="1">
      <c r="A8" s="1346"/>
      <c r="B8" s="1348"/>
      <c r="C8" s="2364" t="s">
        <v>786</v>
      </c>
      <c r="D8" s="2364"/>
      <c r="E8" s="368"/>
      <c r="F8" s="2356"/>
      <c r="G8" s="368"/>
      <c r="I8" s="1366" t="s">
        <v>1332</v>
      </c>
      <c r="J8" s="1367" t="s">
        <v>1333</v>
      </c>
    </row>
    <row r="9" spans="1:10" ht="15.95" customHeight="1">
      <c r="A9" s="1346"/>
      <c r="B9" s="1348"/>
      <c r="C9" s="2358" t="s">
        <v>1028</v>
      </c>
      <c r="D9" s="2358"/>
      <c r="E9" s="368"/>
      <c r="F9" s="2356"/>
      <c r="G9" s="368"/>
      <c r="I9" s="1366" t="s">
        <v>1334</v>
      </c>
      <c r="J9" s="1367" t="s">
        <v>1335</v>
      </c>
    </row>
    <row r="10" spans="1:10" ht="15.95" customHeight="1">
      <c r="A10" s="1346"/>
      <c r="B10" s="1348"/>
      <c r="C10" s="2358"/>
      <c r="D10" s="2358"/>
      <c r="E10" s="368"/>
      <c r="F10" s="2356"/>
      <c r="G10" s="368"/>
      <c r="I10" s="1366" t="s">
        <v>1336</v>
      </c>
      <c r="J10" s="1367" t="s">
        <v>1337</v>
      </c>
    </row>
    <row r="11" spans="1:10" ht="15.95" customHeight="1">
      <c r="A11" s="379"/>
      <c r="B11" s="377"/>
      <c r="C11" s="2359" t="s">
        <v>787</v>
      </c>
      <c r="D11" s="2359"/>
      <c r="E11" s="369"/>
      <c r="F11" s="2356"/>
      <c r="G11" s="368"/>
      <c r="I11" s="1366" t="s">
        <v>1338</v>
      </c>
      <c r="J11" s="1367" t="s">
        <v>1339</v>
      </c>
    </row>
    <row r="12" spans="1:10" ht="15.95" customHeight="1">
      <c r="A12" s="379"/>
      <c r="B12" s="637" t="s">
        <v>428</v>
      </c>
      <c r="C12" s="638"/>
      <c r="D12" s="638"/>
      <c r="E12" s="369"/>
      <c r="F12" s="2356"/>
      <c r="G12" s="368"/>
      <c r="I12" s="1366" t="s">
        <v>1340</v>
      </c>
      <c r="J12" s="1367" t="s">
        <v>1341</v>
      </c>
    </row>
    <row r="13" spans="1:10" ht="15.95" customHeight="1">
      <c r="A13" s="379"/>
      <c r="B13" s="1349" t="s">
        <v>1029</v>
      </c>
      <c r="C13" s="1350"/>
      <c r="D13" s="1350"/>
      <c r="E13" s="369"/>
      <c r="F13" s="2356"/>
      <c r="G13" s="368"/>
      <c r="I13" s="1366" t="s">
        <v>1342</v>
      </c>
      <c r="J13" s="1367" t="s">
        <v>1343</v>
      </c>
    </row>
    <row r="14" spans="1:10" ht="15.95" customHeight="1">
      <c r="A14" s="379"/>
      <c r="B14" s="1351" t="s">
        <v>1030</v>
      </c>
      <c r="C14" s="1350"/>
      <c r="D14" s="1350"/>
      <c r="E14" s="369"/>
      <c r="F14" s="2356"/>
      <c r="G14" s="368"/>
      <c r="I14" s="1366" t="s">
        <v>1344</v>
      </c>
      <c r="J14" s="1367" t="s">
        <v>1345</v>
      </c>
    </row>
    <row r="15" spans="1:10" ht="15.95" customHeight="1">
      <c r="A15" s="379"/>
      <c r="B15" s="1352" t="s">
        <v>1031</v>
      </c>
      <c r="C15" s="1353"/>
      <c r="D15" s="1350"/>
      <c r="E15" s="369"/>
      <c r="F15" s="2356"/>
      <c r="G15" s="368"/>
      <c r="I15" s="1366" t="s">
        <v>1346</v>
      </c>
      <c r="J15" s="1367" t="s">
        <v>1347</v>
      </c>
    </row>
    <row r="16" spans="1:10" ht="15.95" customHeight="1">
      <c r="A16" s="379"/>
      <c r="B16" s="1352" t="s">
        <v>1032</v>
      </c>
      <c r="C16" s="1353"/>
      <c r="D16" s="1350"/>
      <c r="E16" s="369"/>
      <c r="F16" s="2356"/>
      <c r="G16" s="368"/>
      <c r="I16" s="1362"/>
      <c r="J16" s="1363"/>
    </row>
    <row r="17" spans="1:10" ht="15.95" customHeight="1">
      <c r="A17" s="379"/>
      <c r="B17" s="1352" t="s">
        <v>1033</v>
      </c>
      <c r="C17" s="1353"/>
      <c r="D17" s="1350"/>
      <c r="E17" s="369"/>
      <c r="F17" s="2356"/>
      <c r="G17" s="368"/>
      <c r="I17" s="1368"/>
      <c r="J17" s="1363"/>
    </row>
    <row r="18" spans="1:10" ht="15.95" customHeight="1">
      <c r="A18" s="379"/>
      <c r="B18" s="1352" t="s">
        <v>1034</v>
      </c>
      <c r="C18" s="1353"/>
      <c r="D18" s="1350"/>
      <c r="E18" s="369"/>
      <c r="F18" s="2356"/>
      <c r="G18" s="368"/>
      <c r="I18" s="1368"/>
      <c r="J18" s="1363"/>
    </row>
    <row r="19" spans="1:10" ht="15.95" customHeight="1">
      <c r="A19" s="379"/>
      <c r="B19" s="1352" t="s">
        <v>1035</v>
      </c>
      <c r="C19" s="1353"/>
      <c r="D19" s="1350"/>
      <c r="E19" s="369"/>
      <c r="F19" s="2356"/>
      <c r="G19" s="368"/>
      <c r="I19" s="1368"/>
      <c r="J19" s="1363"/>
    </row>
    <row r="20" spans="1:10" ht="15.95" customHeight="1">
      <c r="A20" s="379"/>
      <c r="B20" s="1352" t="s">
        <v>1036</v>
      </c>
      <c r="C20" s="1353"/>
      <c r="D20" s="1350"/>
      <c r="E20" s="369"/>
      <c r="F20" s="2356"/>
      <c r="G20" s="368"/>
      <c r="I20" s="1368"/>
      <c r="J20" s="1363"/>
    </row>
    <row r="21" spans="1:10" ht="15.95" customHeight="1">
      <c r="A21" s="379"/>
      <c r="B21" s="1352" t="s">
        <v>1037</v>
      </c>
      <c r="C21" s="1353"/>
      <c r="D21" s="1350"/>
      <c r="E21" s="369"/>
      <c r="F21" s="2356"/>
      <c r="G21" s="368"/>
      <c r="I21" s="1368"/>
      <c r="J21" s="1363"/>
    </row>
    <row r="22" spans="1:10" ht="15.95" customHeight="1">
      <c r="A22" s="379"/>
      <c r="B22" s="1352" t="s">
        <v>1038</v>
      </c>
      <c r="C22" s="1353"/>
      <c r="D22" s="1350"/>
      <c r="E22" s="369"/>
      <c r="F22" s="2356"/>
      <c r="G22" s="368"/>
      <c r="I22" s="1368"/>
      <c r="J22" s="1363"/>
    </row>
    <row r="23" spans="1:10" ht="15.95" customHeight="1">
      <c r="A23" s="379"/>
      <c r="B23" s="637"/>
      <c r="C23" s="638"/>
      <c r="D23" s="638"/>
      <c r="E23" s="369"/>
      <c r="F23" s="2357"/>
      <c r="G23" s="368"/>
      <c r="I23" s="1368"/>
      <c r="J23" s="1363"/>
    </row>
    <row r="24" spans="1:10" ht="15.95" customHeight="1">
      <c r="A24" s="379"/>
      <c r="B24" s="1354" t="s">
        <v>1039</v>
      </c>
      <c r="D24" s="631"/>
      <c r="E24" s="369"/>
      <c r="F24" s="369"/>
      <c r="G24" s="368"/>
      <c r="I24" s="1368"/>
      <c r="J24" s="1363"/>
    </row>
    <row r="25" spans="1:10" ht="15.95" customHeight="1">
      <c r="A25" s="369"/>
      <c r="B25" s="1355" t="s">
        <v>625</v>
      </c>
      <c r="C25" s="631"/>
      <c r="D25" s="631"/>
      <c r="E25" s="369"/>
      <c r="F25" s="369"/>
      <c r="G25" s="368"/>
      <c r="I25" s="1368"/>
      <c r="J25" s="1363"/>
    </row>
    <row r="26" spans="1:10" ht="15.95" customHeight="1">
      <c r="A26" s="369"/>
      <c r="B26" s="1355" t="s">
        <v>626</v>
      </c>
      <c r="C26" s="631"/>
      <c r="D26" s="631"/>
      <c r="E26" s="369"/>
      <c r="F26" s="369"/>
      <c r="G26" s="368"/>
      <c r="I26" s="1368"/>
      <c r="J26" s="1363"/>
    </row>
    <row r="27" spans="1:10" ht="15.95" customHeight="1">
      <c r="A27" s="369"/>
      <c r="B27" s="1355" t="s">
        <v>1040</v>
      </c>
      <c r="D27" s="631"/>
      <c r="E27" s="369"/>
      <c r="F27" s="369"/>
      <c r="G27" s="368"/>
      <c r="I27" s="1368"/>
      <c r="J27" s="1363"/>
    </row>
    <row r="28" spans="1:10" ht="15.95" customHeight="1">
      <c r="A28" s="369"/>
      <c r="B28" s="630"/>
      <c r="D28" s="631"/>
      <c r="E28" s="369"/>
      <c r="F28" s="369"/>
      <c r="G28" s="368"/>
      <c r="I28" s="1368"/>
      <c r="J28" s="1363"/>
    </row>
    <row r="29" spans="1:10" ht="15.95" customHeight="1">
      <c r="A29" s="369"/>
      <c r="B29" s="630"/>
      <c r="D29" s="631"/>
      <c r="E29" s="369"/>
      <c r="F29" s="369"/>
      <c r="G29" s="368"/>
      <c r="I29" s="1368"/>
      <c r="J29" s="1363"/>
    </row>
    <row r="30" spans="1:10" ht="15.95" customHeight="1">
      <c r="A30" s="369"/>
      <c r="B30" s="630"/>
      <c r="D30" s="631"/>
      <c r="E30" s="369"/>
      <c r="F30" s="369"/>
      <c r="G30" s="368"/>
      <c r="I30" s="1369"/>
      <c r="J30" s="1363"/>
    </row>
    <row r="31" spans="1:10" ht="15.95" customHeight="1">
      <c r="A31" s="369"/>
      <c r="B31" s="630"/>
      <c r="D31" s="631"/>
      <c r="E31" s="369"/>
      <c r="F31" s="369"/>
      <c r="G31" s="368"/>
      <c r="I31" s="1369"/>
      <c r="J31" s="1363"/>
    </row>
    <row r="32" spans="1:10" ht="15.95" customHeight="1">
      <c r="A32" s="369"/>
      <c r="B32" s="630"/>
      <c r="D32" s="631"/>
      <c r="E32" s="369"/>
      <c r="F32" s="369"/>
      <c r="G32" s="368"/>
      <c r="I32" s="1369"/>
      <c r="J32" s="1369"/>
    </row>
    <row r="33" spans="1:10" ht="15.95" customHeight="1">
      <c r="A33" s="369"/>
      <c r="B33" s="630"/>
      <c r="D33" s="631"/>
      <c r="E33" s="369"/>
      <c r="F33" s="369"/>
      <c r="G33" s="368"/>
      <c r="I33" s="1369"/>
      <c r="J33" s="1369"/>
    </row>
    <row r="34" spans="1:10" ht="15.95" customHeight="1">
      <c r="A34" s="369"/>
      <c r="B34" s="630"/>
      <c r="D34" s="631"/>
      <c r="E34" s="369"/>
      <c r="F34" s="369"/>
      <c r="G34" s="368"/>
      <c r="I34" s="1369"/>
      <c r="J34" s="1369"/>
    </row>
    <row r="35" spans="1:10" ht="15.95" customHeight="1">
      <c r="A35" s="369"/>
      <c r="B35" s="630"/>
      <c r="D35" s="631"/>
      <c r="E35" s="369"/>
      <c r="F35" s="369"/>
      <c r="G35" s="368"/>
      <c r="I35" s="1369"/>
      <c r="J35" s="1369"/>
    </row>
    <row r="36" spans="1:10" ht="15.95" customHeight="1">
      <c r="A36" s="369"/>
      <c r="B36" s="630"/>
      <c r="D36" s="631"/>
      <c r="E36" s="369"/>
      <c r="F36" s="369"/>
      <c r="G36" s="368"/>
      <c r="I36" s="1369"/>
      <c r="J36" s="1369"/>
    </row>
    <row r="37" spans="1:10" ht="15.95" customHeight="1">
      <c r="A37" s="369"/>
      <c r="B37" s="630"/>
      <c r="D37" s="631"/>
      <c r="E37" s="369"/>
      <c r="F37" s="369"/>
      <c r="G37" s="368"/>
      <c r="I37" s="1369"/>
      <c r="J37" s="1369"/>
    </row>
    <row r="38" spans="1:10" ht="15.95" customHeight="1">
      <c r="A38" s="369"/>
      <c r="B38" s="630"/>
      <c r="D38" s="631"/>
      <c r="E38" s="369"/>
      <c r="F38" s="369"/>
      <c r="G38" s="368"/>
      <c r="I38" s="1369"/>
      <c r="J38" s="1369"/>
    </row>
    <row r="39" spans="1:10" ht="15.95" customHeight="1">
      <c r="A39" s="369"/>
      <c r="B39" s="630"/>
      <c r="D39" s="631"/>
      <c r="E39" s="369"/>
      <c r="F39" s="369"/>
      <c r="G39" s="368"/>
      <c r="I39" s="1369"/>
      <c r="J39" s="1369"/>
    </row>
    <row r="40" spans="1:10" ht="15.95" customHeight="1">
      <c r="A40" s="369"/>
      <c r="B40" s="630"/>
      <c r="D40" s="631"/>
      <c r="E40" s="369"/>
      <c r="F40" s="369"/>
      <c r="G40" s="368"/>
      <c r="I40" s="1369"/>
      <c r="J40" s="1369"/>
    </row>
    <row r="41" spans="1:10" ht="15.95" customHeight="1">
      <c r="A41" s="369"/>
      <c r="B41" s="630"/>
      <c r="C41" s="631"/>
      <c r="D41" s="631"/>
      <c r="E41" s="369"/>
      <c r="F41" s="369"/>
      <c r="G41" s="368"/>
      <c r="I41" s="1369"/>
      <c r="J41" s="1369"/>
    </row>
    <row r="42" spans="1:10" ht="15.95" customHeight="1">
      <c r="A42" s="369"/>
      <c r="B42" s="636" t="s">
        <v>229</v>
      </c>
      <c r="D42" s="265"/>
      <c r="E42" s="369"/>
      <c r="F42" s="369"/>
      <c r="G42" s="368"/>
      <c r="I42" s="1369"/>
      <c r="J42" s="1369"/>
    </row>
    <row r="43" spans="1:10" ht="15.95" customHeight="1">
      <c r="A43" s="369"/>
      <c r="B43" s="61" t="s">
        <v>125</v>
      </c>
      <c r="C43" s="633" t="s">
        <v>250</v>
      </c>
      <c r="D43" s="61"/>
      <c r="E43" s="369"/>
      <c r="F43" s="369"/>
      <c r="G43" s="368"/>
      <c r="I43" s="1369"/>
      <c r="J43" s="1369"/>
    </row>
    <row r="44" spans="1:10" ht="15.95" customHeight="1">
      <c r="A44" s="369"/>
      <c r="C44" s="632" t="s">
        <v>251</v>
      </c>
      <c r="D44" s="61"/>
      <c r="E44" s="369"/>
      <c r="F44" s="369"/>
      <c r="G44" s="368"/>
      <c r="I44" s="1369"/>
      <c r="J44" s="1369"/>
    </row>
    <row r="45" spans="1:10" ht="15.95" customHeight="1">
      <c r="A45" s="369"/>
      <c r="C45" s="634" t="s">
        <v>252</v>
      </c>
      <c r="D45" s="61"/>
      <c r="E45" s="369"/>
      <c r="F45" s="369"/>
      <c r="G45" s="368"/>
      <c r="I45" s="1369"/>
      <c r="J45" s="1369"/>
    </row>
    <row r="46" spans="1:10" ht="15.95" customHeight="1">
      <c r="A46" s="369"/>
      <c r="B46" s="61" t="s">
        <v>126</v>
      </c>
      <c r="C46" s="61" t="s">
        <v>230</v>
      </c>
      <c r="D46" s="266" t="s">
        <v>231</v>
      </c>
      <c r="E46" s="369"/>
      <c r="F46" s="369"/>
      <c r="G46" s="368"/>
      <c r="I46" s="1369"/>
      <c r="J46" s="1369"/>
    </row>
    <row r="47" spans="1:10" ht="15.95" customHeight="1">
      <c r="A47" s="369"/>
      <c r="C47" s="61" t="s">
        <v>232</v>
      </c>
      <c r="D47" s="265"/>
      <c r="E47" s="369"/>
      <c r="F47" s="369"/>
      <c r="G47" s="368"/>
      <c r="I47" s="1369"/>
      <c r="J47" s="1369"/>
    </row>
    <row r="48" spans="1:10" ht="15.95" customHeight="1">
      <c r="A48" s="369"/>
      <c r="C48" s="61" t="s">
        <v>233</v>
      </c>
      <c r="D48" s="265"/>
      <c r="E48" s="369"/>
      <c r="F48" s="369"/>
      <c r="G48" s="368"/>
      <c r="I48" s="1369"/>
      <c r="J48" s="1369"/>
    </row>
    <row r="49" spans="1:10" ht="15.95" customHeight="1">
      <c r="A49" s="369"/>
      <c r="B49" s="61" t="s">
        <v>127</v>
      </c>
      <c r="C49" s="633" t="s">
        <v>424</v>
      </c>
      <c r="D49" s="266" t="s">
        <v>244</v>
      </c>
      <c r="E49" s="369"/>
      <c r="F49" s="369"/>
      <c r="G49" s="368"/>
      <c r="I49" s="1369"/>
      <c r="J49" s="1369"/>
    </row>
    <row r="50" spans="1:10" ht="15.95" customHeight="1">
      <c r="A50" s="369"/>
      <c r="C50" s="634" t="s">
        <v>425</v>
      </c>
      <c r="D50" s="265"/>
      <c r="E50" s="369"/>
      <c r="F50" s="369"/>
      <c r="G50" s="368"/>
      <c r="I50" s="1369"/>
      <c r="J50" s="1369"/>
    </row>
    <row r="51" spans="1:10" ht="15.95" customHeight="1">
      <c r="A51" s="369"/>
      <c r="B51" s="61" t="s">
        <v>128</v>
      </c>
      <c r="C51" s="61" t="s">
        <v>241</v>
      </c>
      <c r="D51" s="1356" t="s">
        <v>243</v>
      </c>
      <c r="E51" s="369"/>
      <c r="F51" s="369"/>
      <c r="G51" s="368"/>
      <c r="I51" s="1369"/>
      <c r="J51" s="1369"/>
    </row>
    <row r="52" spans="1:10" ht="15.95" customHeight="1">
      <c r="A52" s="369"/>
      <c r="C52" s="61" t="s">
        <v>234</v>
      </c>
      <c r="D52" s="266" t="s">
        <v>242</v>
      </c>
      <c r="E52" s="369"/>
      <c r="F52" s="369"/>
      <c r="G52" s="368"/>
    </row>
    <row r="53" spans="1:10" ht="15.95" customHeight="1">
      <c r="A53" s="369"/>
      <c r="C53" s="61" t="s">
        <v>235</v>
      </c>
      <c r="D53" s="265"/>
      <c r="E53" s="369"/>
      <c r="F53" s="369"/>
      <c r="G53" s="368"/>
    </row>
    <row r="54" spans="1:10" ht="15.95" customHeight="1">
      <c r="A54" s="369"/>
      <c r="C54" s="61" t="s">
        <v>236</v>
      </c>
      <c r="D54" s="265"/>
      <c r="E54" s="369"/>
      <c r="F54" s="369"/>
      <c r="G54" s="368"/>
    </row>
    <row r="55" spans="1:10" ht="15.95" customHeight="1">
      <c r="A55" s="369"/>
      <c r="C55" s="632" t="s">
        <v>249</v>
      </c>
      <c r="D55" s="265"/>
      <c r="E55" s="369"/>
      <c r="F55" s="369"/>
      <c r="G55" s="368"/>
    </row>
    <row r="56" spans="1:10" ht="15.95" customHeight="1">
      <c r="A56" s="369"/>
      <c r="B56" s="61" t="s">
        <v>129</v>
      </c>
      <c r="C56" s="639" t="s">
        <v>678</v>
      </c>
      <c r="D56" s="265"/>
      <c r="E56" s="369"/>
      <c r="F56" s="369"/>
      <c r="G56" s="368"/>
    </row>
    <row r="57" spans="1:10" ht="15.95" customHeight="1">
      <c r="A57" s="369"/>
      <c r="C57" s="640" t="s">
        <v>679</v>
      </c>
      <c r="D57" s="265"/>
      <c r="E57" s="369"/>
      <c r="F57" s="369"/>
      <c r="G57" s="368"/>
    </row>
    <row r="58" spans="1:10" ht="15.95" customHeight="1">
      <c r="A58" s="369"/>
      <c r="C58" s="640" t="s">
        <v>680</v>
      </c>
      <c r="D58" s="265"/>
      <c r="E58" s="369"/>
      <c r="F58" s="369"/>
      <c r="G58" s="368"/>
    </row>
    <row r="59" spans="1:10" ht="15.95" customHeight="1">
      <c r="A59" s="369"/>
      <c r="C59" s="640" t="s">
        <v>681</v>
      </c>
      <c r="D59" s="265"/>
      <c r="E59" s="369"/>
      <c r="F59" s="369"/>
      <c r="G59" s="368"/>
    </row>
    <row r="60" spans="1:10" ht="15.95" customHeight="1">
      <c r="A60" s="369"/>
      <c r="C60" s="640" t="s">
        <v>682</v>
      </c>
      <c r="D60" s="265"/>
      <c r="E60" s="369"/>
      <c r="F60" s="369"/>
      <c r="G60" s="368"/>
    </row>
    <row r="61" spans="1:10" ht="15.95" customHeight="1">
      <c r="A61" s="369"/>
      <c r="B61" s="61" t="s">
        <v>130</v>
      </c>
      <c r="C61" s="970" t="s">
        <v>1041</v>
      </c>
      <c r="D61" s="265"/>
      <c r="E61" s="369"/>
      <c r="F61" s="369"/>
      <c r="G61" s="368"/>
    </row>
    <row r="62" spans="1:10" ht="15.95" customHeight="1">
      <c r="A62" s="369"/>
      <c r="C62" s="640" t="s">
        <v>1042</v>
      </c>
      <c r="D62" s="265"/>
      <c r="E62" s="369"/>
      <c r="F62" s="369"/>
      <c r="G62" s="368"/>
    </row>
    <row r="63" spans="1:10" ht="15.95" customHeight="1">
      <c r="A63" s="369"/>
      <c r="B63" s="61" t="s">
        <v>131</v>
      </c>
      <c r="C63" s="970" t="s">
        <v>1043</v>
      </c>
      <c r="D63" s="635"/>
      <c r="E63" s="369"/>
      <c r="F63" s="369"/>
      <c r="G63" s="368"/>
    </row>
    <row r="64" spans="1:10" ht="15.95" customHeight="1">
      <c r="A64" s="369"/>
      <c r="C64" s="640" t="s">
        <v>1044</v>
      </c>
      <c r="D64" s="265"/>
      <c r="E64" s="369"/>
      <c r="F64" s="369"/>
      <c r="G64" s="368"/>
    </row>
    <row r="65" spans="1:7" ht="15.95" customHeight="1">
      <c r="A65" s="369"/>
      <c r="C65" s="640" t="s">
        <v>1045</v>
      </c>
      <c r="D65" s="265"/>
      <c r="E65" s="369"/>
      <c r="F65" s="369"/>
      <c r="G65" s="368"/>
    </row>
    <row r="66" spans="1:7" ht="15.95" customHeight="1">
      <c r="A66" s="369"/>
      <c r="C66" s="641" t="s">
        <v>1046</v>
      </c>
      <c r="D66" s="265"/>
      <c r="E66" s="369"/>
      <c r="F66" s="369"/>
      <c r="G66" s="368"/>
    </row>
    <row r="67" spans="1:7" ht="15.95" customHeight="1">
      <c r="A67" s="369"/>
      <c r="B67" s="61" t="s">
        <v>132</v>
      </c>
      <c r="C67" s="640" t="s">
        <v>237</v>
      </c>
      <c r="D67" s="265"/>
      <c r="E67" s="369"/>
      <c r="F67" s="369"/>
      <c r="G67" s="368"/>
    </row>
    <row r="68" spans="1:7" ht="15.95" customHeight="1">
      <c r="A68" s="369"/>
      <c r="C68" s="641" t="s">
        <v>429</v>
      </c>
      <c r="D68" s="265"/>
      <c r="E68" s="369"/>
      <c r="F68" s="369"/>
      <c r="G68" s="368"/>
    </row>
    <row r="69" spans="1:7" ht="15.95" customHeight="1">
      <c r="A69" s="369"/>
      <c r="B69" s="61" t="s">
        <v>133</v>
      </c>
      <c r="C69" s="633" t="s">
        <v>426</v>
      </c>
      <c r="D69" s="265"/>
      <c r="E69" s="369"/>
      <c r="F69" s="369"/>
      <c r="G69" s="368"/>
    </row>
    <row r="70" spans="1:7" ht="15.95" customHeight="1">
      <c r="A70" s="369"/>
      <c r="C70" s="634" t="s">
        <v>427</v>
      </c>
      <c r="D70" s="265"/>
      <c r="E70" s="369"/>
      <c r="F70" s="369"/>
      <c r="G70" s="368"/>
    </row>
    <row r="71" spans="1:7" ht="15.95" customHeight="1">
      <c r="A71" s="369"/>
      <c r="B71" s="61" t="s">
        <v>134</v>
      </c>
      <c r="C71" s="61" t="s">
        <v>238</v>
      </c>
      <c r="E71" s="369"/>
      <c r="F71" s="369"/>
      <c r="G71" s="368"/>
    </row>
    <row r="72" spans="1:7" ht="15.95" customHeight="1">
      <c r="A72" s="369"/>
      <c r="C72" s="61" t="s">
        <v>239</v>
      </c>
      <c r="E72" s="369"/>
      <c r="F72" s="369"/>
      <c r="G72" s="368"/>
    </row>
    <row r="73" spans="1:7" ht="15.95" customHeight="1">
      <c r="A73" s="369"/>
      <c r="C73" s="61" t="s">
        <v>240</v>
      </c>
      <c r="E73" s="369"/>
      <c r="F73" s="369"/>
      <c r="G73" s="368"/>
    </row>
    <row r="74" spans="1:7" ht="15.95" customHeight="1">
      <c r="A74" s="369"/>
      <c r="B74" s="61" t="s">
        <v>135</v>
      </c>
      <c r="C74" s="633" t="s">
        <v>245</v>
      </c>
      <c r="E74" s="369"/>
      <c r="F74" s="369"/>
      <c r="G74" s="368"/>
    </row>
    <row r="75" spans="1:7" ht="15.95" customHeight="1">
      <c r="A75" s="369"/>
      <c r="C75" s="634" t="s">
        <v>246</v>
      </c>
      <c r="E75" s="369"/>
      <c r="F75" s="369"/>
      <c r="G75" s="368"/>
    </row>
    <row r="76" spans="1:7" ht="15.95" customHeight="1">
      <c r="A76" s="369"/>
      <c r="B76" s="61" t="s">
        <v>136</v>
      </c>
      <c r="C76" s="61" t="s">
        <v>247</v>
      </c>
      <c r="E76" s="369"/>
      <c r="F76" s="369"/>
      <c r="G76" s="368"/>
    </row>
    <row r="77" spans="1:7" ht="15.95" customHeight="1">
      <c r="A77" s="369"/>
      <c r="C77" s="61" t="s">
        <v>248</v>
      </c>
      <c r="E77" s="369"/>
      <c r="F77" s="369"/>
      <c r="G77" s="368"/>
    </row>
    <row r="78" spans="1:7" ht="15.95" customHeight="1">
      <c r="A78" s="369"/>
      <c r="C78" s="61" t="s">
        <v>430</v>
      </c>
      <c r="E78" s="369"/>
      <c r="F78" s="369"/>
      <c r="G78" s="368"/>
    </row>
    <row r="79" spans="1:7" ht="15.95" customHeight="1">
      <c r="A79" s="369"/>
      <c r="E79" s="369"/>
      <c r="F79" s="369"/>
      <c r="G79" s="368"/>
    </row>
    <row r="80" spans="1:7" ht="15.95" customHeight="1">
      <c r="A80" s="369"/>
      <c r="B80" s="310" t="s">
        <v>283</v>
      </c>
      <c r="E80" s="369"/>
      <c r="F80" s="369"/>
      <c r="G80" s="368"/>
    </row>
    <row r="81" spans="1:7" ht="15.95" customHeight="1">
      <c r="A81" s="369"/>
      <c r="C81" s="61" t="s">
        <v>280</v>
      </c>
      <c r="E81" s="369"/>
      <c r="F81" s="369"/>
      <c r="G81" s="368"/>
    </row>
    <row r="82" spans="1:7" ht="15.95" customHeight="1">
      <c r="A82" s="369"/>
      <c r="C82" s="61" t="s">
        <v>281</v>
      </c>
      <c r="E82" s="369"/>
      <c r="F82" s="369"/>
      <c r="G82" s="368"/>
    </row>
    <row r="83" spans="1:7" ht="15.95" customHeight="1">
      <c r="A83" s="369"/>
      <c r="C83" s="61" t="s">
        <v>282</v>
      </c>
      <c r="E83" s="369"/>
      <c r="F83" s="369"/>
      <c r="G83" s="368"/>
    </row>
    <row r="84" spans="1:7" ht="15.95" customHeight="1">
      <c r="A84" s="369"/>
      <c r="C84" s="61" t="s">
        <v>284</v>
      </c>
      <c r="E84" s="369"/>
      <c r="F84" s="369"/>
      <c r="G84" s="368"/>
    </row>
    <row r="85" spans="1:7" ht="15.95" customHeight="1">
      <c r="A85" s="65"/>
      <c r="D85" s="61"/>
      <c r="E85" s="208"/>
      <c r="F85" s="369"/>
      <c r="G85" s="368"/>
    </row>
    <row r="86" spans="1:7" ht="15.95" customHeight="1">
      <c r="A86" s="65"/>
      <c r="D86" s="61"/>
      <c r="E86" s="208"/>
      <c r="F86" s="369"/>
      <c r="G86" s="368"/>
    </row>
    <row r="87" spans="1:7" ht="15.95" customHeight="1">
      <c r="A87" s="65"/>
      <c r="D87" s="61"/>
      <c r="E87" s="208"/>
      <c r="F87" s="369"/>
      <c r="G87" s="368"/>
    </row>
    <row r="88" spans="1:7" ht="15.95" hidden="1" customHeight="1">
      <c r="D88" s="61"/>
    </row>
    <row r="89" spans="1:7" ht="15.95" hidden="1" customHeight="1">
      <c r="D89" s="61"/>
    </row>
    <row r="90" spans="1:7" ht="15.95" hidden="1" customHeight="1">
      <c r="D90" s="61"/>
    </row>
    <row r="91" spans="1:7" ht="15.95" hidden="1" customHeight="1">
      <c r="D91" s="61"/>
    </row>
    <row r="92" spans="1:7" ht="15.95" hidden="1" customHeight="1">
      <c r="D92" s="61"/>
    </row>
    <row r="93" spans="1:7" ht="15.95" hidden="1" customHeight="1">
      <c r="D93" s="61"/>
    </row>
    <row r="94" spans="1:7" ht="15.95" hidden="1" customHeight="1">
      <c r="D94" s="61"/>
    </row>
    <row r="95" spans="1:7" ht="15.95" hidden="1" customHeight="1">
      <c r="D95" s="61"/>
    </row>
    <row r="96" spans="1:7" ht="15.95" hidden="1" customHeight="1">
      <c r="D96" s="61"/>
    </row>
    <row r="97" spans="4:4" ht="15.95" hidden="1" customHeight="1">
      <c r="D97" s="61"/>
    </row>
    <row r="98" spans="4:4" ht="15.95" hidden="1" customHeight="1">
      <c r="D98" s="61"/>
    </row>
    <row r="99" spans="4:4" ht="15.95" hidden="1" customHeight="1">
      <c r="D99" s="61"/>
    </row>
    <row r="100" spans="4:4" ht="15.95" hidden="1" customHeight="1">
      <c r="D100" s="61"/>
    </row>
    <row r="101" spans="4:4" ht="15.95" hidden="1" customHeight="1"/>
    <row r="102" spans="4:4" ht="15.95" hidden="1" customHeight="1"/>
    <row r="103" spans="4:4" ht="15.95" hidden="1" customHeight="1"/>
    <row r="104" spans="4:4" ht="15.95" hidden="1" customHeight="1"/>
    <row r="105" spans="4:4" ht="15.95" hidden="1" customHeight="1"/>
    <row r="106" spans="4:4" ht="15.95" hidden="1" customHeight="1"/>
    <row r="107" spans="4:4" ht="15.95" hidden="1" customHeight="1"/>
    <row r="108" spans="4:4" ht="15.95" hidden="1" customHeight="1"/>
    <row r="109" spans="4:4" ht="15.95" hidden="1" customHeight="1"/>
    <row r="110" spans="4:4" ht="15.95" hidden="1" customHeight="1"/>
    <row r="111" spans="4:4" ht="15.95" hidden="1" customHeight="1"/>
    <row r="112" spans="4:4" ht="15.95" hidden="1" customHeight="1"/>
    <row r="113" s="61" customFormat="1" ht="15.95" hidden="1" customHeight="1"/>
    <row r="114" s="61" customFormat="1" ht="15.95" hidden="1" customHeight="1"/>
    <row r="115" s="61" customFormat="1" ht="15.95" hidden="1" customHeight="1"/>
    <row r="116" s="61" customFormat="1" ht="15.95" hidden="1" customHeight="1"/>
    <row r="117" s="61" customFormat="1" ht="15.95" hidden="1" customHeight="1"/>
    <row r="118" s="61" customFormat="1" ht="15.95" hidden="1" customHeight="1"/>
    <row r="119" s="61" customFormat="1" ht="15.95" hidden="1" customHeight="1"/>
    <row r="120" s="61" customFormat="1" ht="15.95" hidden="1" customHeight="1"/>
    <row r="121" s="61" customFormat="1" ht="15.95" hidden="1" customHeight="1"/>
    <row r="122" s="61" customFormat="1" ht="15.95" hidden="1" customHeight="1"/>
    <row r="123" s="61" customFormat="1" ht="15.95" hidden="1" customHeight="1"/>
  </sheetData>
  <sheetProtection selectLockedCells="1"/>
  <mergeCells count="10">
    <mergeCell ref="F3:F4"/>
    <mergeCell ref="F6:F23"/>
    <mergeCell ref="C9:D10"/>
    <mergeCell ref="C11:D11"/>
    <mergeCell ref="C3:D3"/>
    <mergeCell ref="C4:D4"/>
    <mergeCell ref="C5:D5"/>
    <mergeCell ref="C6:D6"/>
    <mergeCell ref="C7:D7"/>
    <mergeCell ref="C8:D8"/>
  </mergeCells>
  <conditionalFormatting sqref="B4:B11">
    <cfRule type="expression" dxfId="2" priority="2">
      <formula>$A$3="INFO"</formula>
    </cfRule>
  </conditionalFormatting>
  <conditionalFormatting sqref="C6:C8">
    <cfRule type="expression" dxfId="1" priority="1">
      <formula>$A$3="INFO"</formula>
    </cfRule>
  </conditionalFormatting>
  <conditionalFormatting sqref="C3:C4">
    <cfRule type="expression" dxfId="0" priority="3">
      <formula>$A$3="INFO"</formula>
    </cfRule>
  </conditionalFormatting>
  <dataValidations count="2">
    <dataValidation type="list" allowBlank="1" showInputMessage="1" showErrorMessage="1" sqref="A3">
      <formula1>"INFO,HIDE INFO"</formula1>
    </dataValidation>
    <dataValidation type="list" allowBlank="1" showInputMessage="1" showErrorMessage="1" sqref="F5">
      <formula1>$I$3:$I$40</formula1>
    </dataValidation>
  </dataValidations>
  <hyperlinks>
    <hyperlink ref="D46" location="Data!A1" tooltip="Isian Data" display="DATA"/>
    <hyperlink ref="D51" location="Blanko!A1" tooltip="Cetak Daftar Nilai" display="Blangko"/>
    <hyperlink ref="D49" location="Data2!A1" tooltip="Isian Data" display="DATA2"/>
    <hyperlink ref="D52" location="Buku1!A1" tooltip="Cetak Daftar Nilai" display="Buku-1"/>
  </hyperlinks>
  <pageMargins left="0.59" right="0.7" top="0.52" bottom="0.75" header="0.3" footer="0.3"/>
  <pageSetup paperSize="9" orientation="portrait" horizontalDpi="4294967293" verticalDpi="4294967293"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43</vt:i4>
      </vt:variant>
    </vt:vector>
  </HeadingPairs>
  <TitlesOfParts>
    <vt:vector size="84" baseType="lpstr">
      <vt:lpstr>Data</vt:lpstr>
      <vt:lpstr>Data2</vt:lpstr>
      <vt:lpstr>Blanko</vt:lpstr>
      <vt:lpstr>KD-PA</vt:lpstr>
      <vt:lpstr>PA</vt:lpstr>
      <vt:lpstr>PKn</vt:lpstr>
      <vt:lpstr>BInd</vt:lpstr>
      <vt:lpstr>Mat</vt:lpstr>
      <vt:lpstr>SEJ</vt:lpstr>
      <vt:lpstr>BIng</vt:lpstr>
      <vt:lpstr>SB</vt:lpstr>
      <vt:lpstr>pjok</vt:lpstr>
      <vt:lpstr>pkwu</vt:lpstr>
      <vt:lpstr>Mlk1</vt:lpstr>
      <vt:lpstr>Ml2</vt:lpstr>
      <vt:lpstr>sosio</vt:lpstr>
      <vt:lpstr>geog</vt:lpstr>
      <vt:lpstr>ekonomi</vt:lpstr>
      <vt:lpstr>sejarah peminatan</vt:lpstr>
      <vt:lpstr>PM5</vt:lpstr>
      <vt:lpstr>PM6</vt:lpstr>
      <vt:lpstr>biologi</vt:lpstr>
      <vt:lpstr>fissika</vt:lpstr>
      <vt:lpstr>Sikap</vt:lpstr>
      <vt:lpstr>AbEk</vt:lpstr>
      <vt:lpstr>Casi</vt:lpstr>
      <vt:lpstr>sklh</vt:lpstr>
      <vt:lpstr>Macro1</vt:lpstr>
      <vt:lpstr>NTS</vt:lpstr>
      <vt:lpstr>KKM-1</vt:lpstr>
      <vt:lpstr>Multi-KKM</vt:lpstr>
      <vt:lpstr>SKS</vt:lpstr>
      <vt:lpstr>Hal-1.2</vt:lpstr>
      <vt:lpstr>Hal-3</vt:lpstr>
      <vt:lpstr>DKN</vt:lpstr>
      <vt:lpstr>Leger</vt:lpstr>
      <vt:lpstr>Grafik</vt:lpstr>
      <vt:lpstr>Buku1</vt:lpstr>
      <vt:lpstr>Help</vt:lpstr>
      <vt:lpstr>Sheet1</vt:lpstr>
      <vt:lpstr>Sheet2</vt:lpstr>
      <vt:lpstr>IDLOK</vt:lpstr>
      <vt:lpstr>LOKER</vt:lpstr>
      <vt:lpstr>AbEk!Print_Area</vt:lpstr>
      <vt:lpstr>BInd!Print_Area</vt:lpstr>
      <vt:lpstr>BIng!Print_Area</vt:lpstr>
      <vt:lpstr>Blanko!Print_Area</vt:lpstr>
      <vt:lpstr>Buku1!Print_Area</vt:lpstr>
      <vt:lpstr>Data2!Print_Area</vt:lpstr>
      <vt:lpstr>DKN!Print_Area</vt:lpstr>
      <vt:lpstr>geog!Print_Area</vt:lpstr>
      <vt:lpstr>Grafik!Print_Area</vt:lpstr>
      <vt:lpstr>'Hal-1.2'!Print_Area</vt:lpstr>
      <vt:lpstr>'Hal-3'!Print_Area</vt:lpstr>
      <vt:lpstr>Help!Print_Area</vt:lpstr>
      <vt:lpstr>'KKM-1'!Print_Area</vt:lpstr>
      <vt:lpstr>Leger!Print_Area</vt:lpstr>
      <vt:lpstr>Mat!Print_Area</vt:lpstr>
      <vt:lpstr>'Mlk1'!Print_Area</vt:lpstr>
      <vt:lpstr>'Multi-KKM'!Print_Area</vt:lpstr>
      <vt:lpstr>NTS!Print_Area</vt:lpstr>
      <vt:lpstr>PA!Print_Area</vt:lpstr>
      <vt:lpstr>pjok!Print_Area</vt:lpstr>
      <vt:lpstr>PKn!Print_Area</vt:lpstr>
      <vt:lpstr>pkwu!Print_Area</vt:lpstr>
      <vt:lpstr>SB!Print_Area</vt:lpstr>
      <vt:lpstr>SEJ!Print_Area</vt:lpstr>
      <vt:lpstr>SKS!Print_Area</vt:lpstr>
      <vt:lpstr>sosio!Print_Area</vt:lpstr>
      <vt:lpstr>AbEk!Print_Titles</vt:lpstr>
      <vt:lpstr>BInd!Print_Titles</vt:lpstr>
      <vt:lpstr>BIng!Print_Titles</vt:lpstr>
      <vt:lpstr>DKN!Print_Titles</vt:lpstr>
      <vt:lpstr>geog!Print_Titles</vt:lpstr>
      <vt:lpstr>Leger!Print_Titles</vt:lpstr>
      <vt:lpstr>Mat!Print_Titles</vt:lpstr>
      <vt:lpstr>'Mlk1'!Print_Titles</vt:lpstr>
      <vt:lpstr>PA!Print_Titles</vt:lpstr>
      <vt:lpstr>pjok!Print_Titles</vt:lpstr>
      <vt:lpstr>PKn!Print_Titles</vt:lpstr>
      <vt:lpstr>pkwu!Print_Titles</vt:lpstr>
      <vt:lpstr>SB!Print_Titles</vt:lpstr>
      <vt:lpstr>SEJ!Print_Titles</vt:lpstr>
      <vt:lpstr>SKLH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Talta</dc:creator>
  <cp:lastModifiedBy>acer</cp:lastModifiedBy>
  <cp:lastPrinted>2018-10-22T14:39:35Z</cp:lastPrinted>
  <dcterms:created xsi:type="dcterms:W3CDTF">2014-10-18T05:34:37Z</dcterms:created>
  <dcterms:modified xsi:type="dcterms:W3CDTF">2023-06-15T05:58:45Z</dcterms:modified>
</cp:coreProperties>
</file>