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47CAE0E3-6A6D-E744-92E9-DF9EB7996565}" xr6:coauthVersionLast="47" xr6:coauthVersionMax="47" xr10:uidLastSave="{00000000-0000-0000-0000-000000000000}"/>
  <bookViews>
    <workbookView xWindow="540" yWindow="1520" windowWidth="29700" windowHeight="16940" xr2:uid="{8D6913A3-A182-714D-8F1C-133CE3123A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7" i="1"/>
  <c r="M24" i="1"/>
  <c r="M25" i="1" s="1"/>
  <c r="M26" i="1" s="1"/>
  <c r="M30" i="1" s="1"/>
  <c r="M31" i="1" s="1"/>
  <c r="M22" i="1"/>
  <c r="M20" i="1"/>
  <c r="M16" i="1"/>
  <c r="M18" i="1" s="1"/>
  <c r="M19" i="1" s="1"/>
  <c r="M17" i="1"/>
  <c r="Q2" i="1" l="1"/>
  <c r="L2" i="1"/>
  <c r="E2" i="1"/>
  <c r="F2" i="1" s="1"/>
  <c r="I2" i="1"/>
  <c r="C2" i="1"/>
  <c r="D2" i="1" s="1"/>
  <c r="G2" i="1" l="1"/>
  <c r="H2" i="1" s="1"/>
  <c r="J2" i="1" s="1"/>
  <c r="M2" i="1"/>
  <c r="N2" i="1" l="1"/>
  <c r="M13" i="1" s="1"/>
  <c r="M12" i="1"/>
  <c r="K2" i="1"/>
  <c r="M14" i="1"/>
  <c r="M15" i="1" s="1"/>
  <c r="M21" i="1" s="1"/>
  <c r="M23" i="1" s="1"/>
  <c r="O2" i="1"/>
  <c r="P2" i="1" s="1"/>
  <c r="R2" i="1" s="1"/>
</calcChain>
</file>

<file path=xl/sharedStrings.xml><?xml version="1.0" encoding="utf-8"?>
<sst xmlns="http://schemas.openxmlformats.org/spreadsheetml/2006/main" count="110" uniqueCount="90">
  <si>
    <t>Part 1</t>
  </si>
  <si>
    <t>Square 1</t>
  </si>
  <si>
    <t>Cos</t>
  </si>
  <si>
    <t>Cos square</t>
  </si>
  <si>
    <t>difference</t>
  </si>
  <si>
    <t>root</t>
  </si>
  <si>
    <t>sin</t>
  </si>
  <si>
    <t>diff2</t>
  </si>
  <si>
    <t>distance</t>
  </si>
  <si>
    <t>Part 1b</t>
  </si>
  <si>
    <t>Nadir Sin</t>
  </si>
  <si>
    <t>Nadir Angle</t>
  </si>
  <si>
    <t>central angle</t>
  </si>
  <si>
    <t>cos central</t>
  </si>
  <si>
    <t>Part 1c</t>
  </si>
  <si>
    <t>satcov</t>
  </si>
  <si>
    <t>Satellite Altitude</t>
  </si>
  <si>
    <t>Minimum Elevation Angle</t>
  </si>
  <si>
    <t>Exogenous Variables</t>
  </si>
  <si>
    <t>Output Variables</t>
  </si>
  <si>
    <t>Satellite Centric Angle</t>
  </si>
  <si>
    <t>Earth Centric Angle</t>
  </si>
  <si>
    <t>Downlink Frequency</t>
  </si>
  <si>
    <t>Parameter</t>
  </si>
  <si>
    <t>Value</t>
  </si>
  <si>
    <t>Unit</t>
  </si>
  <si>
    <t>km</t>
  </si>
  <si>
    <t>Degrees</t>
  </si>
  <si>
    <t>GHz</t>
  </si>
  <si>
    <t>Earth Radius</t>
  </si>
  <si>
    <t>Signal Path</t>
  </si>
  <si>
    <t>Free Space Path Loss</t>
  </si>
  <si>
    <t>dB</t>
  </si>
  <si>
    <t>m/s</t>
  </si>
  <si>
    <t>Downlink wavelength</t>
  </si>
  <si>
    <t>m</t>
  </si>
  <si>
    <t>Antenna Diameter</t>
  </si>
  <si>
    <t>Antenna Efficiency</t>
  </si>
  <si>
    <t>Speed of Light</t>
  </si>
  <si>
    <t>Antenna Radius</t>
  </si>
  <si>
    <t>Antenna Gain</t>
  </si>
  <si>
    <t>Effective Isotropic Radiated Power</t>
  </si>
  <si>
    <t>Satellite Power</t>
  </si>
  <si>
    <t>dBW</t>
  </si>
  <si>
    <t>Total Losses</t>
  </si>
  <si>
    <t>Earth Atmospheric Losses</t>
  </si>
  <si>
    <t>All Other Losses</t>
  </si>
  <si>
    <t>Received Power</t>
  </si>
  <si>
    <t>Receiver Gain</t>
  </si>
  <si>
    <t>UE Receiver Noise</t>
  </si>
  <si>
    <t>Boltzman Constant</t>
  </si>
  <si>
    <t>j/K</t>
  </si>
  <si>
    <t>Receiver Temperature</t>
  </si>
  <si>
    <t>Detection Bandwidth</t>
  </si>
  <si>
    <t>MHz</t>
  </si>
  <si>
    <t>Spectral Efficiency</t>
  </si>
  <si>
    <t>bps/Hz</t>
  </si>
  <si>
    <t>K</t>
  </si>
  <si>
    <t>Polarization</t>
  </si>
  <si>
    <t>Channel Capacity</t>
  </si>
  <si>
    <t>Number of Channels</t>
  </si>
  <si>
    <t>Single Satellite Capacity</t>
  </si>
  <si>
    <t>Number of Spot beams</t>
  </si>
  <si>
    <t>Mbps</t>
  </si>
  <si>
    <t>Number of Satellites</t>
  </si>
  <si>
    <t>Percentage of Usable Capacity</t>
  </si>
  <si>
    <t>%</t>
  </si>
  <si>
    <t>Percent Traffic in the busiest hour</t>
  </si>
  <si>
    <t>Days in a Month</t>
  </si>
  <si>
    <t>Tbps</t>
  </si>
  <si>
    <t>Gbps</t>
  </si>
  <si>
    <t>Usable Constellation Capacity</t>
  </si>
  <si>
    <t>Days</t>
  </si>
  <si>
    <t>Seconds in an Hour</t>
  </si>
  <si>
    <t>seconds</t>
  </si>
  <si>
    <t>Hours in a Second</t>
  </si>
  <si>
    <t>Hours</t>
  </si>
  <si>
    <t>Months in a Day</t>
  </si>
  <si>
    <t>Months</t>
  </si>
  <si>
    <t>Satellite Life Span</t>
  </si>
  <si>
    <t>Years</t>
  </si>
  <si>
    <t>Number of Subscribers</t>
  </si>
  <si>
    <t>Capacity per User</t>
  </si>
  <si>
    <t>Mbps/User</t>
  </si>
  <si>
    <t>Monthly Traffic</t>
  </si>
  <si>
    <t>GB</t>
  </si>
  <si>
    <t>Total Months</t>
  </si>
  <si>
    <t>Energy per bit to noise power spectral density ratio</t>
  </si>
  <si>
    <t>*Spectral efficiency is based on the calculated energy per bit to noise power spectral density ratio</t>
  </si>
  <si>
    <t>Signal path distance Formula shown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</si>
</sst>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4</xdr:col>
      <xdr:colOff>304800</xdr:colOff>
      <xdr:row>8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BF26EA-58CF-0A9B-A442-125E14B37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"/>
          <a:ext cx="50165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51B5-476B-4747-91AD-A0499334DE27}">
  <dimension ref="A1:R38"/>
  <sheetViews>
    <sheetView tabSelected="1" workbookViewId="0">
      <selection activeCell="G12" sqref="G12"/>
    </sheetView>
  </sheetViews>
  <sheetFormatPr baseColWidth="10" defaultRowHeight="16" x14ac:dyDescent="0.2"/>
  <cols>
    <col min="1" max="1" width="29.33203125" bestFit="1" customWidth="1"/>
    <col min="12" max="12" width="29.83203125" bestFit="1" customWidth="1"/>
    <col min="13" max="13" width="12.83203125" bestFit="1" customWidth="1"/>
  </cols>
  <sheetData>
    <row r="1" spans="1:18" x14ac:dyDescent="0.2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C2" s="2">
        <f>((B12+B14)/(B14))</f>
        <v>1.0862339291313892</v>
      </c>
      <c r="D2" s="2">
        <f>C2^2</f>
        <v>1.1799041487962159</v>
      </c>
      <c r="E2" s="2">
        <f>COS(RADIANS(B13))</f>
        <v>0.90630778703664994</v>
      </c>
      <c r="F2" s="2">
        <f>E2^2</f>
        <v>0.82139380484326963</v>
      </c>
      <c r="G2" s="2">
        <f>(D2-F2)</f>
        <v>0.35851034395294623</v>
      </c>
      <c r="H2" s="2">
        <f>SQRT(G2)</f>
        <v>0.59875733310995549</v>
      </c>
      <c r="I2" s="2">
        <f>SIN(RADIANS(B13))</f>
        <v>0.42261826174069944</v>
      </c>
      <c r="J2" s="2">
        <f>H2-I2</f>
        <v>0.17613907136925605</v>
      </c>
      <c r="K2" s="2">
        <f>J2*B14</f>
        <v>1123.4149971931151</v>
      </c>
      <c r="L2" s="2">
        <f>((B$14)/(B$14+B12))</f>
        <v>0.92061200923787534</v>
      </c>
      <c r="M2" s="2">
        <f>E2*L2</f>
        <v>0.83435783281174269</v>
      </c>
      <c r="N2" s="2">
        <f>DEGREES(ASIN(M2))</f>
        <v>56.549030453541604</v>
      </c>
      <c r="O2" s="2">
        <f>90-(N2+B13)</f>
        <v>8.4509695464583956</v>
      </c>
      <c r="P2" s="2">
        <f>COS(O2)</f>
        <v>-0.56215393264604829</v>
      </c>
      <c r="Q2" s="2">
        <f>PI()*2*B$14*B$14</f>
        <v>255592966.26126277</v>
      </c>
      <c r="R2" s="2">
        <f>Q2*(1-P2)</f>
        <v>399275557.40170038</v>
      </c>
    </row>
    <row r="3" spans="1:18" x14ac:dyDescent="0.2">
      <c r="A3" s="10" t="s">
        <v>89</v>
      </c>
      <c r="B3" s="10"/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2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10" spans="1:18" x14ac:dyDescent="0.2">
      <c r="A10" s="6" t="s">
        <v>18</v>
      </c>
      <c r="B10" s="6"/>
      <c r="C10" s="6"/>
      <c r="L10" s="7" t="s">
        <v>19</v>
      </c>
      <c r="M10" s="7"/>
      <c r="N10" s="7"/>
    </row>
    <row r="11" spans="1:18" x14ac:dyDescent="0.2">
      <c r="A11" s="1" t="s">
        <v>23</v>
      </c>
      <c r="B11" s="1" t="s">
        <v>24</v>
      </c>
      <c r="C11" s="1" t="s">
        <v>25</v>
      </c>
      <c r="L11" s="1" t="s">
        <v>23</v>
      </c>
      <c r="M11" s="1" t="s">
        <v>24</v>
      </c>
      <c r="N11" s="1" t="s">
        <v>25</v>
      </c>
    </row>
    <row r="12" spans="1:18" x14ac:dyDescent="0.2">
      <c r="A12" s="2" t="s">
        <v>16</v>
      </c>
      <c r="B12" s="2">
        <v>550</v>
      </c>
      <c r="C12" s="2" t="s">
        <v>26</v>
      </c>
      <c r="L12" s="2" t="s">
        <v>20</v>
      </c>
      <c r="M12" s="2">
        <f>DEGREES(ASIN(M2))</f>
        <v>56.549030453541604</v>
      </c>
      <c r="N12" s="2" t="s">
        <v>27</v>
      </c>
    </row>
    <row r="13" spans="1:18" x14ac:dyDescent="0.2">
      <c r="A13" s="2" t="s">
        <v>17</v>
      </c>
      <c r="B13" s="2">
        <v>25</v>
      </c>
      <c r="C13" s="2" t="s">
        <v>27</v>
      </c>
      <c r="L13" s="2" t="s">
        <v>21</v>
      </c>
      <c r="M13" s="2">
        <f>90-(N2+B13)</f>
        <v>8.4509695464583956</v>
      </c>
      <c r="N13" s="2" t="s">
        <v>27</v>
      </c>
    </row>
    <row r="14" spans="1:18" x14ac:dyDescent="0.2">
      <c r="A14" s="2" t="s">
        <v>29</v>
      </c>
      <c r="B14" s="2">
        <v>6378</v>
      </c>
      <c r="C14" s="2" t="s">
        <v>26</v>
      </c>
      <c r="L14" s="2" t="s">
        <v>30</v>
      </c>
      <c r="M14" s="2">
        <f>J2*B14</f>
        <v>1123.4149971931151</v>
      </c>
      <c r="N14" s="2" t="s">
        <v>26</v>
      </c>
    </row>
    <row r="15" spans="1:18" x14ac:dyDescent="0.2">
      <c r="A15" s="2" t="s">
        <v>22</v>
      </c>
      <c r="B15" s="2">
        <v>13.5</v>
      </c>
      <c r="C15" s="2" t="s">
        <v>28</v>
      </c>
      <c r="L15" s="2" t="s">
        <v>31</v>
      </c>
      <c r="M15" s="2">
        <f>20*LOG10(B15)+20*LOG10(M14)+92.44</f>
        <v>176.057479715033</v>
      </c>
      <c r="N15" s="2" t="s">
        <v>32</v>
      </c>
    </row>
    <row r="16" spans="1:18" x14ac:dyDescent="0.2">
      <c r="A16" s="2" t="s">
        <v>38</v>
      </c>
      <c r="B16" s="3">
        <v>300000000</v>
      </c>
      <c r="C16" s="2" t="s">
        <v>33</v>
      </c>
      <c r="L16" s="2" t="s">
        <v>34</v>
      </c>
      <c r="M16" s="3">
        <f>B16/(B15*1000000000)</f>
        <v>2.2222222222222223E-2</v>
      </c>
      <c r="N16" s="2" t="s">
        <v>35</v>
      </c>
    </row>
    <row r="17" spans="1:14" x14ac:dyDescent="0.2">
      <c r="A17" s="2" t="s">
        <v>36</v>
      </c>
      <c r="B17" s="2">
        <v>0.6</v>
      </c>
      <c r="C17" s="2" t="s">
        <v>35</v>
      </c>
      <c r="L17" s="2" t="s">
        <v>39</v>
      </c>
      <c r="M17" s="2">
        <f>B17/2</f>
        <v>0.3</v>
      </c>
      <c r="N17" s="2" t="s">
        <v>35</v>
      </c>
    </row>
    <row r="18" spans="1:14" x14ac:dyDescent="0.2">
      <c r="A18" s="2" t="s">
        <v>37</v>
      </c>
      <c r="B18" s="2">
        <v>0.6</v>
      </c>
      <c r="C18" s="2"/>
      <c r="L18" s="2" t="s">
        <v>40</v>
      </c>
      <c r="M18" s="4">
        <f>LOG((B18*PI()*B17)/(M16*M16))*10</f>
        <v>33.598774010121083</v>
      </c>
      <c r="N18" s="2" t="s">
        <v>32</v>
      </c>
    </row>
    <row r="19" spans="1:14" x14ac:dyDescent="0.2">
      <c r="A19" s="2" t="s">
        <v>42</v>
      </c>
      <c r="B19" s="2">
        <v>30</v>
      </c>
      <c r="C19" s="2" t="s">
        <v>43</v>
      </c>
      <c r="L19" s="2" t="s">
        <v>41</v>
      </c>
      <c r="M19" s="2">
        <f>M18+B19</f>
        <v>63.598774010121083</v>
      </c>
      <c r="N19" s="2" t="s">
        <v>32</v>
      </c>
    </row>
    <row r="20" spans="1:14" x14ac:dyDescent="0.2">
      <c r="A20" s="2" t="s">
        <v>45</v>
      </c>
      <c r="B20" s="2">
        <v>10</v>
      </c>
      <c r="C20" s="2" t="s">
        <v>32</v>
      </c>
      <c r="L20" s="2" t="s">
        <v>44</v>
      </c>
      <c r="M20" s="2">
        <f>B20+B21</f>
        <v>10.53</v>
      </c>
      <c r="N20" s="2" t="s">
        <v>32</v>
      </c>
    </row>
    <row r="21" spans="1:14" x14ac:dyDescent="0.2">
      <c r="A21" s="2" t="s">
        <v>46</v>
      </c>
      <c r="B21" s="2">
        <v>0.53</v>
      </c>
      <c r="C21" s="2" t="s">
        <v>32</v>
      </c>
      <c r="L21" s="2" t="s">
        <v>47</v>
      </c>
      <c r="M21" s="2">
        <f>(M19+B22)-(M15+M20)</f>
        <v>-92.988705704911922</v>
      </c>
      <c r="N21" s="2" t="s">
        <v>32</v>
      </c>
    </row>
    <row r="22" spans="1:14" x14ac:dyDescent="0.2">
      <c r="A22" s="2" t="s">
        <v>48</v>
      </c>
      <c r="B22" s="2">
        <v>30</v>
      </c>
      <c r="C22" s="2" t="s">
        <v>32</v>
      </c>
      <c r="L22" s="2" t="s">
        <v>49</v>
      </c>
      <c r="M22" s="4">
        <f>10*(LOG10(B23*B24*1000))+10*LOG10(B25*1000000)</f>
        <v>-89.997829070277675</v>
      </c>
      <c r="N22" s="2" t="s">
        <v>32</v>
      </c>
    </row>
    <row r="23" spans="1:14" x14ac:dyDescent="0.2">
      <c r="A23" s="2" t="s">
        <v>50</v>
      </c>
      <c r="B23" s="3">
        <v>1.3800000000000001E-23</v>
      </c>
      <c r="C23" s="2" t="s">
        <v>51</v>
      </c>
      <c r="L23" s="2" t="s">
        <v>87</v>
      </c>
      <c r="M23" s="4">
        <f>M21-M22</f>
        <v>-2.9908766346342475</v>
      </c>
      <c r="N23" s="2" t="s">
        <v>32</v>
      </c>
    </row>
    <row r="24" spans="1:14" x14ac:dyDescent="0.2">
      <c r="A24" s="2" t="s">
        <v>52</v>
      </c>
      <c r="B24" s="2">
        <v>290</v>
      </c>
      <c r="C24" s="2" t="s">
        <v>57</v>
      </c>
      <c r="L24" s="2" t="s">
        <v>59</v>
      </c>
      <c r="M24" s="5">
        <f>B26*B25</f>
        <v>411.80275</v>
      </c>
      <c r="N24" s="2" t="s">
        <v>63</v>
      </c>
    </row>
    <row r="25" spans="1:14" x14ac:dyDescent="0.2">
      <c r="A25" s="2" t="s">
        <v>53</v>
      </c>
      <c r="B25" s="2">
        <v>250</v>
      </c>
      <c r="C25" s="2" t="s">
        <v>54</v>
      </c>
      <c r="L25" s="2" t="s">
        <v>61</v>
      </c>
      <c r="M25" s="5">
        <f>(M24*B28*B29)/1000</f>
        <v>19.766531999999998</v>
      </c>
      <c r="N25" s="2" t="s">
        <v>70</v>
      </c>
    </row>
    <row r="26" spans="1:14" x14ac:dyDescent="0.2">
      <c r="A26" s="2" t="s">
        <v>55</v>
      </c>
      <c r="B26" s="2">
        <v>1.647211</v>
      </c>
      <c r="C26" s="2" t="s">
        <v>56</v>
      </c>
      <c r="L26" s="2" t="s">
        <v>71</v>
      </c>
      <c r="M26" s="5">
        <f>((M25*B30)*(B32/100))/1000</f>
        <v>43.73345204999999</v>
      </c>
      <c r="N26" s="2" t="s">
        <v>69</v>
      </c>
    </row>
    <row r="27" spans="1:14" x14ac:dyDescent="0.2">
      <c r="A27" s="2" t="s">
        <v>58</v>
      </c>
      <c r="B27" s="2">
        <v>1</v>
      </c>
      <c r="C27" s="2"/>
      <c r="L27" s="2" t="s">
        <v>75</v>
      </c>
      <c r="M27" s="2">
        <f>1/B35</f>
        <v>2.7777777777777778E-4</v>
      </c>
      <c r="N27" s="2" t="s">
        <v>76</v>
      </c>
    </row>
    <row r="28" spans="1:14" x14ac:dyDescent="0.2">
      <c r="A28" s="2" t="s">
        <v>60</v>
      </c>
      <c r="B28" s="2">
        <v>8</v>
      </c>
      <c r="C28" s="2"/>
      <c r="L28" s="2" t="s">
        <v>77</v>
      </c>
      <c r="M28" s="2">
        <f>1/B34</f>
        <v>3.3333333333333333E-2</v>
      </c>
      <c r="N28" s="2" t="s">
        <v>78</v>
      </c>
    </row>
    <row r="29" spans="1:14" x14ac:dyDescent="0.2">
      <c r="A29" s="2" t="s">
        <v>62</v>
      </c>
      <c r="B29" s="2">
        <v>6</v>
      </c>
      <c r="C29" s="2"/>
      <c r="L29" s="2" t="s">
        <v>86</v>
      </c>
      <c r="M29" s="2">
        <f>B31*12</f>
        <v>60</v>
      </c>
      <c r="N29" s="2" t="s">
        <v>78</v>
      </c>
    </row>
    <row r="30" spans="1:14" x14ac:dyDescent="0.2">
      <c r="A30" s="2" t="s">
        <v>64</v>
      </c>
      <c r="B30" s="2">
        <v>4425</v>
      </c>
      <c r="C30" s="2"/>
      <c r="L30" s="2" t="s">
        <v>82</v>
      </c>
      <c r="M30" s="5">
        <f>(M26*1000000)/B36</f>
        <v>17.493380819999995</v>
      </c>
      <c r="N30" s="2" t="s">
        <v>83</v>
      </c>
    </row>
    <row r="31" spans="1:14" x14ac:dyDescent="0.2">
      <c r="A31" s="2" t="s">
        <v>79</v>
      </c>
      <c r="B31" s="2">
        <v>5</v>
      </c>
      <c r="C31" s="2" t="s">
        <v>80</v>
      </c>
      <c r="L31" s="2" t="s">
        <v>84</v>
      </c>
      <c r="M31" s="5">
        <f>(M30/M29)/((8000*M28*M27*(B33/100)))</f>
        <v>19.680053422499991</v>
      </c>
      <c r="N31" s="2" t="s">
        <v>85</v>
      </c>
    </row>
    <row r="32" spans="1:14" x14ac:dyDescent="0.2">
      <c r="A32" s="2" t="s">
        <v>65</v>
      </c>
      <c r="B32" s="2">
        <v>50</v>
      </c>
      <c r="C32" s="2" t="s">
        <v>66</v>
      </c>
    </row>
    <row r="33" spans="1:10" x14ac:dyDescent="0.2">
      <c r="A33" s="2" t="s">
        <v>67</v>
      </c>
      <c r="B33" s="2">
        <v>20</v>
      </c>
      <c r="C33" s="2" t="s">
        <v>66</v>
      </c>
    </row>
    <row r="34" spans="1:10" x14ac:dyDescent="0.2">
      <c r="A34" s="2" t="s">
        <v>68</v>
      </c>
      <c r="B34" s="2">
        <v>30</v>
      </c>
      <c r="C34" s="2" t="s">
        <v>72</v>
      </c>
    </row>
    <row r="35" spans="1:10" x14ac:dyDescent="0.2">
      <c r="A35" s="2" t="s">
        <v>73</v>
      </c>
      <c r="B35" s="2">
        <v>3600</v>
      </c>
      <c r="C35" s="2" t="s">
        <v>74</v>
      </c>
    </row>
    <row r="36" spans="1:10" x14ac:dyDescent="0.2">
      <c r="A36" s="2" t="s">
        <v>81</v>
      </c>
      <c r="B36" s="2">
        <v>2500000</v>
      </c>
      <c r="C36" s="2"/>
    </row>
    <row r="38" spans="1:10" x14ac:dyDescent="0.2">
      <c r="A38" s="8" t="s">
        <v>88</v>
      </c>
      <c r="B38" s="8"/>
      <c r="C38" s="8"/>
      <c r="D38" s="8"/>
      <c r="E38" s="8"/>
      <c r="F38" s="8"/>
      <c r="G38" s="8"/>
      <c r="H38" s="8"/>
      <c r="I38" s="8"/>
      <c r="J38" s="8"/>
    </row>
  </sheetData>
  <mergeCells count="4">
    <mergeCell ref="A10:C10"/>
    <mergeCell ref="L10:N10"/>
    <mergeCell ref="A38:J38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2024-01-28T18:54:58Z</dcterms:created>
  <dcterms:modified xsi:type="dcterms:W3CDTF">2024-01-28T22:10:44Z</dcterms:modified>
</cp:coreProperties>
</file>