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eoughton\Desktop\Github\saleos\data\"/>
    </mc:Choice>
  </mc:AlternateContent>
  <xr:revisionPtr revIDLastSave="0" documentId="13_ncr:1_{11DCD9E6-3111-4472-B51B-CF87D69E33D1}" xr6:coauthVersionLast="47" xr6:coauthVersionMax="47" xr10:uidLastSave="{00000000-0000-0000-0000-000000000000}"/>
  <bookViews>
    <workbookView xWindow="-108" yWindow="-108" windowWidth="30936" windowHeight="16896" activeTab="3" xr2:uid="{00000000-000D-0000-FFFF-FFFF00000000}"/>
  </bookViews>
  <sheets>
    <sheet name="Inventory" sheetId="1" r:id="rId1"/>
    <sheet name="Results" sheetId="2" r:id="rId2"/>
    <sheet name="Results Visualisation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5" i="2" l="1"/>
  <c r="L2" i="3"/>
  <c r="N2" i="3" s="1"/>
  <c r="D35" i="4"/>
  <c r="D36" i="4" s="1"/>
  <c r="Z5" i="2"/>
  <c r="AA28" i="2"/>
  <c r="AB28" i="2"/>
  <c r="Z28" i="2"/>
  <c r="N18" i="3"/>
  <c r="N19" i="3"/>
  <c r="N17" i="3"/>
  <c r="N8" i="3"/>
  <c r="N9" i="3"/>
  <c r="N7" i="3"/>
  <c r="N3" i="3"/>
  <c r="N4" i="3"/>
  <c r="L3" i="3"/>
  <c r="L4" i="3"/>
  <c r="L7" i="3"/>
  <c r="L8" i="3"/>
  <c r="L9" i="3"/>
  <c r="L12" i="3"/>
  <c r="L13" i="3"/>
  <c r="L14" i="3"/>
  <c r="L17" i="3"/>
  <c r="L18" i="3"/>
  <c r="L19" i="3"/>
  <c r="L22" i="3"/>
  <c r="L23" i="3"/>
  <c r="L24" i="3"/>
  <c r="M32" i="2"/>
  <c r="L32" i="2"/>
  <c r="O25" i="2"/>
  <c r="M31" i="2"/>
  <c r="L31" i="2"/>
  <c r="O24" i="2"/>
  <c r="C23" i="3"/>
  <c r="C18" i="3"/>
  <c r="C13" i="3"/>
  <c r="C8" i="3"/>
  <c r="C3" i="3"/>
  <c r="I15" i="1"/>
  <c r="I4" i="1"/>
  <c r="J9" i="3"/>
  <c r="J8" i="3"/>
  <c r="J7" i="3"/>
  <c r="J4" i="3"/>
  <c r="J3" i="3"/>
  <c r="J2" i="3"/>
  <c r="N15" i="1"/>
  <c r="N4" i="1"/>
  <c r="D15" i="1"/>
  <c r="D4" i="1"/>
  <c r="K16" i="2"/>
  <c r="N3" i="1" l="1"/>
  <c r="N5" i="1"/>
  <c r="N6" i="1"/>
  <c r="N7" i="1"/>
  <c r="N8" i="1"/>
  <c r="N9" i="1"/>
  <c r="N10" i="1"/>
  <c r="N11" i="1"/>
  <c r="N12" i="1"/>
  <c r="N13" i="1"/>
  <c r="N14" i="1"/>
  <c r="N16" i="1"/>
  <c r="N17" i="1"/>
  <c r="N18" i="1"/>
  <c r="N19" i="1"/>
  <c r="N20" i="1"/>
  <c r="N21" i="1"/>
  <c r="N22" i="1"/>
  <c r="N23" i="1"/>
  <c r="N24" i="1"/>
  <c r="N25" i="1"/>
  <c r="N26" i="1"/>
  <c r="N2" i="1"/>
  <c r="I3" i="1"/>
  <c r="I5" i="1"/>
  <c r="I6" i="1"/>
  <c r="I7" i="1"/>
  <c r="I8" i="1"/>
  <c r="I9" i="1"/>
  <c r="I10" i="1"/>
  <c r="I11" i="1"/>
  <c r="I12" i="1"/>
  <c r="I13" i="1"/>
  <c r="I14" i="1"/>
  <c r="I16" i="1"/>
  <c r="I17" i="1"/>
  <c r="I18" i="1"/>
  <c r="I19" i="1"/>
  <c r="I20" i="1"/>
  <c r="I21" i="1"/>
  <c r="I22" i="1"/>
  <c r="I23" i="1"/>
  <c r="I24" i="1"/>
  <c r="I25" i="1"/>
  <c r="I26" i="1"/>
  <c r="I2" i="1"/>
  <c r="D3" i="1"/>
  <c r="D5" i="1"/>
  <c r="D6" i="1"/>
  <c r="D7" i="1"/>
  <c r="D8" i="1"/>
  <c r="D9" i="1"/>
  <c r="D10" i="1"/>
  <c r="D11" i="1"/>
  <c r="D12" i="1"/>
  <c r="D13" i="1"/>
  <c r="D14" i="1"/>
  <c r="D16" i="1"/>
  <c r="D17" i="1"/>
  <c r="D18" i="1"/>
  <c r="D19" i="1"/>
  <c r="D20" i="1"/>
  <c r="D21" i="1"/>
  <c r="D22" i="1"/>
  <c r="D23" i="1"/>
  <c r="D24" i="1"/>
  <c r="D25" i="1"/>
  <c r="D26" i="1"/>
  <c r="D2" i="1"/>
  <c r="V27" i="2" l="1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O27" i="2"/>
  <c r="O26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H3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P3" i="2"/>
  <c r="Q3" i="2"/>
  <c r="R3" i="2"/>
  <c r="S3" i="2"/>
  <c r="T3" i="2"/>
  <c r="U3" i="2"/>
  <c r="W3" i="2"/>
  <c r="X3" i="2"/>
  <c r="P4" i="2"/>
  <c r="Q4" i="2"/>
  <c r="R4" i="2"/>
  <c r="S4" i="2"/>
  <c r="T4" i="2"/>
  <c r="U4" i="2"/>
  <c r="W4" i="2"/>
  <c r="X4" i="2"/>
  <c r="P5" i="2"/>
  <c r="Q5" i="2"/>
  <c r="R5" i="2"/>
  <c r="S5" i="2"/>
  <c r="T5" i="2"/>
  <c r="U5" i="2"/>
  <c r="W5" i="2"/>
  <c r="X5" i="2"/>
  <c r="P6" i="2"/>
  <c r="Q6" i="2"/>
  <c r="R6" i="2"/>
  <c r="S6" i="2"/>
  <c r="T6" i="2"/>
  <c r="U6" i="2"/>
  <c r="W6" i="2"/>
  <c r="X6" i="2"/>
  <c r="P7" i="2"/>
  <c r="Q7" i="2"/>
  <c r="R7" i="2"/>
  <c r="S7" i="2"/>
  <c r="T7" i="2"/>
  <c r="U7" i="2"/>
  <c r="W7" i="2"/>
  <c r="X7" i="2"/>
  <c r="P8" i="2"/>
  <c r="Q8" i="2"/>
  <c r="R8" i="2"/>
  <c r="S8" i="2"/>
  <c r="T8" i="2"/>
  <c r="U8" i="2"/>
  <c r="W8" i="2"/>
  <c r="X8" i="2"/>
  <c r="P9" i="2"/>
  <c r="Q9" i="2"/>
  <c r="R9" i="2"/>
  <c r="S9" i="2"/>
  <c r="T9" i="2"/>
  <c r="U9" i="2"/>
  <c r="W9" i="2"/>
  <c r="X9" i="2"/>
  <c r="P10" i="2"/>
  <c r="Q10" i="2"/>
  <c r="R10" i="2"/>
  <c r="S10" i="2"/>
  <c r="T10" i="2"/>
  <c r="U10" i="2"/>
  <c r="W10" i="2"/>
  <c r="X10" i="2"/>
  <c r="P11" i="2"/>
  <c r="Q11" i="2"/>
  <c r="R11" i="2"/>
  <c r="S11" i="2"/>
  <c r="T11" i="2"/>
  <c r="U11" i="2"/>
  <c r="W11" i="2"/>
  <c r="X11" i="2"/>
  <c r="P12" i="2"/>
  <c r="Q12" i="2"/>
  <c r="R12" i="2"/>
  <c r="S12" i="2"/>
  <c r="T12" i="2"/>
  <c r="U12" i="2"/>
  <c r="W12" i="2"/>
  <c r="X12" i="2"/>
  <c r="P13" i="2"/>
  <c r="Q13" i="2"/>
  <c r="R13" i="2"/>
  <c r="S13" i="2"/>
  <c r="T13" i="2"/>
  <c r="U13" i="2"/>
  <c r="W13" i="2"/>
  <c r="X13" i="2"/>
  <c r="P14" i="2"/>
  <c r="Q14" i="2"/>
  <c r="R14" i="2"/>
  <c r="S14" i="2"/>
  <c r="T14" i="2"/>
  <c r="U14" i="2"/>
  <c r="W14" i="2"/>
  <c r="X14" i="2"/>
  <c r="P15" i="2"/>
  <c r="Q15" i="2"/>
  <c r="R15" i="2"/>
  <c r="S15" i="2"/>
  <c r="T15" i="2"/>
  <c r="U15" i="2"/>
  <c r="W15" i="2"/>
  <c r="X15" i="2"/>
  <c r="P16" i="2"/>
  <c r="Q16" i="2"/>
  <c r="R16" i="2"/>
  <c r="S16" i="2"/>
  <c r="T16" i="2"/>
  <c r="U16" i="2"/>
  <c r="W16" i="2"/>
  <c r="X16" i="2"/>
  <c r="P17" i="2"/>
  <c r="Q17" i="2"/>
  <c r="R17" i="2"/>
  <c r="S17" i="2"/>
  <c r="T17" i="2"/>
  <c r="U17" i="2"/>
  <c r="W17" i="2"/>
  <c r="X17" i="2"/>
  <c r="P18" i="2"/>
  <c r="Q18" i="2"/>
  <c r="R18" i="2"/>
  <c r="S18" i="2"/>
  <c r="T18" i="2"/>
  <c r="U18" i="2"/>
  <c r="W18" i="2"/>
  <c r="X18" i="2"/>
  <c r="P19" i="2"/>
  <c r="Q19" i="2"/>
  <c r="R19" i="2"/>
  <c r="S19" i="2"/>
  <c r="T19" i="2"/>
  <c r="U19" i="2"/>
  <c r="W19" i="2"/>
  <c r="X19" i="2"/>
  <c r="P20" i="2"/>
  <c r="Q20" i="2"/>
  <c r="R20" i="2"/>
  <c r="S20" i="2"/>
  <c r="T20" i="2"/>
  <c r="U20" i="2"/>
  <c r="W20" i="2"/>
  <c r="X20" i="2"/>
  <c r="P21" i="2"/>
  <c r="Q21" i="2"/>
  <c r="R21" i="2"/>
  <c r="S21" i="2"/>
  <c r="T21" i="2"/>
  <c r="U21" i="2"/>
  <c r="W21" i="2"/>
  <c r="X21" i="2"/>
  <c r="P22" i="2"/>
  <c r="Q22" i="2"/>
  <c r="R22" i="2"/>
  <c r="S22" i="2"/>
  <c r="T22" i="2"/>
  <c r="U22" i="2"/>
  <c r="W22" i="2"/>
  <c r="X22" i="2"/>
  <c r="P23" i="2"/>
  <c r="Q23" i="2"/>
  <c r="R23" i="2"/>
  <c r="S23" i="2"/>
  <c r="T23" i="2"/>
  <c r="U23" i="2"/>
  <c r="W23" i="2"/>
  <c r="X23" i="2"/>
  <c r="P24" i="2"/>
  <c r="Q24" i="2"/>
  <c r="R24" i="2"/>
  <c r="S24" i="2"/>
  <c r="T24" i="2"/>
  <c r="U24" i="2"/>
  <c r="W24" i="2"/>
  <c r="X24" i="2"/>
  <c r="P25" i="2"/>
  <c r="Q25" i="2"/>
  <c r="R25" i="2"/>
  <c r="S25" i="2"/>
  <c r="T25" i="2"/>
  <c r="U25" i="2"/>
  <c r="W25" i="2"/>
  <c r="X25" i="2"/>
  <c r="P26" i="2"/>
  <c r="Q26" i="2"/>
  <c r="R26" i="2"/>
  <c r="S26" i="2"/>
  <c r="T26" i="2"/>
  <c r="U26" i="2"/>
  <c r="W26" i="2"/>
  <c r="X26" i="2"/>
  <c r="P27" i="2"/>
  <c r="Q27" i="2"/>
  <c r="R27" i="2"/>
  <c r="S27" i="2"/>
  <c r="T27" i="2"/>
  <c r="U27" i="2"/>
  <c r="W27" i="2"/>
  <c r="X27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L3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E3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D27" i="2"/>
  <c r="D26" i="2"/>
  <c r="D25" i="2"/>
  <c r="D24" i="2"/>
  <c r="D23" i="2"/>
  <c r="Z23" i="2" s="1"/>
  <c r="D22" i="2"/>
  <c r="D21" i="2"/>
  <c r="D20" i="2"/>
  <c r="D19" i="2"/>
  <c r="Z19" i="2" s="1"/>
  <c r="D18" i="2"/>
  <c r="D17" i="2"/>
  <c r="D16" i="2"/>
  <c r="D15" i="2"/>
  <c r="D14" i="2"/>
  <c r="D13" i="2"/>
  <c r="D12" i="2"/>
  <c r="D11" i="2"/>
  <c r="Z11" i="2" s="1"/>
  <c r="D10" i="2"/>
  <c r="D9" i="2"/>
  <c r="D8" i="2"/>
  <c r="D7" i="2"/>
  <c r="D6" i="2"/>
  <c r="D5" i="2"/>
  <c r="D4" i="2"/>
  <c r="D3" i="2"/>
  <c r="K27" i="2"/>
  <c r="K26" i="2"/>
  <c r="K25" i="2"/>
  <c r="K24" i="2"/>
  <c r="K23" i="2"/>
  <c r="K22" i="2"/>
  <c r="K21" i="2"/>
  <c r="K20" i="2"/>
  <c r="AA20" i="2" s="1"/>
  <c r="K19" i="2"/>
  <c r="K18" i="2"/>
  <c r="K17" i="2"/>
  <c r="K15" i="2"/>
  <c r="K14" i="2"/>
  <c r="K13" i="2"/>
  <c r="K12" i="2"/>
  <c r="K11" i="2"/>
  <c r="K10" i="2"/>
  <c r="K9" i="2"/>
  <c r="K8" i="2"/>
  <c r="AA8" i="2" s="1"/>
  <c r="K7" i="2"/>
  <c r="K6" i="2"/>
  <c r="K5" i="2"/>
  <c r="K4" i="2"/>
  <c r="K3" i="2"/>
  <c r="AA14" i="2" l="1"/>
  <c r="AA18" i="2"/>
  <c r="AA26" i="2"/>
  <c r="AA5" i="2"/>
  <c r="AA13" i="2"/>
  <c r="AA25" i="2"/>
  <c r="Z16" i="2"/>
  <c r="Z7" i="2"/>
  <c r="Z15" i="2"/>
  <c r="Z27" i="2"/>
  <c r="AB24" i="2"/>
  <c r="AB23" i="2"/>
  <c r="AB22" i="2"/>
  <c r="AB18" i="2"/>
  <c r="AB12" i="2"/>
  <c r="AB8" i="2"/>
  <c r="AB7" i="2"/>
  <c r="AA7" i="2"/>
  <c r="Z22" i="2"/>
  <c r="AB4" i="2"/>
  <c r="AB16" i="2"/>
  <c r="AB20" i="2"/>
  <c r="AB5" i="2"/>
  <c r="AB9" i="2"/>
  <c r="AB13" i="2"/>
  <c r="AB17" i="2"/>
  <c r="AB21" i="2"/>
  <c r="AB25" i="2"/>
  <c r="AB6" i="2"/>
  <c r="AB10" i="2"/>
  <c r="AB14" i="2"/>
  <c r="AB26" i="2"/>
  <c r="AB3" i="2"/>
  <c r="AB11" i="2"/>
  <c r="AB15" i="2"/>
  <c r="AB19" i="2"/>
  <c r="AB27" i="2"/>
  <c r="AA4" i="2"/>
  <c r="AA12" i="2"/>
  <c r="AA16" i="2"/>
  <c r="AA24" i="2"/>
  <c r="AA9" i="2"/>
  <c r="AA17" i="2"/>
  <c r="AA21" i="2"/>
  <c r="AA6" i="2"/>
  <c r="AA10" i="2"/>
  <c r="AA22" i="2"/>
  <c r="AA3" i="2"/>
  <c r="AA11" i="2"/>
  <c r="AA15" i="2"/>
  <c r="AA19" i="2"/>
  <c r="AA23" i="2"/>
  <c r="AA27" i="2"/>
  <c r="Z4" i="2"/>
  <c r="Z8" i="2"/>
  <c r="Z12" i="2"/>
  <c r="Z20" i="2"/>
  <c r="Z24" i="2"/>
  <c r="Z3" i="2"/>
  <c r="Z9" i="2"/>
  <c r="Z13" i="2"/>
  <c r="Z17" i="2"/>
  <c r="Z21" i="2"/>
  <c r="Z25" i="2"/>
  <c r="Z6" i="2"/>
  <c r="Z10" i="2"/>
  <c r="Z14" i="2"/>
  <c r="Z18" i="2"/>
  <c r="Z26" i="2"/>
</calcChain>
</file>

<file path=xl/sharedStrings.xml><?xml version="1.0" encoding="utf-8"?>
<sst xmlns="http://schemas.openxmlformats.org/spreadsheetml/2006/main" count="364" uniqueCount="154">
  <si>
    <t>Impact category UUID</t>
  </si>
  <si>
    <t>Impact category</t>
  </si>
  <si>
    <t>Reference unit</t>
  </si>
  <si>
    <t>e8cb483d-ed29-47f7-a768-10f818fbd226</t>
  </si>
  <si>
    <t>Acidification - Air Acidification Potential</t>
  </si>
  <si>
    <t>kg SO2 eq</t>
  </si>
  <si>
    <t>d59c941f-b4b3-4ccb-95df-a732980d6844</t>
  </si>
  <si>
    <t>Aluminium Oxide - Al2O3 Emissions in Air</t>
  </si>
  <si>
    <t>kg Al2O3</t>
  </si>
  <si>
    <t>305e2dd5-defb-4d89-8d38-d54a8ad9cdda</t>
  </si>
  <si>
    <t>Climate Change - Global Warming Potential 100a</t>
  </si>
  <si>
    <t>kg CO2 eq</t>
  </si>
  <si>
    <t>538a30bf-bd85-4302-bb0f-f89393a29e7a</t>
  </si>
  <si>
    <t>Critical Raw Materials  - CRM Use Potential</t>
  </si>
  <si>
    <t>kg mass</t>
  </si>
  <si>
    <t>eb40402e-f231-4927-84df-1c46a6f85498</t>
  </si>
  <si>
    <t>Disposal - Mass Disposed in the Ocean</t>
  </si>
  <si>
    <t>72b66a54-9041-4f59-bba0-ef9c36844c1f</t>
  </si>
  <si>
    <t>Economic Impact - Single Score</t>
  </si>
  <si>
    <t>EUR 2000</t>
  </si>
  <si>
    <t>2a368d1d-1937-4746-8c54-9a3c23e0f5f4</t>
  </si>
  <si>
    <t>Energy Consumption - Total Cumulative Energy Demand</t>
  </si>
  <si>
    <t>MJ</t>
  </si>
  <si>
    <t>52497831-5548-40b5-8c54-8d2b2f4dc235</t>
  </si>
  <si>
    <t>Eutrophication - Freshwater Eutrophication Potential</t>
  </si>
  <si>
    <t>kg P eq</t>
  </si>
  <si>
    <t>0000547c-ec41-4c85-a07e-24ad8c1683de</t>
  </si>
  <si>
    <t>Eutrophication - Marine Eutrophication Potential</t>
  </si>
  <si>
    <t>kg N eq</t>
  </si>
  <si>
    <t>b4dc90aa-9222-4571-ae74-47d714b19ef8</t>
  </si>
  <si>
    <t>Ionising Radiation - Ionising Radiation Potential</t>
  </si>
  <si>
    <t>kg U235 eq</t>
  </si>
  <si>
    <t>4e11d3f9-fa79-4d44-adf8-b4faa1084a78</t>
  </si>
  <si>
    <t>Noise Pollution - Noise Creation Potential</t>
  </si>
  <si>
    <t>Av Leq / Cat</t>
  </si>
  <si>
    <t>491b662e-23b8-4cb2-a72f-d72d19b20805</t>
  </si>
  <si>
    <t>Orbital Risk - Space Debris Risk</t>
  </si>
  <si>
    <t>Index Score</t>
  </si>
  <si>
    <t>98ea1ab2-ed3f-43b0-8bef-02e41af6f1ac</t>
  </si>
  <si>
    <t>Orbital Space Use - Orbital Resource Depletion Potential</t>
  </si>
  <si>
    <t>objects.m3.year</t>
  </si>
  <si>
    <t>5d5095a7-65cc-4657-8f3a-bd1c64f77b2b</t>
  </si>
  <si>
    <t>Ozone Depletion - Ozone Depletion Potential (Steady State)</t>
  </si>
  <si>
    <t>kg CFC-11 eq</t>
  </si>
  <si>
    <t>48f27208-8381-4cfd-98bc-a78c87e0c431</t>
  </si>
  <si>
    <t>Particulate Matter - Particulate Matter Formation Potential</t>
  </si>
  <si>
    <t>kg PM10 eq</t>
  </si>
  <si>
    <t>692a34dc-e879-42eb-870c-ebe0742a6872</t>
  </si>
  <si>
    <t>Photochemical Oxidation - Photochemical Oxidation Potential</t>
  </si>
  <si>
    <t>kg NMVOC</t>
  </si>
  <si>
    <t>a1e99202-5cca-4230-872d-de1c72c6e5bf</t>
  </si>
  <si>
    <t>Re-entry Smoke Particles - RSP Creation Potential</t>
  </si>
  <si>
    <t>kg RSP eq</t>
  </si>
  <si>
    <t>0893a0fe-e9e2-43cd-8783-7cd811b2ea7a</t>
  </si>
  <si>
    <t>REACH Substances - Restricted &amp; SVHC Use Potential</t>
  </si>
  <si>
    <t>a9177af7-5be4-4fee-87bf-6b2747a30c34</t>
  </si>
  <si>
    <t>Resource Depletion - Fossil Resource Depletion Potential</t>
  </si>
  <si>
    <t>MJ fossil</t>
  </si>
  <si>
    <t>1bd12fe7-e558-4abd-86f1-e9ef7c3439b9</t>
  </si>
  <si>
    <t xml:space="preserve">Resource Depletion - Mineral Resource Depletion Potential </t>
  </si>
  <si>
    <t>kg Sb eq</t>
  </si>
  <si>
    <t>0cd09a5f-0de5-4c5e-9600-923c6091b887</t>
  </si>
  <si>
    <t>Social Impact - Single Score</t>
  </si>
  <si>
    <t>Social Score</t>
  </si>
  <si>
    <t>9a6e8ecd-bb0a-4204-ab5d-8686be10b6af</t>
  </si>
  <si>
    <t>Toxicity - Freshwater Aquatic Ecotoxicity</t>
  </si>
  <si>
    <t>PAF.m3.day</t>
  </si>
  <si>
    <t>5a9aec82-fca2-48bd-803d-66d103d777fb</t>
  </si>
  <si>
    <t>Toxicity - Human Toxicity</t>
  </si>
  <si>
    <t>cases</t>
  </si>
  <si>
    <t>5e8a9b87-8152-4e96-83a0-dde5e1a628c6</t>
  </si>
  <si>
    <t>Toxicity - Marine Ecotoxicity</t>
  </si>
  <si>
    <t>kg 1,4-dichlorobenzene eq</t>
  </si>
  <si>
    <t>1d978927-eb5a-4ff8-8cd6-5fa861b0cda8</t>
  </si>
  <si>
    <t>Water Consumption - Water Depletion Potential</t>
  </si>
  <si>
    <t>m3</t>
  </si>
  <si>
    <t>1 Ariane 5 Launch</t>
  </si>
  <si>
    <t>Ariane 5 Launches</t>
  </si>
  <si>
    <t>Falcon 9 Launches</t>
  </si>
  <si>
    <t>Soyuz-FG Launches</t>
  </si>
  <si>
    <t>1 Falcon 9 Launch</t>
  </si>
  <si>
    <t>1 Soyuz-FG Launch</t>
  </si>
  <si>
    <t>Ariane 5 Production</t>
  </si>
  <si>
    <t>Falcon 9 Production</t>
  </si>
  <si>
    <t>Soyuz-FG Production</t>
  </si>
  <si>
    <t>Production of 1 Ariane 5</t>
  </si>
  <si>
    <t>Production of 1 Soyuz-FG</t>
  </si>
  <si>
    <t>TOTAL Starlink</t>
  </si>
  <si>
    <t>TOTAL Kupier</t>
  </si>
  <si>
    <t>TOTAL OneWeb</t>
  </si>
  <si>
    <t>1 Launch Campaign</t>
  </si>
  <si>
    <t>Ariane 5 Launch Campaign</t>
  </si>
  <si>
    <t>Falcon 9 Launch Campaign</t>
  </si>
  <si>
    <t>Soyuz-FG Launch Campaign</t>
  </si>
  <si>
    <t>Kupier</t>
  </si>
  <si>
    <t>Starlink</t>
  </si>
  <si>
    <t>OneWeb</t>
  </si>
  <si>
    <t>Ariane 5 Propellant Production</t>
  </si>
  <si>
    <t>Falcon 9 Propellant Production</t>
  </si>
  <si>
    <t>Soyuz-FG Propellant Production</t>
  </si>
  <si>
    <t>Production of Ariane 5 Propellant</t>
  </si>
  <si>
    <t>Production of Falcon 9 Propellant</t>
  </si>
  <si>
    <t>Production of Soyuz-FG Propellant</t>
  </si>
  <si>
    <t>AIT of 1 generic launcher</t>
  </si>
  <si>
    <t>Ariane 5 AIT</t>
  </si>
  <si>
    <t>Soyuz-FG AIT</t>
  </si>
  <si>
    <t>Falcon 9 AIT</t>
  </si>
  <si>
    <t>Transportation of Ariane 5</t>
  </si>
  <si>
    <t>Containment of 900 litres of propellant</t>
  </si>
  <si>
    <t>Decontamination and waste treatment of 1 kg of propellant</t>
  </si>
  <si>
    <t>General handling or propellant for one hour</t>
  </si>
  <si>
    <t>Storage of 1 m3 of propellant</t>
  </si>
  <si>
    <t>Transportation of Soyuz-FG by train</t>
  </si>
  <si>
    <t>Transportation of Falcon 9 by truck</t>
  </si>
  <si>
    <t>Transportation of 1 Falcon 9 by truck</t>
  </si>
  <si>
    <t>Transportation of 1 Soyuz-FG by train</t>
  </si>
  <si>
    <t>Transportation of 1 Ariane 5 by transoceanic ship and truck</t>
  </si>
  <si>
    <t>SCHD of Ariane 5 Propellant</t>
  </si>
  <si>
    <t>SCHD of Falcon 9 Propellant</t>
  </si>
  <si>
    <t>SCHD of Soyuz-FG Propellant</t>
  </si>
  <si>
    <t>1 Ariane 5 Launch (w/o BC and Al2O3)</t>
  </si>
  <si>
    <t>1 Soyuz-FG Launch (w/o BC and Al2O3)</t>
  </si>
  <si>
    <t>1 Falcon 9 Launch (w/o BC and Al2O3)</t>
  </si>
  <si>
    <t>Climate Change</t>
  </si>
  <si>
    <t>Launcher Production</t>
  </si>
  <si>
    <t>Launcher AIT</t>
  </si>
  <si>
    <t>Launcher Propellant Production</t>
  </si>
  <si>
    <t>SCHD of Propellant</t>
  </si>
  <si>
    <t>Transportation of Launcher</t>
  </si>
  <si>
    <t>Launch Campaign</t>
  </si>
  <si>
    <t>Ozone Depletion</t>
  </si>
  <si>
    <t>Resource Depletion</t>
  </si>
  <si>
    <t>Freshwater Aquatic Ecotoxicity</t>
  </si>
  <si>
    <t>Human Toxicity</t>
  </si>
  <si>
    <t>Launch event (additional impacts with BC, Al2O3, Water Vapour)</t>
  </si>
  <si>
    <t>Launch event</t>
  </si>
  <si>
    <t>Production of 1 Falcon Heavy</t>
  </si>
  <si>
    <t>C</t>
  </si>
  <si>
    <t>D</t>
  </si>
  <si>
    <t>HTP</t>
  </si>
  <si>
    <t>FWAEP</t>
  </si>
  <si>
    <t>TOTAL</t>
  </si>
  <si>
    <t>NF global</t>
  </si>
  <si>
    <t>Falcon9</t>
  </si>
  <si>
    <t>Ariane5</t>
  </si>
  <si>
    <t>SoyuzFG</t>
  </si>
  <si>
    <t>Launches</t>
  </si>
  <si>
    <t>Production</t>
  </si>
  <si>
    <t>AIT</t>
  </si>
  <si>
    <t>Propellant production</t>
  </si>
  <si>
    <t>Transportation</t>
  </si>
  <si>
    <t>Launch campaign</t>
  </si>
  <si>
    <t>system</t>
  </si>
  <si>
    <t>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</si>
</sst>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11" fontId="0" fillId="0" borderId="0" xfId="0" applyNumberFormat="1"/>
    <xf numFmtId="10" fontId="0" fillId="0" borderId="0" xfId="0" applyNumberFormat="1"/>
    <xf numFmtId="0" fontId="2" fillId="0" borderId="0" xfId="0" applyFont="1" applyAlignment="1">
      <alignment horizontal="left"/>
    </xf>
    <xf numFmtId="0" fontId="3" fillId="4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/>
    <xf numFmtId="2" fontId="3" fillId="0" borderId="0" xfId="0" applyNumberFormat="1" applyFont="1" applyAlignment="1"/>
    <xf numFmtId="2" fontId="3" fillId="0" borderId="0" xfId="0" applyNumberFormat="1" applyFont="1" applyAlignment="1">
      <alignment horizontal="left"/>
    </xf>
    <xf numFmtId="2" fontId="1" fillId="2" borderId="0" xfId="0" applyNumberFormat="1" applyFont="1" applyFill="1"/>
    <xf numFmtId="2" fontId="1" fillId="3" borderId="0" xfId="0" applyNumberFormat="1" applyFont="1" applyFill="1" applyAlignment="1">
      <alignment horizontal="left"/>
    </xf>
    <xf numFmtId="2" fontId="1" fillId="3" borderId="0" xfId="0" applyNumberFormat="1" applyFont="1" applyFill="1" applyAlignment="1">
      <alignment horizontal="left"/>
    </xf>
    <xf numFmtId="2" fontId="3" fillId="0" borderId="0" xfId="0" applyNumberFormat="1" applyFont="1"/>
    <xf numFmtId="2" fontId="0" fillId="2" borderId="0" xfId="0" applyNumberFormat="1" applyFill="1"/>
    <xf numFmtId="2" fontId="1" fillId="4" borderId="0" xfId="0" applyNumberFormat="1" applyFont="1" applyFill="1" applyAlignment="1">
      <alignment horizontal="left"/>
    </xf>
    <xf numFmtId="2" fontId="1" fillId="4" borderId="0" xfId="0" applyNumberFormat="1" applyFont="1" applyFill="1" applyAlignment="1">
      <alignment horizontal="left"/>
    </xf>
    <xf numFmtId="2" fontId="1" fillId="5" borderId="0" xfId="0" applyNumberFormat="1" applyFont="1" applyFill="1" applyAlignment="1">
      <alignment horizontal="left"/>
    </xf>
    <xf numFmtId="2" fontId="1" fillId="5" borderId="0" xfId="0" applyNumberFormat="1" applyFont="1" applyFill="1" applyAlignment="1">
      <alignment horizontal="left"/>
    </xf>
    <xf numFmtId="165" fontId="0" fillId="0" borderId="0" xfId="1" applyNumberFormat="1" applyFont="1"/>
    <xf numFmtId="43" fontId="0" fillId="0" borderId="0" xfId="0" applyNumberFormat="1"/>
    <xf numFmtId="165" fontId="1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7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en-GB" sz="1600" b="1"/>
              <a:t>Climate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02377353007554"/>
          <c:y val="9.9636972174833E-2"/>
          <c:w val="0.83270100071413333"/>
          <c:h val="0.668906320761394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'Results Visualisation'!$C$1</c:f>
              <c:strCache>
                <c:ptCount val="1"/>
                <c:pt idx="0">
                  <c:v>Launcher Production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'Results Visualisation'!$B$2:$B$4</c:f>
              <c:strCache>
                <c:ptCount val="3"/>
                <c:pt idx="0">
                  <c:v>Kupier</c:v>
                </c:pt>
                <c:pt idx="1">
                  <c:v>Starlink</c:v>
                </c:pt>
                <c:pt idx="2">
                  <c:v>OneWeb</c:v>
                </c:pt>
              </c:strCache>
            </c:strRef>
          </c:cat>
          <c:val>
            <c:numRef>
              <c:f>'Results Visualisation'!$C$2:$C$4</c:f>
              <c:numCache>
                <c:formatCode>General</c:formatCode>
                <c:ptCount val="3"/>
                <c:pt idx="0">
                  <c:v>595012795.90014386</c:v>
                </c:pt>
                <c:pt idx="1">
                  <c:v>290566364.33606333</c:v>
                </c:pt>
                <c:pt idx="2">
                  <c:v>893608259.62569189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1-4E85-A4EB-73C047459698}"/>
            </c:ext>
          </c:extLst>
        </c:ser>
        <c:ser>
          <c:idx val="1"/>
          <c:order val="1"/>
          <c:tx>
            <c:strRef>
              <c:f>'Results Visualisation'!$D$1</c:f>
              <c:strCache>
                <c:ptCount val="1"/>
                <c:pt idx="0">
                  <c:v>Launcher AIT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'Results Visualisation'!$B$2:$B$4</c:f>
              <c:strCache>
                <c:ptCount val="3"/>
                <c:pt idx="0">
                  <c:v>Kupier</c:v>
                </c:pt>
                <c:pt idx="1">
                  <c:v>Starlink</c:v>
                </c:pt>
                <c:pt idx="2">
                  <c:v>OneWeb</c:v>
                </c:pt>
              </c:strCache>
            </c:strRef>
          </c:cat>
          <c:val>
            <c:numRef>
              <c:f>'Results Visualisation'!$D$2:$D$4</c:f>
              <c:numCache>
                <c:formatCode>General</c:formatCode>
                <c:ptCount val="3"/>
                <c:pt idx="0">
                  <c:v>87278232.091468528</c:v>
                </c:pt>
                <c:pt idx="1">
                  <c:v>119603503.23645689</c:v>
                </c:pt>
                <c:pt idx="2">
                  <c:v>32325271.144988347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1-4E85-A4EB-73C047459698}"/>
            </c:ext>
          </c:extLst>
        </c:ser>
        <c:ser>
          <c:idx val="2"/>
          <c:order val="2"/>
          <c:tx>
            <c:strRef>
              <c:f>'Results Visualisation'!$E$1</c:f>
              <c:strCache>
                <c:ptCount val="1"/>
                <c:pt idx="0">
                  <c:v>Launcher Propellant Production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'Results Visualisation'!$B$2:$B$4</c:f>
              <c:strCache>
                <c:ptCount val="3"/>
                <c:pt idx="0">
                  <c:v>Kupier</c:v>
                </c:pt>
                <c:pt idx="1">
                  <c:v>Starlink</c:v>
                </c:pt>
                <c:pt idx="2">
                  <c:v>OneWeb</c:v>
                </c:pt>
              </c:strCache>
            </c:strRef>
          </c:cat>
          <c:val>
            <c:numRef>
              <c:f>'Results Visualisation'!$E$2:$E$4</c:f>
              <c:numCache>
                <c:formatCode>General</c:formatCode>
                <c:ptCount val="3"/>
                <c:pt idx="0">
                  <c:v>258836443.898379</c:v>
                </c:pt>
                <c:pt idx="1">
                  <c:v>122743338.51823802</c:v>
                </c:pt>
                <c:pt idx="2">
                  <c:v>19378203.988763895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51-4E85-A4EB-73C047459698}"/>
            </c:ext>
          </c:extLst>
        </c:ser>
        <c:ser>
          <c:idx val="3"/>
          <c:order val="3"/>
          <c:tx>
            <c:strRef>
              <c:f>'Results Visualisation'!$F$1</c:f>
              <c:strCache>
                <c:ptCount val="1"/>
                <c:pt idx="0">
                  <c:v>SCHD of Propellant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'Results Visualisation'!$B$2:$B$4</c:f>
              <c:strCache>
                <c:ptCount val="3"/>
                <c:pt idx="0">
                  <c:v>Kupier</c:v>
                </c:pt>
                <c:pt idx="1">
                  <c:v>Starlink</c:v>
                </c:pt>
                <c:pt idx="2">
                  <c:v>OneWeb</c:v>
                </c:pt>
              </c:strCache>
            </c:strRef>
          </c:cat>
          <c:val>
            <c:numRef>
              <c:f>'Results Visualisation'!$F$2:$F$4</c:f>
              <c:numCache>
                <c:formatCode>General</c:formatCode>
                <c:ptCount val="3"/>
                <c:pt idx="0">
                  <c:v>485150868.1496706</c:v>
                </c:pt>
                <c:pt idx="1">
                  <c:v>414029327.84313387</c:v>
                </c:pt>
                <c:pt idx="2">
                  <c:v>64466609.669921778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51-4E85-A4EB-73C047459698}"/>
            </c:ext>
          </c:extLst>
        </c:ser>
        <c:ser>
          <c:idx val="4"/>
          <c:order val="4"/>
          <c:tx>
            <c:strRef>
              <c:f>'Results Visualisation'!$G$1</c:f>
              <c:strCache>
                <c:ptCount val="1"/>
                <c:pt idx="0">
                  <c:v>Transportation of Launcher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'Results Visualisation'!$B$2:$B$4</c:f>
              <c:strCache>
                <c:ptCount val="3"/>
                <c:pt idx="0">
                  <c:v>Kupier</c:v>
                </c:pt>
                <c:pt idx="1">
                  <c:v>Starlink</c:v>
                </c:pt>
                <c:pt idx="2">
                  <c:v>OneWeb</c:v>
                </c:pt>
              </c:strCache>
            </c:strRef>
          </c:cat>
          <c:val>
            <c:numRef>
              <c:f>'Results Visualisation'!$G$2:$G$4</c:f>
              <c:numCache>
                <c:formatCode>General</c:formatCode>
                <c:ptCount val="3"/>
                <c:pt idx="0">
                  <c:v>596332.08846138336</c:v>
                </c:pt>
                <c:pt idx="1">
                  <c:v>1274333.6433872997</c:v>
                </c:pt>
                <c:pt idx="2">
                  <c:v>86572.076158220516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51-4E85-A4EB-73C047459698}"/>
            </c:ext>
          </c:extLst>
        </c:ser>
        <c:ser>
          <c:idx val="5"/>
          <c:order val="5"/>
          <c:tx>
            <c:strRef>
              <c:f>'Results Visualisation'!$H$1</c:f>
              <c:strCache>
                <c:ptCount val="1"/>
                <c:pt idx="0">
                  <c:v>Launch Campaign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'Results Visualisation'!$B$2:$B$4</c:f>
              <c:strCache>
                <c:ptCount val="3"/>
                <c:pt idx="0">
                  <c:v>Kupier</c:v>
                </c:pt>
                <c:pt idx="1">
                  <c:v>Starlink</c:v>
                </c:pt>
                <c:pt idx="2">
                  <c:v>OneWeb</c:v>
                </c:pt>
              </c:strCache>
            </c:strRef>
          </c:cat>
          <c:val>
            <c:numRef>
              <c:f>'Results Visualisation'!$H$2:$H$4</c:f>
              <c:numCache>
                <c:formatCode>General</c:formatCode>
                <c:ptCount val="3"/>
                <c:pt idx="0">
                  <c:v>305994064.08806497</c:v>
                </c:pt>
                <c:pt idx="1">
                  <c:v>419325198.93549639</c:v>
                </c:pt>
                <c:pt idx="2">
                  <c:v>113331134.84743147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51-4E85-A4EB-73C047459698}"/>
            </c:ext>
          </c:extLst>
        </c:ser>
        <c:ser>
          <c:idx val="6"/>
          <c:order val="6"/>
          <c:tx>
            <c:strRef>
              <c:f>'Results Visualisation'!$I$1</c:f>
              <c:strCache>
                <c:ptCount val="1"/>
                <c:pt idx="0">
                  <c:v>Launch event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'Results Visualisation'!$B$2:$B$4</c:f>
              <c:strCache>
                <c:ptCount val="3"/>
                <c:pt idx="0">
                  <c:v>Kupier</c:v>
                </c:pt>
                <c:pt idx="1">
                  <c:v>Starlink</c:v>
                </c:pt>
                <c:pt idx="2">
                  <c:v>OneWeb</c:v>
                </c:pt>
              </c:strCache>
            </c:strRef>
          </c:cat>
          <c:val>
            <c:numRef>
              <c:f>'Results Visualisation'!$I$2:$I$4</c:f>
              <c:numCache>
                <c:formatCode>General</c:formatCode>
                <c:ptCount val="3"/>
                <c:pt idx="0">
                  <c:v>25262107.200000141</c:v>
                </c:pt>
                <c:pt idx="1">
                  <c:v>46654494.004799582</c:v>
                </c:pt>
                <c:pt idx="2">
                  <c:v>5773102.1920000017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51-4E85-A4EB-73C047459698}"/>
            </c:ext>
          </c:extLst>
        </c:ser>
        <c:ser>
          <c:idx val="7"/>
          <c:order val="7"/>
          <c:tx>
            <c:strRef>
              <c:f>'Results Visualisation'!$J$1</c:f>
              <c:strCache>
                <c:ptCount val="1"/>
                <c:pt idx="0">
                  <c:v>Launch event (additional impacts with BC, Al2O3, Water Vapour)</c:v>
                </c:pt>
              </c:strCache>
            </c:strRef>
          </c:tx>
          <c:spPr>
            <a:noFill/>
            <a:ln w="9525" cap="flat" cmpd="sng" algn="ctr">
              <a:solidFill>
                <a:srgbClr val="FF0000"/>
              </a:solidFill>
              <a:prstDash val="dash"/>
              <a:round/>
            </a:ln>
            <a:effectLst/>
          </c:spPr>
          <c:invertIfNegative val="0"/>
          <c:cat>
            <c:strRef>
              <c:f>'Results Visualisation'!$B$2:$B$4</c:f>
              <c:strCache>
                <c:ptCount val="3"/>
                <c:pt idx="0">
                  <c:v>Kupier</c:v>
                </c:pt>
                <c:pt idx="1">
                  <c:v>Starlink</c:v>
                </c:pt>
                <c:pt idx="2">
                  <c:v>OneWeb</c:v>
                </c:pt>
              </c:strCache>
            </c:strRef>
          </c:cat>
          <c:val>
            <c:numRef>
              <c:f>'Results Visualisation'!$J$2:$J$4</c:f>
              <c:numCache>
                <c:formatCode>General</c:formatCode>
                <c:ptCount val="3"/>
                <c:pt idx="0">
                  <c:v>5787478425.6000004</c:v>
                </c:pt>
                <c:pt idx="1">
                  <c:v>1931288467.2000003</c:v>
                </c:pt>
                <c:pt idx="2">
                  <c:v>234855641.59999999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51-4E85-A4EB-73C047459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2939007"/>
        <c:axId val="1462939423"/>
      </c:barChart>
      <c:catAx>
        <c:axId val="146293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462939423"/>
        <c:crosses val="autoZero"/>
        <c:auto val="1"/>
        <c:lblAlgn val="ctr"/>
        <c:lblOffset val="100"/>
        <c:noMultiLvlLbl val="0"/>
      </c:catAx>
      <c:valAx>
        <c:axId val="146293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GB" sz="1200"/>
                  <a:t>kg CO2 eq.</a:t>
                </a:r>
              </a:p>
            </c:rich>
          </c:tx>
          <c:layout>
            <c:manualLayout>
              <c:xMode val="edge"/>
              <c:yMode val="edge"/>
              <c:x val="2.1986650961915981E-2"/>
              <c:y val="0.3543153939531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46293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en-US" sz="1600" b="1"/>
              <a:t>Ozone Depletion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34598987847366"/>
          <c:y val="9.9636972174833E-2"/>
          <c:w val="0.81537878436573519"/>
          <c:h val="0.668906320761394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'Results Visualisation'!$C$6</c:f>
              <c:strCache>
                <c:ptCount val="1"/>
                <c:pt idx="0">
                  <c:v>Launcher Production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'Results Visualisation'!$B$7:$B$9</c:f>
              <c:strCache>
                <c:ptCount val="3"/>
                <c:pt idx="0">
                  <c:v>Kupier</c:v>
                </c:pt>
                <c:pt idx="1">
                  <c:v>Starlink</c:v>
                </c:pt>
                <c:pt idx="2">
                  <c:v>OneWeb</c:v>
                </c:pt>
              </c:strCache>
            </c:strRef>
          </c:cat>
          <c:val>
            <c:numRef>
              <c:f>'Results Visualisation'!$C$7:$C$9</c:f>
              <c:numCache>
                <c:formatCode>General</c:formatCode>
                <c:ptCount val="3"/>
                <c:pt idx="0">
                  <c:v>40.269692768976711</c:v>
                </c:pt>
                <c:pt idx="1">
                  <c:v>21.746034421019111</c:v>
                </c:pt>
                <c:pt idx="2">
                  <c:v>62.2363545901934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6-474F-8276-E4777F3AF583}"/>
            </c:ext>
          </c:extLst>
        </c:ser>
        <c:ser>
          <c:idx val="1"/>
          <c:order val="1"/>
          <c:tx>
            <c:strRef>
              <c:f>'Results Visualisation'!$D$6</c:f>
              <c:strCache>
                <c:ptCount val="1"/>
                <c:pt idx="0">
                  <c:v>Launcher AIT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'Results Visualisation'!$B$7:$B$9</c:f>
              <c:strCache>
                <c:ptCount val="3"/>
                <c:pt idx="0">
                  <c:v>Kupier</c:v>
                </c:pt>
                <c:pt idx="1">
                  <c:v>Starlink</c:v>
                </c:pt>
                <c:pt idx="2">
                  <c:v>OneWeb</c:v>
                </c:pt>
              </c:strCache>
            </c:strRef>
          </c:cat>
          <c:val>
            <c:numRef>
              <c:f>'Results Visualisation'!$D$7:$D$9</c:f>
              <c:numCache>
                <c:formatCode>General</c:formatCode>
                <c:ptCount val="3"/>
                <c:pt idx="0">
                  <c:v>8.4550659944016289</c:v>
                </c:pt>
                <c:pt idx="1">
                  <c:v>11.586571918254084</c:v>
                </c:pt>
                <c:pt idx="2">
                  <c:v>3.1315059238524552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36-474F-8276-E4777F3AF583}"/>
            </c:ext>
          </c:extLst>
        </c:ser>
        <c:ser>
          <c:idx val="2"/>
          <c:order val="2"/>
          <c:tx>
            <c:strRef>
              <c:f>'Results Visualisation'!$E$6</c:f>
              <c:strCache>
                <c:ptCount val="1"/>
                <c:pt idx="0">
                  <c:v>Launcher Propellant Production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'Results Visualisation'!$B$7:$B$9</c:f>
              <c:strCache>
                <c:ptCount val="3"/>
                <c:pt idx="0">
                  <c:v>Kupier</c:v>
                </c:pt>
                <c:pt idx="1">
                  <c:v>Starlink</c:v>
                </c:pt>
                <c:pt idx="2">
                  <c:v>OneWeb</c:v>
                </c:pt>
              </c:strCache>
            </c:strRef>
          </c:cat>
          <c:val>
            <c:numRef>
              <c:f>'Results Visualisation'!$E$7:$E$9</c:f>
              <c:numCache>
                <c:formatCode>General</c:formatCode>
                <c:ptCount val="3"/>
                <c:pt idx="0">
                  <c:v>12.057808466225245</c:v>
                </c:pt>
                <c:pt idx="1">
                  <c:v>14.147251893643748</c:v>
                </c:pt>
                <c:pt idx="2">
                  <c:v>2.1999764600118605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36-474F-8276-E4777F3AF583}"/>
            </c:ext>
          </c:extLst>
        </c:ser>
        <c:ser>
          <c:idx val="3"/>
          <c:order val="3"/>
          <c:tx>
            <c:strRef>
              <c:f>'Results Visualisation'!$F$6</c:f>
              <c:strCache>
                <c:ptCount val="1"/>
                <c:pt idx="0">
                  <c:v>SCHD of Propellant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'Results Visualisation'!$B$7:$B$9</c:f>
              <c:strCache>
                <c:ptCount val="3"/>
                <c:pt idx="0">
                  <c:v>Kupier</c:v>
                </c:pt>
                <c:pt idx="1">
                  <c:v>Starlink</c:v>
                </c:pt>
                <c:pt idx="2">
                  <c:v>OneWeb</c:v>
                </c:pt>
              </c:strCache>
            </c:strRef>
          </c:cat>
          <c:val>
            <c:numRef>
              <c:f>'Results Visualisation'!$F$7:$F$9</c:f>
              <c:numCache>
                <c:formatCode>General</c:formatCode>
                <c:ptCount val="3"/>
                <c:pt idx="0">
                  <c:v>40.712090183799909</c:v>
                </c:pt>
                <c:pt idx="1">
                  <c:v>36.957303083202042</c:v>
                </c:pt>
                <c:pt idx="2">
                  <c:v>5.7569720136658127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36-474F-8276-E4777F3AF583}"/>
            </c:ext>
          </c:extLst>
        </c:ser>
        <c:ser>
          <c:idx val="4"/>
          <c:order val="4"/>
          <c:tx>
            <c:strRef>
              <c:f>'Results Visualisation'!$G$6</c:f>
              <c:strCache>
                <c:ptCount val="1"/>
                <c:pt idx="0">
                  <c:v>Transportation of Launcher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'Results Visualisation'!$B$7:$B$9</c:f>
              <c:strCache>
                <c:ptCount val="3"/>
                <c:pt idx="0">
                  <c:v>Kupier</c:v>
                </c:pt>
                <c:pt idx="1">
                  <c:v>Starlink</c:v>
                </c:pt>
                <c:pt idx="2">
                  <c:v>OneWeb</c:v>
                </c:pt>
              </c:strCache>
            </c:strRef>
          </c:cat>
          <c:val>
            <c:numRef>
              <c:f>'Results Visualisation'!$G$7:$G$9</c:f>
              <c:numCache>
                <c:formatCode>General</c:formatCode>
                <c:ptCount val="3"/>
                <c:pt idx="0">
                  <c:v>0.10221123460033958</c:v>
                </c:pt>
                <c:pt idx="1">
                  <c:v>0.26405299983326103</c:v>
                </c:pt>
                <c:pt idx="2">
                  <c:v>2.679102728956171E-2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36-474F-8276-E4777F3AF583}"/>
            </c:ext>
          </c:extLst>
        </c:ser>
        <c:ser>
          <c:idx val="5"/>
          <c:order val="5"/>
          <c:tx>
            <c:strRef>
              <c:f>'Results Visualisation'!$H$6</c:f>
              <c:strCache>
                <c:ptCount val="1"/>
                <c:pt idx="0">
                  <c:v>Launch Campaign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'Results Visualisation'!$B$7:$B$9</c:f>
              <c:strCache>
                <c:ptCount val="3"/>
                <c:pt idx="0">
                  <c:v>Kupier</c:v>
                </c:pt>
                <c:pt idx="1">
                  <c:v>Starlink</c:v>
                </c:pt>
                <c:pt idx="2">
                  <c:v>OneWeb</c:v>
                </c:pt>
              </c:strCache>
            </c:strRef>
          </c:cat>
          <c:val>
            <c:numRef>
              <c:f>'Results Visualisation'!$H$7:$H$9</c:f>
              <c:numCache>
                <c:formatCode>General</c:formatCode>
                <c:ptCount val="3"/>
                <c:pt idx="0">
                  <c:v>42.005001854485108</c:v>
                </c:pt>
                <c:pt idx="1">
                  <c:v>57.562409948738853</c:v>
                </c:pt>
                <c:pt idx="2">
                  <c:v>15.557408094253745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36-474F-8276-E4777F3AF583}"/>
            </c:ext>
          </c:extLst>
        </c:ser>
        <c:ser>
          <c:idx val="6"/>
          <c:order val="6"/>
          <c:tx>
            <c:strRef>
              <c:f>'Results Visualisation'!$I$6</c:f>
              <c:strCache>
                <c:ptCount val="1"/>
                <c:pt idx="0">
                  <c:v>Launch event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'Results Visualisation'!$B$7:$B$9</c:f>
              <c:strCache>
                <c:ptCount val="3"/>
                <c:pt idx="0">
                  <c:v>Kupier</c:v>
                </c:pt>
                <c:pt idx="1">
                  <c:v>Starlink</c:v>
                </c:pt>
                <c:pt idx="2">
                  <c:v>OneWeb</c:v>
                </c:pt>
              </c:strCache>
            </c:strRef>
          </c:cat>
          <c:val>
            <c:numRef>
              <c:f>'Results Visualisation'!$I$7:$I$9</c:f>
              <c:numCache>
                <c:formatCode>General</c:formatCode>
                <c:ptCount val="3"/>
                <c:pt idx="0">
                  <c:v>4683344.4000000004</c:v>
                </c:pt>
                <c:pt idx="1">
                  <c:v>505951.31999999977</c:v>
                </c:pt>
                <c:pt idx="2">
                  <c:v>63142.799999999996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36-474F-8276-E4777F3AF583}"/>
            </c:ext>
          </c:extLst>
        </c:ser>
        <c:ser>
          <c:idx val="7"/>
          <c:order val="7"/>
          <c:tx>
            <c:strRef>
              <c:f>'Results Visualisation'!$J$6</c:f>
              <c:strCache>
                <c:ptCount val="1"/>
                <c:pt idx="0">
                  <c:v>Launch event (additional impacts with BC, Al2O3, Water Vapour)</c:v>
                </c:pt>
              </c:strCache>
            </c:strRef>
          </c:tx>
          <c:spPr>
            <a:noFill/>
            <a:ln w="9525" cap="flat" cmpd="sng" algn="ctr">
              <a:solidFill>
                <a:srgbClr val="FF0000"/>
              </a:solidFill>
              <a:prstDash val="dash"/>
              <a:round/>
            </a:ln>
            <a:effectLst/>
          </c:spPr>
          <c:invertIfNegative val="0"/>
          <c:cat>
            <c:strRef>
              <c:f>'Results Visualisation'!$B$7:$B$9</c:f>
              <c:strCache>
                <c:ptCount val="3"/>
                <c:pt idx="0">
                  <c:v>Kupier</c:v>
                </c:pt>
                <c:pt idx="1">
                  <c:v>Starlink</c:v>
                </c:pt>
                <c:pt idx="2">
                  <c:v>OneWeb</c:v>
                </c:pt>
              </c:strCache>
            </c:strRef>
          </c:cat>
          <c:val>
            <c:numRef>
              <c:f>'Results Visualisation'!$J$7:$J$9</c:f>
              <c:numCache>
                <c:formatCode>General</c:formatCode>
                <c:ptCount val="3"/>
                <c:pt idx="0">
                  <c:v>6715170</c:v>
                </c:pt>
                <c:pt idx="1">
                  <c:v>1770829.62</c:v>
                </c:pt>
                <c:pt idx="2">
                  <c:v>214302.2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36-474F-8276-E4777F3AF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2939007"/>
        <c:axId val="1462939423"/>
      </c:barChart>
      <c:catAx>
        <c:axId val="146293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462939423"/>
        <c:crosses val="autoZero"/>
        <c:auto val="1"/>
        <c:lblAlgn val="ctr"/>
        <c:lblOffset val="100"/>
        <c:noMultiLvlLbl val="0"/>
      </c:catAx>
      <c:valAx>
        <c:axId val="146293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GB" sz="1200"/>
                  <a:t>KG CFC-11 Eq.</a:t>
                </a:r>
              </a:p>
            </c:rich>
          </c:tx>
          <c:layout>
            <c:manualLayout>
              <c:xMode val="edge"/>
              <c:yMode val="edge"/>
              <c:x val="3.1409501374165684E-2"/>
              <c:y val="0.334334175265567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462939007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en-GB" sz="1600" b="1"/>
              <a:t>Resource Depletion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10649243049565"/>
          <c:y val="9.9636972174833E-2"/>
          <c:w val="0.82561828181371322"/>
          <c:h val="0.668906320761394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'Results Visualisation'!$C$11</c:f>
              <c:strCache>
                <c:ptCount val="1"/>
                <c:pt idx="0">
                  <c:v>Launcher Production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'Results Visualisation'!$B$12:$B$14</c:f>
              <c:strCache>
                <c:ptCount val="3"/>
                <c:pt idx="0">
                  <c:v>Kupier</c:v>
                </c:pt>
                <c:pt idx="1">
                  <c:v>Starlink</c:v>
                </c:pt>
                <c:pt idx="2">
                  <c:v>OneWeb</c:v>
                </c:pt>
              </c:strCache>
            </c:strRef>
          </c:cat>
          <c:val>
            <c:numRef>
              <c:f>'Results Visualisation'!$C$12:$C$14</c:f>
              <c:numCache>
                <c:formatCode>General</c:formatCode>
                <c:ptCount val="3"/>
                <c:pt idx="0">
                  <c:v>146865.1870889675</c:v>
                </c:pt>
                <c:pt idx="1">
                  <c:v>185361.98906341888</c:v>
                </c:pt>
                <c:pt idx="2">
                  <c:v>249468.17206090401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C-4A4B-B29F-0762A6C4BE9D}"/>
            </c:ext>
          </c:extLst>
        </c:ser>
        <c:ser>
          <c:idx val="1"/>
          <c:order val="1"/>
          <c:tx>
            <c:strRef>
              <c:f>'Results Visualisation'!$D$11</c:f>
              <c:strCache>
                <c:ptCount val="1"/>
                <c:pt idx="0">
                  <c:v>Launcher AIT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'Results Visualisation'!$B$12:$B$14</c:f>
              <c:strCache>
                <c:ptCount val="3"/>
                <c:pt idx="0">
                  <c:v>Kupier</c:v>
                </c:pt>
                <c:pt idx="1">
                  <c:v>Starlink</c:v>
                </c:pt>
                <c:pt idx="2">
                  <c:v>OneWeb</c:v>
                </c:pt>
              </c:strCache>
            </c:strRef>
          </c:cat>
          <c:val>
            <c:numRef>
              <c:f>'Results Visualisation'!$D$12:$D$14</c:f>
              <c:numCache>
                <c:formatCode>General</c:formatCode>
                <c:ptCount val="3"/>
                <c:pt idx="0">
                  <c:v>845.35187468534082</c:v>
                </c:pt>
                <c:pt idx="1">
                  <c:v>1158.4451616058375</c:v>
                </c:pt>
                <c:pt idx="2">
                  <c:v>313.09328692049661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C-4A4B-B29F-0762A6C4BE9D}"/>
            </c:ext>
          </c:extLst>
        </c:ser>
        <c:ser>
          <c:idx val="2"/>
          <c:order val="2"/>
          <c:tx>
            <c:strRef>
              <c:f>'Results Visualisation'!$E$11</c:f>
              <c:strCache>
                <c:ptCount val="1"/>
                <c:pt idx="0">
                  <c:v>Launcher Propellant Production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'Results Visualisation'!$B$12:$B$14</c:f>
              <c:strCache>
                <c:ptCount val="3"/>
                <c:pt idx="0">
                  <c:v>Kupier</c:v>
                </c:pt>
                <c:pt idx="1">
                  <c:v>Starlink</c:v>
                </c:pt>
                <c:pt idx="2">
                  <c:v>OneWeb</c:v>
                </c:pt>
              </c:strCache>
            </c:strRef>
          </c:cat>
          <c:val>
            <c:numRef>
              <c:f>'Results Visualisation'!$E$12:$E$14</c:f>
              <c:numCache>
                <c:formatCode>General</c:formatCode>
                <c:ptCount val="3"/>
                <c:pt idx="0">
                  <c:v>1868.2071180283422</c:v>
                </c:pt>
                <c:pt idx="1">
                  <c:v>851.78816362692635</c:v>
                </c:pt>
                <c:pt idx="2">
                  <c:v>134.32500979874089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C-4A4B-B29F-0762A6C4BE9D}"/>
            </c:ext>
          </c:extLst>
        </c:ser>
        <c:ser>
          <c:idx val="3"/>
          <c:order val="3"/>
          <c:tx>
            <c:strRef>
              <c:f>'Results Visualisation'!$F$11</c:f>
              <c:strCache>
                <c:ptCount val="1"/>
                <c:pt idx="0">
                  <c:v>SCHD of Propellant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'Results Visualisation'!$B$12:$B$14</c:f>
              <c:strCache>
                <c:ptCount val="3"/>
                <c:pt idx="0">
                  <c:v>Kupier</c:v>
                </c:pt>
                <c:pt idx="1">
                  <c:v>Starlink</c:v>
                </c:pt>
                <c:pt idx="2">
                  <c:v>OneWeb</c:v>
                </c:pt>
              </c:strCache>
            </c:strRef>
          </c:cat>
          <c:val>
            <c:numRef>
              <c:f>'Results Visualisation'!$F$12:$F$14</c:f>
              <c:numCache>
                <c:formatCode>General</c:formatCode>
                <c:ptCount val="3"/>
                <c:pt idx="0">
                  <c:v>27550.914375277629</c:v>
                </c:pt>
                <c:pt idx="1">
                  <c:v>20554.015418601182</c:v>
                </c:pt>
                <c:pt idx="2">
                  <c:v>3195.5139595683927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5C-4A4B-B29F-0762A6C4BE9D}"/>
            </c:ext>
          </c:extLst>
        </c:ser>
        <c:ser>
          <c:idx val="4"/>
          <c:order val="4"/>
          <c:tx>
            <c:strRef>
              <c:f>'Results Visualisation'!$G$11</c:f>
              <c:strCache>
                <c:ptCount val="1"/>
                <c:pt idx="0">
                  <c:v>Transportation of Launcher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'Results Visualisation'!$B$12:$B$14</c:f>
              <c:strCache>
                <c:ptCount val="3"/>
                <c:pt idx="0">
                  <c:v>Kupier</c:v>
                </c:pt>
                <c:pt idx="1">
                  <c:v>Starlink</c:v>
                </c:pt>
                <c:pt idx="2">
                  <c:v>OneWeb</c:v>
                </c:pt>
              </c:strCache>
            </c:strRef>
          </c:cat>
          <c:val>
            <c:numRef>
              <c:f>'Results Visualisation'!$G$12:$G$14</c:f>
              <c:numCache>
                <c:formatCode>General</c:formatCode>
                <c:ptCount val="3"/>
                <c:pt idx="0">
                  <c:v>10.51849323833415</c:v>
                </c:pt>
                <c:pt idx="1">
                  <c:v>61.928501379508617</c:v>
                </c:pt>
                <c:pt idx="2">
                  <c:v>3.1698714888092043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5C-4A4B-B29F-0762A6C4BE9D}"/>
            </c:ext>
          </c:extLst>
        </c:ser>
        <c:ser>
          <c:idx val="5"/>
          <c:order val="5"/>
          <c:tx>
            <c:strRef>
              <c:f>'Results Visualisation'!$H$11</c:f>
              <c:strCache>
                <c:ptCount val="1"/>
                <c:pt idx="0">
                  <c:v>Launch Campaign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'Results Visualisation'!$B$12:$B$14</c:f>
              <c:strCache>
                <c:ptCount val="3"/>
                <c:pt idx="0">
                  <c:v>Kupier</c:v>
                </c:pt>
                <c:pt idx="1">
                  <c:v>Starlink</c:v>
                </c:pt>
                <c:pt idx="2">
                  <c:v>OneWeb</c:v>
                </c:pt>
              </c:strCache>
            </c:strRef>
          </c:cat>
          <c:val>
            <c:numRef>
              <c:f>'Results Visualisation'!$H$12:$H$14</c:f>
              <c:numCache>
                <c:formatCode>General</c:formatCode>
                <c:ptCount val="3"/>
                <c:pt idx="0">
                  <c:v>1794.2045389180582</c:v>
                </c:pt>
                <c:pt idx="1">
                  <c:v>2458.7247385173391</c:v>
                </c:pt>
                <c:pt idx="2">
                  <c:v>664.52019959928077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5C-4A4B-B29F-0762A6C4BE9D}"/>
            </c:ext>
          </c:extLst>
        </c:ser>
        <c:ser>
          <c:idx val="6"/>
          <c:order val="6"/>
          <c:tx>
            <c:strRef>
              <c:f>'Results Visualisation'!$I$11</c:f>
              <c:strCache>
                <c:ptCount val="1"/>
                <c:pt idx="0">
                  <c:v>Launch event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'Results Visualisation'!$B$12:$B$14</c:f>
              <c:strCache>
                <c:ptCount val="3"/>
                <c:pt idx="0">
                  <c:v>Kupier</c:v>
                </c:pt>
                <c:pt idx="1">
                  <c:v>Starlink</c:v>
                </c:pt>
                <c:pt idx="2">
                  <c:v>OneWeb</c:v>
                </c:pt>
              </c:strCache>
            </c:strRef>
          </c:cat>
          <c:val>
            <c:numRef>
              <c:f>'Results Visualisation'!$I$12:$I$14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5C-4A4B-B29F-0762A6C4BE9D}"/>
            </c:ext>
          </c:extLst>
        </c:ser>
        <c:ser>
          <c:idx val="7"/>
          <c:order val="7"/>
          <c:tx>
            <c:strRef>
              <c:f>'Results Visualisation'!$J$11</c:f>
              <c:strCache>
                <c:ptCount val="1"/>
                <c:pt idx="0">
                  <c:v>Launch event (additional impacts with BC, Al2O3, Water Vapour)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'Results Visualisation'!$B$12:$B$14</c:f>
              <c:strCache>
                <c:ptCount val="3"/>
                <c:pt idx="0">
                  <c:v>Kupier</c:v>
                </c:pt>
                <c:pt idx="1">
                  <c:v>Starlink</c:v>
                </c:pt>
                <c:pt idx="2">
                  <c:v>OneWeb</c:v>
                </c:pt>
              </c:strCache>
            </c:strRef>
          </c:cat>
          <c:val>
            <c:numRef>
              <c:f>'Results Visualisation'!$J$12:$J$14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5C-4A4B-B29F-0762A6C4B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2939007"/>
        <c:axId val="1462939423"/>
      </c:barChart>
      <c:catAx>
        <c:axId val="146293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462939423"/>
        <c:crosses val="autoZero"/>
        <c:auto val="1"/>
        <c:lblAlgn val="ctr"/>
        <c:lblOffset val="100"/>
        <c:noMultiLvlLbl val="0"/>
      </c:catAx>
      <c:valAx>
        <c:axId val="146293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GB" sz="1200"/>
                  <a:t>KG Sb Eq.</a:t>
                </a:r>
              </a:p>
            </c:rich>
          </c:tx>
          <c:layout>
            <c:manualLayout>
              <c:xMode val="edge"/>
              <c:yMode val="edge"/>
              <c:x val="2.6698076168040832E-2"/>
              <c:y val="0.364174695779606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46293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en-GB" sz="1600" b="1"/>
              <a:t>Freshwater Aquatic Ecotoxicity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35239543820276"/>
          <c:y val="9.9636972174833E-2"/>
          <c:w val="0.82337237880600622"/>
          <c:h val="0.668906320761394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'Results Visualisation'!$C$16</c:f>
              <c:strCache>
                <c:ptCount val="1"/>
                <c:pt idx="0">
                  <c:v>Launcher Production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'Results Visualisation'!$B$17:$B$19</c:f>
              <c:strCache>
                <c:ptCount val="3"/>
                <c:pt idx="0">
                  <c:v>Kupier</c:v>
                </c:pt>
                <c:pt idx="1">
                  <c:v>Starlink</c:v>
                </c:pt>
                <c:pt idx="2">
                  <c:v>OneWeb</c:v>
                </c:pt>
              </c:strCache>
            </c:strRef>
          </c:cat>
          <c:val>
            <c:numRef>
              <c:f>'Results Visualisation'!$C$17:$C$19</c:f>
              <c:numCache>
                <c:formatCode>General</c:formatCode>
                <c:ptCount val="3"/>
                <c:pt idx="0">
                  <c:v>3765692023.6762009</c:v>
                </c:pt>
                <c:pt idx="1">
                  <c:v>1550644626.4379556</c:v>
                </c:pt>
                <c:pt idx="2">
                  <c:v>5614078610.14048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F-47B7-9112-23D6FBEF38A9}"/>
            </c:ext>
          </c:extLst>
        </c:ser>
        <c:ser>
          <c:idx val="1"/>
          <c:order val="1"/>
          <c:tx>
            <c:strRef>
              <c:f>'Results Visualisation'!$D$16</c:f>
              <c:strCache>
                <c:ptCount val="1"/>
                <c:pt idx="0">
                  <c:v>Launcher AIT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'Results Visualisation'!$B$17:$B$19</c:f>
              <c:strCache>
                <c:ptCount val="3"/>
                <c:pt idx="0">
                  <c:v>Kupier</c:v>
                </c:pt>
                <c:pt idx="1">
                  <c:v>Starlink</c:v>
                </c:pt>
                <c:pt idx="2">
                  <c:v>OneWeb</c:v>
                </c:pt>
              </c:strCache>
            </c:strRef>
          </c:cat>
          <c:val>
            <c:numRef>
              <c:f>'Results Visualisation'!$D$17:$D$19</c:f>
              <c:numCache>
                <c:formatCode>General</c:formatCode>
                <c:ptCount val="3"/>
                <c:pt idx="0">
                  <c:v>415859129.60350496</c:v>
                </c:pt>
                <c:pt idx="1">
                  <c:v>569881029.45665491</c:v>
                </c:pt>
                <c:pt idx="2">
                  <c:v>154021899.85314998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2F-47B7-9112-23D6FBEF38A9}"/>
            </c:ext>
          </c:extLst>
        </c:ser>
        <c:ser>
          <c:idx val="2"/>
          <c:order val="2"/>
          <c:tx>
            <c:strRef>
              <c:f>'Results Visualisation'!$E$16</c:f>
              <c:strCache>
                <c:ptCount val="1"/>
                <c:pt idx="0">
                  <c:v>Launcher Propellant Production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'Results Visualisation'!$B$17:$B$19</c:f>
              <c:strCache>
                <c:ptCount val="3"/>
                <c:pt idx="0">
                  <c:v>Kupier</c:v>
                </c:pt>
                <c:pt idx="1">
                  <c:v>Starlink</c:v>
                </c:pt>
                <c:pt idx="2">
                  <c:v>OneWeb</c:v>
                </c:pt>
              </c:strCache>
            </c:strRef>
          </c:cat>
          <c:val>
            <c:numRef>
              <c:f>'Results Visualisation'!$E$17:$E$19</c:f>
              <c:numCache>
                <c:formatCode>General</c:formatCode>
                <c:ptCount val="3"/>
                <c:pt idx="0">
                  <c:v>924701310.17213857</c:v>
                </c:pt>
                <c:pt idx="1">
                  <c:v>395617591.01561445</c:v>
                </c:pt>
                <c:pt idx="2">
                  <c:v>62280861.958490282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2F-47B7-9112-23D6FBEF38A9}"/>
            </c:ext>
          </c:extLst>
        </c:ser>
        <c:ser>
          <c:idx val="3"/>
          <c:order val="3"/>
          <c:tx>
            <c:strRef>
              <c:f>'Results Visualisation'!$F$16</c:f>
              <c:strCache>
                <c:ptCount val="1"/>
                <c:pt idx="0">
                  <c:v>SCHD of Propellant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'Results Visualisation'!$B$17:$B$19</c:f>
              <c:strCache>
                <c:ptCount val="3"/>
                <c:pt idx="0">
                  <c:v>Kupier</c:v>
                </c:pt>
                <c:pt idx="1">
                  <c:v>Starlink</c:v>
                </c:pt>
                <c:pt idx="2">
                  <c:v>OneWeb</c:v>
                </c:pt>
              </c:strCache>
            </c:strRef>
          </c:cat>
          <c:val>
            <c:numRef>
              <c:f>'Results Visualisation'!$F$17:$F$19</c:f>
              <c:numCache>
                <c:formatCode>General</c:formatCode>
                <c:ptCount val="3"/>
                <c:pt idx="0">
                  <c:v>3344674897.5176516</c:v>
                </c:pt>
                <c:pt idx="1">
                  <c:v>2734227013.054121</c:v>
                </c:pt>
                <c:pt idx="2">
                  <c:v>425394806.89208257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2F-47B7-9112-23D6FBEF38A9}"/>
            </c:ext>
          </c:extLst>
        </c:ser>
        <c:ser>
          <c:idx val="4"/>
          <c:order val="4"/>
          <c:tx>
            <c:strRef>
              <c:f>'Results Visualisation'!$G$16</c:f>
              <c:strCache>
                <c:ptCount val="1"/>
                <c:pt idx="0">
                  <c:v>Transportation of Launcher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'Results Visualisation'!$B$17:$B$19</c:f>
              <c:strCache>
                <c:ptCount val="3"/>
                <c:pt idx="0">
                  <c:v>Kupier</c:v>
                </c:pt>
                <c:pt idx="1">
                  <c:v>Starlink</c:v>
                </c:pt>
                <c:pt idx="2">
                  <c:v>OneWeb</c:v>
                </c:pt>
              </c:strCache>
            </c:strRef>
          </c:cat>
          <c:val>
            <c:numRef>
              <c:f>'Results Visualisation'!$G$17:$G$19</c:f>
              <c:numCache>
                <c:formatCode>General</c:formatCode>
                <c:ptCount val="3"/>
                <c:pt idx="0">
                  <c:v>936461.40052167559</c:v>
                </c:pt>
                <c:pt idx="1">
                  <c:v>3520269.0527360979</c:v>
                </c:pt>
                <c:pt idx="2">
                  <c:v>458632.77336208906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2F-47B7-9112-23D6FBEF38A9}"/>
            </c:ext>
          </c:extLst>
        </c:ser>
        <c:ser>
          <c:idx val="5"/>
          <c:order val="5"/>
          <c:tx>
            <c:strRef>
              <c:f>'Results Visualisation'!$H$16</c:f>
              <c:strCache>
                <c:ptCount val="1"/>
                <c:pt idx="0">
                  <c:v>Launch Campaign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'Results Visualisation'!$B$17:$B$19</c:f>
              <c:strCache>
                <c:ptCount val="3"/>
                <c:pt idx="0">
                  <c:v>Kupier</c:v>
                </c:pt>
                <c:pt idx="1">
                  <c:v>Starlink</c:v>
                </c:pt>
                <c:pt idx="2">
                  <c:v>OneWeb</c:v>
                </c:pt>
              </c:strCache>
            </c:strRef>
          </c:cat>
          <c:val>
            <c:numRef>
              <c:f>'Results Visualisation'!$H$17:$H$19</c:f>
              <c:numCache>
                <c:formatCode>General</c:formatCode>
                <c:ptCount val="3"/>
                <c:pt idx="0">
                  <c:v>1008903428.0330663</c:v>
                </c:pt>
                <c:pt idx="1">
                  <c:v>1382571364.3416095</c:v>
                </c:pt>
                <c:pt idx="2">
                  <c:v>373667936.30854309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2F-47B7-9112-23D6FBEF38A9}"/>
            </c:ext>
          </c:extLst>
        </c:ser>
        <c:ser>
          <c:idx val="6"/>
          <c:order val="6"/>
          <c:tx>
            <c:strRef>
              <c:f>'Results Visualisation'!$I$16</c:f>
              <c:strCache>
                <c:ptCount val="1"/>
                <c:pt idx="0">
                  <c:v>Launch event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'Results Visualisation'!$B$17:$B$19</c:f>
              <c:strCache>
                <c:ptCount val="3"/>
                <c:pt idx="0">
                  <c:v>Kupier</c:v>
                </c:pt>
                <c:pt idx="1">
                  <c:v>Starlink</c:v>
                </c:pt>
                <c:pt idx="2">
                  <c:v>OneWeb</c:v>
                </c:pt>
              </c:strCache>
            </c:strRef>
          </c:cat>
          <c:val>
            <c:numRef>
              <c:f>'Results Visualisation'!$I$17:$I$19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2F-47B7-9112-23D6FBEF38A9}"/>
            </c:ext>
          </c:extLst>
        </c:ser>
        <c:ser>
          <c:idx val="7"/>
          <c:order val="7"/>
          <c:tx>
            <c:strRef>
              <c:f>'Results Visualisation'!$J$16</c:f>
              <c:strCache>
                <c:ptCount val="1"/>
                <c:pt idx="0">
                  <c:v>Launch event (additional impacts with BC, Al2O3, Water Vapour)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'Results Visualisation'!$B$17:$B$19</c:f>
              <c:strCache>
                <c:ptCount val="3"/>
                <c:pt idx="0">
                  <c:v>Kupier</c:v>
                </c:pt>
                <c:pt idx="1">
                  <c:v>Starlink</c:v>
                </c:pt>
                <c:pt idx="2">
                  <c:v>OneWeb</c:v>
                </c:pt>
              </c:strCache>
            </c:strRef>
          </c:cat>
          <c:val>
            <c:numRef>
              <c:f>'Results Visualisation'!$J$17:$J$19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2F-47B7-9112-23D6FBEF3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2939007"/>
        <c:axId val="1462939423"/>
      </c:barChart>
      <c:catAx>
        <c:axId val="146293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462939423"/>
        <c:crosses val="autoZero"/>
        <c:auto val="1"/>
        <c:lblAlgn val="ctr"/>
        <c:lblOffset val="100"/>
        <c:noMultiLvlLbl val="0"/>
      </c:catAx>
      <c:valAx>
        <c:axId val="146293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GB" sz="1200"/>
                  <a:t>PAF.m3.day</a:t>
                </a:r>
              </a:p>
            </c:rich>
          </c:tx>
          <c:layout>
            <c:manualLayout>
              <c:xMode val="edge"/>
              <c:yMode val="edge"/>
              <c:x val="2.6698076168040832E-2"/>
              <c:y val="0.347636257672666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46293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en-GB" sz="1600" b="1"/>
              <a:t>Human Ecotoxicity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879082694168529"/>
          <c:y val="9.9636972174833E-2"/>
          <c:w val="0.81393394730252344"/>
          <c:h val="0.668906320761394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'Results Visualisation'!$C$21</c:f>
              <c:strCache>
                <c:ptCount val="1"/>
                <c:pt idx="0">
                  <c:v>Launcher Production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'Results Visualisation'!$B$22:$B$24</c:f>
              <c:strCache>
                <c:ptCount val="3"/>
                <c:pt idx="0">
                  <c:v>Kupier</c:v>
                </c:pt>
                <c:pt idx="1">
                  <c:v>Starlink</c:v>
                </c:pt>
                <c:pt idx="2">
                  <c:v>OneWeb</c:v>
                </c:pt>
              </c:strCache>
            </c:strRef>
          </c:cat>
          <c:val>
            <c:numRef>
              <c:f>'Results Visualisation'!$C$22:$C$24</c:f>
              <c:numCache>
                <c:formatCode>General</c:formatCode>
                <c:ptCount val="3"/>
                <c:pt idx="0">
                  <c:v>247.61081046303838</c:v>
                </c:pt>
                <c:pt idx="1">
                  <c:v>113.38075272014777</c:v>
                </c:pt>
                <c:pt idx="2">
                  <c:v>382.72253795045799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53C-A1E1-ADF63209C645}"/>
            </c:ext>
          </c:extLst>
        </c:ser>
        <c:ser>
          <c:idx val="1"/>
          <c:order val="1"/>
          <c:tx>
            <c:strRef>
              <c:f>'Results Visualisation'!$D$21</c:f>
              <c:strCache>
                <c:ptCount val="1"/>
                <c:pt idx="0">
                  <c:v>Launcher AIT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'Results Visualisation'!$B$22:$B$24</c:f>
              <c:strCache>
                <c:ptCount val="3"/>
                <c:pt idx="0">
                  <c:v>Kupier</c:v>
                </c:pt>
                <c:pt idx="1">
                  <c:v>Starlink</c:v>
                </c:pt>
                <c:pt idx="2">
                  <c:v>OneWeb</c:v>
                </c:pt>
              </c:strCache>
            </c:strRef>
          </c:cat>
          <c:val>
            <c:numRef>
              <c:f>'Results Visualisation'!$D$22:$D$24</c:f>
              <c:numCache>
                <c:formatCode>General</c:formatCode>
                <c:ptCount val="3"/>
                <c:pt idx="0">
                  <c:v>26.256644161334883</c:v>
                </c:pt>
                <c:pt idx="1">
                  <c:v>35.981327184051509</c:v>
                </c:pt>
                <c:pt idx="2">
                  <c:v>9.7246830227166239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E4-453C-A1E1-ADF63209C645}"/>
            </c:ext>
          </c:extLst>
        </c:ser>
        <c:ser>
          <c:idx val="2"/>
          <c:order val="2"/>
          <c:tx>
            <c:strRef>
              <c:f>'Results Visualisation'!$E$21</c:f>
              <c:strCache>
                <c:ptCount val="1"/>
                <c:pt idx="0">
                  <c:v>Launcher Propellant Production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'Results Visualisation'!$B$22:$B$24</c:f>
              <c:strCache>
                <c:ptCount val="3"/>
                <c:pt idx="0">
                  <c:v>Kupier</c:v>
                </c:pt>
                <c:pt idx="1">
                  <c:v>Starlink</c:v>
                </c:pt>
                <c:pt idx="2">
                  <c:v>OneWeb</c:v>
                </c:pt>
              </c:strCache>
            </c:strRef>
          </c:cat>
          <c:val>
            <c:numRef>
              <c:f>'Results Visualisation'!$E$22:$E$24</c:f>
              <c:numCache>
                <c:formatCode>General</c:formatCode>
                <c:ptCount val="3"/>
                <c:pt idx="0">
                  <c:v>82.093704887785776</c:v>
                </c:pt>
                <c:pt idx="1">
                  <c:v>35.666695636182105</c:v>
                </c:pt>
                <c:pt idx="2">
                  <c:v>5.6281952025448847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E4-453C-A1E1-ADF63209C645}"/>
            </c:ext>
          </c:extLst>
        </c:ser>
        <c:ser>
          <c:idx val="3"/>
          <c:order val="3"/>
          <c:tx>
            <c:strRef>
              <c:f>'Results Visualisation'!$F$21</c:f>
              <c:strCache>
                <c:ptCount val="1"/>
                <c:pt idx="0">
                  <c:v>SCHD of Propellant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'Results Visualisation'!$B$22:$B$24</c:f>
              <c:strCache>
                <c:ptCount val="3"/>
                <c:pt idx="0">
                  <c:v>Kupier</c:v>
                </c:pt>
                <c:pt idx="1">
                  <c:v>Starlink</c:v>
                </c:pt>
                <c:pt idx="2">
                  <c:v>OneWeb</c:v>
                </c:pt>
              </c:strCache>
            </c:strRef>
          </c:cat>
          <c:val>
            <c:numRef>
              <c:f>'Results Visualisation'!$F$22:$F$24</c:f>
              <c:numCache>
                <c:formatCode>General</c:formatCode>
                <c:ptCount val="3"/>
                <c:pt idx="0">
                  <c:v>225.77985250222531</c:v>
                </c:pt>
                <c:pt idx="1">
                  <c:v>179.96259678193101</c:v>
                </c:pt>
                <c:pt idx="2">
                  <c:v>27.99105677918498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E4-453C-A1E1-ADF63209C645}"/>
            </c:ext>
          </c:extLst>
        </c:ser>
        <c:ser>
          <c:idx val="4"/>
          <c:order val="4"/>
          <c:tx>
            <c:strRef>
              <c:f>'Results Visualisation'!$G$21</c:f>
              <c:strCache>
                <c:ptCount val="1"/>
                <c:pt idx="0">
                  <c:v>Transportation of Launcher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'Results Visualisation'!$B$22:$B$24</c:f>
              <c:strCache>
                <c:ptCount val="3"/>
                <c:pt idx="0">
                  <c:v>Kupier</c:v>
                </c:pt>
                <c:pt idx="1">
                  <c:v>Starlink</c:v>
                </c:pt>
                <c:pt idx="2">
                  <c:v>OneWeb</c:v>
                </c:pt>
              </c:strCache>
            </c:strRef>
          </c:cat>
          <c:val>
            <c:numRef>
              <c:f>'Results Visualisation'!$G$22:$G$24</c:f>
              <c:numCache>
                <c:formatCode>General</c:formatCode>
                <c:ptCount val="3"/>
                <c:pt idx="0">
                  <c:v>8.9312018866388954E-2</c:v>
                </c:pt>
                <c:pt idx="1">
                  <c:v>0.35273464827915968</c:v>
                </c:pt>
                <c:pt idx="2">
                  <c:v>5.1607458175010487E-2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E4-453C-A1E1-ADF63209C645}"/>
            </c:ext>
          </c:extLst>
        </c:ser>
        <c:ser>
          <c:idx val="5"/>
          <c:order val="5"/>
          <c:tx>
            <c:strRef>
              <c:f>'Results Visualisation'!$H$21</c:f>
              <c:strCache>
                <c:ptCount val="1"/>
                <c:pt idx="0">
                  <c:v>Launch Campaign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'Results Visualisation'!$B$22:$B$24</c:f>
              <c:strCache>
                <c:ptCount val="3"/>
                <c:pt idx="0">
                  <c:v>Kupier</c:v>
                </c:pt>
                <c:pt idx="1">
                  <c:v>Starlink</c:v>
                </c:pt>
                <c:pt idx="2">
                  <c:v>OneWeb</c:v>
                </c:pt>
              </c:strCache>
            </c:strRef>
          </c:cat>
          <c:val>
            <c:numRef>
              <c:f>'Results Visualisation'!$H$22:$H$24</c:f>
              <c:numCache>
                <c:formatCode>General</c:formatCode>
                <c:ptCount val="3"/>
                <c:pt idx="0">
                  <c:v>91.576513861203722</c:v>
                </c:pt>
                <c:pt idx="1">
                  <c:v>125.4937412172051</c:v>
                </c:pt>
                <c:pt idx="2">
                  <c:v>33.917227356001376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E4-453C-A1E1-ADF63209C645}"/>
            </c:ext>
          </c:extLst>
        </c:ser>
        <c:ser>
          <c:idx val="6"/>
          <c:order val="6"/>
          <c:tx>
            <c:strRef>
              <c:f>'Results Visualisation'!$I$21</c:f>
              <c:strCache>
                <c:ptCount val="1"/>
                <c:pt idx="0">
                  <c:v>Launch event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'Results Visualisation'!$B$22:$B$24</c:f>
              <c:strCache>
                <c:ptCount val="3"/>
                <c:pt idx="0">
                  <c:v>Kupier</c:v>
                </c:pt>
                <c:pt idx="1">
                  <c:v>Starlink</c:v>
                </c:pt>
                <c:pt idx="2">
                  <c:v>OneWeb</c:v>
                </c:pt>
              </c:strCache>
            </c:strRef>
          </c:cat>
          <c:val>
            <c:numRef>
              <c:f>'Results Visualisation'!$I$22:$I$24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E4-453C-A1E1-ADF63209C645}"/>
            </c:ext>
          </c:extLst>
        </c:ser>
        <c:ser>
          <c:idx val="7"/>
          <c:order val="7"/>
          <c:tx>
            <c:strRef>
              <c:f>'Results Visualisation'!$J$21</c:f>
              <c:strCache>
                <c:ptCount val="1"/>
                <c:pt idx="0">
                  <c:v>Launch event (additional impacts with BC, Al2O3, Water Vapour)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'Results Visualisation'!$B$22:$B$24</c:f>
              <c:strCache>
                <c:ptCount val="3"/>
                <c:pt idx="0">
                  <c:v>Kupier</c:v>
                </c:pt>
                <c:pt idx="1">
                  <c:v>Starlink</c:v>
                </c:pt>
                <c:pt idx="2">
                  <c:v>OneWeb</c:v>
                </c:pt>
              </c:strCache>
            </c:strRef>
          </c:cat>
          <c:val>
            <c:numRef>
              <c:f>'Results Visualisation'!$J$22:$J$24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E4-453C-A1E1-ADF63209C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2939007"/>
        <c:axId val="1462939423"/>
      </c:barChart>
      <c:catAx>
        <c:axId val="146293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462939423"/>
        <c:crosses val="autoZero"/>
        <c:auto val="1"/>
        <c:lblAlgn val="ctr"/>
        <c:lblOffset val="100"/>
        <c:noMultiLvlLbl val="0"/>
      </c:catAx>
      <c:valAx>
        <c:axId val="146293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1200"/>
                  <a:t>CASES</a:t>
                </a:r>
              </a:p>
            </c:rich>
          </c:tx>
          <c:layout>
            <c:manualLayout>
              <c:xMode val="edge"/>
              <c:yMode val="edge"/>
              <c:x val="2.3557126030624265E-2"/>
              <c:y val="0.385439021557894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46293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26</xdr:row>
      <xdr:rowOff>90486</xdr:rowOff>
    </xdr:from>
    <xdr:to>
      <xdr:col>6</xdr:col>
      <xdr:colOff>600074</xdr:colOff>
      <xdr:row>53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685687-18CB-A1FD-4BBC-2351C7B13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1114425</xdr:colOff>
      <xdr:row>26</xdr:row>
      <xdr:rowOff>114300</xdr:rowOff>
    </xdr:from>
    <xdr:to>
      <xdr:col>12</xdr:col>
      <xdr:colOff>400050</xdr:colOff>
      <xdr:row>53</xdr:row>
      <xdr:rowOff>42863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27ABA5-1044-400E-9653-8B8558106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323850</xdr:colOff>
      <xdr:row>54</xdr:row>
      <xdr:rowOff>9525</xdr:rowOff>
    </xdr:from>
    <xdr:to>
      <xdr:col>6</xdr:col>
      <xdr:colOff>609600</xdr:colOff>
      <xdr:row>80</xdr:row>
      <xdr:rowOff>128588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E2FCAC-37B8-4911-BBFA-39000706D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1114425</xdr:colOff>
      <xdr:row>54</xdr:row>
      <xdr:rowOff>0</xdr:rowOff>
    </xdr:from>
    <xdr:to>
      <xdr:col>12</xdr:col>
      <xdr:colOff>400050</xdr:colOff>
      <xdr:row>80</xdr:row>
      <xdr:rowOff>119063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BC7087-9CD6-40F1-9160-27F8D911D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419100</xdr:colOff>
      <xdr:row>82</xdr:row>
      <xdr:rowOff>47625</xdr:rowOff>
    </xdr:from>
    <xdr:to>
      <xdr:col>9</xdr:col>
      <xdr:colOff>1724025</xdr:colOff>
      <xdr:row>108</xdr:row>
      <xdr:rowOff>166688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FBE234-F387-4577-913E-647FAC516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"/>
  <sheetViews>
    <sheetView workbookViewId="0">
      <selection activeCell="S4" sqref="S4"/>
    </sheetView>
  </sheetViews>
  <sheetFormatPr defaultRowHeight="14.4" x14ac:dyDescent="0.3"/>
  <cols>
    <col min="1" max="1" width="38.109375" bestFit="1" customWidth="1"/>
    <col min="2" max="2" width="57.33203125" bestFit="1" customWidth="1"/>
    <col min="3" max="3" width="24.88671875" bestFit="1" customWidth="1"/>
    <col min="4" max="4" width="35" bestFit="1" customWidth="1"/>
    <col min="5" max="5" width="16.44140625" bestFit="1" customWidth="1"/>
    <col min="6" max="6" width="22.5546875" bestFit="1" customWidth="1"/>
    <col min="7" max="7" width="31.109375" bestFit="1" customWidth="1"/>
    <col min="8" max="8" width="53.6640625" bestFit="1" customWidth="1"/>
    <col min="9" max="9" width="34.5546875" bestFit="1" customWidth="1"/>
    <col min="10" max="10" width="16.33203125" bestFit="1" customWidth="1"/>
    <col min="11" max="11" width="22.44140625" bestFit="1" customWidth="1"/>
    <col min="12" max="12" width="31" bestFit="1" customWidth="1"/>
    <col min="13" max="13" width="33.44140625" bestFit="1" customWidth="1"/>
    <col min="14" max="14" width="35.6640625" bestFit="1" customWidth="1"/>
    <col min="15" max="15" width="17.5546875" bestFit="1" customWidth="1"/>
    <col min="16" max="16" width="23.5546875" bestFit="1" customWidth="1"/>
    <col min="17" max="17" width="32.109375" bestFit="1" customWidth="1"/>
    <col min="18" max="18" width="27" bestFit="1" customWidth="1"/>
    <col min="19" max="19" width="36.109375" bestFit="1" customWidth="1"/>
    <col min="20" max="20" width="54.88671875" bestFit="1" customWidth="1"/>
    <col min="21" max="21" width="40.6640625" bestFit="1" customWidth="1"/>
    <col min="22" max="22" width="27.109375" bestFit="1" customWidth="1"/>
    <col min="23" max="23" width="23.109375" bestFit="1" customWidth="1"/>
    <col min="24" max="24" width="18" bestFit="1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120</v>
      </c>
      <c r="E1" s="1" t="s">
        <v>76</v>
      </c>
      <c r="F1" s="1" t="s">
        <v>85</v>
      </c>
      <c r="G1" s="4" t="s">
        <v>100</v>
      </c>
      <c r="H1" s="4" t="s">
        <v>116</v>
      </c>
      <c r="I1" s="4" t="s">
        <v>122</v>
      </c>
      <c r="J1" s="1" t="s">
        <v>80</v>
      </c>
      <c r="K1" s="1" t="s">
        <v>136</v>
      </c>
      <c r="L1" s="4" t="s">
        <v>101</v>
      </c>
      <c r="M1" s="4" t="s">
        <v>114</v>
      </c>
      <c r="N1" s="1" t="s">
        <v>121</v>
      </c>
      <c r="O1" s="1" t="s">
        <v>81</v>
      </c>
      <c r="P1" s="1" t="s">
        <v>86</v>
      </c>
      <c r="Q1" s="4" t="s">
        <v>102</v>
      </c>
      <c r="R1" s="4" t="s">
        <v>115</v>
      </c>
      <c r="S1" s="4" t="s">
        <v>108</v>
      </c>
      <c r="T1" s="4" t="s">
        <v>109</v>
      </c>
      <c r="U1" s="4" t="s">
        <v>110</v>
      </c>
      <c r="V1" s="4" t="s">
        <v>111</v>
      </c>
      <c r="W1" s="4" t="s">
        <v>103</v>
      </c>
      <c r="X1" s="4" t="s">
        <v>90</v>
      </c>
    </row>
    <row r="2" spans="1:24" x14ac:dyDescent="0.3">
      <c r="A2" t="s">
        <v>3</v>
      </c>
      <c r="B2" t="s">
        <v>4</v>
      </c>
      <c r="C2" t="s">
        <v>5</v>
      </c>
      <c r="D2">
        <f>E2</f>
        <v>65176.43</v>
      </c>
      <c r="E2">
        <v>65176.43</v>
      </c>
      <c r="F2">
        <v>54180.768077215784</v>
      </c>
      <c r="G2">
        <v>24130.483283117632</v>
      </c>
      <c r="H2">
        <v>176.23475367528138</v>
      </c>
      <c r="I2">
        <f>J2</f>
        <v>341.85899999999998</v>
      </c>
      <c r="J2">
        <v>341.85899999999998</v>
      </c>
      <c r="K2">
        <v>23066.774173845472</v>
      </c>
      <c r="L2">
        <v>22985.222866396507</v>
      </c>
      <c r="M2">
        <v>44.880022118434894</v>
      </c>
      <c r="N2">
        <f>O2</f>
        <v>157.85699999999997</v>
      </c>
      <c r="O2">
        <v>157.85699999999997</v>
      </c>
      <c r="P2">
        <v>222796.25787951602</v>
      </c>
      <c r="Q2">
        <v>4673.5574630182273</v>
      </c>
      <c r="R2">
        <v>23.61629255887798</v>
      </c>
      <c r="S2">
        <v>15.201664610031754</v>
      </c>
      <c r="T2">
        <v>4.4415432525982436E-2</v>
      </c>
      <c r="U2">
        <v>1.8030463326937991E-2</v>
      </c>
      <c r="V2">
        <v>0.19034953822236328</v>
      </c>
      <c r="W2">
        <v>8825.0191871252173</v>
      </c>
      <c r="X2">
        <v>26479.613010181864</v>
      </c>
    </row>
    <row r="3" spans="1:24" x14ac:dyDescent="0.3">
      <c r="A3" t="s">
        <v>6</v>
      </c>
      <c r="B3" t="s">
        <v>7</v>
      </c>
      <c r="C3" t="s">
        <v>8</v>
      </c>
      <c r="D3">
        <f t="shared" ref="D3:D26" si="0">E3</f>
        <v>158410</v>
      </c>
      <c r="E3">
        <v>158410</v>
      </c>
      <c r="F3">
        <v>0</v>
      </c>
      <c r="G3">
        <v>0</v>
      </c>
      <c r="H3">
        <v>0</v>
      </c>
      <c r="I3">
        <f t="shared" ref="I3:I26" si="1">J3</f>
        <v>24418.5</v>
      </c>
      <c r="J3">
        <v>24418.5</v>
      </c>
      <c r="K3">
        <v>0</v>
      </c>
      <c r="L3">
        <v>0</v>
      </c>
      <c r="M3">
        <v>0</v>
      </c>
      <c r="N3">
        <f t="shared" ref="N3:N26" si="2">O3</f>
        <v>10914.86</v>
      </c>
      <c r="O3">
        <v>10914.86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3">
      <c r="A4" t="s">
        <v>9</v>
      </c>
      <c r="B4" t="s">
        <v>10</v>
      </c>
      <c r="C4" t="s">
        <v>11</v>
      </c>
      <c r="D4">
        <f>E4-73502240-21471840-12201446.4</f>
        <v>467816.80000000261</v>
      </c>
      <c r="E4">
        <v>107643343.2</v>
      </c>
      <c r="F4">
        <v>11018755.479632294</v>
      </c>
      <c r="G4">
        <v>4793267.4795996109</v>
      </c>
      <c r="H4">
        <v>11043.18682335895</v>
      </c>
      <c r="I4">
        <f>J4-11330184-10900418.4-3867890.4</f>
        <v>630466.13519999431</v>
      </c>
      <c r="J4">
        <v>26728958.935199995</v>
      </c>
      <c r="K4">
        <v>4113533.9070438663</v>
      </c>
      <c r="L4">
        <v>4744753.3386012306</v>
      </c>
      <c r="M4">
        <v>17220.724910639186</v>
      </c>
      <c r="N4">
        <f>O4-5064495.04-4901963.04-1776324</f>
        <v>288655.10960000008</v>
      </c>
      <c r="O4">
        <v>12031437.1896</v>
      </c>
      <c r="P4">
        <v>44680412.981284596</v>
      </c>
      <c r="Q4">
        <v>968910.19943819474</v>
      </c>
      <c r="R4">
        <v>4328.6038079110258</v>
      </c>
      <c r="S4">
        <v>3010.0417356509301</v>
      </c>
      <c r="T4">
        <v>8.1785312771686876</v>
      </c>
      <c r="U4">
        <v>5.2770303864775068</v>
      </c>
      <c r="V4">
        <v>5.7891776486982183</v>
      </c>
      <c r="W4">
        <v>1616263.5572494173</v>
      </c>
      <c r="X4">
        <v>5666556.7423715731</v>
      </c>
    </row>
    <row r="5" spans="1:24" x14ac:dyDescent="0.3">
      <c r="A5" t="s">
        <v>12</v>
      </c>
      <c r="B5" t="s">
        <v>13</v>
      </c>
      <c r="C5" t="s">
        <v>14</v>
      </c>
      <c r="D5">
        <f t="shared" si="0"/>
        <v>0</v>
      </c>
      <c r="E5">
        <v>0</v>
      </c>
      <c r="F5">
        <v>12125.574559904668</v>
      </c>
      <c r="G5">
        <v>1340.2622164166003</v>
      </c>
      <c r="H5">
        <v>12.906145138255262</v>
      </c>
      <c r="I5">
        <f t="shared" si="1"/>
        <v>0</v>
      </c>
      <c r="J5">
        <v>0</v>
      </c>
      <c r="K5">
        <v>3224.1470787433518</v>
      </c>
      <c r="L5">
        <v>3207.9974549996687</v>
      </c>
      <c r="M5">
        <v>24.578484570668877</v>
      </c>
      <c r="N5">
        <f t="shared" si="2"/>
        <v>0</v>
      </c>
      <c r="O5">
        <v>0</v>
      </c>
      <c r="P5">
        <v>42946.708890494301</v>
      </c>
      <c r="Q5">
        <v>647.53633518045035</v>
      </c>
      <c r="R5">
        <v>2.1286180993160309</v>
      </c>
      <c r="S5">
        <v>0.70580853098272389</v>
      </c>
      <c r="T5">
        <v>2.351018431180484E-3</v>
      </c>
      <c r="U5">
        <v>1.0513828252341039E-3</v>
      </c>
      <c r="V5">
        <v>2.1234014452616895E-3</v>
      </c>
      <c r="W5">
        <v>697.6266385090787</v>
      </c>
      <c r="X5">
        <v>3340.0507369887155</v>
      </c>
    </row>
    <row r="6" spans="1:24" x14ac:dyDescent="0.3">
      <c r="A6" t="s">
        <v>15</v>
      </c>
      <c r="B6" t="s">
        <v>16</v>
      </c>
      <c r="C6" t="s">
        <v>14</v>
      </c>
      <c r="D6">
        <f t="shared" si="0"/>
        <v>96595</v>
      </c>
      <c r="E6">
        <v>96595</v>
      </c>
      <c r="F6">
        <v>0</v>
      </c>
      <c r="G6">
        <v>0</v>
      </c>
      <c r="H6">
        <v>0</v>
      </c>
      <c r="I6">
        <f t="shared" si="1"/>
        <v>0</v>
      </c>
      <c r="J6">
        <v>0</v>
      </c>
      <c r="K6">
        <v>0</v>
      </c>
      <c r="L6">
        <v>0</v>
      </c>
      <c r="M6">
        <v>0</v>
      </c>
      <c r="N6">
        <f t="shared" si="2"/>
        <v>34250</v>
      </c>
      <c r="O6">
        <v>34250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">
      <c r="A7" t="s">
        <v>17</v>
      </c>
      <c r="B7" t="s">
        <v>18</v>
      </c>
      <c r="C7" t="s">
        <v>19</v>
      </c>
      <c r="D7">
        <f t="shared" si="0"/>
        <v>0</v>
      </c>
      <c r="E7">
        <v>0</v>
      </c>
      <c r="F7">
        <v>-128598253.6349341</v>
      </c>
      <c r="G7">
        <v>-10386423.04415315</v>
      </c>
      <c r="H7">
        <v>-319019.93082239502</v>
      </c>
      <c r="I7">
        <f t="shared" si="1"/>
        <v>0</v>
      </c>
      <c r="J7">
        <v>0</v>
      </c>
      <c r="K7">
        <v>-60015049.843185797</v>
      </c>
      <c r="L7">
        <v>-7067417.9762482988</v>
      </c>
      <c r="M7">
        <v>-679877.01827891998</v>
      </c>
      <c r="N7">
        <f t="shared" si="2"/>
        <v>0</v>
      </c>
      <c r="O7">
        <v>0</v>
      </c>
      <c r="P7">
        <v>-15111337.4408857</v>
      </c>
      <c r="Q7">
        <v>-1656411.2619206817</v>
      </c>
      <c r="R7">
        <v>-385014.86943279993</v>
      </c>
      <c r="S7">
        <v>-88.141599999999954</v>
      </c>
      <c r="T7">
        <v>-45.844137090800004</v>
      </c>
      <c r="U7">
        <v>-0.63744749999999994</v>
      </c>
      <c r="V7">
        <v>-9.2077687169999987</v>
      </c>
      <c r="W7">
        <v>-254482.19999999995</v>
      </c>
      <c r="X7">
        <v>-5879755.1550195301</v>
      </c>
    </row>
    <row r="8" spans="1:24" x14ac:dyDescent="0.3">
      <c r="A8" t="s">
        <v>20</v>
      </c>
      <c r="B8" t="s">
        <v>21</v>
      </c>
      <c r="C8" t="s">
        <v>22</v>
      </c>
      <c r="D8">
        <f t="shared" si="0"/>
        <v>0</v>
      </c>
      <c r="E8">
        <v>0</v>
      </c>
      <c r="F8">
        <v>173699469.02169821</v>
      </c>
      <c r="G8">
        <v>102503167.70370749</v>
      </c>
      <c r="H8">
        <v>176788.62540940056</v>
      </c>
      <c r="I8">
        <f t="shared" si="1"/>
        <v>0</v>
      </c>
      <c r="J8">
        <v>0</v>
      </c>
      <c r="K8">
        <v>62648192.652925424</v>
      </c>
      <c r="L8">
        <v>116737976.88923727</v>
      </c>
      <c r="M8">
        <v>311633.87029220484</v>
      </c>
      <c r="N8">
        <f t="shared" si="2"/>
        <v>0</v>
      </c>
      <c r="O8">
        <v>0</v>
      </c>
      <c r="P8">
        <v>707571931.67215598</v>
      </c>
      <c r="Q8">
        <v>23700848.101850122</v>
      </c>
      <c r="R8">
        <v>193606.35006318812</v>
      </c>
      <c r="S8">
        <v>43416.458385231017</v>
      </c>
      <c r="T8">
        <v>202.02400727010661</v>
      </c>
      <c r="U8">
        <v>76.491554919553437</v>
      </c>
      <c r="V8">
        <v>631.41348084214837</v>
      </c>
      <c r="W8">
        <v>41921740.151423164</v>
      </c>
      <c r="X8">
        <v>135834545.36514488</v>
      </c>
    </row>
    <row r="9" spans="1:24" x14ac:dyDescent="0.3">
      <c r="A9" t="s">
        <v>23</v>
      </c>
      <c r="B9" t="s">
        <v>24</v>
      </c>
      <c r="C9" t="s">
        <v>25</v>
      </c>
      <c r="D9">
        <f t="shared" si="0"/>
        <v>0</v>
      </c>
      <c r="E9">
        <v>0</v>
      </c>
      <c r="F9">
        <v>5605.9186206518398</v>
      </c>
      <c r="G9">
        <v>3398.3187450294099</v>
      </c>
      <c r="H9">
        <v>1.2522398578559026</v>
      </c>
      <c r="I9">
        <f t="shared" si="1"/>
        <v>0</v>
      </c>
      <c r="J9">
        <v>0</v>
      </c>
      <c r="K9">
        <v>2086.9513080358329</v>
      </c>
      <c r="L9">
        <v>3423.0017080710995</v>
      </c>
      <c r="M9">
        <v>1.0963198503048237</v>
      </c>
      <c r="N9">
        <f t="shared" si="2"/>
        <v>0</v>
      </c>
      <c r="O9">
        <v>0</v>
      </c>
      <c r="P9">
        <v>23236.5825058888</v>
      </c>
      <c r="Q9">
        <v>696.50803254556945</v>
      </c>
      <c r="R9">
        <v>1.5214030886631307</v>
      </c>
      <c r="S9">
        <v>1.3614718477951027</v>
      </c>
      <c r="T9">
        <v>5.7949025096370212E-3</v>
      </c>
      <c r="U9">
        <v>3.7467626978281355E-4</v>
      </c>
      <c r="V9">
        <v>4.2506453161825497E-3</v>
      </c>
      <c r="W9">
        <v>868.02749900786409</v>
      </c>
      <c r="X9">
        <v>4266.6176385415683</v>
      </c>
    </row>
    <row r="10" spans="1:24" x14ac:dyDescent="0.3">
      <c r="A10" t="s">
        <v>26</v>
      </c>
      <c r="B10" t="s">
        <v>27</v>
      </c>
      <c r="C10" t="s">
        <v>28</v>
      </c>
      <c r="D10">
        <f t="shared" si="0"/>
        <v>0</v>
      </c>
      <c r="E10">
        <v>0</v>
      </c>
      <c r="F10">
        <v>12065.55755617515</v>
      </c>
      <c r="G10">
        <v>4233.0727963778063</v>
      </c>
      <c r="H10">
        <v>41.631733670469615</v>
      </c>
      <c r="I10">
        <f t="shared" si="1"/>
        <v>0</v>
      </c>
      <c r="J10">
        <v>0</v>
      </c>
      <c r="K10">
        <v>4456.0563463332783</v>
      </c>
      <c r="L10">
        <v>4656.3468211680356</v>
      </c>
      <c r="M10">
        <v>11.323420520204204</v>
      </c>
      <c r="N10">
        <f t="shared" si="2"/>
        <v>0</v>
      </c>
      <c r="O10">
        <v>0</v>
      </c>
      <c r="P10">
        <v>49192.104941361307</v>
      </c>
      <c r="Q10">
        <v>947.69641427450301</v>
      </c>
      <c r="R10">
        <v>6.527983389975593</v>
      </c>
      <c r="S10">
        <v>2.8767315038595891</v>
      </c>
      <c r="T10">
        <v>7.455794945231276E-3</v>
      </c>
      <c r="U10">
        <v>5.3546714497995909E-3</v>
      </c>
      <c r="V10">
        <v>5.5930070430170398E-2</v>
      </c>
      <c r="W10">
        <v>1553.5031920852914</v>
      </c>
      <c r="X10">
        <v>5314.5705902229456</v>
      </c>
    </row>
    <row r="11" spans="1:24" x14ac:dyDescent="0.3">
      <c r="A11" t="s">
        <v>29</v>
      </c>
      <c r="B11" t="s">
        <v>30</v>
      </c>
      <c r="C11" t="s">
        <v>31</v>
      </c>
      <c r="D11">
        <f t="shared" si="0"/>
        <v>0</v>
      </c>
      <c r="E11">
        <v>0</v>
      </c>
      <c r="F11">
        <v>1738536.6950043864</v>
      </c>
      <c r="G11">
        <v>2810572.6196479443</v>
      </c>
      <c r="H11">
        <v>1019.5259329385067</v>
      </c>
      <c r="I11">
        <f t="shared" si="1"/>
        <v>0</v>
      </c>
      <c r="J11">
        <v>0</v>
      </c>
      <c r="K11">
        <v>520047.31093605375</v>
      </c>
      <c r="L11">
        <v>2922255.3451022059</v>
      </c>
      <c r="M11">
        <v>1812.4519988679908</v>
      </c>
      <c r="N11">
        <f t="shared" si="2"/>
        <v>0</v>
      </c>
      <c r="O11">
        <v>0</v>
      </c>
      <c r="P11">
        <v>7378691.9151087394</v>
      </c>
      <c r="Q11">
        <v>594988.7361947383</v>
      </c>
      <c r="R11">
        <v>6793.2597025140567</v>
      </c>
      <c r="S11">
        <v>535.26558516968601</v>
      </c>
      <c r="T11">
        <v>3.1340698012036472</v>
      </c>
      <c r="U11">
        <v>7.452949448515081E-2</v>
      </c>
      <c r="V11">
        <v>3.4705598781780602</v>
      </c>
      <c r="W11">
        <v>1481399.5277235005</v>
      </c>
      <c r="X11">
        <v>3716643.0167293628</v>
      </c>
    </row>
    <row r="12" spans="1:24" x14ac:dyDescent="0.3">
      <c r="A12" t="s">
        <v>32</v>
      </c>
      <c r="B12" t="s">
        <v>33</v>
      </c>
      <c r="C12" t="s">
        <v>34</v>
      </c>
      <c r="D12">
        <f t="shared" si="0"/>
        <v>0</v>
      </c>
      <c r="E12">
        <v>0</v>
      </c>
      <c r="F12">
        <v>0</v>
      </c>
      <c r="G12">
        <v>0</v>
      </c>
      <c r="H12">
        <v>0</v>
      </c>
      <c r="I12">
        <f t="shared" si="1"/>
        <v>0</v>
      </c>
      <c r="J12">
        <v>0</v>
      </c>
      <c r="K12">
        <v>0</v>
      </c>
      <c r="L12">
        <v>0</v>
      </c>
      <c r="M12">
        <v>0</v>
      </c>
      <c r="N12">
        <f t="shared" si="2"/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">
      <c r="A13" t="s">
        <v>35</v>
      </c>
      <c r="B13" t="s">
        <v>36</v>
      </c>
      <c r="C13" t="s">
        <v>37</v>
      </c>
      <c r="D13">
        <f t="shared" si="0"/>
        <v>0</v>
      </c>
      <c r="E13">
        <v>0</v>
      </c>
      <c r="F13">
        <v>0</v>
      </c>
      <c r="G13">
        <v>0</v>
      </c>
      <c r="H13">
        <v>0</v>
      </c>
      <c r="I13">
        <f t="shared" si="1"/>
        <v>0</v>
      </c>
      <c r="J13">
        <v>0</v>
      </c>
      <c r="K13">
        <v>0</v>
      </c>
      <c r="L13">
        <v>0</v>
      </c>
      <c r="M13">
        <v>0</v>
      </c>
      <c r="N13">
        <f t="shared" si="2"/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">
      <c r="A14" t="s">
        <v>38</v>
      </c>
      <c r="B14" t="s">
        <v>39</v>
      </c>
      <c r="C14" t="s">
        <v>40</v>
      </c>
      <c r="D14">
        <f t="shared" si="0"/>
        <v>0</v>
      </c>
      <c r="E14">
        <v>0</v>
      </c>
      <c r="F14">
        <v>0</v>
      </c>
      <c r="G14">
        <v>0</v>
      </c>
      <c r="H14">
        <v>0</v>
      </c>
      <c r="I14">
        <f t="shared" si="1"/>
        <v>0</v>
      </c>
      <c r="J14">
        <v>0</v>
      </c>
      <c r="K14">
        <v>0</v>
      </c>
      <c r="L14">
        <v>0</v>
      </c>
      <c r="M14">
        <v>0</v>
      </c>
      <c r="N14">
        <f t="shared" si="2"/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3">
      <c r="A15" t="s">
        <v>41</v>
      </c>
      <c r="B15" t="s">
        <v>42</v>
      </c>
      <c r="C15" t="s">
        <v>43</v>
      </c>
      <c r="D15">
        <f>E15-110887-13468</f>
        <v>86728.6</v>
      </c>
      <c r="E15">
        <v>211083.6</v>
      </c>
      <c r="F15">
        <v>0.74573505127734652</v>
      </c>
      <c r="G15">
        <v>0.22329274937454158</v>
      </c>
      <c r="H15">
        <v>1.8928006407470293E-3</v>
      </c>
      <c r="I15">
        <f>J15-17092.95-6837.18</f>
        <v>6837.1799999999967</v>
      </c>
      <c r="J15">
        <v>30767.309999999998</v>
      </c>
      <c r="K15">
        <v>0.27747851403236745</v>
      </c>
      <c r="L15">
        <v>0.54687465295254967</v>
      </c>
      <c r="M15">
        <v>3.568283781530554E-3</v>
      </c>
      <c r="N15">
        <f>O15-7640.402-3074.708</f>
        <v>3157.14</v>
      </c>
      <c r="O15">
        <v>13872.25</v>
      </c>
      <c r="P15">
        <v>3.1118177295096698</v>
      </c>
      <c r="Q15">
        <v>0.10999882300059302</v>
      </c>
      <c r="R15">
        <v>1.3395513644780855E-3</v>
      </c>
      <c r="S15">
        <v>1.5300061557922814E-4</v>
      </c>
      <c r="T15">
        <v>8.5599228418178778E-7</v>
      </c>
      <c r="U15">
        <v>1.2652532625266574E-7</v>
      </c>
      <c r="V15">
        <v>4.6147326029033477E-7</v>
      </c>
      <c r="W15">
        <v>0.15657529619262275</v>
      </c>
      <c r="X15">
        <v>0.7778704047126872</v>
      </c>
    </row>
    <row r="16" spans="1:24" x14ac:dyDescent="0.3">
      <c r="A16" t="s">
        <v>44</v>
      </c>
      <c r="B16" t="s">
        <v>45</v>
      </c>
      <c r="C16" t="s">
        <v>46</v>
      </c>
      <c r="D16">
        <f t="shared" si="0"/>
        <v>158980.878</v>
      </c>
      <c r="E16">
        <v>158980.878</v>
      </c>
      <c r="F16">
        <v>28957.00032613624</v>
      </c>
      <c r="G16">
        <v>7006.545607146043</v>
      </c>
      <c r="H16">
        <v>55.660846367887132</v>
      </c>
      <c r="I16">
        <f t="shared" si="1"/>
        <v>24525.9414</v>
      </c>
      <c r="J16">
        <v>24525.9414</v>
      </c>
      <c r="K16">
        <v>12373.118030477557</v>
      </c>
      <c r="L16">
        <v>6955.7895509263572</v>
      </c>
      <c r="M16">
        <v>29.154608980325133</v>
      </c>
      <c r="N16">
        <f t="shared" si="2"/>
        <v>10964.4722</v>
      </c>
      <c r="O16">
        <v>10964.4722</v>
      </c>
      <c r="P16">
        <v>117159.67157207501</v>
      </c>
      <c r="Q16">
        <v>1415.0503236308823</v>
      </c>
      <c r="R16">
        <v>12.503761573306962</v>
      </c>
      <c r="S16">
        <v>12.797593102812456</v>
      </c>
      <c r="T16">
        <v>1.3622665226595963E-2</v>
      </c>
      <c r="U16">
        <v>6.4321939139259151E-3</v>
      </c>
      <c r="V16">
        <v>0.14472436386683712</v>
      </c>
      <c r="W16">
        <v>3113.0309377330627</v>
      </c>
      <c r="X16">
        <v>7995.7318478159505</v>
      </c>
    </row>
    <row r="17" spans="1:24" x14ac:dyDescent="0.3">
      <c r="A17" t="s">
        <v>47</v>
      </c>
      <c r="B17" t="s">
        <v>48</v>
      </c>
      <c r="C17" t="s">
        <v>49</v>
      </c>
      <c r="D17">
        <f t="shared" si="0"/>
        <v>6313.1239999999998</v>
      </c>
      <c r="E17">
        <v>6313.1239999999998</v>
      </c>
      <c r="F17">
        <v>38690.423631735721</v>
      </c>
      <c r="G17">
        <v>12725.255702492941</v>
      </c>
      <c r="H17">
        <v>126.0367114512985</v>
      </c>
      <c r="I17">
        <f t="shared" si="1"/>
        <v>12246.756816000001</v>
      </c>
      <c r="J17">
        <v>12246.756816000001</v>
      </c>
      <c r="K17">
        <v>16227.327808934206</v>
      </c>
      <c r="L17">
        <v>12972.321977805352</v>
      </c>
      <c r="M17">
        <v>50.432568929651794</v>
      </c>
      <c r="N17">
        <f t="shared" si="2"/>
        <v>5604.7267680000004</v>
      </c>
      <c r="O17">
        <v>5604.7267680000004</v>
      </c>
      <c r="P17">
        <v>165906.04520556499</v>
      </c>
      <c r="Q17">
        <v>2639.7303598582366</v>
      </c>
      <c r="R17">
        <v>19.287056964921483</v>
      </c>
      <c r="S17">
        <v>9.569735130480943</v>
      </c>
      <c r="T17">
        <v>2.3703302743554838E-2</v>
      </c>
      <c r="U17">
        <v>1.6221744885904332E-2</v>
      </c>
      <c r="V17">
        <v>0.18348767227343554</v>
      </c>
      <c r="W17">
        <v>4471.9931854010665</v>
      </c>
      <c r="X17">
        <v>14499.459904160849</v>
      </c>
    </row>
    <row r="18" spans="1:24" x14ac:dyDescent="0.3">
      <c r="A18" t="s">
        <v>50</v>
      </c>
      <c r="B18" t="s">
        <v>51</v>
      </c>
      <c r="C18" t="s">
        <v>52</v>
      </c>
      <c r="D18">
        <f t="shared" si="0"/>
        <v>0</v>
      </c>
      <c r="E18">
        <v>0</v>
      </c>
      <c r="F18">
        <v>0</v>
      </c>
      <c r="G18">
        <v>0</v>
      </c>
      <c r="H18">
        <v>0</v>
      </c>
      <c r="I18">
        <f t="shared" si="1"/>
        <v>0</v>
      </c>
      <c r="J18">
        <v>0</v>
      </c>
      <c r="K18">
        <v>0</v>
      </c>
      <c r="L18">
        <v>0</v>
      </c>
      <c r="M18">
        <v>0</v>
      </c>
      <c r="N18">
        <f t="shared" si="2"/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3">
      <c r="A19" t="s">
        <v>53</v>
      </c>
      <c r="B19" t="s">
        <v>54</v>
      </c>
      <c r="C19" t="s">
        <v>14</v>
      </c>
      <c r="D19">
        <f t="shared" si="0"/>
        <v>0</v>
      </c>
      <c r="E19">
        <v>0</v>
      </c>
      <c r="F19">
        <v>0</v>
      </c>
      <c r="G19">
        <v>0</v>
      </c>
      <c r="H19">
        <v>0</v>
      </c>
      <c r="I19">
        <f t="shared" si="1"/>
        <v>0</v>
      </c>
      <c r="J19">
        <v>0</v>
      </c>
      <c r="K19">
        <v>0</v>
      </c>
      <c r="L19">
        <v>0</v>
      </c>
      <c r="M19">
        <v>0</v>
      </c>
      <c r="N19">
        <f t="shared" si="2"/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3">
      <c r="A20" t="s">
        <v>55</v>
      </c>
      <c r="B20" t="s">
        <v>56</v>
      </c>
      <c r="C20" t="s">
        <v>57</v>
      </c>
      <c r="D20">
        <f t="shared" si="0"/>
        <v>0</v>
      </c>
      <c r="E20">
        <v>0</v>
      </c>
      <c r="F20">
        <v>120464031.52704966</v>
      </c>
      <c r="G20">
        <v>61755642.078486413</v>
      </c>
      <c r="H20">
        <v>157401.68446805421</v>
      </c>
      <c r="I20">
        <f t="shared" si="1"/>
        <v>0</v>
      </c>
      <c r="J20">
        <v>0</v>
      </c>
      <c r="K20">
        <v>45686960.936498158</v>
      </c>
      <c r="L20">
        <v>72383713.289230645</v>
      </c>
      <c r="M20">
        <v>280561.89009693585</v>
      </c>
      <c r="N20">
        <f t="shared" si="2"/>
        <v>0</v>
      </c>
      <c r="O20">
        <v>0</v>
      </c>
      <c r="P20">
        <v>491143799.52053899</v>
      </c>
      <c r="Q20">
        <v>14688587.935064776</v>
      </c>
      <c r="R20">
        <v>46126.366448156834</v>
      </c>
      <c r="S20">
        <v>28417.237425302228</v>
      </c>
      <c r="T20">
        <v>119.5128170511516</v>
      </c>
      <c r="U20">
        <v>65.101221497498187</v>
      </c>
      <c r="V20">
        <v>915.7465654155568</v>
      </c>
      <c r="W20">
        <v>20080950.961751632</v>
      </c>
      <c r="X20">
        <v>81359612.470782876</v>
      </c>
    </row>
    <row r="21" spans="1:24" x14ac:dyDescent="0.3">
      <c r="A21" t="s">
        <v>58</v>
      </c>
      <c r="B21" t="s">
        <v>59</v>
      </c>
      <c r="C21" t="s">
        <v>60</v>
      </c>
      <c r="D21">
        <f t="shared" si="0"/>
        <v>0</v>
      </c>
      <c r="E21">
        <v>0</v>
      </c>
      <c r="F21">
        <v>2719.7256868327318</v>
      </c>
      <c r="G21">
        <v>34.596428111635966</v>
      </c>
      <c r="H21">
        <v>0.19478691182100277</v>
      </c>
      <c r="I21">
        <f t="shared" si="1"/>
        <v>0</v>
      </c>
      <c r="J21">
        <v>0</v>
      </c>
      <c r="K21">
        <v>1783.3371177688603</v>
      </c>
      <c r="L21">
        <v>32.926631961777332</v>
      </c>
      <c r="M21">
        <v>0.83687164026362992</v>
      </c>
      <c r="N21">
        <f t="shared" si="2"/>
        <v>0</v>
      </c>
      <c r="O21">
        <v>0</v>
      </c>
      <c r="P21">
        <v>12473.4086030452</v>
      </c>
      <c r="Q21">
        <v>6.7162504899370452</v>
      </c>
      <c r="R21">
        <v>0.15849357444046022</v>
      </c>
      <c r="S21">
        <v>0.30411156649848636</v>
      </c>
      <c r="T21">
        <v>2.3820444740071416E-4</v>
      </c>
      <c r="U21">
        <v>3.7256609347516555E-4</v>
      </c>
      <c r="V21">
        <v>1.1772385391941148E-4</v>
      </c>
      <c r="W21">
        <v>15.65466434602483</v>
      </c>
      <c r="X21">
        <v>33.22600997996404</v>
      </c>
    </row>
    <row r="22" spans="1:24" x14ac:dyDescent="0.3">
      <c r="A22" t="s">
        <v>61</v>
      </c>
      <c r="B22" t="s">
        <v>62</v>
      </c>
      <c r="C22" t="s">
        <v>63</v>
      </c>
      <c r="D22">
        <f t="shared" si="0"/>
        <v>0</v>
      </c>
      <c r="E22">
        <v>0</v>
      </c>
      <c r="F22">
        <v>19378588.939280476</v>
      </c>
      <c r="G22">
        <v>1342523.8397354695</v>
      </c>
      <c r="H22">
        <v>58095.136047333224</v>
      </c>
      <c r="I22">
        <f t="shared" si="1"/>
        <v>0</v>
      </c>
      <c r="J22">
        <v>0</v>
      </c>
      <c r="K22">
        <v>28839154.400417179</v>
      </c>
      <c r="L22">
        <v>67738.611213542943</v>
      </c>
      <c r="M22">
        <v>279335.17188708519</v>
      </c>
      <c r="N22">
        <f t="shared" si="2"/>
        <v>0</v>
      </c>
      <c r="O22">
        <v>0</v>
      </c>
      <c r="P22">
        <v>10591804.057127001</v>
      </c>
      <c r="Q22">
        <v>57578.478086312294</v>
      </c>
      <c r="R22">
        <v>164778.87397370249</v>
      </c>
      <c r="S22">
        <v>0</v>
      </c>
      <c r="T22">
        <v>0</v>
      </c>
      <c r="U22">
        <v>0</v>
      </c>
      <c r="V22">
        <v>0</v>
      </c>
      <c r="W22">
        <v>4773757.8</v>
      </c>
      <c r="X22">
        <v>55659.512490115521</v>
      </c>
    </row>
    <row r="23" spans="1:24" x14ac:dyDescent="0.3">
      <c r="A23" t="s">
        <v>64</v>
      </c>
      <c r="B23" t="s">
        <v>65</v>
      </c>
      <c r="C23" t="s">
        <v>66</v>
      </c>
      <c r="D23">
        <f t="shared" si="0"/>
        <v>0</v>
      </c>
      <c r="E23">
        <v>0</v>
      </c>
      <c r="F23">
        <v>69735037.475485206</v>
      </c>
      <c r="G23">
        <v>17124098.336521085</v>
      </c>
      <c r="H23">
        <v>17341.877787438436</v>
      </c>
      <c r="I23">
        <f t="shared" si="1"/>
        <v>0</v>
      </c>
      <c r="J23">
        <v>0</v>
      </c>
      <c r="K23">
        <v>20253601.637710914</v>
      </c>
      <c r="L23">
        <v>15292951.197525069</v>
      </c>
      <c r="M23">
        <v>47571.203415352677</v>
      </c>
      <c r="N23">
        <f t="shared" si="2"/>
        <v>0</v>
      </c>
      <c r="O23">
        <v>0</v>
      </c>
      <c r="P23">
        <v>280703930.50702399</v>
      </c>
      <c r="Q23">
        <v>3114043.0979245142</v>
      </c>
      <c r="R23">
        <v>22931.638668104453</v>
      </c>
      <c r="S23">
        <v>26153.098235103258</v>
      </c>
      <c r="T23">
        <v>47.246022857813202</v>
      </c>
      <c r="U23">
        <v>5.9848170842292383</v>
      </c>
      <c r="V23">
        <v>22.905049463831471</v>
      </c>
      <c r="W23">
        <v>7701094.9926574994</v>
      </c>
      <c r="X23">
        <v>18683396.815427154</v>
      </c>
    </row>
    <row r="24" spans="1:24" x14ac:dyDescent="0.3">
      <c r="A24" t="s">
        <v>67</v>
      </c>
      <c r="B24" t="s">
        <v>68</v>
      </c>
      <c r="C24" t="s">
        <v>69</v>
      </c>
      <c r="D24">
        <f t="shared" si="0"/>
        <v>0</v>
      </c>
      <c r="E24">
        <v>0</v>
      </c>
      <c r="F24">
        <v>4.5853853789451549</v>
      </c>
      <c r="G24">
        <v>1.5202537942182552</v>
      </c>
      <c r="H24">
        <v>1.6539262753034992E-3</v>
      </c>
      <c r="I24">
        <f t="shared" si="1"/>
        <v>0</v>
      </c>
      <c r="J24">
        <v>0</v>
      </c>
      <c r="K24">
        <v>1.5153080599897464</v>
      </c>
      <c r="L24">
        <v>1.3787279638927508</v>
      </c>
      <c r="M24">
        <v>4.7666844362048606E-3</v>
      </c>
      <c r="N24">
        <f t="shared" si="2"/>
        <v>0</v>
      </c>
      <c r="O24">
        <v>0</v>
      </c>
      <c r="P24">
        <v>19.1361268975229</v>
      </c>
      <c r="Q24">
        <v>0.28140976012724422</v>
      </c>
      <c r="R24">
        <v>2.5803729087505245E-3</v>
      </c>
      <c r="S24">
        <v>1.9721443134360578E-3</v>
      </c>
      <c r="T24">
        <v>2.8367125760883601E-6</v>
      </c>
      <c r="U24">
        <v>6.0128270133004702E-7</v>
      </c>
      <c r="V24">
        <v>2.0690893780461307E-6</v>
      </c>
      <c r="W24">
        <v>0.48623415113583118</v>
      </c>
      <c r="X24">
        <v>1.6958613678000689</v>
      </c>
    </row>
    <row r="25" spans="1:24" x14ac:dyDescent="0.3">
      <c r="A25" t="s">
        <v>70</v>
      </c>
      <c r="B25" t="s">
        <v>71</v>
      </c>
      <c r="C25" t="s">
        <v>72</v>
      </c>
      <c r="D25">
        <f t="shared" si="0"/>
        <v>0</v>
      </c>
      <c r="E25">
        <v>0</v>
      </c>
      <c r="F25">
        <v>34223676099.56258</v>
      </c>
      <c r="G25">
        <v>6328704487.5523481</v>
      </c>
      <c r="H25">
        <v>4414357.6965573477</v>
      </c>
      <c r="I25">
        <f t="shared" si="1"/>
        <v>0</v>
      </c>
      <c r="J25">
        <v>0</v>
      </c>
      <c r="K25">
        <v>8069472353.384325</v>
      </c>
      <c r="L25">
        <v>6543736030.7670755</v>
      </c>
      <c r="M25">
        <v>4849481.1181510771</v>
      </c>
      <c r="N25">
        <f t="shared" si="2"/>
        <v>0</v>
      </c>
      <c r="O25">
        <v>0</v>
      </c>
      <c r="P25">
        <v>128293392803.242</v>
      </c>
      <c r="Q25">
        <v>1331916370.3126636</v>
      </c>
      <c r="R25">
        <v>6163049.2086894875</v>
      </c>
      <c r="S25">
        <v>7967499.0756500736</v>
      </c>
      <c r="T25">
        <v>11799.838042233625</v>
      </c>
      <c r="U25">
        <v>1979.9169925121128</v>
      </c>
      <c r="V25">
        <v>8520.9210568830385</v>
      </c>
      <c r="W25">
        <v>2066105642.4491844</v>
      </c>
      <c r="X25">
        <v>8025510500.6247005</v>
      </c>
    </row>
    <row r="26" spans="1:24" x14ac:dyDescent="0.3">
      <c r="A26" t="s">
        <v>73</v>
      </c>
      <c r="B26" t="s">
        <v>74</v>
      </c>
      <c r="C26" t="s">
        <v>75</v>
      </c>
      <c r="D26">
        <f t="shared" si="0"/>
        <v>0</v>
      </c>
      <c r="E26">
        <v>0</v>
      </c>
      <c r="F26">
        <v>72724206.063264802</v>
      </c>
      <c r="G26">
        <v>28627598.227236848</v>
      </c>
      <c r="H26">
        <v>15359.773859258115</v>
      </c>
      <c r="I26">
        <f t="shared" si="1"/>
        <v>0</v>
      </c>
      <c r="J26">
        <v>0</v>
      </c>
      <c r="K26">
        <v>26502127.786177371</v>
      </c>
      <c r="L26">
        <v>31593434.665744089</v>
      </c>
      <c r="M26">
        <v>19269.825689860063</v>
      </c>
      <c r="N26">
        <f t="shared" si="2"/>
        <v>0</v>
      </c>
      <c r="O26">
        <v>0</v>
      </c>
      <c r="P26">
        <v>300062816.30215001</v>
      </c>
      <c r="Q26">
        <v>6419840.9897548985</v>
      </c>
      <c r="R26">
        <v>59492.590138379783</v>
      </c>
      <c r="S26">
        <v>56899.794932897828</v>
      </c>
      <c r="T26">
        <v>56.594446746758535</v>
      </c>
      <c r="U26">
        <v>2.3080266448769167</v>
      </c>
      <c r="V26">
        <v>40.742182579885302</v>
      </c>
      <c r="W26">
        <v>22191474.448669113</v>
      </c>
      <c r="X26">
        <v>39174017.919517152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2"/>
  <sheetViews>
    <sheetView topLeftCell="R1" zoomScale="115" zoomScaleNormal="115" workbookViewId="0">
      <selection activeCell="AC5" sqref="AC5"/>
    </sheetView>
  </sheetViews>
  <sheetFormatPr defaultRowHeight="14.4" x14ac:dyDescent="0.3"/>
  <cols>
    <col min="1" max="1" width="38.109375" bestFit="1" customWidth="1"/>
    <col min="2" max="2" width="57.33203125" bestFit="1" customWidth="1"/>
    <col min="3" max="3" width="24.88671875" bestFit="1" customWidth="1"/>
    <col min="4" max="4" width="17" bestFit="1" customWidth="1"/>
    <col min="5" max="5" width="18.6640625" bestFit="1" customWidth="1"/>
    <col min="6" max="6" width="11.5546875" bestFit="1" customWidth="1"/>
    <col min="7" max="7" width="28.6640625" bestFit="1" customWidth="1"/>
    <col min="8" max="8" width="26" bestFit="1" customWidth="1"/>
    <col min="9" max="10" width="24.44140625" bestFit="1" customWidth="1"/>
    <col min="11" max="11" width="16.88671875" bestFit="1" customWidth="1"/>
    <col min="12" max="12" width="18.5546875" bestFit="1" customWidth="1"/>
    <col min="13" max="13" width="12" bestFit="1" customWidth="1"/>
    <col min="14" max="14" width="28.5546875" bestFit="1" customWidth="1"/>
    <col min="15" max="15" width="25.88671875" bestFit="1" customWidth="1"/>
    <col min="16" max="16" width="32" bestFit="1" customWidth="1"/>
    <col min="17" max="17" width="24.33203125" bestFit="1" customWidth="1"/>
    <col min="18" max="18" width="18.109375" bestFit="1" customWidth="1"/>
    <col min="19" max="19" width="19.6640625" bestFit="1" customWidth="1"/>
    <col min="20" max="20" width="19.6640625" customWidth="1"/>
    <col min="21" max="21" width="29.88671875" bestFit="1" customWidth="1"/>
    <col min="22" max="22" width="27" bestFit="1" customWidth="1"/>
    <col min="23" max="23" width="32.88671875" bestFit="1" customWidth="1"/>
    <col min="24" max="24" width="25.5546875" bestFit="1" customWidth="1"/>
    <col min="26" max="26" width="13.88671875" bestFit="1" customWidth="1"/>
    <col min="27" max="27" width="17.109375" bestFit="1" customWidth="1"/>
    <col min="28" max="28" width="15.109375" bestFit="1" customWidth="1"/>
  </cols>
  <sheetData>
    <row r="1" spans="1:29" x14ac:dyDescent="0.3">
      <c r="A1" s="12" t="s">
        <v>0</v>
      </c>
      <c r="B1" s="12" t="s">
        <v>1</v>
      </c>
      <c r="C1" s="12" t="s">
        <v>2</v>
      </c>
      <c r="D1" s="13" t="s">
        <v>94</v>
      </c>
      <c r="E1" s="13"/>
      <c r="F1" s="13"/>
      <c r="G1" s="13"/>
      <c r="H1" s="13"/>
      <c r="I1" s="13"/>
      <c r="J1" s="13"/>
      <c r="K1" s="14" t="s">
        <v>95</v>
      </c>
      <c r="L1" s="14"/>
      <c r="M1" s="14"/>
      <c r="N1" s="14"/>
      <c r="O1" s="14"/>
      <c r="P1" s="14"/>
      <c r="Q1" s="14"/>
      <c r="R1" s="15" t="s">
        <v>96</v>
      </c>
      <c r="S1" s="15"/>
      <c r="T1" s="15"/>
      <c r="U1" s="15"/>
      <c r="V1" s="15"/>
      <c r="W1" s="15"/>
      <c r="X1" s="15"/>
      <c r="Z1" s="16" t="s">
        <v>88</v>
      </c>
      <c r="AA1" s="10" t="s">
        <v>87</v>
      </c>
      <c r="AB1" s="11" t="s">
        <v>89</v>
      </c>
    </row>
    <row r="2" spans="1:29" x14ac:dyDescent="0.3">
      <c r="A2" s="12"/>
      <c r="B2" s="12"/>
      <c r="C2" s="12"/>
      <c r="D2" s="1" t="s">
        <v>77</v>
      </c>
      <c r="E2" s="1" t="s">
        <v>82</v>
      </c>
      <c r="F2" s="4" t="s">
        <v>104</v>
      </c>
      <c r="G2" s="4" t="s">
        <v>97</v>
      </c>
      <c r="H2" s="4" t="s">
        <v>117</v>
      </c>
      <c r="I2" s="4" t="s">
        <v>107</v>
      </c>
      <c r="J2" s="4" t="s">
        <v>91</v>
      </c>
      <c r="K2" s="1" t="s">
        <v>78</v>
      </c>
      <c r="L2" s="1" t="s">
        <v>83</v>
      </c>
      <c r="M2" s="4" t="s">
        <v>106</v>
      </c>
      <c r="N2" s="4" t="s">
        <v>98</v>
      </c>
      <c r="O2" s="4" t="s">
        <v>118</v>
      </c>
      <c r="P2" s="4" t="s">
        <v>113</v>
      </c>
      <c r="Q2" s="4" t="s">
        <v>92</v>
      </c>
      <c r="R2" s="1" t="s">
        <v>79</v>
      </c>
      <c r="S2" s="1" t="s">
        <v>84</v>
      </c>
      <c r="T2" s="4" t="s">
        <v>105</v>
      </c>
      <c r="U2" s="4" t="s">
        <v>99</v>
      </c>
      <c r="V2" s="4" t="s">
        <v>119</v>
      </c>
      <c r="W2" s="4" t="s">
        <v>112</v>
      </c>
      <c r="X2" s="4" t="s">
        <v>93</v>
      </c>
      <c r="Z2" s="16"/>
      <c r="AA2" s="10"/>
      <c r="AB2" s="11"/>
    </row>
    <row r="3" spans="1:29" x14ac:dyDescent="0.3">
      <c r="A3" t="s">
        <v>3</v>
      </c>
      <c r="B3" t="s">
        <v>4</v>
      </c>
      <c r="C3" t="s">
        <v>5</v>
      </c>
      <c r="D3">
        <f>Inventory!E2*54</f>
        <v>3519527.22</v>
      </c>
      <c r="E3">
        <f>Inventory!F2*54</f>
        <v>2925761.4761696523</v>
      </c>
      <c r="F3">
        <f>Inventory!W2*54</f>
        <v>476551.03610476176</v>
      </c>
      <c r="G3">
        <f>Inventory!G2*54</f>
        <v>1303046.0972883522</v>
      </c>
      <c r="H3">
        <f>((Inventory!S2*1148)+(Inventory!T2*674900)+(Inventory!U2*504)+(Inventory!V2*1105))*54</f>
        <v>2572933.1387771424</v>
      </c>
      <c r="I3">
        <f>Inventory!H2*54</f>
        <v>9516.6766984651949</v>
      </c>
      <c r="J3">
        <f>Inventory!X2*54</f>
        <v>1429899.1025498207</v>
      </c>
      <c r="K3">
        <f>Inventory!J2*74</f>
        <v>25297.565999999999</v>
      </c>
      <c r="L3">
        <f>Inventory!K2*74</f>
        <v>1706941.2888645648</v>
      </c>
      <c r="M3">
        <f>Inventory!W2*74</f>
        <v>653051.41984726605</v>
      </c>
      <c r="N3">
        <f>Inventory!L2*74</f>
        <v>1700906.4921133416</v>
      </c>
      <c r="O3">
        <f>((Inventory!S2*530)+(Inventory!T2*488370)+(Inventory!U2*504)+(Inventory!V2*494))*74</f>
        <v>2208986.3618057827</v>
      </c>
      <c r="P3">
        <f>Inventory!M2*74</f>
        <v>3321.1216367641823</v>
      </c>
      <c r="Q3">
        <f>Inventory!X2*74</f>
        <v>1959491.3627534579</v>
      </c>
      <c r="R3">
        <f>Inventory!O2*20</f>
        <v>3157.1399999999994</v>
      </c>
      <c r="S3">
        <f>Inventory!P2*20</f>
        <v>4455925.1575903203</v>
      </c>
      <c r="T3">
        <f>Inventory!W2*20</f>
        <v>176500.38374250435</v>
      </c>
      <c r="U3">
        <f>Inventory!Q2*20</f>
        <v>93471.149260364546</v>
      </c>
      <c r="V3">
        <f>((Inventory!S2*304)+(Inventory!T2*281710)+(Inventory!U2*504)+(Inventory!V2*284))*20</f>
        <v>343934.4832143219</v>
      </c>
      <c r="W3">
        <f>Inventory!R2*20</f>
        <v>472.32585117755957</v>
      </c>
      <c r="X3">
        <f>Inventory!X2*20</f>
        <v>529592.2602036373</v>
      </c>
      <c r="Z3" s="5">
        <f>SUM(D3:J3)</f>
        <v>12237234.747588195</v>
      </c>
      <c r="AA3" s="5">
        <f>SUM(K3:Q3)</f>
        <v>8257995.6130211763</v>
      </c>
      <c r="AB3" s="5">
        <f>SUM(R3:X3)</f>
        <v>5603052.8998623258</v>
      </c>
    </row>
    <row r="4" spans="1:29" x14ac:dyDescent="0.3">
      <c r="A4" t="s">
        <v>6</v>
      </c>
      <c r="B4" t="s">
        <v>7</v>
      </c>
      <c r="C4" t="s">
        <v>8</v>
      </c>
      <c r="D4">
        <f>Inventory!E3*54</f>
        <v>8554140</v>
      </c>
      <c r="E4">
        <f>Inventory!F3*54</f>
        <v>0</v>
      </c>
      <c r="F4">
        <f>Inventory!W3*54</f>
        <v>0</v>
      </c>
      <c r="G4">
        <f>Inventory!G3*54</f>
        <v>0</v>
      </c>
      <c r="H4">
        <f>((Inventory!S3*1148)+(Inventory!T3*674900)+(Inventory!U3*504)+(Inventory!V3*1105))*54</f>
        <v>0</v>
      </c>
      <c r="I4">
        <f>Inventory!H3*54</f>
        <v>0</v>
      </c>
      <c r="J4">
        <f>Inventory!X3*54</f>
        <v>0</v>
      </c>
      <c r="K4">
        <f>Inventory!J3*74</f>
        <v>1806969</v>
      </c>
      <c r="L4">
        <f>Inventory!K3*74</f>
        <v>0</v>
      </c>
      <c r="M4">
        <f>Inventory!W3*74</f>
        <v>0</v>
      </c>
      <c r="N4">
        <f>Inventory!L3*74</f>
        <v>0</v>
      </c>
      <c r="O4">
        <f>((Inventory!S3*530)+(Inventory!T3*488370)+(Inventory!U3*504)+(Inventory!V3*494))*74</f>
        <v>0</v>
      </c>
      <c r="P4">
        <f>Inventory!M3*74</f>
        <v>0</v>
      </c>
      <c r="Q4">
        <f>Inventory!X3*74</f>
        <v>0</v>
      </c>
      <c r="R4">
        <f>Inventory!O3*20</f>
        <v>218297.2</v>
      </c>
      <c r="S4">
        <f>Inventory!P3*20</f>
        <v>0</v>
      </c>
      <c r="T4">
        <f>Inventory!W3*20</f>
        <v>0</v>
      </c>
      <c r="U4">
        <f>Inventory!Q3*20</f>
        <v>0</v>
      </c>
      <c r="V4">
        <f>((Inventory!S3*304)+(Inventory!T3*281710)+(Inventory!U3*504)+(Inventory!V3*284))*20</f>
        <v>0</v>
      </c>
      <c r="W4">
        <f>Inventory!R3*20</f>
        <v>0</v>
      </c>
      <c r="X4">
        <f>Inventory!X3*20</f>
        <v>0</v>
      </c>
      <c r="Z4" s="5">
        <f t="shared" ref="Z4:Z27" si="0">SUM(D4:J4)</f>
        <v>8554140</v>
      </c>
      <c r="AA4" s="5">
        <f t="shared" ref="AA4:AA27" si="1">SUM(K4:Q4)</f>
        <v>1806969</v>
      </c>
      <c r="AB4" s="5">
        <f t="shared" ref="AB4:AB27" si="2">SUM(R4:X4)</f>
        <v>218297.2</v>
      </c>
    </row>
    <row r="5" spans="1:29" x14ac:dyDescent="0.3">
      <c r="A5" s="2" t="s">
        <v>9</v>
      </c>
      <c r="B5" s="2" t="s">
        <v>10</v>
      </c>
      <c r="C5" s="2" t="s">
        <v>11</v>
      </c>
      <c r="D5" s="2">
        <f>Inventory!E4*54</f>
        <v>5812740532.8000002</v>
      </c>
      <c r="E5" s="2">
        <f>Inventory!F4*54</f>
        <v>595012795.90014386</v>
      </c>
      <c r="F5" s="2">
        <f>Inventory!W4*54</f>
        <v>87278232.091468528</v>
      </c>
      <c r="G5" s="2">
        <f>Inventory!G4*54</f>
        <v>258836443.898379</v>
      </c>
      <c r="H5" s="2">
        <f>((Inventory!S4*1148)+(Inventory!T4*674900)+(Inventory!U4*504)+(Inventory!V4*1105))*54</f>
        <v>485150868.1496706</v>
      </c>
      <c r="I5" s="2">
        <f>Inventory!H4*54</f>
        <v>596332.08846138336</v>
      </c>
      <c r="J5" s="2">
        <f>Inventory!X4*54</f>
        <v>305994064.08806497</v>
      </c>
      <c r="K5" s="2">
        <f>Inventory!J4*74</f>
        <v>1977942961.2047997</v>
      </c>
      <c r="L5" s="2">
        <f>Inventory!K4*74</f>
        <v>304401509.1212461</v>
      </c>
      <c r="M5" s="2">
        <f>Inventory!W4*74</f>
        <v>119603503.23645689</v>
      </c>
      <c r="N5" s="2">
        <f>Inventory!L4*74</f>
        <v>351111747.05649108</v>
      </c>
      <c r="O5" s="2">
        <f>((Inventory!S4*530)+(Inventory!T4*488370)+(Inventory!U4*504)+(Inventory!V4*494))*74</f>
        <v>414029327.84313387</v>
      </c>
      <c r="P5" s="2">
        <f>Inventory!M4*74</f>
        <v>1274333.6433872997</v>
      </c>
      <c r="Q5" s="2">
        <f>Inventory!X4*74</f>
        <v>419325198.93549639</v>
      </c>
      <c r="R5" s="2">
        <f>Inventory!O4*20</f>
        <v>240628743.792</v>
      </c>
      <c r="S5" s="2">
        <f>Inventory!P4*20</f>
        <v>893608259.62569189</v>
      </c>
      <c r="T5" s="2">
        <f>Inventory!W4*20</f>
        <v>32325271.144988347</v>
      </c>
      <c r="U5" s="2">
        <f>Inventory!Q4*20</f>
        <v>19378203.988763895</v>
      </c>
      <c r="V5" s="2">
        <f>((Inventory!S4*304)+(Inventory!T4*281710)+(Inventory!U4*504)+(Inventory!V4*284))*20</f>
        <v>64466609.669921778</v>
      </c>
      <c r="W5" s="2">
        <f>Inventory!R4*20</f>
        <v>86572.076158220516</v>
      </c>
      <c r="X5" s="2">
        <f>Inventory!X4*20</f>
        <v>113331134.84743147</v>
      </c>
      <c r="Z5" s="3">
        <f>SUM(D5:J5)</f>
        <v>7545609269.0161886</v>
      </c>
      <c r="AA5" s="35">
        <f t="shared" si="1"/>
        <v>3587688581.0410113</v>
      </c>
      <c r="AB5" s="3">
        <f t="shared" si="2"/>
        <v>1363824795.1449556</v>
      </c>
      <c r="AC5" s="34">
        <f>AA5/1000000000</f>
        <v>3.5876885810410113</v>
      </c>
    </row>
    <row r="6" spans="1:29" x14ac:dyDescent="0.3">
      <c r="A6" t="s">
        <v>12</v>
      </c>
      <c r="B6" t="s">
        <v>13</v>
      </c>
      <c r="C6" t="s">
        <v>14</v>
      </c>
      <c r="D6">
        <f>Inventory!E5*54</f>
        <v>0</v>
      </c>
      <c r="E6">
        <f>Inventory!F5*54</f>
        <v>654781.02623485203</v>
      </c>
      <c r="F6">
        <f>Inventory!W5*54</f>
        <v>37671.838479490252</v>
      </c>
      <c r="G6">
        <f>Inventory!G5*54</f>
        <v>72374.159686496409</v>
      </c>
      <c r="H6">
        <f>((Inventory!S5*1148)+(Inventory!T5*674900)+(Inventory!U5*504)+(Inventory!V5*1105))*54</f>
        <v>129591.72656889165</v>
      </c>
      <c r="I6">
        <f>Inventory!H5*54</f>
        <v>696.93183746578416</v>
      </c>
      <c r="J6">
        <f>Inventory!X5*54</f>
        <v>180362.73979739065</v>
      </c>
      <c r="K6">
        <f>Inventory!J5*74</f>
        <v>0</v>
      </c>
      <c r="L6">
        <f>Inventory!K5*74</f>
        <v>238586.88382700805</v>
      </c>
      <c r="M6">
        <f>Inventory!W5*74</f>
        <v>51624.371249671822</v>
      </c>
      <c r="N6">
        <f>Inventory!L5*74</f>
        <v>237391.81166997549</v>
      </c>
      <c r="O6">
        <f>((Inventory!S5*530)+(Inventory!T5*488370)+(Inventory!U5*504)+(Inventory!V5*494))*74</f>
        <v>112762.99449366071</v>
      </c>
      <c r="P6">
        <f>Inventory!M5*74</f>
        <v>1818.807858229497</v>
      </c>
      <c r="Q6">
        <f>Inventory!X5*74</f>
        <v>247163.75453716493</v>
      </c>
      <c r="R6">
        <f>Inventory!O5*20</f>
        <v>0</v>
      </c>
      <c r="S6">
        <f>Inventory!P5*20</f>
        <v>858934.17780988605</v>
      </c>
      <c r="T6">
        <f>Inventory!W5*20</f>
        <v>13952.532770181573</v>
      </c>
      <c r="U6">
        <f>Inventory!Q5*20</f>
        <v>12950.726703609007</v>
      </c>
      <c r="V6">
        <f>((Inventory!S5*304)+(Inventory!T5*281710)+(Inventory!U5*504)+(Inventory!V5*284))*20</f>
        <v>17560.08277241949</v>
      </c>
      <c r="W6">
        <f>Inventory!R5*20</f>
        <v>42.572361986320615</v>
      </c>
      <c r="X6">
        <f>Inventory!X5*20</f>
        <v>66801.014739774313</v>
      </c>
      <c r="Z6" s="5">
        <f t="shared" si="0"/>
        <v>1075478.4226045867</v>
      </c>
      <c r="AA6" s="5">
        <f t="shared" si="1"/>
        <v>889348.62363571057</v>
      </c>
      <c r="AB6" s="5">
        <f t="shared" si="2"/>
        <v>970241.10715785658</v>
      </c>
    </row>
    <row r="7" spans="1:29" x14ac:dyDescent="0.3">
      <c r="A7" t="s">
        <v>15</v>
      </c>
      <c r="B7" t="s">
        <v>16</v>
      </c>
      <c r="C7" t="s">
        <v>14</v>
      </c>
      <c r="D7">
        <f>Inventory!E6*54</f>
        <v>5216130</v>
      </c>
      <c r="E7">
        <f>Inventory!F6*54</f>
        <v>0</v>
      </c>
      <c r="F7">
        <f>Inventory!W6*54</f>
        <v>0</v>
      </c>
      <c r="G7">
        <f>Inventory!G6*54</f>
        <v>0</v>
      </c>
      <c r="H7">
        <f>((Inventory!S6*1148)+(Inventory!T6*674900)+(Inventory!U6*504)+(Inventory!V6*1105))*54</f>
        <v>0</v>
      </c>
      <c r="I7">
        <f>Inventory!H6*54</f>
        <v>0</v>
      </c>
      <c r="J7">
        <f>Inventory!X6*54</f>
        <v>0</v>
      </c>
      <c r="K7">
        <f>Inventory!J6*74</f>
        <v>0</v>
      </c>
      <c r="L7">
        <f>Inventory!K6*74</f>
        <v>0</v>
      </c>
      <c r="M7">
        <f>Inventory!W6*74</f>
        <v>0</v>
      </c>
      <c r="N7">
        <f>Inventory!L6*74</f>
        <v>0</v>
      </c>
      <c r="O7">
        <f>((Inventory!S6*530)+(Inventory!T6*488370)+(Inventory!U6*504)+(Inventory!V6*494))*74</f>
        <v>0</v>
      </c>
      <c r="P7">
        <f>Inventory!M6*74</f>
        <v>0</v>
      </c>
      <c r="Q7">
        <f>Inventory!X6*74</f>
        <v>0</v>
      </c>
      <c r="R7">
        <f>Inventory!O6*20</f>
        <v>685000</v>
      </c>
      <c r="S7">
        <f>Inventory!P6*20</f>
        <v>0</v>
      </c>
      <c r="T7">
        <f>Inventory!W6*20</f>
        <v>0</v>
      </c>
      <c r="U7">
        <f>Inventory!Q6*20</f>
        <v>0</v>
      </c>
      <c r="V7">
        <f>((Inventory!S6*304)+(Inventory!T6*281710)+(Inventory!U6*504)+(Inventory!V6*284))*20</f>
        <v>0</v>
      </c>
      <c r="W7">
        <f>Inventory!R6*20</f>
        <v>0</v>
      </c>
      <c r="X7">
        <f>Inventory!X6*20</f>
        <v>0</v>
      </c>
      <c r="Z7" s="5">
        <f t="shared" si="0"/>
        <v>5216130</v>
      </c>
      <c r="AA7" s="5">
        <f t="shared" si="1"/>
        <v>0</v>
      </c>
      <c r="AB7" s="5">
        <f t="shared" si="2"/>
        <v>685000</v>
      </c>
    </row>
    <row r="8" spans="1:29" x14ac:dyDescent="0.3">
      <c r="A8" t="s">
        <v>17</v>
      </c>
      <c r="B8" t="s">
        <v>18</v>
      </c>
      <c r="C8" t="s">
        <v>19</v>
      </c>
      <c r="D8">
        <f>Inventory!E7*54</f>
        <v>0</v>
      </c>
      <c r="E8">
        <f>Inventory!F7*54</f>
        <v>-6944305696.2864408</v>
      </c>
      <c r="F8">
        <f>Inventory!W7*54</f>
        <v>-13742038.799999997</v>
      </c>
      <c r="G8">
        <f>Inventory!G7*54</f>
        <v>-560866844.38427007</v>
      </c>
      <c r="H8">
        <f>((Inventory!S7*1148)+(Inventory!T7*674900)+(Inventory!U7*504)+(Inventory!V7*1105))*54</f>
        <v>-1676802089.0170734</v>
      </c>
      <c r="I8">
        <f>Inventory!H7*54</f>
        <v>-17227076.26440933</v>
      </c>
      <c r="J8">
        <f>Inventory!X7*54</f>
        <v>-317506778.37105465</v>
      </c>
      <c r="K8">
        <f>Inventory!J7*74</f>
        <v>0</v>
      </c>
      <c r="L8">
        <f>Inventory!K7*74</f>
        <v>-4441113688.3957491</v>
      </c>
      <c r="M8">
        <f>Inventory!W7*74</f>
        <v>-18831682.799999997</v>
      </c>
      <c r="N8">
        <f>Inventory!L7*74</f>
        <v>-522988930.24237412</v>
      </c>
      <c r="O8">
        <f>((Inventory!S7*530)+(Inventory!T7*488370)+(Inventory!U7*504)+(Inventory!V7*494))*74</f>
        <v>-1660595978.0836947</v>
      </c>
      <c r="P8">
        <f>Inventory!M7*74</f>
        <v>-50310899.352640077</v>
      </c>
      <c r="Q8">
        <f>Inventory!X7*74</f>
        <v>-435101881.4714452</v>
      </c>
      <c r="R8">
        <f>Inventory!O7*20</f>
        <v>0</v>
      </c>
      <c r="S8">
        <f>Inventory!P7*20</f>
        <v>-302226748.81771398</v>
      </c>
      <c r="T8">
        <f>Inventory!W7*20</f>
        <v>-5089643.9999999991</v>
      </c>
      <c r="U8">
        <f>Inventory!Q7*20</f>
        <v>-33128225.238413632</v>
      </c>
      <c r="V8">
        <f>((Inventory!S7*304)+(Inventory!T7*281710)+(Inventory!U7*504)+(Inventory!V7*284))*20</f>
        <v>-258889663.7220979</v>
      </c>
      <c r="W8">
        <f>Inventory!R7*20</f>
        <v>-7700297.3886559987</v>
      </c>
      <c r="X8">
        <f>Inventory!X7*20</f>
        <v>-117595103.1003906</v>
      </c>
      <c r="Z8" s="5">
        <f t="shared" si="0"/>
        <v>-9530450523.1232491</v>
      </c>
      <c r="AA8" s="5">
        <f t="shared" si="1"/>
        <v>-7128943060.3459034</v>
      </c>
      <c r="AB8" s="5">
        <f t="shared" si="2"/>
        <v>-724629682.26727211</v>
      </c>
    </row>
    <row r="9" spans="1:29" x14ac:dyDescent="0.3">
      <c r="A9" t="s">
        <v>20</v>
      </c>
      <c r="B9" t="s">
        <v>21</v>
      </c>
      <c r="C9" t="s">
        <v>22</v>
      </c>
      <c r="D9">
        <f>Inventory!E8*54</f>
        <v>0</v>
      </c>
      <c r="E9">
        <f>Inventory!F8*54</f>
        <v>9379771327.1717033</v>
      </c>
      <c r="F9">
        <f>Inventory!W8*54</f>
        <v>2263773968.1768508</v>
      </c>
      <c r="G9">
        <f>Inventory!G8*54</f>
        <v>5535171056.0002041</v>
      </c>
      <c r="H9">
        <f>((Inventory!S8*1148)+(Inventory!T8*674900)+(Inventory!U8*504)+(Inventory!V8*1105))*54</f>
        <v>10093915460.133911</v>
      </c>
      <c r="I9">
        <f>Inventory!H8*54</f>
        <v>9546585.772107631</v>
      </c>
      <c r="J9">
        <f>Inventory!X8*54</f>
        <v>7335065449.717823</v>
      </c>
      <c r="K9">
        <f>Inventory!J8*74</f>
        <v>0</v>
      </c>
      <c r="L9">
        <f>Inventory!K8*74</f>
        <v>4635966256.3164816</v>
      </c>
      <c r="M9">
        <f>Inventory!W8*74</f>
        <v>3102208771.2053142</v>
      </c>
      <c r="N9">
        <f>Inventory!L8*74</f>
        <v>8638610289.8035583</v>
      </c>
      <c r="O9">
        <f>((Inventory!S8*530)+(Inventory!T8*488370)+(Inventory!U8*504)+(Inventory!V8*494))*74</f>
        <v>9029750645.9638519</v>
      </c>
      <c r="P9">
        <f>Inventory!M8*74</f>
        <v>23060906.40162316</v>
      </c>
      <c r="Q9">
        <f>Inventory!X8*74</f>
        <v>10051756357.020721</v>
      </c>
      <c r="R9">
        <f>Inventory!O8*20</f>
        <v>0</v>
      </c>
      <c r="S9">
        <f>Inventory!P8*20</f>
        <v>14151438633.443119</v>
      </c>
      <c r="T9">
        <f>Inventory!W8*20</f>
        <v>838434803.02846324</v>
      </c>
      <c r="U9">
        <f>Inventory!Q8*20</f>
        <v>474016962.03700244</v>
      </c>
      <c r="V9">
        <f>((Inventory!S8*304)+(Inventory!T8*281710)+(Inventory!U8*504)+(Inventory!V8*284))*20</f>
        <v>1406573192.1882117</v>
      </c>
      <c r="W9">
        <f>Inventory!R8*20</f>
        <v>3872127.0012637624</v>
      </c>
      <c r="X9">
        <f>Inventory!X8*20</f>
        <v>2716690907.3028975</v>
      </c>
      <c r="Z9" s="5">
        <f t="shared" si="0"/>
        <v>34617243846.972595</v>
      </c>
      <c r="AA9" s="5">
        <f t="shared" si="1"/>
        <v>35481353226.711548</v>
      </c>
      <c r="AB9" s="5">
        <f t="shared" si="2"/>
        <v>19591026625.000957</v>
      </c>
    </row>
    <row r="10" spans="1:29" x14ac:dyDescent="0.3">
      <c r="A10" t="s">
        <v>23</v>
      </c>
      <c r="B10" t="s">
        <v>24</v>
      </c>
      <c r="C10" t="s">
        <v>25</v>
      </c>
      <c r="D10">
        <f>Inventory!E9*54</f>
        <v>0</v>
      </c>
      <c r="E10">
        <f>Inventory!F9*54</f>
        <v>302719.60551519936</v>
      </c>
      <c r="F10">
        <f>Inventory!W9*54</f>
        <v>46873.484946424658</v>
      </c>
      <c r="G10">
        <f>Inventory!G9*54</f>
        <v>183509.21223158814</v>
      </c>
      <c r="H10">
        <f>((Inventory!S9*1148)+(Inventory!T9*674900)+(Inventory!U9*504)+(Inventory!V9*1105))*54</f>
        <v>295857.09998660639</v>
      </c>
      <c r="I10">
        <f>Inventory!H9*54</f>
        <v>67.620952324218749</v>
      </c>
      <c r="J10">
        <f>Inventory!X9*54</f>
        <v>230397.35248124468</v>
      </c>
      <c r="K10">
        <f>Inventory!J9*74</f>
        <v>0</v>
      </c>
      <c r="L10">
        <f>Inventory!K9*74</f>
        <v>154434.39679465163</v>
      </c>
      <c r="M10">
        <f>Inventory!W9*74</f>
        <v>64234.034926581946</v>
      </c>
      <c r="N10">
        <f>Inventory!L9*74</f>
        <v>253302.12639726137</v>
      </c>
      <c r="O10">
        <f>((Inventory!S9*530)+(Inventory!T9*488370)+(Inventory!U9*504)+(Inventory!V9*494))*74</f>
        <v>262990.47024558607</v>
      </c>
      <c r="P10">
        <f>Inventory!M9*74</f>
        <v>81.12766892255695</v>
      </c>
      <c r="Q10">
        <f>Inventory!X9*74</f>
        <v>315729.70525207603</v>
      </c>
      <c r="R10">
        <f>Inventory!O9*20</f>
        <v>0</v>
      </c>
      <c r="S10">
        <f>Inventory!P9*20</f>
        <v>464731.65011777601</v>
      </c>
      <c r="T10">
        <f>Inventory!W9*20</f>
        <v>17360.549980157281</v>
      </c>
      <c r="U10">
        <f>Inventory!Q9*20</f>
        <v>13930.160650911388</v>
      </c>
      <c r="V10">
        <f>((Inventory!S9*304)+(Inventory!T9*281710)+(Inventory!U9*504)+(Inventory!V9*284))*20</f>
        <v>40955.308956586457</v>
      </c>
      <c r="W10">
        <f>Inventory!R9*20</f>
        <v>30.428061773262613</v>
      </c>
      <c r="X10">
        <f>Inventory!X9*20</f>
        <v>85332.352770831363</v>
      </c>
      <c r="Z10" s="5">
        <f t="shared" si="0"/>
        <v>1059424.3761133875</v>
      </c>
      <c r="AA10" s="5">
        <f t="shared" si="1"/>
        <v>1050771.8612850795</v>
      </c>
      <c r="AB10" s="5">
        <f t="shared" si="2"/>
        <v>622340.45053803571</v>
      </c>
    </row>
    <row r="11" spans="1:29" x14ac:dyDescent="0.3">
      <c r="A11" t="s">
        <v>26</v>
      </c>
      <c r="B11" t="s">
        <v>27</v>
      </c>
      <c r="C11" t="s">
        <v>28</v>
      </c>
      <c r="D11">
        <f>Inventory!E10*54</f>
        <v>0</v>
      </c>
      <c r="E11">
        <f>Inventory!F10*54</f>
        <v>651540.10803345812</v>
      </c>
      <c r="F11">
        <f>Inventory!W10*54</f>
        <v>83889.172372605739</v>
      </c>
      <c r="G11">
        <f>Inventory!G10*54</f>
        <v>228585.93100440153</v>
      </c>
      <c r="H11">
        <f>((Inventory!S10*1148)+(Inventory!T10*674900)+(Inventory!U10*504)+(Inventory!V10*1105))*54</f>
        <v>453540.88388898544</v>
      </c>
      <c r="I11">
        <f>Inventory!H10*54</f>
        <v>2248.1136182053592</v>
      </c>
      <c r="J11">
        <f>Inventory!X10*54</f>
        <v>286986.81187203905</v>
      </c>
      <c r="K11">
        <f>Inventory!J10*74</f>
        <v>0</v>
      </c>
      <c r="L11">
        <f>Inventory!K10*74</f>
        <v>329748.16962866258</v>
      </c>
      <c r="M11">
        <f>Inventory!W10*74</f>
        <v>114959.23621431156</v>
      </c>
      <c r="N11">
        <f>Inventory!L10*74</f>
        <v>344569.66476643464</v>
      </c>
      <c r="O11">
        <f>((Inventory!S10*530)+(Inventory!T10*488370)+(Inventory!U10*504)+(Inventory!V10*494))*74</f>
        <v>384517.50379020238</v>
      </c>
      <c r="P11">
        <f>Inventory!M10*74</f>
        <v>837.9331184951111</v>
      </c>
      <c r="Q11">
        <f>Inventory!X10*74</f>
        <v>393278.22367649799</v>
      </c>
      <c r="R11">
        <f>Inventory!O10*20</f>
        <v>0</v>
      </c>
      <c r="S11">
        <f>Inventory!P10*20</f>
        <v>983842.09882722609</v>
      </c>
      <c r="T11">
        <f>Inventory!W10*20</f>
        <v>31070.063841705829</v>
      </c>
      <c r="U11">
        <f>Inventory!Q10*20</f>
        <v>18953.928285490059</v>
      </c>
      <c r="V11">
        <f>((Inventory!S10*304)+(Inventory!T10*281710)+(Inventory!U10*504)+(Inventory!V10*284))*20</f>
        <v>59869.625312145698</v>
      </c>
      <c r="W11">
        <f>Inventory!R10*20</f>
        <v>130.55966779951186</v>
      </c>
      <c r="X11">
        <f>Inventory!X10*20</f>
        <v>106291.41180445891</v>
      </c>
      <c r="Z11" s="5">
        <f t="shared" si="0"/>
        <v>1706791.0207896952</v>
      </c>
      <c r="AA11" s="5">
        <f t="shared" si="1"/>
        <v>1567910.7311946044</v>
      </c>
      <c r="AB11" s="5">
        <f t="shared" si="2"/>
        <v>1200157.687738826</v>
      </c>
    </row>
    <row r="12" spans="1:29" x14ac:dyDescent="0.3">
      <c r="A12" t="s">
        <v>29</v>
      </c>
      <c r="B12" t="s">
        <v>30</v>
      </c>
      <c r="C12" t="s">
        <v>31</v>
      </c>
      <c r="D12">
        <f>Inventory!E11*54</f>
        <v>0</v>
      </c>
      <c r="E12">
        <f>Inventory!F11*54</f>
        <v>93880981.53023687</v>
      </c>
      <c r="F12">
        <f>Inventory!W11*54</f>
        <v>79995574.497069031</v>
      </c>
      <c r="G12">
        <f>Inventory!G11*54</f>
        <v>151770921.460989</v>
      </c>
      <c r="H12">
        <f>((Inventory!S11*1148)+(Inventory!T11*674900)+(Inventory!U11*504)+(Inventory!V11*1105))*54</f>
        <v>147611221.13543841</v>
      </c>
      <c r="I12">
        <f>Inventory!H11*54</f>
        <v>55054.400378679362</v>
      </c>
      <c r="J12">
        <f>Inventory!X11*54</f>
        <v>200698722.90338558</v>
      </c>
      <c r="K12">
        <f>Inventory!J11*74</f>
        <v>0</v>
      </c>
      <c r="L12">
        <f>Inventory!K11*74</f>
        <v>38483501.009267978</v>
      </c>
      <c r="M12">
        <f>Inventory!W11*74</f>
        <v>109623565.05153903</v>
      </c>
      <c r="N12">
        <f>Inventory!L11*74</f>
        <v>216246895.53756323</v>
      </c>
      <c r="O12">
        <f>((Inventory!S11*530)+(Inventory!T11*488370)+(Inventory!U11*504)+(Inventory!V11*494))*74</f>
        <v>134386105.18151113</v>
      </c>
      <c r="P12">
        <f>Inventory!M11*74</f>
        <v>134121.44791623132</v>
      </c>
      <c r="Q12">
        <f>Inventory!X11*74</f>
        <v>275031583.23797286</v>
      </c>
      <c r="R12">
        <f>Inventory!O11*20</f>
        <v>0</v>
      </c>
      <c r="S12">
        <f>Inventory!P11*20</f>
        <v>147573838.30217478</v>
      </c>
      <c r="T12">
        <f>Inventory!W11*20</f>
        <v>29627990.55447001</v>
      </c>
      <c r="U12">
        <f>Inventory!Q11*20</f>
        <v>11899774.723894766</v>
      </c>
      <c r="V12">
        <f>((Inventory!S11*304)+(Inventory!T11*281710)+(Inventory!U11*504)+(Inventory!V11*284))*20</f>
        <v>20932854.869185738</v>
      </c>
      <c r="W12">
        <f>Inventory!R11*20</f>
        <v>135865.19405028113</v>
      </c>
      <c r="X12">
        <f>Inventory!X11*20</f>
        <v>74332860.334587261</v>
      </c>
      <c r="Z12" s="5">
        <f t="shared" si="0"/>
        <v>674012475.92749763</v>
      </c>
      <c r="AA12" s="5">
        <f t="shared" si="1"/>
        <v>773905771.46577048</v>
      </c>
      <c r="AB12" s="5">
        <f t="shared" si="2"/>
        <v>284503183.97836286</v>
      </c>
    </row>
    <row r="13" spans="1:29" x14ac:dyDescent="0.3">
      <c r="A13" t="s">
        <v>32</v>
      </c>
      <c r="B13" t="s">
        <v>33</v>
      </c>
      <c r="C13" t="s">
        <v>34</v>
      </c>
      <c r="D13">
        <f>Inventory!E12*54</f>
        <v>0</v>
      </c>
      <c r="E13">
        <f>Inventory!F12*54</f>
        <v>0</v>
      </c>
      <c r="F13">
        <f>Inventory!W12*54</f>
        <v>0</v>
      </c>
      <c r="G13">
        <f>Inventory!G12*54</f>
        <v>0</v>
      </c>
      <c r="H13">
        <f>((Inventory!S12*1148)+(Inventory!T12*674900)+(Inventory!U12*504)+(Inventory!V12*1105))*54</f>
        <v>0</v>
      </c>
      <c r="I13">
        <f>Inventory!H12*54</f>
        <v>0</v>
      </c>
      <c r="J13">
        <f>Inventory!X12*54</f>
        <v>0</v>
      </c>
      <c r="K13">
        <f>Inventory!J12*74</f>
        <v>0</v>
      </c>
      <c r="L13">
        <f>Inventory!K12*74</f>
        <v>0</v>
      </c>
      <c r="M13">
        <f>Inventory!W12*74</f>
        <v>0</v>
      </c>
      <c r="N13">
        <f>Inventory!L12*74</f>
        <v>0</v>
      </c>
      <c r="O13">
        <f>((Inventory!S12*530)+(Inventory!T12*488370)+(Inventory!U12*504)+(Inventory!V12*494))*74</f>
        <v>0</v>
      </c>
      <c r="P13">
        <f>Inventory!M12*74</f>
        <v>0</v>
      </c>
      <c r="Q13">
        <f>Inventory!X12*74</f>
        <v>0</v>
      </c>
      <c r="R13">
        <f>Inventory!O12*20</f>
        <v>0</v>
      </c>
      <c r="S13">
        <f>Inventory!P12*20</f>
        <v>0</v>
      </c>
      <c r="T13">
        <f>Inventory!W12*20</f>
        <v>0</v>
      </c>
      <c r="U13">
        <f>Inventory!Q12*20</f>
        <v>0</v>
      </c>
      <c r="V13">
        <f>((Inventory!S12*304)+(Inventory!T12*281710)+(Inventory!U12*504)+(Inventory!V12*284))*20</f>
        <v>0</v>
      </c>
      <c r="W13">
        <f>Inventory!R12*20</f>
        <v>0</v>
      </c>
      <c r="X13">
        <f>Inventory!X12*20</f>
        <v>0</v>
      </c>
      <c r="Z13" s="5">
        <f t="shared" si="0"/>
        <v>0</v>
      </c>
      <c r="AA13" s="5">
        <f t="shared" si="1"/>
        <v>0</v>
      </c>
      <c r="AB13" s="5">
        <f t="shared" si="2"/>
        <v>0</v>
      </c>
    </row>
    <row r="14" spans="1:29" x14ac:dyDescent="0.3">
      <c r="A14" t="s">
        <v>35</v>
      </c>
      <c r="B14" t="s">
        <v>36</v>
      </c>
      <c r="C14" t="s">
        <v>37</v>
      </c>
      <c r="D14">
        <f>Inventory!E13*54</f>
        <v>0</v>
      </c>
      <c r="E14">
        <f>Inventory!F13*54</f>
        <v>0</v>
      </c>
      <c r="F14">
        <f>Inventory!W13*54</f>
        <v>0</v>
      </c>
      <c r="G14">
        <f>Inventory!G13*54</f>
        <v>0</v>
      </c>
      <c r="H14">
        <f>((Inventory!S13*1148)+(Inventory!T13*674900)+(Inventory!U13*504)+(Inventory!V13*1105))*54</f>
        <v>0</v>
      </c>
      <c r="I14">
        <f>Inventory!H13*54</f>
        <v>0</v>
      </c>
      <c r="J14">
        <f>Inventory!X13*54</f>
        <v>0</v>
      </c>
      <c r="K14">
        <f>Inventory!J13*74</f>
        <v>0</v>
      </c>
      <c r="L14">
        <f>Inventory!K13*74</f>
        <v>0</v>
      </c>
      <c r="M14">
        <f>Inventory!W13*74</f>
        <v>0</v>
      </c>
      <c r="N14">
        <f>Inventory!L13*74</f>
        <v>0</v>
      </c>
      <c r="O14">
        <f>((Inventory!S13*530)+(Inventory!T13*488370)+(Inventory!U13*504)+(Inventory!V13*494))*74</f>
        <v>0</v>
      </c>
      <c r="P14">
        <f>Inventory!M13*74</f>
        <v>0</v>
      </c>
      <c r="Q14">
        <f>Inventory!X13*74</f>
        <v>0</v>
      </c>
      <c r="R14">
        <f>Inventory!O13*20</f>
        <v>0</v>
      </c>
      <c r="S14">
        <f>Inventory!P13*20</f>
        <v>0</v>
      </c>
      <c r="T14">
        <f>Inventory!W13*20</f>
        <v>0</v>
      </c>
      <c r="U14">
        <f>Inventory!Q13*20</f>
        <v>0</v>
      </c>
      <c r="V14">
        <f>((Inventory!S13*304)+(Inventory!T13*281710)+(Inventory!U13*504)+(Inventory!V13*284))*20</f>
        <v>0</v>
      </c>
      <c r="W14">
        <f>Inventory!R13*20</f>
        <v>0</v>
      </c>
      <c r="X14">
        <f>Inventory!X13*20</f>
        <v>0</v>
      </c>
      <c r="Z14" s="5">
        <f t="shared" si="0"/>
        <v>0</v>
      </c>
      <c r="AA14" s="5">
        <f t="shared" si="1"/>
        <v>0</v>
      </c>
      <c r="AB14" s="5">
        <f t="shared" si="2"/>
        <v>0</v>
      </c>
    </row>
    <row r="15" spans="1:29" x14ac:dyDescent="0.3">
      <c r="A15" t="s">
        <v>38</v>
      </c>
      <c r="B15" t="s">
        <v>39</v>
      </c>
      <c r="C15" t="s">
        <v>40</v>
      </c>
      <c r="D15">
        <f>Inventory!E14*54</f>
        <v>0</v>
      </c>
      <c r="E15">
        <f>Inventory!F14*54</f>
        <v>0</v>
      </c>
      <c r="F15">
        <f>Inventory!W14*54</f>
        <v>0</v>
      </c>
      <c r="G15">
        <f>Inventory!G14*54</f>
        <v>0</v>
      </c>
      <c r="H15">
        <f>((Inventory!S14*1148)+(Inventory!T14*674900)+(Inventory!U14*504)+(Inventory!V14*1105))*54</f>
        <v>0</v>
      </c>
      <c r="I15">
        <f>Inventory!H14*54</f>
        <v>0</v>
      </c>
      <c r="J15">
        <f>Inventory!X14*54</f>
        <v>0</v>
      </c>
      <c r="K15">
        <f>Inventory!J14*74</f>
        <v>0</v>
      </c>
      <c r="L15">
        <f>Inventory!K14*74</f>
        <v>0</v>
      </c>
      <c r="M15">
        <f>Inventory!W14*74</f>
        <v>0</v>
      </c>
      <c r="N15">
        <f>Inventory!L14*74</f>
        <v>0</v>
      </c>
      <c r="O15">
        <f>((Inventory!S14*530)+(Inventory!T14*488370)+(Inventory!U14*504)+(Inventory!V14*494))*74</f>
        <v>0</v>
      </c>
      <c r="P15">
        <f>Inventory!M14*74</f>
        <v>0</v>
      </c>
      <c r="Q15">
        <f>Inventory!X14*74</f>
        <v>0</v>
      </c>
      <c r="R15">
        <f>Inventory!O14*20</f>
        <v>0</v>
      </c>
      <c r="S15">
        <f>Inventory!P14*20</f>
        <v>0</v>
      </c>
      <c r="T15">
        <f>Inventory!W14*20</f>
        <v>0</v>
      </c>
      <c r="U15">
        <f>Inventory!Q14*20</f>
        <v>0</v>
      </c>
      <c r="V15">
        <f>((Inventory!S14*304)+(Inventory!T14*281710)+(Inventory!U14*504)+(Inventory!V14*284))*20</f>
        <v>0</v>
      </c>
      <c r="W15">
        <f>Inventory!R14*20</f>
        <v>0</v>
      </c>
      <c r="X15">
        <f>Inventory!X14*20</f>
        <v>0</v>
      </c>
      <c r="Z15" s="5">
        <f t="shared" si="0"/>
        <v>0</v>
      </c>
      <c r="AA15" s="5">
        <f t="shared" si="1"/>
        <v>0</v>
      </c>
      <c r="AB15" s="5">
        <f t="shared" si="2"/>
        <v>0</v>
      </c>
    </row>
    <row r="16" spans="1:29" x14ac:dyDescent="0.3">
      <c r="A16" s="2" t="s">
        <v>41</v>
      </c>
      <c r="B16" s="2" t="s">
        <v>42</v>
      </c>
      <c r="C16" s="2" t="s">
        <v>43</v>
      </c>
      <c r="D16" s="2">
        <f>Inventory!E15*54</f>
        <v>11398514.4</v>
      </c>
      <c r="E16" s="2">
        <f>Inventory!F15*54</f>
        <v>40.269692768976711</v>
      </c>
      <c r="F16" s="2">
        <f>Inventory!W15*54</f>
        <v>8.4550659944016289</v>
      </c>
      <c r="G16" s="2">
        <f>Inventory!G15*54</f>
        <v>12.057808466225245</v>
      </c>
      <c r="H16" s="2">
        <f>((Inventory!S15*1148)+(Inventory!T15*674900)+(Inventory!U15*504)+(Inventory!V15*1105))*54</f>
        <v>40.712090183799909</v>
      </c>
      <c r="I16" s="2">
        <f>Inventory!H15*54</f>
        <v>0.10221123460033958</v>
      </c>
      <c r="J16" s="2">
        <f>Inventory!X15*54</f>
        <v>42.005001854485108</v>
      </c>
      <c r="K16" s="2">
        <f>Inventory!J15*74</f>
        <v>2276780.94</v>
      </c>
      <c r="L16" s="2">
        <f>Inventory!K15*74</f>
        <v>20.533410038395193</v>
      </c>
      <c r="M16" s="2">
        <f>Inventory!W15*74</f>
        <v>11.586571918254084</v>
      </c>
      <c r="N16" s="2">
        <f>Inventory!L15*74</f>
        <v>40.468724318488675</v>
      </c>
      <c r="O16" s="2">
        <f>((Inventory!S15*530)+(Inventory!T15*488370)+(Inventory!U15*504)+(Inventory!V15*494))*74</f>
        <v>36.957303083202042</v>
      </c>
      <c r="P16" s="2">
        <f>Inventory!M15*74</f>
        <v>0.26405299983326103</v>
      </c>
      <c r="Q16" s="2">
        <f>Inventory!X15*74</f>
        <v>57.562409948738853</v>
      </c>
      <c r="R16" s="2">
        <f>Inventory!O15*20</f>
        <v>277445</v>
      </c>
      <c r="S16" s="2">
        <f>Inventory!P15*20</f>
        <v>62.2363545901934</v>
      </c>
      <c r="T16" s="2">
        <f>Inventory!W15*20</f>
        <v>3.1315059238524552</v>
      </c>
      <c r="U16" s="2">
        <f>Inventory!Q15*20</f>
        <v>2.1999764600118605</v>
      </c>
      <c r="V16" s="2">
        <f>((Inventory!S15*304)+(Inventory!T15*281710)+(Inventory!U15*504)+(Inventory!V15*284))*20</f>
        <v>5.7569720136658127</v>
      </c>
      <c r="W16" s="2">
        <f>Inventory!R15*20</f>
        <v>2.679102728956171E-2</v>
      </c>
      <c r="X16" s="2">
        <f>Inventory!X15*20</f>
        <v>15.557408094253745</v>
      </c>
      <c r="Z16" s="3">
        <f t="shared" si="0"/>
        <v>11398658.001870502</v>
      </c>
      <c r="AA16" s="3">
        <f t="shared" si="1"/>
        <v>2276948.3124723062</v>
      </c>
      <c r="AB16" s="3">
        <f t="shared" si="2"/>
        <v>277533.9090081093</v>
      </c>
    </row>
    <row r="17" spans="1:28" x14ac:dyDescent="0.3">
      <c r="A17" t="s">
        <v>44</v>
      </c>
      <c r="B17" t="s">
        <v>45</v>
      </c>
      <c r="C17" t="s">
        <v>46</v>
      </c>
      <c r="D17">
        <f>Inventory!E16*54</f>
        <v>8584967.4120000005</v>
      </c>
      <c r="E17">
        <f>Inventory!F16*54</f>
        <v>1563678.0176113569</v>
      </c>
      <c r="F17">
        <f>Inventory!W16*54</f>
        <v>168103.6706375854</v>
      </c>
      <c r="G17">
        <f>Inventory!G16*54</f>
        <v>378353.46278588631</v>
      </c>
      <c r="H17">
        <f>((Inventory!S16*1148)+(Inventory!T16*674900)+(Inventory!U16*504)+(Inventory!V16*1105))*54</f>
        <v>1298631.7381282444</v>
      </c>
      <c r="I17">
        <f>Inventory!H16*54</f>
        <v>3005.685703865905</v>
      </c>
      <c r="J17">
        <f>Inventory!X16*54</f>
        <v>431769.51978206134</v>
      </c>
      <c r="K17">
        <f>Inventory!J16*74</f>
        <v>1814919.6636000001</v>
      </c>
      <c r="L17">
        <f>Inventory!K16*74</f>
        <v>915610.73425533925</v>
      </c>
      <c r="M17">
        <f>Inventory!W16*74</f>
        <v>230364.28939224663</v>
      </c>
      <c r="N17">
        <f>Inventory!L16*74</f>
        <v>514728.42676855042</v>
      </c>
      <c r="O17">
        <f>((Inventory!S16*530)+(Inventory!T16*488370)+(Inventory!U16*504)+(Inventory!V16*494))*74</f>
        <v>999766.71567877207</v>
      </c>
      <c r="P17">
        <f>Inventory!M16*74</f>
        <v>2157.4410645440598</v>
      </c>
      <c r="Q17">
        <f>Inventory!X16*74</f>
        <v>591684.15673838032</v>
      </c>
      <c r="R17">
        <f>Inventory!O16*20</f>
        <v>219289.44400000002</v>
      </c>
      <c r="S17">
        <f>Inventory!P16*20</f>
        <v>2343193.4314415003</v>
      </c>
      <c r="T17">
        <f>Inventory!W16*20</f>
        <v>62260.618754661256</v>
      </c>
      <c r="U17">
        <f>Inventory!Q16*20</f>
        <v>28301.006472617646</v>
      </c>
      <c r="V17">
        <f>((Inventory!S16*304)+(Inventory!T16*281710)+(Inventory!U16*504)+(Inventory!V16*284))*20</f>
        <v>155449.05738620274</v>
      </c>
      <c r="W17">
        <f>Inventory!R16*20</f>
        <v>250.07523146613923</v>
      </c>
      <c r="X17">
        <f>Inventory!X16*20</f>
        <v>159914.63695631901</v>
      </c>
      <c r="Z17" s="5">
        <f t="shared" si="0"/>
        <v>12428509.506649001</v>
      </c>
      <c r="AA17" s="5">
        <f t="shared" si="1"/>
        <v>5069231.427497833</v>
      </c>
      <c r="AB17" s="5">
        <f t="shared" si="2"/>
        <v>2968658.2702427674</v>
      </c>
    </row>
    <row r="18" spans="1:28" x14ac:dyDescent="0.3">
      <c r="A18" t="s">
        <v>47</v>
      </c>
      <c r="B18" t="s">
        <v>48</v>
      </c>
      <c r="C18" t="s">
        <v>49</v>
      </c>
      <c r="D18">
        <f>Inventory!E17*54</f>
        <v>340908.696</v>
      </c>
      <c r="E18">
        <f>Inventory!F17*54</f>
        <v>2089282.8761137289</v>
      </c>
      <c r="F18">
        <f>Inventory!W17*54</f>
        <v>241487.63201165758</v>
      </c>
      <c r="G18">
        <f>Inventory!G17*54</f>
        <v>687163.80793461879</v>
      </c>
      <c r="H18">
        <f>((Inventory!S17*1148)+(Inventory!T17*674900)+(Inventory!U17*504)+(Inventory!V17*1105))*54</f>
        <v>1468494.6077899039</v>
      </c>
      <c r="I18">
        <f>Inventory!H17*54</f>
        <v>6805.9824183701194</v>
      </c>
      <c r="J18">
        <f>Inventory!X17*54</f>
        <v>782970.83482468582</v>
      </c>
      <c r="K18">
        <f>Inventory!J17*74</f>
        <v>906260.00438400009</v>
      </c>
      <c r="L18">
        <f>Inventory!K17*74</f>
        <v>1200822.2578611313</v>
      </c>
      <c r="M18">
        <f>Inventory!W17*74</f>
        <v>330927.49571967893</v>
      </c>
      <c r="N18">
        <f>Inventory!L17*74</f>
        <v>959951.82635759597</v>
      </c>
      <c r="O18">
        <f>((Inventory!S17*530)+(Inventory!T17*488370)+(Inventory!U17*504)+(Inventory!V17*494))*74</f>
        <v>1239260.2584667257</v>
      </c>
      <c r="P18">
        <f>Inventory!M17*74</f>
        <v>3732.0101007942326</v>
      </c>
      <c r="Q18">
        <f>Inventory!X17*74</f>
        <v>1072960.0329079027</v>
      </c>
      <c r="R18">
        <f>Inventory!O17*20</f>
        <v>112094.53536000001</v>
      </c>
      <c r="S18">
        <f>Inventory!P17*20</f>
        <v>3318120.9041112997</v>
      </c>
      <c r="T18">
        <f>Inventory!W17*20</f>
        <v>89439.863708021323</v>
      </c>
      <c r="U18">
        <f>Inventory!Q17*20</f>
        <v>52794.607197164732</v>
      </c>
      <c r="V18">
        <f>((Inventory!S17*304)+(Inventory!T17*281710)+(Inventory!U17*504)+(Inventory!V17*284))*20</f>
        <v>192938.86307802386</v>
      </c>
      <c r="W18">
        <f>Inventory!R17*20</f>
        <v>385.74113929842963</v>
      </c>
      <c r="X18">
        <f>Inventory!X17*20</f>
        <v>289989.19808321696</v>
      </c>
      <c r="Z18" s="5">
        <f t="shared" si="0"/>
        <v>5617114.4370929655</v>
      </c>
      <c r="AA18" s="5">
        <f t="shared" si="1"/>
        <v>5713913.8857978284</v>
      </c>
      <c r="AB18" s="5">
        <f t="shared" si="2"/>
        <v>4055763.7126770243</v>
      </c>
    </row>
    <row r="19" spans="1:28" x14ac:dyDescent="0.3">
      <c r="A19" t="s">
        <v>50</v>
      </c>
      <c r="B19" t="s">
        <v>51</v>
      </c>
      <c r="C19" t="s">
        <v>52</v>
      </c>
      <c r="D19">
        <f>Inventory!E18*54</f>
        <v>0</v>
      </c>
      <c r="E19">
        <f>Inventory!F18*54</f>
        <v>0</v>
      </c>
      <c r="F19">
        <f>Inventory!W18*54</f>
        <v>0</v>
      </c>
      <c r="G19">
        <f>Inventory!G18*54</f>
        <v>0</v>
      </c>
      <c r="H19">
        <f>((Inventory!S18*1148)+(Inventory!T18*674900)+(Inventory!U18*504)+(Inventory!V18*1105))*54</f>
        <v>0</v>
      </c>
      <c r="I19">
        <f>Inventory!H18*54</f>
        <v>0</v>
      </c>
      <c r="J19">
        <f>Inventory!X18*54</f>
        <v>0</v>
      </c>
      <c r="K19">
        <f>Inventory!J18*74</f>
        <v>0</v>
      </c>
      <c r="L19">
        <f>Inventory!K18*74</f>
        <v>0</v>
      </c>
      <c r="M19">
        <f>Inventory!W18*74</f>
        <v>0</v>
      </c>
      <c r="N19">
        <f>Inventory!L18*74</f>
        <v>0</v>
      </c>
      <c r="O19">
        <f>((Inventory!S18*530)+(Inventory!T18*488370)+(Inventory!U18*504)+(Inventory!V18*494))*74</f>
        <v>0</v>
      </c>
      <c r="P19">
        <f>Inventory!M18*74</f>
        <v>0</v>
      </c>
      <c r="Q19">
        <f>Inventory!X18*74</f>
        <v>0</v>
      </c>
      <c r="R19">
        <f>Inventory!O18*20</f>
        <v>0</v>
      </c>
      <c r="S19">
        <f>Inventory!P18*20</f>
        <v>0</v>
      </c>
      <c r="T19">
        <f>Inventory!W18*20</f>
        <v>0</v>
      </c>
      <c r="U19">
        <f>Inventory!Q18*20</f>
        <v>0</v>
      </c>
      <c r="V19">
        <f>((Inventory!S18*304)+(Inventory!T18*281710)+(Inventory!U18*504)+(Inventory!V18*284))*20</f>
        <v>0</v>
      </c>
      <c r="W19">
        <f>Inventory!R18*20</f>
        <v>0</v>
      </c>
      <c r="X19">
        <f>Inventory!X18*20</f>
        <v>0</v>
      </c>
      <c r="Z19" s="5">
        <f t="shared" si="0"/>
        <v>0</v>
      </c>
      <c r="AA19" s="5">
        <f t="shared" si="1"/>
        <v>0</v>
      </c>
      <c r="AB19" s="5">
        <f t="shared" si="2"/>
        <v>0</v>
      </c>
    </row>
    <row r="20" spans="1:28" x14ac:dyDescent="0.3">
      <c r="A20" t="s">
        <v>53</v>
      </c>
      <c r="B20" t="s">
        <v>54</v>
      </c>
      <c r="C20" t="s">
        <v>14</v>
      </c>
      <c r="D20">
        <f>Inventory!E19*54</f>
        <v>0</v>
      </c>
      <c r="E20">
        <f>Inventory!F19*54</f>
        <v>0</v>
      </c>
      <c r="F20">
        <f>Inventory!W19*54</f>
        <v>0</v>
      </c>
      <c r="G20">
        <f>Inventory!G19*54</f>
        <v>0</v>
      </c>
      <c r="H20">
        <f>((Inventory!S19*1148)+(Inventory!T19*674900)+(Inventory!U19*504)+(Inventory!V19*1105))*54</f>
        <v>0</v>
      </c>
      <c r="I20">
        <f>Inventory!H19*54</f>
        <v>0</v>
      </c>
      <c r="J20">
        <f>Inventory!X19*54</f>
        <v>0</v>
      </c>
      <c r="K20">
        <f>Inventory!J19*74</f>
        <v>0</v>
      </c>
      <c r="L20">
        <f>Inventory!K19*74</f>
        <v>0</v>
      </c>
      <c r="M20">
        <f>Inventory!W19*74</f>
        <v>0</v>
      </c>
      <c r="N20">
        <f>Inventory!L19*74</f>
        <v>0</v>
      </c>
      <c r="O20">
        <f>((Inventory!S19*530)+(Inventory!T19*488370)+(Inventory!U19*504)+(Inventory!V19*494))*74</f>
        <v>0</v>
      </c>
      <c r="P20">
        <f>Inventory!M19*74</f>
        <v>0</v>
      </c>
      <c r="Q20">
        <f>Inventory!X19*74</f>
        <v>0</v>
      </c>
      <c r="R20">
        <f>Inventory!O19*20</f>
        <v>0</v>
      </c>
      <c r="S20">
        <f>Inventory!P19*20</f>
        <v>0</v>
      </c>
      <c r="T20">
        <f>Inventory!W19*20</f>
        <v>0</v>
      </c>
      <c r="U20">
        <f>Inventory!Q19*20</f>
        <v>0</v>
      </c>
      <c r="V20">
        <f>((Inventory!S19*304)+(Inventory!T19*281710)+(Inventory!U19*504)+(Inventory!V19*284))*20</f>
        <v>0</v>
      </c>
      <c r="W20">
        <f>Inventory!R19*20</f>
        <v>0</v>
      </c>
      <c r="X20">
        <f>Inventory!X19*20</f>
        <v>0</v>
      </c>
      <c r="Z20" s="5">
        <f t="shared" si="0"/>
        <v>0</v>
      </c>
      <c r="AA20" s="5">
        <f t="shared" si="1"/>
        <v>0</v>
      </c>
      <c r="AB20" s="5">
        <f t="shared" si="2"/>
        <v>0</v>
      </c>
    </row>
    <row r="21" spans="1:28" x14ac:dyDescent="0.3">
      <c r="A21" t="s">
        <v>55</v>
      </c>
      <c r="B21" t="s">
        <v>56</v>
      </c>
      <c r="C21" t="s">
        <v>57</v>
      </c>
      <c r="D21">
        <f>Inventory!E20*54</f>
        <v>0</v>
      </c>
      <c r="E21">
        <f>Inventory!F20*54</f>
        <v>6505057702.4606819</v>
      </c>
      <c r="F21">
        <f>Inventory!W20*54</f>
        <v>1084371351.9345882</v>
      </c>
      <c r="G21">
        <f>Inventory!G20*54</f>
        <v>3334804672.2382665</v>
      </c>
      <c r="H21">
        <f>((Inventory!S20*1148)+(Inventory!T20*674900)+(Inventory!U20*504)+(Inventory!V20*1105))*54</f>
        <v>6173652587.1743574</v>
      </c>
      <c r="I21">
        <f>Inventory!H20*54</f>
        <v>8499690.9612749275</v>
      </c>
      <c r="J21">
        <f>Inventory!X20*54</f>
        <v>4393419073.4222755</v>
      </c>
      <c r="K21">
        <f>Inventory!J20*74</f>
        <v>0</v>
      </c>
      <c r="L21">
        <f>Inventory!K20*74</f>
        <v>3380835109.3008637</v>
      </c>
      <c r="M21">
        <f>Inventory!W20*74</f>
        <v>1485990371.1696208</v>
      </c>
      <c r="N21">
        <f>Inventory!L20*74</f>
        <v>5356394783.4030676</v>
      </c>
      <c r="O21">
        <f>((Inventory!S20*530)+(Inventory!T20*488370)+(Inventory!U20*504)+(Inventory!V20*494))*74</f>
        <v>5469547208.7047033</v>
      </c>
      <c r="P21">
        <f>Inventory!M20*74</f>
        <v>20761579.867173254</v>
      </c>
      <c r="Q21">
        <f>Inventory!X20*74</f>
        <v>6020611322.8379326</v>
      </c>
      <c r="R21">
        <f>Inventory!O20*20</f>
        <v>0</v>
      </c>
      <c r="S21">
        <f>Inventory!P20*20</f>
        <v>9822875990.41078</v>
      </c>
      <c r="T21">
        <f>Inventory!W20*20</f>
        <v>401619019.23503268</v>
      </c>
      <c r="U21">
        <f>Inventory!Q20*20</f>
        <v>293771758.7012955</v>
      </c>
      <c r="V21">
        <f>((Inventory!S20*304)+(Inventory!T20*281710)+(Inventory!U20*504)+(Inventory!V20*284))*20</f>
        <v>851993578.17969096</v>
      </c>
      <c r="W21">
        <f>Inventory!R20*20</f>
        <v>922527.32896313665</v>
      </c>
      <c r="X21">
        <f>Inventory!X20*20</f>
        <v>1627192249.4156575</v>
      </c>
      <c r="Z21" s="5">
        <f t="shared" si="0"/>
        <v>21499805078.191444</v>
      </c>
      <c r="AA21" s="5">
        <f t="shared" si="1"/>
        <v>21734140375.283363</v>
      </c>
      <c r="AB21" s="5">
        <f t="shared" si="2"/>
        <v>12998375123.27142</v>
      </c>
    </row>
    <row r="22" spans="1:28" x14ac:dyDescent="0.3">
      <c r="A22" s="2" t="s">
        <v>58</v>
      </c>
      <c r="B22" s="2" t="s">
        <v>59</v>
      </c>
      <c r="C22" s="2" t="s">
        <v>60</v>
      </c>
      <c r="D22" s="2">
        <f>Inventory!E21*54</f>
        <v>0</v>
      </c>
      <c r="E22" s="2">
        <f>Inventory!F21*54</f>
        <v>146865.1870889675</v>
      </c>
      <c r="F22" s="2">
        <f>Inventory!W21*54</f>
        <v>845.35187468534082</v>
      </c>
      <c r="G22" s="2">
        <f>Inventory!G21*54</f>
        <v>1868.2071180283422</v>
      </c>
      <c r="H22" s="2">
        <f>((Inventory!S21*1148)+(Inventory!T21*674900)+(Inventory!U21*504)+(Inventory!V21*1105))*54</f>
        <v>27550.914375277629</v>
      </c>
      <c r="I22" s="2">
        <f>Inventory!H21*54</f>
        <v>10.51849323833415</v>
      </c>
      <c r="J22" s="2">
        <f>Inventory!X21*54</f>
        <v>1794.2045389180582</v>
      </c>
      <c r="K22" s="2">
        <f>Inventory!J21*74</f>
        <v>0</v>
      </c>
      <c r="L22" s="2">
        <f>Inventory!K21*74</f>
        <v>131966.94671489566</v>
      </c>
      <c r="M22" s="2">
        <f>Inventory!W21*74</f>
        <v>1158.4451616058375</v>
      </c>
      <c r="N22" s="2">
        <f>Inventory!L21*74</f>
        <v>2436.5707651715225</v>
      </c>
      <c r="O22" s="2">
        <f>((Inventory!S21*530)+(Inventory!T21*488370)+(Inventory!U21*504)+(Inventory!V21*494))*74</f>
        <v>20554.015418601182</v>
      </c>
      <c r="P22" s="2">
        <f>Inventory!M21*74</f>
        <v>61.928501379508617</v>
      </c>
      <c r="Q22" s="2">
        <f>Inventory!X21*74</f>
        <v>2458.7247385173391</v>
      </c>
      <c r="R22" s="2">
        <f>Inventory!O21*20</f>
        <v>0</v>
      </c>
      <c r="S22" s="2">
        <f>Inventory!P21*20</f>
        <v>249468.17206090401</v>
      </c>
      <c r="T22" s="2">
        <f>Inventory!W21*20</f>
        <v>313.09328692049661</v>
      </c>
      <c r="U22" s="2">
        <f>Inventory!Q21*20</f>
        <v>134.32500979874089</v>
      </c>
      <c r="V22" s="2">
        <f>((Inventory!S21*304)+(Inventory!T21*281710)+(Inventory!U21*504)+(Inventory!V21*284))*20</f>
        <v>3195.5139595683927</v>
      </c>
      <c r="W22" s="2">
        <f>Inventory!R21*20</f>
        <v>3.1698714888092043</v>
      </c>
      <c r="X22" s="2">
        <f>Inventory!X21*20</f>
        <v>664.52019959928077</v>
      </c>
      <c r="Z22" s="3">
        <f t="shared" si="0"/>
        <v>178934.38348911522</v>
      </c>
      <c r="AA22" s="3">
        <f t="shared" si="1"/>
        <v>158636.63130017105</v>
      </c>
      <c r="AB22" s="3">
        <f t="shared" si="2"/>
        <v>253778.79438827973</v>
      </c>
    </row>
    <row r="23" spans="1:28" x14ac:dyDescent="0.3">
      <c r="A23" t="s">
        <v>61</v>
      </c>
      <c r="B23" t="s">
        <v>62</v>
      </c>
      <c r="C23" t="s">
        <v>63</v>
      </c>
      <c r="D23">
        <f>Inventory!E22*54</f>
        <v>0</v>
      </c>
      <c r="E23">
        <f>Inventory!F22*54</f>
        <v>1046443802.7211457</v>
      </c>
      <c r="F23">
        <f>Inventory!W22*54</f>
        <v>257782921.19999999</v>
      </c>
      <c r="G23">
        <f>Inventory!G22*54</f>
        <v>72496287.345715359</v>
      </c>
      <c r="H23">
        <f>((Inventory!S22*1148)+(Inventory!T22*674900)+(Inventory!U22*504)+(Inventory!V22*1105))*54</f>
        <v>0</v>
      </c>
      <c r="I23">
        <f>Inventory!H22*54</f>
        <v>3137137.3465559939</v>
      </c>
      <c r="J23">
        <f>Inventory!X22*54</f>
        <v>3005613.6744662384</v>
      </c>
      <c r="K23">
        <f>Inventory!J22*74</f>
        <v>0</v>
      </c>
      <c r="L23">
        <f>Inventory!K22*74</f>
        <v>2134097425.6308713</v>
      </c>
      <c r="M23">
        <f>Inventory!W22*74</f>
        <v>353258077.19999999</v>
      </c>
      <c r="N23">
        <f>Inventory!L22*74</f>
        <v>5012657.2298021782</v>
      </c>
      <c r="O23">
        <f>((Inventory!S22*530)+(Inventory!T22*488370)+(Inventory!U22*504)+(Inventory!V22*494))*74</f>
        <v>0</v>
      </c>
      <c r="P23">
        <f>Inventory!M22*74</f>
        <v>20670802.719644304</v>
      </c>
      <c r="Q23">
        <f>Inventory!X22*74</f>
        <v>4118803.9242685484</v>
      </c>
      <c r="R23">
        <f>Inventory!O22*20</f>
        <v>0</v>
      </c>
      <c r="S23">
        <f>Inventory!P22*20</f>
        <v>211836081.14254001</v>
      </c>
      <c r="T23">
        <f>Inventory!W22*20</f>
        <v>95475156</v>
      </c>
      <c r="U23">
        <f>Inventory!Q22*20</f>
        <v>1151569.5617262458</v>
      </c>
      <c r="V23">
        <f>((Inventory!S22*304)+(Inventory!T22*281710)+(Inventory!U22*504)+(Inventory!V22*284))*20</f>
        <v>0</v>
      </c>
      <c r="W23">
        <f>Inventory!R22*20</f>
        <v>3295577.47947405</v>
      </c>
      <c r="X23">
        <f>Inventory!X22*20</f>
        <v>1113190.2498023105</v>
      </c>
      <c r="Z23" s="5">
        <f t="shared" si="0"/>
        <v>1382865762.287883</v>
      </c>
      <c r="AA23" s="5">
        <f t="shared" si="1"/>
        <v>2517157766.704586</v>
      </c>
      <c r="AB23" s="5">
        <f t="shared" si="2"/>
        <v>312871574.43354261</v>
      </c>
    </row>
    <row r="24" spans="1:28" x14ac:dyDescent="0.3">
      <c r="A24" s="2" t="s">
        <v>64</v>
      </c>
      <c r="B24" s="2" t="s">
        <v>65</v>
      </c>
      <c r="C24" s="2" t="s">
        <v>66</v>
      </c>
      <c r="D24" s="2">
        <f>Inventory!E23*54</f>
        <v>0</v>
      </c>
      <c r="E24" s="2">
        <f>Inventory!F23*54</f>
        <v>3765692023.6762009</v>
      </c>
      <c r="F24" s="2">
        <f>Inventory!W23*54</f>
        <v>415859129.60350496</v>
      </c>
      <c r="G24" s="2">
        <f>Inventory!G23*54</f>
        <v>924701310.17213857</v>
      </c>
      <c r="H24" s="2">
        <f>((Inventory!S23*1148)+(Inventory!T23*674900)+(Inventory!U23*504)+(Inventory!V23*1105))*54</f>
        <v>3344674897.5176516</v>
      </c>
      <c r="I24" s="2">
        <f>Inventory!H23*54</f>
        <v>936461.40052167559</v>
      </c>
      <c r="J24" s="2">
        <f>Inventory!X23*54</f>
        <v>1008903428.0330663</v>
      </c>
      <c r="K24" s="2">
        <f>Inventory!J23*74</f>
        <v>0</v>
      </c>
      <c r="L24" s="2">
        <f>Inventory!K23*74</f>
        <v>1498766521.1906075</v>
      </c>
      <c r="M24" s="2">
        <f>Inventory!W23*74</f>
        <v>569881029.45665491</v>
      </c>
      <c r="N24" s="2">
        <f>Inventory!L23*74</f>
        <v>1131678388.6168551</v>
      </c>
      <c r="O24" s="2">
        <f>((Inventory!S23*530)+(Inventory!T23*488370)+(Inventory!U23*504)+(Inventory!V23*494))*74</f>
        <v>2734227013.054121</v>
      </c>
      <c r="P24" s="2">
        <f>Inventory!M23*74</f>
        <v>3520269.0527360979</v>
      </c>
      <c r="Q24" s="2">
        <f>Inventory!X23*74</f>
        <v>1382571364.3416095</v>
      </c>
      <c r="R24" s="2">
        <f>Inventory!O23*20</f>
        <v>0</v>
      </c>
      <c r="S24" s="2">
        <f>Inventory!P23*20</f>
        <v>5614078610.14048</v>
      </c>
      <c r="T24" s="2">
        <f>Inventory!W23*20</f>
        <v>154021899.85314998</v>
      </c>
      <c r="U24" s="2">
        <f>Inventory!Q23*20</f>
        <v>62280861.958490282</v>
      </c>
      <c r="V24" s="2">
        <f>((Inventory!S23*304)+(Inventory!T23*281710)+(Inventory!U23*504)+(Inventory!V23*284))*20</f>
        <v>425394806.89208257</v>
      </c>
      <c r="W24" s="2">
        <f>Inventory!R23*20</f>
        <v>458632.77336208906</v>
      </c>
      <c r="X24" s="2">
        <f>Inventory!X23*20</f>
        <v>373667936.30854309</v>
      </c>
      <c r="Z24" s="3">
        <f t="shared" si="0"/>
        <v>9460767250.4030838</v>
      </c>
      <c r="AA24" s="3">
        <f t="shared" si="1"/>
        <v>7320644585.7125854</v>
      </c>
      <c r="AB24" s="3">
        <f t="shared" si="2"/>
        <v>6629902747.9261084</v>
      </c>
    </row>
    <row r="25" spans="1:28" x14ac:dyDescent="0.3">
      <c r="A25" s="2" t="s">
        <v>67</v>
      </c>
      <c r="B25" s="2" t="s">
        <v>68</v>
      </c>
      <c r="C25" s="2" t="s">
        <v>69</v>
      </c>
      <c r="D25" s="2">
        <f>Inventory!E24*54</f>
        <v>0</v>
      </c>
      <c r="E25" s="2">
        <f>Inventory!F24*54</f>
        <v>247.61081046303838</v>
      </c>
      <c r="F25" s="2">
        <f>Inventory!W24*54</f>
        <v>26.256644161334883</v>
      </c>
      <c r="G25" s="2">
        <f>Inventory!G24*54</f>
        <v>82.093704887785776</v>
      </c>
      <c r="H25" s="2">
        <f>((Inventory!S24*1148)+(Inventory!T24*674900)+(Inventory!U24*504)+(Inventory!V24*1105))*54</f>
        <v>225.77985250222531</v>
      </c>
      <c r="I25" s="2">
        <f>Inventory!H24*54</f>
        <v>8.9312018866388954E-2</v>
      </c>
      <c r="J25" s="2">
        <f>Inventory!X24*54</f>
        <v>91.576513861203722</v>
      </c>
      <c r="K25" s="2">
        <f>Inventory!J24*74</f>
        <v>0</v>
      </c>
      <c r="L25" s="2">
        <f>Inventory!K24*74</f>
        <v>112.13279643924123</v>
      </c>
      <c r="M25" s="2">
        <f>Inventory!W24*74</f>
        <v>35.981327184051509</v>
      </c>
      <c r="N25" s="2">
        <f>Inventory!L24*74</f>
        <v>102.02586932806355</v>
      </c>
      <c r="O25" s="2">
        <f>((Inventory!S24*530)+(Inventory!T24*488370)+(Inventory!U24*504)+(Inventory!V24*494))*74</f>
        <v>179.96259678193101</v>
      </c>
      <c r="P25" s="2">
        <f>Inventory!M24*74</f>
        <v>0.35273464827915968</v>
      </c>
      <c r="Q25" s="2">
        <f>Inventory!X24*74</f>
        <v>125.4937412172051</v>
      </c>
      <c r="R25" s="2">
        <f>Inventory!O24*20</f>
        <v>0</v>
      </c>
      <c r="S25" s="2">
        <f>Inventory!P24*20</f>
        <v>382.72253795045799</v>
      </c>
      <c r="T25" s="2">
        <f>Inventory!W24*20</f>
        <v>9.7246830227166239</v>
      </c>
      <c r="U25" s="2">
        <f>Inventory!Q24*20</f>
        <v>5.6281952025448847</v>
      </c>
      <c r="V25" s="2">
        <f>((Inventory!S24*304)+(Inventory!T24*281710)+(Inventory!U24*504)+(Inventory!V24*284))*20</f>
        <v>27.99105677918498</v>
      </c>
      <c r="W25" s="2">
        <f>Inventory!R24*20</f>
        <v>5.1607458175010487E-2</v>
      </c>
      <c r="X25" s="2">
        <f>Inventory!X24*20</f>
        <v>33.917227356001376</v>
      </c>
      <c r="Z25" s="3">
        <f t="shared" si="0"/>
        <v>673.40683789445438</v>
      </c>
      <c r="AA25" s="3">
        <f t="shared" si="1"/>
        <v>555.94906559877165</v>
      </c>
      <c r="AB25" s="3">
        <f t="shared" si="2"/>
        <v>460.03530776908087</v>
      </c>
    </row>
    <row r="26" spans="1:28" x14ac:dyDescent="0.3">
      <c r="A26" t="s">
        <v>70</v>
      </c>
      <c r="B26" t="s">
        <v>71</v>
      </c>
      <c r="C26" t="s">
        <v>72</v>
      </c>
      <c r="D26">
        <f>Inventory!E25*54</f>
        <v>0</v>
      </c>
      <c r="E26">
        <f>Inventory!F25*54</f>
        <v>1848078509376.3794</v>
      </c>
      <c r="F26">
        <f>Inventory!W25*54</f>
        <v>111569704692.25595</v>
      </c>
      <c r="G26">
        <f>Inventory!G25*54</f>
        <v>341750042327.82678</v>
      </c>
      <c r="H26">
        <f>((Inventory!S25*1148)+(Inventory!T25*674900)+(Inventory!U25*504)+(Inventory!V25*1105))*54</f>
        <v>924523908992.01953</v>
      </c>
      <c r="I26">
        <f>Inventory!H25*54</f>
        <v>238375315.61409676</v>
      </c>
      <c r="J26">
        <f>Inventory!X25*54</f>
        <v>433377567033.73383</v>
      </c>
      <c r="K26">
        <f>Inventory!J25*74</f>
        <v>0</v>
      </c>
      <c r="L26">
        <f>Inventory!K25*74</f>
        <v>597140954150.44006</v>
      </c>
      <c r="M26">
        <f>Inventory!W25*74</f>
        <v>152891817541.23965</v>
      </c>
      <c r="N26">
        <f>Inventory!L25*74</f>
        <v>484236466276.76361</v>
      </c>
      <c r="O26">
        <f>((Inventory!S25*530)+(Inventory!T25*488370)+(Inventory!U25*504)+(Inventory!V25*494))*74</f>
        <v>739309478468.04102</v>
      </c>
      <c r="P26">
        <f>Inventory!M25*74</f>
        <v>358861602.74317968</v>
      </c>
      <c r="Q26">
        <f>Inventory!X25*74</f>
        <v>593887777046.22778</v>
      </c>
      <c r="R26">
        <f>Inventory!O25*20</f>
        <v>0</v>
      </c>
      <c r="S26">
        <f>Inventory!P25*20</f>
        <v>2565867856064.8398</v>
      </c>
      <c r="T26">
        <f>Inventory!W25*20</f>
        <v>41322112848.983688</v>
      </c>
      <c r="U26">
        <f>Inventory!Q25*20</f>
        <v>26638327406.253273</v>
      </c>
      <c r="V26">
        <f>((Inventory!S25*304)+(Inventory!T25*281710)+(Inventory!U25*504)+(Inventory!V25*284))*20</f>
        <v>114993398272.39276</v>
      </c>
      <c r="W26">
        <f>Inventory!R25*20</f>
        <v>123260984.17378975</v>
      </c>
      <c r="X26">
        <f>Inventory!X25*20</f>
        <v>160510210012.49402</v>
      </c>
      <c r="Z26" s="5">
        <f t="shared" si="0"/>
        <v>3659538107737.8296</v>
      </c>
      <c r="AA26" s="5">
        <f t="shared" si="1"/>
        <v>2567825355085.4551</v>
      </c>
      <c r="AB26" s="5">
        <f t="shared" si="2"/>
        <v>2909455165589.1377</v>
      </c>
    </row>
    <row r="27" spans="1:28" x14ac:dyDescent="0.3">
      <c r="A27" t="s">
        <v>73</v>
      </c>
      <c r="B27" t="s">
        <v>74</v>
      </c>
      <c r="C27" t="s">
        <v>75</v>
      </c>
      <c r="D27">
        <f>Inventory!E26*54</f>
        <v>0</v>
      </c>
      <c r="E27">
        <f>Inventory!F26*54</f>
        <v>3927107127.4162993</v>
      </c>
      <c r="F27">
        <f>Inventory!W26*54</f>
        <v>1198339620.228132</v>
      </c>
      <c r="G27">
        <f>Inventory!G26*54</f>
        <v>1545890304.2707899</v>
      </c>
      <c r="H27">
        <f>((Inventory!S26*1148)+(Inventory!T26*674900)+(Inventory!U26*504)+(Inventory!V26*1105))*54</f>
        <v>5592387962.6748276</v>
      </c>
      <c r="I27">
        <f>Inventory!H26*54</f>
        <v>829427.78839993826</v>
      </c>
      <c r="J27">
        <f>Inventory!X26*54</f>
        <v>2115396967.6539261</v>
      </c>
      <c r="K27">
        <f>Inventory!J26*74</f>
        <v>0</v>
      </c>
      <c r="L27">
        <f>Inventory!K26*74</f>
        <v>1961157456.1771255</v>
      </c>
      <c r="M27">
        <f>Inventory!W26*74</f>
        <v>1642169109.2015145</v>
      </c>
      <c r="N27">
        <f>Inventory!L26*74</f>
        <v>2337914165.2650623</v>
      </c>
      <c r="O27">
        <f>((Inventory!S26*530)+(Inventory!T26*488370)+(Inventory!U26*504)+(Inventory!V26*494))*74</f>
        <v>4278473625.5272608</v>
      </c>
      <c r="P27">
        <f>Inventory!M26*74</f>
        <v>1425967.1010496446</v>
      </c>
      <c r="Q27">
        <f>Inventory!X26*74</f>
        <v>2898877326.0442691</v>
      </c>
      <c r="R27">
        <f>Inventory!O26*20</f>
        <v>0</v>
      </c>
      <c r="S27">
        <f>Inventory!P26*20</f>
        <v>6001256326.0430002</v>
      </c>
      <c r="T27">
        <f>Inventory!W26*20</f>
        <v>443829488.97338223</v>
      </c>
      <c r="U27">
        <f>Inventory!Q26*20</f>
        <v>128396819.79509798</v>
      </c>
      <c r="V27">
        <f>((Inventory!S26*304)+(Inventory!T26*281710)+(Inventory!U26*504)+(Inventory!V26*284))*20</f>
        <v>665069865.55823982</v>
      </c>
      <c r="W27">
        <f>Inventory!R26*20</f>
        <v>1189851.8027675957</v>
      </c>
      <c r="X27">
        <f>Inventory!X26*20</f>
        <v>783480358.39034307</v>
      </c>
      <c r="Z27" s="5">
        <f t="shared" si="0"/>
        <v>14379951410.032377</v>
      </c>
      <c r="AA27" s="5">
        <f t="shared" si="1"/>
        <v>13120017649.316282</v>
      </c>
      <c r="AB27" s="5">
        <f t="shared" si="2"/>
        <v>8023222710.5628309</v>
      </c>
    </row>
    <row r="28" spans="1:28" x14ac:dyDescent="0.3">
      <c r="Z28" s="5">
        <f>SUM(Z3:Z27)</f>
        <v>3739627385395.8403</v>
      </c>
      <c r="AA28" s="5">
        <f t="shared" ref="AA28:AB28" si="3">SUM(AA3:AA27)</f>
        <v>2645258112263.3799</v>
      </c>
      <c r="AB28" s="5">
        <f t="shared" si="3"/>
        <v>2957951117951.2559</v>
      </c>
    </row>
    <row r="30" spans="1:28" x14ac:dyDescent="0.3">
      <c r="L30" t="s">
        <v>137</v>
      </c>
      <c r="M30" t="s">
        <v>138</v>
      </c>
    </row>
    <row r="31" spans="1:28" x14ac:dyDescent="0.3">
      <c r="K31" t="s">
        <v>140</v>
      </c>
      <c r="L31">
        <f>(Inventory!S23*530)</f>
        <v>13861142.064604728</v>
      </c>
      <c r="M31">
        <f>(Inventory!T23*488370)</f>
        <v>23073540.183070235</v>
      </c>
    </row>
    <row r="32" spans="1:28" x14ac:dyDescent="0.3">
      <c r="K32" t="s">
        <v>139</v>
      </c>
      <c r="L32">
        <f>(Inventory!S24*530)</f>
        <v>1.0452364861211108</v>
      </c>
      <c r="M32">
        <f>(Inventory!T24*488370)</f>
        <v>1.3853653207842724</v>
      </c>
    </row>
  </sheetData>
  <mergeCells count="9">
    <mergeCell ref="AA1:AA2"/>
    <mergeCell ref="AB1:AB2"/>
    <mergeCell ref="C1:C2"/>
    <mergeCell ref="B1:B2"/>
    <mergeCell ref="A1:A2"/>
    <mergeCell ref="D1:J1"/>
    <mergeCell ref="K1:Q1"/>
    <mergeCell ref="R1:X1"/>
    <mergeCell ref="Z1:Z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B24CC-A363-45F7-BDD6-4540FA91862D}">
  <dimension ref="A1:N26"/>
  <sheetViews>
    <sheetView topLeftCell="B1" workbookViewId="0">
      <selection activeCell="L3" sqref="L3"/>
    </sheetView>
  </sheetViews>
  <sheetFormatPr defaultRowHeight="14.4" x14ac:dyDescent="0.3"/>
  <cols>
    <col min="1" max="1" width="28.6640625" style="5" bestFit="1" customWidth="1"/>
    <col min="2" max="2" width="9.109375" style="5"/>
    <col min="3" max="3" width="19.44140625" bestFit="1" customWidth="1"/>
    <col min="4" max="4" width="12.33203125" bestFit="1" customWidth="1"/>
    <col min="5" max="5" width="29.44140625" bestFit="1" customWidth="1"/>
    <col min="6" max="6" width="18" bestFit="1" customWidth="1"/>
    <col min="7" max="7" width="25.109375" bestFit="1" customWidth="1"/>
    <col min="8" max="8" width="16.44140625" bestFit="1" customWidth="1"/>
    <col min="9" max="9" width="12.6640625" bestFit="1" customWidth="1"/>
    <col min="10" max="10" width="59.44140625" bestFit="1" customWidth="1"/>
    <col min="12" max="12" width="11" bestFit="1" customWidth="1"/>
  </cols>
  <sheetData>
    <row r="1" spans="1:14" x14ac:dyDescent="0.3">
      <c r="C1" s="5" t="s">
        <v>124</v>
      </c>
      <c r="D1" s="5" t="s">
        <v>125</v>
      </c>
      <c r="E1" s="5" t="s">
        <v>126</v>
      </c>
      <c r="F1" s="5" t="s">
        <v>127</v>
      </c>
      <c r="G1" s="5" t="s">
        <v>128</v>
      </c>
      <c r="H1" s="5" t="s">
        <v>129</v>
      </c>
      <c r="I1" s="5" t="s">
        <v>135</v>
      </c>
      <c r="J1" s="5" t="s">
        <v>134</v>
      </c>
      <c r="L1" s="5" t="s">
        <v>141</v>
      </c>
      <c r="M1" s="5" t="s">
        <v>142</v>
      </c>
    </row>
    <row r="2" spans="1:14" x14ac:dyDescent="0.3">
      <c r="A2" s="17" t="s">
        <v>123</v>
      </c>
      <c r="B2" s="5" t="s">
        <v>94</v>
      </c>
      <c r="C2">
        <v>595012795.90014386</v>
      </c>
      <c r="D2">
        <v>87278232.091468528</v>
      </c>
      <c r="E2">
        <v>258836443.898379</v>
      </c>
      <c r="F2">
        <v>485150868.1496706</v>
      </c>
      <c r="G2">
        <v>596332.08846138336</v>
      </c>
      <c r="H2" s="2">
        <v>305994064.08806497</v>
      </c>
      <c r="I2">
        <v>25262107.200000141</v>
      </c>
      <c r="J2">
        <f>5812740532.8-I2</f>
        <v>5787478425.6000004</v>
      </c>
      <c r="L2">
        <f>SUM(C2:J2)</f>
        <v>7545609269.0161886</v>
      </c>
      <c r="M2" s="7">
        <v>57900000000000</v>
      </c>
      <c r="N2" s="8">
        <f>L2/M2</f>
        <v>1.3032140360995145E-4</v>
      </c>
    </row>
    <row r="3" spans="1:14" x14ac:dyDescent="0.3">
      <c r="A3" s="17"/>
      <c r="B3" s="5" t="s">
        <v>95</v>
      </c>
      <c r="C3">
        <f>2615097279.02457/54*6</f>
        <v>290566364.33606333</v>
      </c>
      <c r="D3">
        <v>119603503.23645689</v>
      </c>
      <c r="E3">
        <v>122743338.51823802</v>
      </c>
      <c r="F3">
        <v>414029327.84313387</v>
      </c>
      <c r="G3">
        <v>1274333.6433872997</v>
      </c>
      <c r="H3" s="2">
        <v>419325198.93549639</v>
      </c>
      <c r="I3">
        <v>46654494.004799582</v>
      </c>
      <c r="J3">
        <f>1977942961.2048-I3</f>
        <v>1931288467.2000003</v>
      </c>
      <c r="L3">
        <f t="shared" ref="L3:L24" si="0">SUM(C3:J3)</f>
        <v>3345485027.7175756</v>
      </c>
      <c r="M3" s="7">
        <v>57900000000000</v>
      </c>
      <c r="N3" s="8">
        <f t="shared" ref="N3:N4" si="1">L3/M3</f>
        <v>5.778039771532946E-5</v>
      </c>
    </row>
    <row r="4" spans="1:14" x14ac:dyDescent="0.3">
      <c r="A4" s="17"/>
      <c r="B4" s="5" t="s">
        <v>96</v>
      </c>
      <c r="C4">
        <v>893608259.62569189</v>
      </c>
      <c r="D4">
        <v>32325271.144988347</v>
      </c>
      <c r="E4">
        <v>19378203.988763895</v>
      </c>
      <c r="F4">
        <v>64466609.669921778</v>
      </c>
      <c r="G4">
        <v>86572.076158220516</v>
      </c>
      <c r="H4" s="2">
        <v>113331134.84743147</v>
      </c>
      <c r="I4">
        <v>5773102.1920000017</v>
      </c>
      <c r="J4">
        <f>240628743.792-I4</f>
        <v>234855641.59999999</v>
      </c>
      <c r="L4">
        <f t="shared" si="0"/>
        <v>1363824795.1449554</v>
      </c>
      <c r="M4" s="7">
        <v>57900000000000</v>
      </c>
      <c r="N4" s="8">
        <f t="shared" si="1"/>
        <v>2.3554832385923238E-5</v>
      </c>
    </row>
    <row r="5" spans="1:14" x14ac:dyDescent="0.3">
      <c r="A5" s="6"/>
      <c r="H5" s="2"/>
      <c r="N5" s="8"/>
    </row>
    <row r="6" spans="1:14" x14ac:dyDescent="0.3">
      <c r="C6" s="5" t="s">
        <v>124</v>
      </c>
      <c r="D6" s="5" t="s">
        <v>125</v>
      </c>
      <c r="E6" s="5" t="s">
        <v>126</v>
      </c>
      <c r="F6" s="5" t="s">
        <v>127</v>
      </c>
      <c r="G6" s="5" t="s">
        <v>128</v>
      </c>
      <c r="H6" s="3" t="s">
        <v>129</v>
      </c>
      <c r="I6" s="5" t="s">
        <v>135</v>
      </c>
      <c r="J6" s="5" t="s">
        <v>134</v>
      </c>
      <c r="N6" s="8"/>
    </row>
    <row r="7" spans="1:14" x14ac:dyDescent="0.3">
      <c r="A7" s="17" t="s">
        <v>130</v>
      </c>
      <c r="B7" s="5" t="s">
        <v>94</v>
      </c>
      <c r="C7">
        <v>40.269692768976711</v>
      </c>
      <c r="D7">
        <v>8.4550659944016289</v>
      </c>
      <c r="E7">
        <v>12.057808466225245</v>
      </c>
      <c r="F7">
        <v>40.712090183799909</v>
      </c>
      <c r="G7">
        <v>0.10221123460033958</v>
      </c>
      <c r="H7" s="2">
        <v>42.005001854485108</v>
      </c>
      <c r="I7">
        <v>4683344.4000000004</v>
      </c>
      <c r="J7">
        <f>11398514.4-I7</f>
        <v>6715170</v>
      </c>
      <c r="L7">
        <f t="shared" si="0"/>
        <v>11398658.001870502</v>
      </c>
      <c r="M7" s="7">
        <v>161000000</v>
      </c>
      <c r="N7" s="8">
        <f>L7/M7</f>
        <v>7.0799118024040389E-2</v>
      </c>
    </row>
    <row r="8" spans="1:14" x14ac:dyDescent="0.3">
      <c r="A8" s="17"/>
      <c r="B8" s="5" t="s">
        <v>95</v>
      </c>
      <c r="C8">
        <f>195.714309789172/54*6</f>
        <v>21.746034421019111</v>
      </c>
      <c r="D8">
        <v>11.586571918254084</v>
      </c>
      <c r="E8">
        <v>14.147251893643748</v>
      </c>
      <c r="F8">
        <v>36.957303083202042</v>
      </c>
      <c r="G8">
        <v>0.26405299983326103</v>
      </c>
      <c r="H8" s="2">
        <v>57.562409948738853</v>
      </c>
      <c r="I8">
        <v>505951.31999999977</v>
      </c>
      <c r="J8">
        <f>2276780.94-I8</f>
        <v>1770829.62</v>
      </c>
      <c r="L8">
        <f t="shared" si="0"/>
        <v>2276923.2036242643</v>
      </c>
      <c r="M8" s="7">
        <v>161000000</v>
      </c>
      <c r="N8" s="8">
        <f t="shared" ref="N8:N9" si="2">L8/M8</f>
        <v>1.4142380146734562E-2</v>
      </c>
    </row>
    <row r="9" spans="1:14" x14ac:dyDescent="0.3">
      <c r="A9" s="17"/>
      <c r="B9" s="5" t="s">
        <v>96</v>
      </c>
      <c r="C9">
        <v>62.2363545901934</v>
      </c>
      <c r="D9">
        <v>3.1315059238524552</v>
      </c>
      <c r="E9">
        <v>2.1999764600118605</v>
      </c>
      <c r="F9">
        <v>5.7569720136658127</v>
      </c>
      <c r="G9">
        <v>2.679102728956171E-2</v>
      </c>
      <c r="H9" s="2">
        <v>15.557408094253745</v>
      </c>
      <c r="I9">
        <v>63142.799999999996</v>
      </c>
      <c r="J9">
        <f>277445-I9</f>
        <v>214302.2</v>
      </c>
      <c r="L9">
        <f t="shared" si="0"/>
        <v>277533.90900810924</v>
      </c>
      <c r="M9" s="7">
        <v>161000000</v>
      </c>
      <c r="N9" s="8">
        <f t="shared" si="2"/>
        <v>1.72381309942925E-3</v>
      </c>
    </row>
    <row r="10" spans="1:14" x14ac:dyDescent="0.3">
      <c r="A10" s="6"/>
      <c r="H10" s="2"/>
    </row>
    <row r="11" spans="1:14" x14ac:dyDescent="0.3">
      <c r="C11" s="5" t="s">
        <v>124</v>
      </c>
      <c r="D11" s="5" t="s">
        <v>125</v>
      </c>
      <c r="E11" s="5" t="s">
        <v>126</v>
      </c>
      <c r="F11" s="5" t="s">
        <v>127</v>
      </c>
      <c r="G11" s="5" t="s">
        <v>128</v>
      </c>
      <c r="H11" s="3" t="s">
        <v>129</v>
      </c>
      <c r="I11" s="5" t="s">
        <v>135</v>
      </c>
      <c r="J11" s="5" t="s">
        <v>134</v>
      </c>
    </row>
    <row r="12" spans="1:14" x14ac:dyDescent="0.3">
      <c r="A12" s="17" t="s">
        <v>131</v>
      </c>
      <c r="B12" s="5" t="s">
        <v>94</v>
      </c>
      <c r="C12">
        <v>146865.1870889675</v>
      </c>
      <c r="D12">
        <v>845.35187468534082</v>
      </c>
      <c r="E12">
        <v>1868.2071180283422</v>
      </c>
      <c r="F12">
        <v>27550.914375277629</v>
      </c>
      <c r="G12">
        <v>10.51849323833415</v>
      </c>
      <c r="H12" s="2">
        <v>1794.2045389180582</v>
      </c>
      <c r="I12">
        <v>0</v>
      </c>
      <c r="J12">
        <v>0</v>
      </c>
      <c r="L12">
        <f t="shared" si="0"/>
        <v>178934.38348911522</v>
      </c>
    </row>
    <row r="13" spans="1:14" x14ac:dyDescent="0.3">
      <c r="A13" s="17"/>
      <c r="B13" s="5" t="s">
        <v>95</v>
      </c>
      <c r="C13">
        <f>1668257.90157077/54*6</f>
        <v>185361.98906341888</v>
      </c>
      <c r="D13">
        <v>1158.4451616058375</v>
      </c>
      <c r="E13">
        <v>851.78816362692635</v>
      </c>
      <c r="F13">
        <v>20554.015418601182</v>
      </c>
      <c r="G13">
        <v>61.928501379508617</v>
      </c>
      <c r="H13" s="2">
        <v>2458.7247385173391</v>
      </c>
      <c r="I13">
        <v>0</v>
      </c>
      <c r="J13">
        <v>0</v>
      </c>
      <c r="L13">
        <f t="shared" si="0"/>
        <v>210446.89104714966</v>
      </c>
    </row>
    <row r="14" spans="1:14" x14ac:dyDescent="0.3">
      <c r="A14" s="17"/>
      <c r="B14" s="5" t="s">
        <v>96</v>
      </c>
      <c r="C14">
        <v>249468.17206090401</v>
      </c>
      <c r="D14">
        <v>313.09328692049661</v>
      </c>
      <c r="E14">
        <v>134.32500979874089</v>
      </c>
      <c r="F14">
        <v>3195.5139595683927</v>
      </c>
      <c r="G14">
        <v>3.1698714888092043</v>
      </c>
      <c r="H14" s="2">
        <v>664.52019959928077</v>
      </c>
      <c r="I14">
        <v>0</v>
      </c>
      <c r="J14">
        <v>0</v>
      </c>
      <c r="L14">
        <f t="shared" si="0"/>
        <v>253778.79438827973</v>
      </c>
    </row>
    <row r="15" spans="1:14" x14ac:dyDescent="0.3">
      <c r="A15" s="6"/>
      <c r="H15" s="2"/>
    </row>
    <row r="16" spans="1:14" x14ac:dyDescent="0.3">
      <c r="C16" s="5" t="s">
        <v>124</v>
      </c>
      <c r="D16" s="5" t="s">
        <v>125</v>
      </c>
      <c r="E16" s="5" t="s">
        <v>126</v>
      </c>
      <c r="F16" s="5" t="s">
        <v>127</v>
      </c>
      <c r="G16" s="5" t="s">
        <v>128</v>
      </c>
      <c r="H16" s="3" t="s">
        <v>129</v>
      </c>
      <c r="I16" s="5" t="s">
        <v>135</v>
      </c>
      <c r="J16" s="5" t="s">
        <v>134</v>
      </c>
    </row>
    <row r="17" spans="1:14" x14ac:dyDescent="0.3">
      <c r="A17" s="17" t="s">
        <v>132</v>
      </c>
      <c r="B17" s="5" t="s">
        <v>94</v>
      </c>
      <c r="C17">
        <v>3765692023.6762009</v>
      </c>
      <c r="D17">
        <v>415859129.60350496</v>
      </c>
      <c r="E17">
        <v>924701310.17213857</v>
      </c>
      <c r="F17">
        <v>3344674897.5176516</v>
      </c>
      <c r="G17">
        <v>936461.40052167559</v>
      </c>
      <c r="H17" s="2">
        <v>1008903428.0330663</v>
      </c>
      <c r="I17">
        <v>0</v>
      </c>
      <c r="J17">
        <v>0</v>
      </c>
      <c r="L17">
        <f t="shared" si="0"/>
        <v>9460767250.4030838</v>
      </c>
      <c r="M17" s="7">
        <v>81500000000000</v>
      </c>
      <c r="N17" s="8">
        <f>L17/M17</f>
        <v>1.160830337472771E-4</v>
      </c>
    </row>
    <row r="18" spans="1:14" x14ac:dyDescent="0.3">
      <c r="A18" s="17"/>
      <c r="B18" s="5" t="s">
        <v>95</v>
      </c>
      <c r="C18">
        <f>13955801637.9416/54*6</f>
        <v>1550644626.4379556</v>
      </c>
      <c r="D18">
        <v>569881029.45665491</v>
      </c>
      <c r="E18">
        <v>395617591.01561445</v>
      </c>
      <c r="F18">
        <v>2734227013.054121</v>
      </c>
      <c r="G18">
        <v>3520269.0527360979</v>
      </c>
      <c r="H18" s="2">
        <v>1382571364.3416095</v>
      </c>
      <c r="I18">
        <v>0</v>
      </c>
      <c r="J18">
        <v>0</v>
      </c>
      <c r="L18">
        <f t="shared" si="0"/>
        <v>6636461893.3586922</v>
      </c>
      <c r="M18" s="7">
        <v>81500000000000</v>
      </c>
      <c r="N18" s="8">
        <f t="shared" ref="N18:N19" si="3">L18/M18</f>
        <v>8.142898028660972E-5</v>
      </c>
    </row>
    <row r="19" spans="1:14" x14ac:dyDescent="0.3">
      <c r="A19" s="17"/>
      <c r="B19" s="5" t="s">
        <v>96</v>
      </c>
      <c r="C19">
        <v>5614078610.14048</v>
      </c>
      <c r="D19">
        <v>154021899.85314998</v>
      </c>
      <c r="E19">
        <v>62280861.958490282</v>
      </c>
      <c r="F19">
        <v>425394806.89208257</v>
      </c>
      <c r="G19">
        <v>458632.77336208906</v>
      </c>
      <c r="H19" s="2">
        <v>373667936.30854309</v>
      </c>
      <c r="I19">
        <v>0</v>
      </c>
      <c r="J19">
        <v>0</v>
      </c>
      <c r="L19">
        <f t="shared" si="0"/>
        <v>6629902747.9261084</v>
      </c>
      <c r="M19" s="7">
        <v>81500000000000</v>
      </c>
      <c r="N19" s="8">
        <f t="shared" si="3"/>
        <v>8.1348499974553479E-5</v>
      </c>
    </row>
    <row r="20" spans="1:14" x14ac:dyDescent="0.3">
      <c r="A20" s="6"/>
      <c r="H20" s="2"/>
    </row>
    <row r="21" spans="1:14" x14ac:dyDescent="0.3">
      <c r="C21" s="5" t="s">
        <v>124</v>
      </c>
      <c r="D21" s="5" t="s">
        <v>125</v>
      </c>
      <c r="E21" s="5" t="s">
        <v>126</v>
      </c>
      <c r="F21" s="5" t="s">
        <v>127</v>
      </c>
      <c r="G21" s="5" t="s">
        <v>128</v>
      </c>
      <c r="H21" s="3" t="s">
        <v>129</v>
      </c>
      <c r="I21" s="5" t="s">
        <v>135</v>
      </c>
      <c r="J21" s="5" t="s">
        <v>134</v>
      </c>
    </row>
    <row r="22" spans="1:14" x14ac:dyDescent="0.3">
      <c r="A22" s="17" t="s">
        <v>133</v>
      </c>
      <c r="B22" s="5" t="s">
        <v>94</v>
      </c>
      <c r="C22">
        <v>247.61081046303838</v>
      </c>
      <c r="D22">
        <v>26.256644161334883</v>
      </c>
      <c r="E22">
        <v>82.093704887785776</v>
      </c>
      <c r="F22">
        <v>225.77985250222531</v>
      </c>
      <c r="G22">
        <v>8.9312018866388954E-2</v>
      </c>
      <c r="H22" s="2">
        <v>91.576513861203722</v>
      </c>
      <c r="I22">
        <v>0</v>
      </c>
      <c r="J22">
        <v>0</v>
      </c>
      <c r="L22">
        <f t="shared" si="0"/>
        <v>673.40683789445438</v>
      </c>
    </row>
    <row r="23" spans="1:14" x14ac:dyDescent="0.3">
      <c r="A23" s="17"/>
      <c r="B23" s="5" t="s">
        <v>95</v>
      </c>
      <c r="C23">
        <f>1020.42677448133/54*6</f>
        <v>113.38075272014777</v>
      </c>
      <c r="D23">
        <v>35.981327184051509</v>
      </c>
      <c r="E23">
        <v>35.666695636182105</v>
      </c>
      <c r="F23">
        <v>179.96259678193101</v>
      </c>
      <c r="G23">
        <v>0.35273464827915968</v>
      </c>
      <c r="H23" s="2">
        <v>125.4937412172051</v>
      </c>
      <c r="I23">
        <v>0</v>
      </c>
      <c r="J23">
        <v>0</v>
      </c>
      <c r="L23">
        <f t="shared" si="0"/>
        <v>490.83784818779668</v>
      </c>
    </row>
    <row r="24" spans="1:14" x14ac:dyDescent="0.3">
      <c r="A24" s="17"/>
      <c r="B24" s="5" t="s">
        <v>96</v>
      </c>
      <c r="C24">
        <v>382.72253795045799</v>
      </c>
      <c r="D24">
        <v>9.7246830227166239</v>
      </c>
      <c r="E24">
        <v>5.6281952025448847</v>
      </c>
      <c r="F24">
        <v>27.99105677918498</v>
      </c>
      <c r="G24">
        <v>5.1607458175010487E-2</v>
      </c>
      <c r="H24" s="2">
        <v>33.917227356001376</v>
      </c>
      <c r="I24">
        <v>0</v>
      </c>
      <c r="J24">
        <v>0</v>
      </c>
      <c r="L24">
        <f t="shared" si="0"/>
        <v>460.03530776908087</v>
      </c>
    </row>
    <row r="26" spans="1:14" x14ac:dyDescent="0.3">
      <c r="E26" s="3">
        <v>7545609269.0161886</v>
      </c>
      <c r="F26" s="3">
        <v>3587688581.0410113</v>
      </c>
      <c r="G26" s="3">
        <v>1363824795.1449556</v>
      </c>
    </row>
  </sheetData>
  <mergeCells count="5">
    <mergeCell ref="A2:A4"/>
    <mergeCell ref="A7:A9"/>
    <mergeCell ref="A12:A14"/>
    <mergeCell ref="A17:A19"/>
    <mergeCell ref="A22:A24"/>
  </mergeCells>
  <pageMargins left="0.7" right="0.7" top="0.75" bottom="0.75" header="0.3" footer="0.3"/>
  <pageSetup paperSize="9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714A6-DB77-4E6D-8803-0121084C8619}">
  <dimension ref="A1:Z36"/>
  <sheetViews>
    <sheetView tabSelected="1" zoomScaleNormal="100" workbookViewId="0">
      <selection activeCell="A20" sqref="A20:H26"/>
    </sheetView>
  </sheetViews>
  <sheetFormatPr defaultRowHeight="14.4" x14ac:dyDescent="0.3"/>
  <cols>
    <col min="3" max="3" width="27.44140625" customWidth="1"/>
    <col min="4" max="5" width="42.44140625" bestFit="1" customWidth="1"/>
    <col min="6" max="6" width="51.77734375" bestFit="1" customWidth="1"/>
    <col min="7" max="7" width="51.5546875" bestFit="1" customWidth="1"/>
    <col min="8" max="8" width="35.33203125" bestFit="1" customWidth="1"/>
    <col min="9" max="9" width="22.33203125" bestFit="1" customWidth="1"/>
  </cols>
  <sheetData>
    <row r="1" spans="1:26" x14ac:dyDescent="0.3">
      <c r="A1" s="12" t="s">
        <v>0</v>
      </c>
      <c r="B1" s="9"/>
      <c r="C1" s="12" t="s">
        <v>1</v>
      </c>
      <c r="D1" s="9"/>
      <c r="E1" s="12" t="s">
        <v>2</v>
      </c>
      <c r="F1" s="13" t="s">
        <v>94</v>
      </c>
      <c r="G1" s="13"/>
      <c r="H1" s="13"/>
      <c r="I1" s="13"/>
      <c r="J1" s="13"/>
      <c r="K1" s="13"/>
      <c r="L1" s="13"/>
      <c r="M1" s="14" t="s">
        <v>95</v>
      </c>
      <c r="N1" s="14"/>
      <c r="O1" s="14"/>
      <c r="P1" s="14"/>
      <c r="Q1" s="14"/>
      <c r="R1" s="14"/>
      <c r="S1" s="14"/>
      <c r="T1" s="15" t="s">
        <v>96</v>
      </c>
      <c r="U1" s="15"/>
      <c r="V1" s="15"/>
      <c r="W1" s="15"/>
      <c r="X1" s="15"/>
      <c r="Y1" s="15"/>
      <c r="Z1" s="15"/>
    </row>
    <row r="2" spans="1:26" s="20" customFormat="1" ht="72" x14ac:dyDescent="0.3">
      <c r="A2" s="12"/>
      <c r="B2" s="9"/>
      <c r="C2" s="12"/>
      <c r="D2" s="9"/>
      <c r="E2" s="12"/>
      <c r="F2" s="18" t="s">
        <v>77</v>
      </c>
      <c r="G2" s="18" t="s">
        <v>82</v>
      </c>
      <c r="H2" s="19" t="s">
        <v>104</v>
      </c>
      <c r="I2" s="19" t="s">
        <v>97</v>
      </c>
      <c r="J2" s="19" t="s">
        <v>117</v>
      </c>
      <c r="K2" s="19" t="s">
        <v>107</v>
      </c>
      <c r="L2" s="19" t="s">
        <v>91</v>
      </c>
      <c r="M2" s="18" t="s">
        <v>78</v>
      </c>
      <c r="N2" s="18" t="s">
        <v>83</v>
      </c>
      <c r="O2" s="19" t="s">
        <v>106</v>
      </c>
      <c r="P2" s="19" t="s">
        <v>98</v>
      </c>
      <c r="Q2" s="19" t="s">
        <v>118</v>
      </c>
      <c r="R2" s="19" t="s">
        <v>113</v>
      </c>
      <c r="S2" s="19" t="s">
        <v>92</v>
      </c>
      <c r="T2" s="18" t="s">
        <v>79</v>
      </c>
      <c r="U2" s="18" t="s">
        <v>84</v>
      </c>
      <c r="V2" s="19" t="s">
        <v>105</v>
      </c>
      <c r="W2" s="19" t="s">
        <v>99</v>
      </c>
      <c r="X2" s="19" t="s">
        <v>119</v>
      </c>
      <c r="Y2" s="19" t="s">
        <v>112</v>
      </c>
      <c r="Z2" s="19" t="s">
        <v>93</v>
      </c>
    </row>
    <row r="3" spans="1:26" x14ac:dyDescent="0.3">
      <c r="A3" s="2" t="s">
        <v>9</v>
      </c>
      <c r="B3" s="2"/>
      <c r="C3" s="2" t="s">
        <v>10</v>
      </c>
      <c r="D3" s="2"/>
      <c r="E3" s="2" t="s">
        <v>11</v>
      </c>
      <c r="F3" s="2">
        <v>5812740532.8000002</v>
      </c>
      <c r="G3" s="2">
        <v>595012795.90014386</v>
      </c>
      <c r="H3" s="2">
        <v>87278232.091468528</v>
      </c>
      <c r="I3" s="2">
        <v>258836443.898379</v>
      </c>
      <c r="J3" s="2">
        <v>485150868.1496706</v>
      </c>
      <c r="K3" s="2">
        <v>596332.08846138336</v>
      </c>
      <c r="L3" s="2">
        <v>305994064.08806497</v>
      </c>
      <c r="M3" s="2">
        <v>1977942961.2047997</v>
      </c>
      <c r="N3" s="2">
        <v>304401509.1212461</v>
      </c>
      <c r="O3" s="2">
        <v>119603503.23645689</v>
      </c>
      <c r="P3" s="2">
        <v>351111747.05649108</v>
      </c>
      <c r="Q3" s="2">
        <v>414029327.84313387</v>
      </c>
      <c r="R3" s="2">
        <v>1274333.6433872997</v>
      </c>
      <c r="S3" s="2">
        <v>419325198.93549639</v>
      </c>
      <c r="T3" s="2">
        <v>240628743.792</v>
      </c>
      <c r="U3" s="2">
        <v>893608259.62569189</v>
      </c>
      <c r="V3" s="2">
        <v>32325271.144988347</v>
      </c>
      <c r="W3" s="2">
        <v>19378203.988763895</v>
      </c>
      <c r="X3" s="2">
        <v>64466609.669921778</v>
      </c>
      <c r="Y3" s="2">
        <v>86572.076158220516</v>
      </c>
      <c r="Z3" s="2">
        <v>113331134.84743147</v>
      </c>
    </row>
    <row r="4" spans="1:26" x14ac:dyDescent="0.3">
      <c r="A4" s="2" t="s">
        <v>41</v>
      </c>
      <c r="B4" s="2"/>
      <c r="C4" s="2" t="s">
        <v>42</v>
      </c>
      <c r="D4" s="2"/>
      <c r="E4" s="2" t="s">
        <v>43</v>
      </c>
      <c r="F4" s="2">
        <v>11398514.4</v>
      </c>
      <c r="G4" s="2">
        <v>40.269692768976711</v>
      </c>
      <c r="H4" s="2">
        <v>8.4550659944016289</v>
      </c>
      <c r="I4" s="2">
        <v>12.057808466225245</v>
      </c>
      <c r="J4" s="2">
        <v>40.712090183799909</v>
      </c>
      <c r="K4" s="2">
        <v>0.10221123460033958</v>
      </c>
      <c r="L4" s="2">
        <v>42.005001854485108</v>
      </c>
      <c r="M4" s="2">
        <v>2276780.94</v>
      </c>
      <c r="N4" s="2">
        <v>20.533410038395193</v>
      </c>
      <c r="O4" s="2">
        <v>11.586571918254084</v>
      </c>
      <c r="P4" s="2">
        <v>40.468724318488675</v>
      </c>
      <c r="Q4" s="2">
        <v>36.957303083202042</v>
      </c>
      <c r="R4" s="2">
        <v>0.26405299983326103</v>
      </c>
      <c r="S4" s="2">
        <v>57.562409948738853</v>
      </c>
      <c r="T4" s="2">
        <v>277445</v>
      </c>
      <c r="U4" s="2">
        <v>62.2363545901934</v>
      </c>
      <c r="V4" s="2">
        <v>3.1315059238524552</v>
      </c>
      <c r="W4" s="2">
        <v>2.1999764600118605</v>
      </c>
      <c r="X4" s="2">
        <v>5.7569720136658127</v>
      </c>
      <c r="Y4" s="2">
        <v>2.679102728956171E-2</v>
      </c>
      <c r="Z4" s="2">
        <v>15.557408094253745</v>
      </c>
    </row>
    <row r="5" spans="1:26" x14ac:dyDescent="0.3">
      <c r="A5" s="2" t="s">
        <v>58</v>
      </c>
      <c r="B5" s="2"/>
      <c r="C5" s="2" t="s">
        <v>59</v>
      </c>
      <c r="D5" s="2"/>
      <c r="E5" s="2" t="s">
        <v>60</v>
      </c>
      <c r="F5" s="2">
        <v>0</v>
      </c>
      <c r="G5" s="2">
        <v>146865.1870889675</v>
      </c>
      <c r="H5" s="2">
        <v>845.35187468534082</v>
      </c>
      <c r="I5" s="2">
        <v>1868.2071180283422</v>
      </c>
      <c r="J5" s="2">
        <v>27550.914375277629</v>
      </c>
      <c r="K5" s="2">
        <v>10.51849323833415</v>
      </c>
      <c r="L5" s="2">
        <v>1794.2045389180582</v>
      </c>
      <c r="M5" s="2">
        <v>0</v>
      </c>
      <c r="N5" s="2">
        <v>131966.94671489566</v>
      </c>
      <c r="O5" s="2">
        <v>1158.4451616058375</v>
      </c>
      <c r="P5" s="2">
        <v>2436.5707651715225</v>
      </c>
      <c r="Q5" s="2">
        <v>20554.015418601182</v>
      </c>
      <c r="R5" s="2">
        <v>61.928501379508617</v>
      </c>
      <c r="S5" s="2">
        <v>2458.7247385173391</v>
      </c>
      <c r="T5" s="2">
        <v>0</v>
      </c>
      <c r="U5" s="2">
        <v>249468.17206090401</v>
      </c>
      <c r="V5" s="2">
        <v>313.09328692049661</v>
      </c>
      <c r="W5" s="2">
        <v>134.32500979874089</v>
      </c>
      <c r="X5" s="2">
        <v>3195.5139595683927</v>
      </c>
      <c r="Y5" s="2">
        <v>3.1698714888092043</v>
      </c>
      <c r="Z5" s="2">
        <v>664.52019959928077</v>
      </c>
    </row>
    <row r="6" spans="1:26" x14ac:dyDescent="0.3">
      <c r="A6" s="2" t="s">
        <v>64</v>
      </c>
      <c r="B6" s="2"/>
      <c r="C6" s="2" t="s">
        <v>65</v>
      </c>
      <c r="D6" s="2"/>
      <c r="E6" s="2" t="s">
        <v>66</v>
      </c>
      <c r="F6" s="2">
        <v>0</v>
      </c>
      <c r="G6" s="2">
        <v>3765692023.6762009</v>
      </c>
      <c r="H6" s="2">
        <v>415859129.60350496</v>
      </c>
      <c r="I6" s="2">
        <v>924701310.17213857</v>
      </c>
      <c r="J6" s="2">
        <v>3344674897.5176516</v>
      </c>
      <c r="K6" s="2">
        <v>936461.40052167559</v>
      </c>
      <c r="L6" s="2">
        <v>1008903428.0330663</v>
      </c>
      <c r="M6" s="2">
        <v>0</v>
      </c>
      <c r="N6" s="2">
        <v>1498766521.1906075</v>
      </c>
      <c r="O6" s="2">
        <v>569881029.45665491</v>
      </c>
      <c r="P6" s="2">
        <v>1131678388.6168551</v>
      </c>
      <c r="Q6" s="2">
        <v>2734227013.054121</v>
      </c>
      <c r="R6" s="2">
        <v>3520269.0527360979</v>
      </c>
      <c r="S6" s="2">
        <v>1382571364.3416095</v>
      </c>
      <c r="T6" s="2">
        <v>0</v>
      </c>
      <c r="U6" s="2">
        <v>5614078610.14048</v>
      </c>
      <c r="V6" s="2">
        <v>154021899.85314998</v>
      </c>
      <c r="W6" s="2">
        <v>62280861.958490282</v>
      </c>
      <c r="X6" s="2">
        <v>425394806.89208257</v>
      </c>
      <c r="Y6" s="2">
        <v>458632.77336208906</v>
      </c>
      <c r="Z6" s="2">
        <v>373667936.30854309</v>
      </c>
    </row>
    <row r="7" spans="1:26" x14ac:dyDescent="0.3">
      <c r="A7" s="2" t="s">
        <v>67</v>
      </c>
      <c r="B7" s="2"/>
      <c r="C7" s="2" t="s">
        <v>68</v>
      </c>
      <c r="D7" s="2"/>
      <c r="E7" s="2" t="s">
        <v>69</v>
      </c>
      <c r="F7" s="2">
        <v>0</v>
      </c>
      <c r="G7" s="2">
        <v>247.61081046303838</v>
      </c>
      <c r="H7" s="2">
        <v>26.256644161334883</v>
      </c>
      <c r="I7" s="2">
        <v>82.093704887785776</v>
      </c>
      <c r="J7" s="2">
        <v>225.77985250222531</v>
      </c>
      <c r="K7" s="2">
        <v>8.9312018866388954E-2</v>
      </c>
      <c r="L7" s="2">
        <v>91.576513861203722</v>
      </c>
      <c r="M7" s="2">
        <v>0</v>
      </c>
      <c r="N7" s="2">
        <v>112.13279643924123</v>
      </c>
      <c r="O7" s="2">
        <v>35.981327184051509</v>
      </c>
      <c r="P7" s="2">
        <v>102.02586932806355</v>
      </c>
      <c r="Q7" s="2">
        <v>179.96259678193101</v>
      </c>
      <c r="R7" s="2">
        <v>0.35273464827915968</v>
      </c>
      <c r="S7" s="2">
        <v>125.4937412172051</v>
      </c>
      <c r="T7" s="2">
        <v>0</v>
      </c>
      <c r="U7" s="2">
        <v>382.72253795045799</v>
      </c>
      <c r="V7" s="2">
        <v>9.7246830227166239</v>
      </c>
      <c r="W7" s="2">
        <v>5.6281952025448847</v>
      </c>
      <c r="X7" s="2">
        <v>27.99105677918498</v>
      </c>
      <c r="Y7" s="2">
        <v>5.1607458175010487E-2</v>
      </c>
      <c r="Z7" s="2">
        <v>33.917227356001376</v>
      </c>
    </row>
    <row r="12" spans="1:26" x14ac:dyDescent="0.3">
      <c r="A12" s="21"/>
      <c r="B12" s="22" t="s">
        <v>152</v>
      </c>
      <c r="C12" s="23" t="s">
        <v>153</v>
      </c>
      <c r="D12" s="24" t="s">
        <v>10</v>
      </c>
      <c r="E12" s="24" t="s">
        <v>42</v>
      </c>
      <c r="F12" s="24" t="s">
        <v>59</v>
      </c>
      <c r="G12" s="24" t="s">
        <v>65</v>
      </c>
      <c r="H12" s="24" t="s">
        <v>68</v>
      </c>
    </row>
    <row r="13" spans="1:26" x14ac:dyDescent="0.3">
      <c r="A13" s="25" t="s">
        <v>94</v>
      </c>
      <c r="B13" s="26" t="s">
        <v>144</v>
      </c>
      <c r="C13" s="27" t="s">
        <v>146</v>
      </c>
      <c r="D13" s="28">
        <v>5812740532.8000002</v>
      </c>
      <c r="E13" s="28">
        <v>11398514.4</v>
      </c>
      <c r="F13" s="28">
        <v>0</v>
      </c>
      <c r="G13" s="28">
        <v>0</v>
      </c>
      <c r="H13" s="28">
        <v>0</v>
      </c>
    </row>
    <row r="14" spans="1:26" x14ac:dyDescent="0.3">
      <c r="A14" s="25"/>
      <c r="B14" s="26" t="s">
        <v>144</v>
      </c>
      <c r="C14" s="27" t="s">
        <v>147</v>
      </c>
      <c r="D14" s="28">
        <v>595012795.90014386</v>
      </c>
      <c r="E14" s="28">
        <v>40.269692768976711</v>
      </c>
      <c r="F14" s="28">
        <v>146865.1870889675</v>
      </c>
      <c r="G14" s="28">
        <v>3765692023.6762009</v>
      </c>
      <c r="H14" s="28">
        <v>247.61081046303838</v>
      </c>
    </row>
    <row r="15" spans="1:26" x14ac:dyDescent="0.3">
      <c r="A15" s="25"/>
      <c r="B15" s="26" t="s">
        <v>144</v>
      </c>
      <c r="C15" s="27" t="s">
        <v>148</v>
      </c>
      <c r="D15" s="28">
        <v>87278232.091468528</v>
      </c>
      <c r="E15" s="28">
        <v>8.4550659944016289</v>
      </c>
      <c r="F15" s="28">
        <v>845.35187468534082</v>
      </c>
      <c r="G15" s="28">
        <v>415859129.60350496</v>
      </c>
      <c r="H15" s="28">
        <v>26.256644161334883</v>
      </c>
    </row>
    <row r="16" spans="1:26" x14ac:dyDescent="0.3">
      <c r="A16" s="25"/>
      <c r="B16" s="26" t="s">
        <v>144</v>
      </c>
      <c r="C16" s="27" t="s">
        <v>149</v>
      </c>
      <c r="D16" s="28">
        <v>258836443.898379</v>
      </c>
      <c r="E16" s="28">
        <v>12.057808466225245</v>
      </c>
      <c r="F16" s="28">
        <v>1868.2071180283422</v>
      </c>
      <c r="G16" s="28">
        <v>924701310.17213857</v>
      </c>
      <c r="H16" s="28">
        <v>82.093704887785776</v>
      </c>
    </row>
    <row r="17" spans="1:8" x14ac:dyDescent="0.3">
      <c r="A17" s="25"/>
      <c r="B17" s="26" t="s">
        <v>144</v>
      </c>
      <c r="C17" s="27" t="s">
        <v>127</v>
      </c>
      <c r="D17" s="28">
        <v>485150868.1496706</v>
      </c>
      <c r="E17" s="28">
        <v>40.712090183799909</v>
      </c>
      <c r="F17" s="28">
        <v>27550.914375277629</v>
      </c>
      <c r="G17" s="28">
        <v>3344674897.5176516</v>
      </c>
      <c r="H17" s="28">
        <v>225.77985250222531</v>
      </c>
    </row>
    <row r="18" spans="1:8" x14ac:dyDescent="0.3">
      <c r="A18" s="25"/>
      <c r="B18" s="26" t="s">
        <v>144</v>
      </c>
      <c r="C18" s="27" t="s">
        <v>150</v>
      </c>
      <c r="D18" s="28">
        <v>596332.08846138336</v>
      </c>
      <c r="E18" s="28">
        <v>0.10221123460033958</v>
      </c>
      <c r="F18" s="28">
        <v>10.51849323833415</v>
      </c>
      <c r="G18" s="28">
        <v>936461.40052167559</v>
      </c>
      <c r="H18" s="28">
        <v>8.9312018866388954E-2</v>
      </c>
    </row>
    <row r="19" spans="1:8" x14ac:dyDescent="0.3">
      <c r="A19" s="25"/>
      <c r="B19" s="26" t="s">
        <v>144</v>
      </c>
      <c r="C19" s="27" t="s">
        <v>151</v>
      </c>
      <c r="D19" s="28">
        <v>305994064.08806497</v>
      </c>
      <c r="E19" s="28">
        <v>42.005001854485108</v>
      </c>
      <c r="F19" s="28">
        <v>1794.2045389180582</v>
      </c>
      <c r="G19" s="28">
        <v>1008903428.0330663</v>
      </c>
      <c r="H19" s="28">
        <v>91.576513861203722</v>
      </c>
    </row>
    <row r="20" spans="1:8" x14ac:dyDescent="0.3">
      <c r="A20" s="29" t="s">
        <v>95</v>
      </c>
      <c r="B20" s="30" t="s">
        <v>143</v>
      </c>
      <c r="C20" s="27" t="s">
        <v>146</v>
      </c>
      <c r="D20" s="28">
        <v>1977942961.2047997</v>
      </c>
      <c r="E20" s="28">
        <v>2276780.94</v>
      </c>
      <c r="F20" s="28">
        <v>0</v>
      </c>
      <c r="G20" s="28">
        <v>0</v>
      </c>
      <c r="H20" s="28">
        <v>0</v>
      </c>
    </row>
    <row r="21" spans="1:8" x14ac:dyDescent="0.3">
      <c r="A21" s="29"/>
      <c r="B21" s="30" t="s">
        <v>143</v>
      </c>
      <c r="C21" s="27" t="s">
        <v>147</v>
      </c>
      <c r="D21" s="28">
        <v>304401509.1212461</v>
      </c>
      <c r="E21" s="28">
        <v>20.533410038395193</v>
      </c>
      <c r="F21" s="28">
        <v>131966.94671489566</v>
      </c>
      <c r="G21" s="28">
        <v>1498766521.1906075</v>
      </c>
      <c r="H21" s="28">
        <v>112.13279643924123</v>
      </c>
    </row>
    <row r="22" spans="1:8" x14ac:dyDescent="0.3">
      <c r="A22" s="29"/>
      <c r="B22" s="30" t="s">
        <v>143</v>
      </c>
      <c r="C22" s="27" t="s">
        <v>148</v>
      </c>
      <c r="D22" s="28">
        <v>119603503.23645689</v>
      </c>
      <c r="E22" s="28">
        <v>11.586571918254084</v>
      </c>
      <c r="F22" s="28">
        <v>1158.4451616058375</v>
      </c>
      <c r="G22" s="28">
        <v>569881029.45665491</v>
      </c>
      <c r="H22" s="28">
        <v>35.981327184051509</v>
      </c>
    </row>
    <row r="23" spans="1:8" x14ac:dyDescent="0.3">
      <c r="A23" s="29"/>
      <c r="B23" s="30" t="s">
        <v>143</v>
      </c>
      <c r="C23" s="27" t="s">
        <v>149</v>
      </c>
      <c r="D23" s="28">
        <v>351111747.05649108</v>
      </c>
      <c r="E23" s="28">
        <v>40.468724318488675</v>
      </c>
      <c r="F23" s="28">
        <v>2436.5707651715225</v>
      </c>
      <c r="G23" s="28">
        <v>1131678388.6168551</v>
      </c>
      <c r="H23" s="28">
        <v>102.02586932806355</v>
      </c>
    </row>
    <row r="24" spans="1:8" x14ac:dyDescent="0.3">
      <c r="A24" s="29"/>
      <c r="B24" s="30" t="s">
        <v>143</v>
      </c>
      <c r="C24" s="27" t="s">
        <v>127</v>
      </c>
      <c r="D24" s="28">
        <v>414029327.84313387</v>
      </c>
      <c r="E24" s="28">
        <v>36.957303083202042</v>
      </c>
      <c r="F24" s="28">
        <v>20554.015418601182</v>
      </c>
      <c r="G24" s="28">
        <v>2734227013.054121</v>
      </c>
      <c r="H24" s="28">
        <v>179.96259678193101</v>
      </c>
    </row>
    <row r="25" spans="1:8" x14ac:dyDescent="0.3">
      <c r="A25" s="29"/>
      <c r="B25" s="30" t="s">
        <v>143</v>
      </c>
      <c r="C25" s="27" t="s">
        <v>150</v>
      </c>
      <c r="D25" s="28">
        <v>1274333.6433872997</v>
      </c>
      <c r="E25" s="28">
        <v>0.26405299983326103</v>
      </c>
      <c r="F25" s="28">
        <v>61.928501379508617</v>
      </c>
      <c r="G25" s="28">
        <v>3520269.0527360979</v>
      </c>
      <c r="H25" s="28">
        <v>0.35273464827915968</v>
      </c>
    </row>
    <row r="26" spans="1:8" x14ac:dyDescent="0.3">
      <c r="A26" s="29"/>
      <c r="B26" s="30" t="s">
        <v>143</v>
      </c>
      <c r="C26" s="27" t="s">
        <v>151</v>
      </c>
      <c r="D26" s="28">
        <v>419325198.93549639</v>
      </c>
      <c r="E26" s="28">
        <v>57.562409948738853</v>
      </c>
      <c r="F26" s="28">
        <v>2458.7247385173391</v>
      </c>
      <c r="G26" s="28">
        <v>1382571364.3416095</v>
      </c>
      <c r="H26" s="28">
        <v>125.4937412172051</v>
      </c>
    </row>
    <row r="27" spans="1:8" x14ac:dyDescent="0.3">
      <c r="A27" s="31" t="s">
        <v>96</v>
      </c>
      <c r="B27" s="32" t="s">
        <v>145</v>
      </c>
      <c r="C27" s="27" t="s">
        <v>146</v>
      </c>
      <c r="D27" s="28">
        <v>240628743.792</v>
      </c>
      <c r="E27" s="28">
        <v>277445</v>
      </c>
      <c r="F27" s="28">
        <v>0</v>
      </c>
      <c r="G27" s="28">
        <v>0</v>
      </c>
      <c r="H27" s="28">
        <v>0</v>
      </c>
    </row>
    <row r="28" spans="1:8" x14ac:dyDescent="0.3">
      <c r="A28" s="31"/>
      <c r="B28" s="32" t="s">
        <v>145</v>
      </c>
      <c r="C28" s="27" t="s">
        <v>147</v>
      </c>
      <c r="D28" s="28">
        <v>893608259.62569189</v>
      </c>
      <c r="E28" s="28">
        <v>62.2363545901934</v>
      </c>
      <c r="F28" s="28">
        <v>249468.17206090401</v>
      </c>
      <c r="G28" s="28">
        <v>5614078610.14048</v>
      </c>
      <c r="H28" s="28">
        <v>382.72253795045799</v>
      </c>
    </row>
    <row r="29" spans="1:8" x14ac:dyDescent="0.3">
      <c r="A29" s="31"/>
      <c r="B29" s="32" t="s">
        <v>145</v>
      </c>
      <c r="C29" s="27" t="s">
        <v>148</v>
      </c>
      <c r="D29" s="28">
        <v>32325271.144988347</v>
      </c>
      <c r="E29" s="28">
        <v>3.1315059238524552</v>
      </c>
      <c r="F29" s="28">
        <v>313.09328692049661</v>
      </c>
      <c r="G29" s="28">
        <v>154021899.85314998</v>
      </c>
      <c r="H29" s="28">
        <v>9.7246830227166239</v>
      </c>
    </row>
    <row r="30" spans="1:8" x14ac:dyDescent="0.3">
      <c r="A30" s="31"/>
      <c r="B30" s="32" t="s">
        <v>145</v>
      </c>
      <c r="C30" s="27" t="s">
        <v>149</v>
      </c>
      <c r="D30" s="28">
        <v>19378203.988763895</v>
      </c>
      <c r="E30" s="28">
        <v>2.1999764600118605</v>
      </c>
      <c r="F30" s="28">
        <v>134.32500979874089</v>
      </c>
      <c r="G30" s="28">
        <v>62280861.958490282</v>
      </c>
      <c r="H30" s="28">
        <v>5.6281952025448847</v>
      </c>
    </row>
    <row r="31" spans="1:8" x14ac:dyDescent="0.3">
      <c r="A31" s="31"/>
      <c r="B31" s="32" t="s">
        <v>145</v>
      </c>
      <c r="C31" s="27" t="s">
        <v>127</v>
      </c>
      <c r="D31" s="28">
        <v>64466609.669921778</v>
      </c>
      <c r="E31" s="28">
        <v>5.7569720136658127</v>
      </c>
      <c r="F31" s="28">
        <v>3195.5139595683927</v>
      </c>
      <c r="G31" s="28">
        <v>425394806.89208257</v>
      </c>
      <c r="H31" s="28">
        <v>27.99105677918498</v>
      </c>
    </row>
    <row r="32" spans="1:8" x14ac:dyDescent="0.3">
      <c r="A32" s="31"/>
      <c r="B32" s="32" t="s">
        <v>145</v>
      </c>
      <c r="C32" s="27" t="s">
        <v>150</v>
      </c>
      <c r="D32" s="28">
        <v>86572.076158220516</v>
      </c>
      <c r="E32" s="28">
        <v>2.679102728956171E-2</v>
      </c>
      <c r="F32" s="28">
        <v>3.1698714888092043</v>
      </c>
      <c r="G32" s="28">
        <v>458632.77336208906</v>
      </c>
      <c r="H32" s="28">
        <v>5.1607458175010487E-2</v>
      </c>
    </row>
    <row r="33" spans="1:8" x14ac:dyDescent="0.3">
      <c r="A33" s="31"/>
      <c r="B33" s="32" t="s">
        <v>145</v>
      </c>
      <c r="C33" s="27" t="s">
        <v>151</v>
      </c>
      <c r="D33" s="28">
        <v>113331134.84743147</v>
      </c>
      <c r="E33" s="28">
        <v>15.557408094253745</v>
      </c>
      <c r="F33" s="28">
        <v>664.52019959928077</v>
      </c>
      <c r="G33" s="28">
        <v>373667936.30854309</v>
      </c>
      <c r="H33" s="28">
        <v>33.917227356001376</v>
      </c>
    </row>
    <row r="35" spans="1:8" x14ac:dyDescent="0.3">
      <c r="D35" s="33">
        <f>SUM(D20:D26)</f>
        <v>3587688581.0410113</v>
      </c>
    </row>
    <row r="36" spans="1:8" x14ac:dyDescent="0.3">
      <c r="D36" s="34">
        <f>D35/4425</f>
        <v>810777.0804612455</v>
      </c>
    </row>
  </sheetData>
  <mergeCells count="9">
    <mergeCell ref="A13:A19"/>
    <mergeCell ref="A20:A26"/>
    <mergeCell ref="A27:A33"/>
    <mergeCell ref="A1:A2"/>
    <mergeCell ref="C1:C2"/>
    <mergeCell ref="E1:E2"/>
    <mergeCell ref="F1:L1"/>
    <mergeCell ref="M1:S1"/>
    <mergeCell ref="T1:Z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Inventory</vt:lpstr>
      <vt:lpstr>Results</vt:lpstr>
      <vt:lpstr>Results Visualisation</vt:lpstr>
      <vt:lpstr>Sheet1</vt:lpstr>
    </vt:vector>
  </TitlesOfParts>
  <Company>University of Strathclyde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Wilson</dc:creator>
  <cp:lastModifiedBy>Edward John Oughton</cp:lastModifiedBy>
  <dcterms:created xsi:type="dcterms:W3CDTF">2023-02-08T12:56:34Z</dcterms:created>
  <dcterms:modified xsi:type="dcterms:W3CDTF">2023-07-01T19:47:42Z</dcterms:modified>
</cp:coreProperties>
</file>