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osa\Documents\PhotonGun\photongun\"/>
    </mc:Choice>
  </mc:AlternateContent>
  <xr:revisionPtr revIDLastSave="0" documentId="13_ncr:1_{BA4265A6-9BE0-46A9-BA12-8141AC728432}" xr6:coauthVersionLast="45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6" i="1" l="1"/>
  <c r="F127" i="1" s="1"/>
  <c r="F128" i="1" s="1"/>
  <c r="I126" i="1" l="1"/>
  <c r="I127" i="1" s="1"/>
  <c r="I128" i="1" s="1"/>
  <c r="I129" i="1" s="1"/>
  <c r="J113" i="1"/>
  <c r="J112" i="1"/>
  <c r="J111" i="1"/>
  <c r="J102" i="1"/>
  <c r="J103" i="1" s="1"/>
  <c r="J104" i="1" s="1"/>
  <c r="J20" i="1"/>
  <c r="J40" i="1"/>
  <c r="J43" i="1"/>
  <c r="J42" i="1"/>
  <c r="J41" i="1"/>
  <c r="J74" i="1"/>
  <c r="J69" i="1"/>
  <c r="J66" i="1"/>
  <c r="J58" i="1"/>
  <c r="J47" i="1"/>
  <c r="J46" i="1"/>
  <c r="J48" i="1"/>
  <c r="J49" i="1" s="1"/>
  <c r="J53" i="1"/>
  <c r="J38" i="1"/>
  <c r="J37" i="1"/>
  <c r="J16" i="1"/>
  <c r="J35" i="1"/>
  <c r="J32" i="1"/>
  <c r="J24" i="1"/>
</calcChain>
</file>

<file path=xl/sharedStrings.xml><?xml version="1.0" encoding="utf-8"?>
<sst xmlns="http://schemas.openxmlformats.org/spreadsheetml/2006/main" count="45" uniqueCount="42">
  <si>
    <t>R_SBOOSTB:</t>
  </si>
  <si>
    <t>D_BOOST:</t>
  </si>
  <si>
    <t>I_LED [A]</t>
  </si>
  <si>
    <t>V_IN [Vmin-Vmax]</t>
  </si>
  <si>
    <t>V_OUT [V]</t>
  </si>
  <si>
    <t>I_IN [A]</t>
  </si>
  <si>
    <t>Try: R_GI1 [K Ohm]</t>
  </si>
  <si>
    <t>R_GI2 [K Ohm]</t>
  </si>
  <si>
    <t>GI_ADJ_AUTO:</t>
  </si>
  <si>
    <t>G_ADJ:</t>
  </si>
  <si>
    <t>RSBOOSTBB:</t>
  </si>
  <si>
    <t>t_ON:</t>
  </si>
  <si>
    <t>INDUCTOR</t>
  </si>
  <si>
    <t>Delta_L:</t>
  </si>
  <si>
    <t>L1 [H]</t>
  </si>
  <si>
    <t>H</t>
  </si>
  <si>
    <t>uH</t>
  </si>
  <si>
    <t>mH</t>
  </si>
  <si>
    <t>I_COILPEAK [A]:</t>
  </si>
  <si>
    <t>I_MOSFET_MAX [A]:</t>
  </si>
  <si>
    <t>MAX</t>
  </si>
  <si>
    <t>I_MOSFET_RMS [A]:</t>
  </si>
  <si>
    <t>P_RESISTIVE [W]:</t>
  </si>
  <si>
    <t>s</t>
  </si>
  <si>
    <t>ms</t>
  </si>
  <si>
    <t>us</t>
  </si>
  <si>
    <t>DIODE</t>
  </si>
  <si>
    <t>C_OUTPUT [F]:</t>
  </si>
  <si>
    <t>mF</t>
  </si>
  <si>
    <t>uF</t>
  </si>
  <si>
    <t>Dynamic_LED_Res:</t>
  </si>
  <si>
    <t>?</t>
  </si>
  <si>
    <t>C_IN [F]:</t>
  </si>
  <si>
    <t>q = I * t</t>
  </si>
  <si>
    <t>t=</t>
  </si>
  <si>
    <t>I=</t>
  </si>
  <si>
    <t>A</t>
  </si>
  <si>
    <t>q</t>
  </si>
  <si>
    <t>C</t>
  </si>
  <si>
    <t>mC</t>
  </si>
  <si>
    <t>uC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</si>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</sst>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2</xdr:row>
      <xdr:rowOff>123825</xdr:rowOff>
    </xdr:from>
    <xdr:to>
      <xdr:col>5</xdr:col>
      <xdr:colOff>9907</xdr:colOff>
      <xdr:row>6</xdr:row>
      <xdr:rowOff>123931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8306B5-37E5-434D-B218-C0A2FB7C0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504825"/>
          <a:ext cx="2734057" cy="762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5</xdr:col>
      <xdr:colOff>57512</xdr:colOff>
      <xdr:row>12</xdr:row>
      <xdr:rowOff>47738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855350-4188-4B86-B075-1F8CE1362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524000"/>
          <a:ext cx="2591162" cy="80973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13</xdr:row>
      <xdr:rowOff>66675</xdr:rowOff>
    </xdr:from>
    <xdr:to>
      <xdr:col>3</xdr:col>
      <xdr:colOff>457433</xdr:colOff>
      <xdr:row>16</xdr:row>
      <xdr:rowOff>76281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147DAF-F295-4B0E-A717-3C410DF11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543175"/>
          <a:ext cx="1667108" cy="581106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17</xdr:row>
      <xdr:rowOff>180975</xdr:rowOff>
    </xdr:from>
    <xdr:to>
      <xdr:col>4</xdr:col>
      <xdr:colOff>143156</xdr:colOff>
      <xdr:row>21</xdr:row>
      <xdr:rowOff>57239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A57977-04AC-479E-A30A-C93773270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" y="3419475"/>
          <a:ext cx="2010056" cy="638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6</xdr:col>
      <xdr:colOff>48082</xdr:colOff>
      <xdr:row>26</xdr:row>
      <xdr:rowOff>76290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54FB9B-1AF9-46DC-A00C-446F32CE1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4381500"/>
          <a:ext cx="3277057" cy="647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26</xdr:row>
      <xdr:rowOff>123825</xdr:rowOff>
    </xdr:from>
    <xdr:to>
      <xdr:col>9</xdr:col>
      <xdr:colOff>505712</xdr:colOff>
      <xdr:row>30</xdr:row>
      <xdr:rowOff>123931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575E1CB-A281-443E-9B71-7C468A80F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" y="5076825"/>
          <a:ext cx="6354062" cy="762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3</xdr:col>
      <xdr:colOff>409816</xdr:colOff>
      <xdr:row>35</xdr:row>
      <xdr:rowOff>95290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669241-8D14-4C47-AF3F-2D4BEA40D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6477000"/>
          <a:ext cx="1724266" cy="28579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13</xdr:row>
      <xdr:rowOff>85725</xdr:rowOff>
    </xdr:from>
    <xdr:to>
      <xdr:col>7</xdr:col>
      <xdr:colOff>381303</xdr:colOff>
      <xdr:row>16</xdr:row>
      <xdr:rowOff>123910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19C1312-C4D7-4C14-AE11-6F76AE97D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62225" y="2562225"/>
          <a:ext cx="2172003" cy="609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31</xdr:row>
      <xdr:rowOff>85725</xdr:rowOff>
    </xdr:from>
    <xdr:to>
      <xdr:col>3</xdr:col>
      <xdr:colOff>285964</xdr:colOff>
      <xdr:row>32</xdr:row>
      <xdr:rowOff>104804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97F1BE-E18A-4359-8B4A-C5AEA99A6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6275" y="5991225"/>
          <a:ext cx="153373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3</xdr:col>
      <xdr:colOff>590816</xdr:colOff>
      <xdr:row>38</xdr:row>
      <xdr:rowOff>95316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6CAD386-CEF2-4785-9132-7DE0EF0FC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6858000"/>
          <a:ext cx="1905266" cy="4763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7</xdr:col>
      <xdr:colOff>391115</xdr:colOff>
      <xdr:row>47</xdr:row>
      <xdr:rowOff>114396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8AB240C-9376-4B7A-9836-B04425B29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8382000"/>
          <a:ext cx="4229690" cy="6858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5</xdr:col>
      <xdr:colOff>162301</xdr:colOff>
      <xdr:row>54</xdr:row>
      <xdr:rowOff>76317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3EC0D00-FBF1-486F-AFAE-8F181FA6C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" y="9525000"/>
          <a:ext cx="2695951" cy="838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5</xdr:col>
      <xdr:colOff>676723</xdr:colOff>
      <xdr:row>59</xdr:row>
      <xdr:rowOff>85817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40C77B1F-1F74-BFEF-36AF-A76B3E50B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10668000"/>
          <a:ext cx="3210373" cy="6573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5</xdr:col>
      <xdr:colOff>57512</xdr:colOff>
      <xdr:row>67</xdr:row>
      <xdr:rowOff>66764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603652D5-D230-E7ED-E2A6-32A3AC974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12192000"/>
          <a:ext cx="2591162" cy="638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68</xdr:row>
      <xdr:rowOff>19050</xdr:rowOff>
    </xdr:from>
    <xdr:to>
      <xdr:col>4</xdr:col>
      <xdr:colOff>66952</xdr:colOff>
      <xdr:row>70</xdr:row>
      <xdr:rowOff>142945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478B862E-D534-2887-1ACF-ED1139E3C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19125" y="12973050"/>
          <a:ext cx="1981477" cy="5048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5</xdr:col>
      <xdr:colOff>533828</xdr:colOff>
      <xdr:row>76</xdr:row>
      <xdr:rowOff>95343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56ACB06E-3357-1AFC-F8A4-C35C4C893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13906500"/>
          <a:ext cx="3067478" cy="6668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11</xdr:col>
      <xdr:colOff>391647</xdr:colOff>
      <xdr:row>85</xdr:row>
      <xdr:rowOff>133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53096F01-A2AE-684B-135F-B27F68631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9600" y="15240000"/>
          <a:ext cx="8040222" cy="95263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90</xdr:row>
      <xdr:rowOff>28575</xdr:rowOff>
    </xdr:from>
    <xdr:to>
      <xdr:col>9</xdr:col>
      <xdr:colOff>877224</xdr:colOff>
      <xdr:row>99</xdr:row>
      <xdr:rowOff>124078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040BD5D4-2125-1DA2-9229-E2DC7A34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95325" y="17173575"/>
          <a:ext cx="6620799" cy="181000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108</xdr:row>
      <xdr:rowOff>142875</xdr:rowOff>
    </xdr:from>
    <xdr:to>
      <xdr:col>5</xdr:col>
      <xdr:colOff>305162</xdr:colOff>
      <xdr:row>112</xdr:row>
      <xdr:rowOff>95350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E945CC7B-189E-EB7C-151D-82CDDDB87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57250" y="20716875"/>
          <a:ext cx="2591162" cy="7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30"/>
  <sheetViews>
    <sheetView tabSelected="1" topLeftCell="A100" workbookViewId="0">
      <selection activeCell="F126" sqref="F126"/>
    </sheetView>
  </sheetViews>
  <sheetFormatPr defaultRowHeight="15" x14ac:dyDescent="0.25"/>
  <cols>
    <col min="2" max="2" width="10.5703125" customWidth="1"/>
    <col min="6" max="6" width="10.42578125" customWidth="1"/>
    <col min="9" max="9" width="20.7109375" customWidth="1"/>
    <col min="10" max="10" width="18.140625" customWidth="1"/>
  </cols>
  <sheetData>
    <row r="3" spans="9:11" x14ac:dyDescent="0.25">
      <c r="I3" s="1" t="s">
        <v>2</v>
      </c>
      <c r="J3">
        <v>3</v>
      </c>
    </row>
    <row r="4" spans="9:11" x14ac:dyDescent="0.25">
      <c r="I4" s="1" t="s">
        <v>3</v>
      </c>
      <c r="J4">
        <v>12</v>
      </c>
      <c r="K4">
        <v>16.8</v>
      </c>
    </row>
    <row r="5" spans="9:11" x14ac:dyDescent="0.25">
      <c r="I5" s="1" t="s">
        <v>4</v>
      </c>
      <c r="J5">
        <v>33</v>
      </c>
    </row>
    <row r="16" spans="9:11" x14ac:dyDescent="0.25">
      <c r="I16" s="1" t="s">
        <v>0</v>
      </c>
      <c r="J16">
        <f>(0.225/J3)*J32</f>
        <v>2.7272727272727271E-2</v>
      </c>
    </row>
    <row r="20" spans="9:11" x14ac:dyDescent="0.25">
      <c r="I20" s="1" t="s">
        <v>1</v>
      </c>
      <c r="J20">
        <f>(J5-J4)/J5</f>
        <v>0.63636363636363635</v>
      </c>
      <c r="K20" s="1" t="s">
        <v>20</v>
      </c>
    </row>
    <row r="24" spans="9:11" x14ac:dyDescent="0.25">
      <c r="I24" s="1" t="s">
        <v>5</v>
      </c>
      <c r="J24">
        <f>(J3*1*J5)/(0.9*J4)</f>
        <v>9.1666666666666661</v>
      </c>
    </row>
    <row r="32" spans="9:11" x14ac:dyDescent="0.25">
      <c r="I32" s="1" t="s">
        <v>8</v>
      </c>
      <c r="J32">
        <f>1-J20</f>
        <v>0.36363636363636365</v>
      </c>
    </row>
    <row r="34" spans="2:11" x14ac:dyDescent="0.25">
      <c r="I34" s="1" t="s">
        <v>6</v>
      </c>
      <c r="J34">
        <v>47</v>
      </c>
    </row>
    <row r="35" spans="2:11" x14ac:dyDescent="0.25">
      <c r="I35" s="1" t="s">
        <v>7</v>
      </c>
      <c r="J35">
        <f>J34*(1-J32)/J32</f>
        <v>82.25</v>
      </c>
      <c r="K35">
        <v>82</v>
      </c>
    </row>
    <row r="37" spans="2:11" x14ac:dyDescent="0.25">
      <c r="I37" s="1" t="s">
        <v>9</v>
      </c>
      <c r="J37">
        <f>J34/(K35+J34)</f>
        <v>0.36434108527131781</v>
      </c>
    </row>
    <row r="38" spans="2:11" x14ac:dyDescent="0.25">
      <c r="I38" s="1" t="s">
        <v>10</v>
      </c>
      <c r="J38">
        <f>0.225/J3*J37</f>
        <v>2.7325581395348835E-2</v>
      </c>
    </row>
    <row r="40" spans="2:11" x14ac:dyDescent="0.25">
      <c r="I40" s="1" t="s">
        <v>11</v>
      </c>
      <c r="J40">
        <f>J20/300000</f>
        <v>2.1212121212121211E-6</v>
      </c>
    </row>
    <row r="41" spans="2:11" x14ac:dyDescent="0.25">
      <c r="J41" s="3">
        <f>J40</f>
        <v>2.1212121212121211E-6</v>
      </c>
      <c r="K41" s="1" t="s">
        <v>23</v>
      </c>
    </row>
    <row r="42" spans="2:11" x14ac:dyDescent="0.25">
      <c r="B42" s="2" t="s">
        <v>12</v>
      </c>
      <c r="J42">
        <f>J41*1000</f>
        <v>2.121212121212121E-3</v>
      </c>
      <c r="K42" s="1" t="s">
        <v>24</v>
      </c>
    </row>
    <row r="43" spans="2:11" x14ac:dyDescent="0.25">
      <c r="J43">
        <f>J42*1000</f>
        <v>2.1212121212121211</v>
      </c>
      <c r="K43" s="1" t="s">
        <v>25</v>
      </c>
    </row>
    <row r="46" spans="2:11" x14ac:dyDescent="0.25">
      <c r="I46" s="1" t="s">
        <v>14</v>
      </c>
      <c r="J46">
        <f>(K4-J24*(J16+0.1+0.1))*(J40/J53)</f>
        <v>3.4121094667606288E-5</v>
      </c>
    </row>
    <row r="47" spans="2:11" x14ac:dyDescent="0.25">
      <c r="J47" s="3">
        <f>J46</f>
        <v>3.4121094667606288E-5</v>
      </c>
      <c r="K47" s="1" t="s">
        <v>15</v>
      </c>
    </row>
    <row r="48" spans="2:11" x14ac:dyDescent="0.25">
      <c r="J48">
        <f>J47*1000</f>
        <v>3.4121094667606287E-2</v>
      </c>
      <c r="K48" s="1" t="s">
        <v>17</v>
      </c>
    </row>
    <row r="49" spans="9:11" x14ac:dyDescent="0.25">
      <c r="J49">
        <f>J48*1000</f>
        <v>34.121094667606286</v>
      </c>
      <c r="K49" s="1" t="s">
        <v>16</v>
      </c>
    </row>
    <row r="53" spans="9:11" x14ac:dyDescent="0.25">
      <c r="I53" s="1" t="s">
        <v>13</v>
      </c>
      <c r="J53">
        <f>0.1*((1-J20)/J37)*J24</f>
        <v>0.91489361702127669</v>
      </c>
    </row>
    <row r="58" spans="9:11" x14ac:dyDescent="0.25">
      <c r="I58" s="1" t="s">
        <v>18</v>
      </c>
      <c r="J58">
        <f>1.1*J24</f>
        <v>10.083333333333334</v>
      </c>
    </row>
    <row r="66" spans="2:10" x14ac:dyDescent="0.25">
      <c r="I66" s="1" t="s">
        <v>19</v>
      </c>
      <c r="J66">
        <f>J20/(1-J20)*J3</f>
        <v>5.25</v>
      </c>
    </row>
    <row r="69" spans="2:10" x14ac:dyDescent="0.25">
      <c r="I69" s="1" t="s">
        <v>21</v>
      </c>
      <c r="J69">
        <f>SQRT(J20)/(1-J20)*J3</f>
        <v>6.5812232905440906</v>
      </c>
    </row>
    <row r="74" spans="2:10" x14ac:dyDescent="0.25">
      <c r="I74" s="1" t="s">
        <v>22</v>
      </c>
      <c r="J74">
        <f>J69*J69*0.1</f>
        <v>4.3312499999999989</v>
      </c>
    </row>
    <row r="80" spans="2:10" x14ac:dyDescent="0.25">
      <c r="B80" t="s">
        <v>26</v>
      </c>
    </row>
    <row r="101" spans="9:11" x14ac:dyDescent="0.25">
      <c r="I101" t="s">
        <v>30</v>
      </c>
      <c r="J101">
        <v>1</v>
      </c>
      <c r="K101" t="s">
        <v>31</v>
      </c>
    </row>
    <row r="102" spans="9:11" x14ac:dyDescent="0.25">
      <c r="I102" s="1" t="s">
        <v>27</v>
      </c>
      <c r="J102">
        <f>(J20*J3*0.1)/(300000*J3*0.1*J101)</f>
        <v>2.1212121212121211E-6</v>
      </c>
    </row>
    <row r="103" spans="9:11" x14ac:dyDescent="0.25">
      <c r="J103">
        <f>J102*1000</f>
        <v>2.121212121212121E-3</v>
      </c>
      <c r="K103" s="1" t="s">
        <v>28</v>
      </c>
    </row>
    <row r="104" spans="9:11" x14ac:dyDescent="0.25">
      <c r="J104">
        <f>J103*1000</f>
        <v>2.1212121212121211</v>
      </c>
      <c r="K104" s="1" t="s">
        <v>29</v>
      </c>
    </row>
    <row r="111" spans="9:11" x14ac:dyDescent="0.25">
      <c r="I111" s="1" t="s">
        <v>32</v>
      </c>
      <c r="J111">
        <f>0.2*J24/(8*300000*0.1)</f>
        <v>7.6388888888888884E-6</v>
      </c>
    </row>
    <row r="112" spans="9:11" x14ac:dyDescent="0.25">
      <c r="J112">
        <f>J111*1000</f>
        <v>7.6388888888888886E-3</v>
      </c>
    </row>
    <row r="113" spans="5:10" x14ac:dyDescent="0.25">
      <c r="J113">
        <f>J112*1000</f>
        <v>7.6388888888888884</v>
      </c>
    </row>
    <row r="125" spans="5:10" x14ac:dyDescent="0.25">
      <c r="F125">
        <v>300000</v>
      </c>
      <c r="I125" t="s">
        <v>33</v>
      </c>
    </row>
    <row r="126" spans="5:10" x14ac:dyDescent="0.25">
      <c r="E126" t="s">
        <v>34</v>
      </c>
      <c r="F126">
        <f>1/F125</f>
        <v>3.3333333333333333E-6</v>
      </c>
      <c r="G126" t="s">
        <v>23</v>
      </c>
      <c r="H126" t="s">
        <v>37</v>
      </c>
      <c r="I126">
        <f>F126*F130</f>
        <v>5.9999999999999995E-8</v>
      </c>
      <c r="J126" t="s">
        <v>38</v>
      </c>
    </row>
    <row r="127" spans="5:10" x14ac:dyDescent="0.25">
      <c r="F127">
        <f>F126*1000</f>
        <v>3.3333333333333331E-3</v>
      </c>
      <c r="G127" t="s">
        <v>24</v>
      </c>
      <c r="I127">
        <f>I126*1000</f>
        <v>5.9999999999999995E-5</v>
      </c>
      <c r="J127" t="s">
        <v>39</v>
      </c>
    </row>
    <row r="128" spans="5:10" x14ac:dyDescent="0.25">
      <c r="F128">
        <f>F127*1000</f>
        <v>3.333333333333333</v>
      </c>
      <c r="G128" t="s">
        <v>25</v>
      </c>
      <c r="I128">
        <f>I127*1000</f>
        <v>0.06</v>
      </c>
      <c r="J128" t="s">
        <v>40</v>
      </c>
    </row>
    <row r="129" spans="5:10" x14ac:dyDescent="0.25">
      <c r="I129">
        <f>I128*1000</f>
        <v>60</v>
      </c>
      <c r="J129" t="s">
        <v>41</v>
      </c>
    </row>
    <row r="130" spans="5:10" x14ac:dyDescent="0.25">
      <c r="E130" t="s">
        <v>35</v>
      </c>
      <c r="F130">
        <v>1.7999999999999999E-2</v>
      </c>
      <c r="G130" t="s">
        <v>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Osak</dc:creator>
  <cp:lastModifiedBy>Maciej Osak</cp:lastModifiedBy>
  <dcterms:created xsi:type="dcterms:W3CDTF">2015-06-05T18:17:20Z</dcterms:created>
  <dcterms:modified xsi:type="dcterms:W3CDTF">2023-05-10T12:39:30Z</dcterms:modified>
</cp:coreProperties>
</file>